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v.sharepoint.com/sites/spcsa/Shared Documents/Authorizing/Amendments Applications/Spring 2022 and Winter 2022 out of cycle/Beacon Acad - Facility RFA/"/>
    </mc:Choice>
  </mc:AlternateContent>
  <xr:revisionPtr revIDLastSave="0" documentId="8_{3124E91D-A5A6-4862-88C8-624C23480245}" xr6:coauthVersionLast="47" xr6:coauthVersionMax="47" xr10:uidLastSave="{00000000-0000-0000-0000-000000000000}"/>
  <bookViews>
    <workbookView xWindow="20370" yWindow="-3210" windowWidth="29040" windowHeight="15840" tabRatio="918" firstSheet="2" activeTab="9" xr2:uid="{5AE4B841-18C1-46C8-AD9A-EF6BDDF8DF2A}"/>
  </bookViews>
  <sheets>
    <sheet name="Change Log" sheetId="1" state="hidden" r:id="rId1"/>
    <sheet name="Graphs" sheetId="28" state="hidden" r:id="rId2"/>
    <sheet name="# of Students" sheetId="2" r:id="rId3"/>
    <sheet name="PCFP" sheetId="3" r:id="rId4"/>
    <sheet name="Avg. ADE" sheetId="5" r:id="rId5"/>
    <sheet name="Budget Detail" sheetId="6" state="hidden" r:id="rId6"/>
    <sheet name="Revenues" sheetId="7" state="hidden" r:id="rId7"/>
    <sheet name="2022 Budget &amp; CF" sheetId="8" r:id="rId8"/>
    <sheet name="MYP Summary" sheetId="10" r:id="rId9"/>
    <sheet name="MYP Detail" sheetId="9" r:id="rId10"/>
    <sheet name="Fiscal_Sets" sheetId="18" state="hidden" r:id="rId11"/>
    <sheet name="Mandatory PP Spending" sheetId="22" state="hidden" r:id="rId12"/>
    <sheet name="Employee Detail FY22" sheetId="12" state="hidden" r:id="rId13"/>
    <sheet name="NRS 387.303" sheetId="25" state="hidden" r:id="rId14"/>
    <sheet name="Employee Detail FY22 FINAL" sheetId="23" state="hidden" r:id="rId15"/>
    <sheet name="Employee Summary FY22" sheetId="27" r:id="rId16"/>
    <sheet name="Employee Detail FY23" sheetId="13" r:id="rId17"/>
    <sheet name="Employee Summary FY23" sheetId="29" r:id="rId18"/>
    <sheet name="Employee Detail FY24" sheetId="14" state="hidden" r:id="rId19"/>
    <sheet name="Employee Detail FY25" sheetId="15" state="hidden" r:id="rId20"/>
    <sheet name="Employee Detail FY26" sheetId="16" state="hidden" r:id="rId21"/>
    <sheet name="Employee Detail FY27" sheetId="19" state="hidden" r:id="rId22"/>
    <sheet name="Employee Detail FY28" sheetId="26" state="hidden" r:id="rId23"/>
    <sheet name="Employee Detail FY21" sheetId="11" state="hidden" r:id="rId24"/>
    <sheet name="Employee Detail FY22 (2)" sheetId="20" state="hidden" r:id="rId25"/>
    <sheet name="Data Tables DONT EDIT" sheetId="4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01_07_2009">'[1]2540'!#REF!</definedName>
    <definedName name="_1Excel_BuiltIn_Print_Titles_8_1">#REF!</definedName>
    <definedName name="_Account_Code">#REF!</definedName>
    <definedName name="_Account_Type">[2]All!#REF!</definedName>
    <definedName name="_Actuals">#REF!</definedName>
    <definedName name="_Apta27_1_2_1">'[3]Sheet1 (4)'!$B$7,'[3]Sheet1 (4)'!$B$21,'[3]Sheet1 (4)'!$B$25</definedName>
    <definedName name="_Apta27_1_3_1">'[3]Sheet1 (4)'!$C$7,'[3]Sheet1 (4)'!$C$21,'[3]Sheet1 (4)'!$C$25</definedName>
    <definedName name="_Apta27_1_4_1">'[3]Sheet1 (4)'!$D$7,'[3]Sheet1 (4)'!$D$21,'[3]Sheet1 (4)'!$D$25</definedName>
    <definedName name="_Apta27_1_5_1">'[3]Sheet1 (4)'!$E$7,'[3]Sheet1 (4)'!$E$21,'[3]Sheet1 (4)'!$E$25</definedName>
    <definedName name="_Apta27_1_6_1">'[3]Sheet1 (4)'!$F$7,'[3]Sheet1 (4)'!$F$21,'[3]Sheet1 (4)'!$F$25</definedName>
    <definedName name="_Apta33_1_2_1">#REF!</definedName>
    <definedName name="_Apta33_1_3_1">#REF!</definedName>
    <definedName name="_Apta33_1_4_1">#REF!</definedName>
    <definedName name="_Apta33_1_5_1">#REF!</definedName>
    <definedName name="_Apta33_1_6_1">#REF!</definedName>
    <definedName name="_Apta52_1_2_1">'[3]Sheet1 (3)'!$B$9,'[3]Sheet1 (3)'!$B$46,'[3]Sheet1 (3)'!$B$50</definedName>
    <definedName name="_Apta52_1_3_1">'[3]Sheet1 (3)'!$C$9,'[3]Sheet1 (3)'!$C$46,'[3]Sheet1 (3)'!$C$50</definedName>
    <definedName name="_Apta52_1_4_1">'[3]Sheet1 (3)'!$D$9,'[3]Sheet1 (3)'!$D$46,'[3]Sheet1 (3)'!$D$50</definedName>
    <definedName name="_Apta52_1_5_1">'[3]Sheet1 (3)'!$E$9,'[3]Sheet1 (3)'!$E$46,'[3]Sheet1 (3)'!$E$50</definedName>
    <definedName name="_Apta52_1_6_1">'[3]Sheet1 (3)'!$F$9,'[3]Sheet1 (3)'!$F$46,'[3]Sheet1 (3)'!$F$50</definedName>
    <definedName name="_Aptaa_1_6_1">#REF!</definedName>
    <definedName name="_Available">#REF!</definedName>
    <definedName name="_Budget">#REF!</definedName>
    <definedName name="_cc">#REF!</definedName>
    <definedName name="_Comment">#REF!</definedName>
    <definedName name="_Description">#REF!</definedName>
    <definedName name="_Doc__No_">#REF!</definedName>
    <definedName name="_Element">[2]All!#REF!</definedName>
    <definedName name="_Encumbrance">#REF!</definedName>
    <definedName name="_xlnm._FilterDatabase" localSheetId="7" hidden="1">'2022 Budget &amp; CF'!$C$8:$I$416</definedName>
    <definedName name="_xlnm._FilterDatabase" localSheetId="23" hidden="1">'Employee Detail FY21'!$B$5:$G$95</definedName>
    <definedName name="_xlnm._FilterDatabase" localSheetId="12" hidden="1">'Employee Detail FY22'!$B$3:$H$129</definedName>
    <definedName name="_xlnm._FilterDatabase" localSheetId="24" hidden="1">'Employee Detail FY22 (2)'!$B$3:$H$131</definedName>
    <definedName name="_xlnm._FilterDatabase" localSheetId="14" hidden="1">'Employee Detail FY22 FINAL'!$B$3:$H$76</definedName>
    <definedName name="_xlnm._FilterDatabase" localSheetId="16" hidden="1">'Employee Detail FY23'!$B$3:$G$130</definedName>
    <definedName name="_xlnm._FilterDatabase" localSheetId="18" hidden="1">'Employee Detail FY24'!$B$3:$H$130</definedName>
    <definedName name="_xlnm._FilterDatabase" localSheetId="19" hidden="1">'Employee Detail FY25'!$B$3:$H$130</definedName>
    <definedName name="_xlnm._FilterDatabase" localSheetId="20" hidden="1">'Employee Detail FY26'!$B$3:$H$130</definedName>
    <definedName name="_xlnm._FilterDatabase" localSheetId="21" hidden="1">'Employee Detail FY27'!$B$3:$H$130</definedName>
    <definedName name="_xlnm._FilterDatabase" localSheetId="22" hidden="1">'Employee Detail FY28'!$B$3:$H$130</definedName>
    <definedName name="_xlnm._FilterDatabase" localSheetId="15" hidden="1">'Employee Summary FY22'!$B$3:$H$67</definedName>
    <definedName name="_xlnm._FilterDatabase" localSheetId="17" hidden="1">'Employee Summary FY23'!$B$3:$H$69</definedName>
    <definedName name="_xlnm._FilterDatabase" localSheetId="10" hidden="1">Fiscal_Sets!$C$8:$I$416</definedName>
    <definedName name="_xlnm._FilterDatabase" localSheetId="9" hidden="1">'MYP Detail'!$C$8:$I$440</definedName>
    <definedName name="_xlnm._FilterDatabase" localSheetId="8" hidden="1">'MYP Summary'!#REF!</definedName>
    <definedName name="_Fund">#REF!</definedName>
    <definedName name="_Fund_Balancing_Element_Values">[2]All!#REF!</definedName>
    <definedName name="_Fund_Classification">[2]All!#REF!</definedName>
    <definedName name="_Object">#REF!</definedName>
    <definedName name="_Status">[2]All!#REF!</definedName>
    <definedName name="_Trans__Date">#REF!</definedName>
    <definedName name="_Trans__No_">#REF!</definedName>
    <definedName name="_WorkspaceName">#REF!</definedName>
    <definedName name="ab">[2]All!#REF!</definedName>
    <definedName name="adate">'[4]201010'!$E$1:$E$65536</definedName>
    <definedName name="add">'[5]200912'!$J$1:$J$65536</definedName>
    <definedName name="ADP">#REF!</definedName>
    <definedName name="aexp">'[5]200912'!$M$1:$M$65536</definedName>
    <definedName name="AGE">#REF!</definedName>
    <definedName name="amo">'[4]201010'!$I$1:$I$65536</definedName>
    <definedName name="AMOUNT">#REF!</definedName>
    <definedName name="ap_var">'[6]AP disb'!$F$1:$F$65536</definedName>
    <definedName name="ar">'[7]1101'!#REF!</definedName>
    <definedName name="aug_2010">#REF!</definedName>
    <definedName name="avmap">[8]avmap!$A$1:$F$65536</definedName>
    <definedName name="bank">[6]bank!$B$1:$D$65536</definedName>
    <definedName name="bank_adj">[9]Bank!#REF!</definedName>
    <definedName name="Bank_Debit">[10]bank!#REF!</definedName>
    <definedName name="bankjuly">#REF!</definedName>
    <definedName name="bd">[11]Pivot!$A:$IV</definedName>
    <definedName name="budgetversions">[12]Map!$B$6:$B$25</definedName>
    <definedName name="budgetyears">[12]Map!$B$32:$B$38</definedName>
    <definedName name="cb">'[13]Pivot AR by Account'!$A:$IV</definedName>
    <definedName name="CharterInfoReport">#REF!</definedName>
    <definedName name="Claims">[14]Sheet2!$A$7:$A$12</definedName>
    <definedName name="cleared">[15]bank!$B$1:$C$65536</definedName>
    <definedName name="COE">#REF!</definedName>
    <definedName name="Combined">'[16]9-10nr '!$A$23:$G$38</definedName>
    <definedName name="Combined_1">'[17]10-10nr '!$A$23:$G$38</definedName>
    <definedName name="Combined_Dec">'[18]12-10nr'!$A$23:$E$38</definedName>
    <definedName name="Combined_jan">'[19]1-11nr'!$A$24:$C$40</definedName>
    <definedName name="company">[20]!Table1[Company]</definedName>
    <definedName name="compound_period">INDEX({1;2;4;6;12;24;26;52},MATCH([21]Schedule!$D$10,period_names,0))</definedName>
    <definedName name="cont">'[22]unbilled 11-2010'!$B$5:$Y$19</definedName>
    <definedName name="costs">[14]Sheet2!$A$7:$B$12</definedName>
    <definedName name="cr_bal_ar">'[23]AR Credit Balance '!$A$5:$M$15</definedName>
    <definedName name="CRAR">'[24]AR Aging By GL_Date By FC'!$A$32:$N$40</definedName>
    <definedName name="crbal">#REF!</definedName>
    <definedName name="da">'[4]201010'!$A$3</definedName>
    <definedName name="date">'[4]201010'!$A$3</definedName>
    <definedName name="den">'[25]Pivot-JE'!$A:$IV</definedName>
    <definedName name="denials">#REF!</definedName>
    <definedName name="dentab">[26]DEN201007!$B$6:$Y$23</definedName>
    <definedName name="dentab8">[27]ADD201007!$B$6:$Y$83</definedName>
    <definedName name="DFCS">#REF!</definedName>
    <definedName name="DFCS_Extract_from_ConApp___EDs_version_with_Scode_Without_Matchi">#REF!</definedName>
    <definedName name="DistrictDetailExpanded">#REF!</definedName>
    <definedName name="EL_Count_and_Criteria">'[28]137-MRPD-EL'!#REF!</definedName>
    <definedName name="End_Bal_9">'[29]Revolving Loan'!$I$18:$I$377</definedName>
    <definedName name="Excel_BuiltIn__FilterDatabase_13">#REF!</definedName>
    <definedName name="Excel_BuiltIn__FilterDatabase_14">#REF!</definedName>
    <definedName name="Excel_BuiltIn_Print_Area_13">#REF!</definedName>
    <definedName name="Excel_BuiltIn_Print_Area_14">#REF!</definedName>
    <definedName name="Excel_BuiltIn_Print_Titles_13">#REF!</definedName>
    <definedName name="Excel_BuiltIn_Print_Titles_14">#REF!</definedName>
    <definedName name="exp">'[4]201010'!$H$1:$H$65536</definedName>
    <definedName name="fdate">'[5]200912'!$E$1:$E$65536</definedName>
    <definedName name="FHorizontalAxis">#REF!</definedName>
    <definedName name="fica">'[30]PR 07-08'!$F$5</definedName>
    <definedName name="FModelCompany">#REF!</definedName>
    <definedName name="FOtherAxes">#REF!</definedName>
    <definedName name="fpdate">#REF!</definedName>
    <definedName name="FReportArea">#REF!</definedName>
    <definedName name="FReportBody">#REF!</definedName>
    <definedName name="FReportTitle">#REF!</definedName>
    <definedName name="FVerticalAxis">#REF!</definedName>
    <definedName name="import">[31]Import!#REF!</definedName>
    <definedName name="Interest_Rate_9">'[29]Revolving Loan'!$D$6</definedName>
    <definedName name="Invoice__24910151093_109_GMAC_PAYMENT_PROCESSING_C">'[1]2540'!#REF!</definedName>
    <definedName name="ip9_10">'[17]IP 9-2010'!$C$228:$E$237</definedName>
    <definedName name="job">[32]sheet1!$A$1:$B$65536</definedName>
    <definedName name="Job_Code">'[33]sheet1 (2)'!$A$1:$B$65536</definedName>
    <definedName name="Job_code1">[34]sheet2!$A$1:$B$65536</definedName>
    <definedName name="Job_codes">#REF!</definedName>
    <definedName name="LEA_Plan">#REF!</definedName>
    <definedName name="loan_amount">#REF!</definedName>
    <definedName name="Loan_Amount_9">'[29]Revolving Loan'!$D$5</definedName>
    <definedName name="Loan_Start_9">'[29]Revolving Loan'!$D$9</definedName>
    <definedName name="Loan_Years_9">'[29]Revolving Loan'!$D$7</definedName>
    <definedName name="Merge_ELPD_Base_Data3">#REF!</definedName>
    <definedName name="Merged_CBEDS_Charter_Data">#REF!</definedName>
    <definedName name="mo">'[4]201010'!$G$1:$G$65536</definedName>
    <definedName name="month">'[35]Depreciation 05-2008 '!$I$1</definedName>
    <definedName name="months">'[5]200912'!$G$1:$G$65536</definedName>
    <definedName name="months_per_period">12/periods_per_year</definedName>
    <definedName name="netrev">'[18]Import NR Adj'!$F$1:$G$14</definedName>
    <definedName name="nextcell">#REF!</definedName>
    <definedName name="noofpayments">MATCH(0.01,End_Bal_9,-1)+1</definedName>
    <definedName name="nper">term*periods_per_year</definedName>
    <definedName name="Number_of_Payments_9">MATCH(0.01,End_Bal_9,-1)+1</definedName>
    <definedName name="OCTPTO">'[36]avm 10-13'!$A:$F</definedName>
    <definedName name="old">'[37]2540'!#REF!</definedName>
    <definedName name="Open_ClosedSchools">#REF!</definedName>
    <definedName name="outvariance">#REF!</definedName>
    <definedName name="P_09">'[16]PHP 2010-09'!$C$42:$D$46</definedName>
    <definedName name="payment">#REF!</definedName>
    <definedName name="payschedules">'[12]IN Payroll-Forecast'!$B$1456:$B$1462</definedName>
    <definedName name="period_names">[38]Schedule!$K$5:$K$12</definedName>
    <definedName name="periods_per_year">INDEX({1;2;4;6;12;24;26;52},MATCH([38]Schedule!$D$9,period_names,0))</definedName>
    <definedName name="php_10_2010">'[17]PHP 10-2010'!$B$34:$C$38</definedName>
    <definedName name="phy">[39]Rates!$A$13:$B$20</definedName>
    <definedName name="pmtType">IF(#REF!="End of Period",0,1)</definedName>
    <definedName name="_xlnm.Print_Area" localSheetId="1">Graphs!$D$7:$M$42</definedName>
    <definedName name="_xlnm.Print_Area" localSheetId="9">'MYP Detail'!$A$1:$W$445</definedName>
    <definedName name="_xlnm.Print_Area" localSheetId="8">'MYP Summary'!$A$1:$X$37</definedName>
    <definedName name="_xlnm.Print_Titles" localSheetId="7">'2022 Budget &amp; CF'!$1:$8</definedName>
    <definedName name="_xlnm.Print_Titles" localSheetId="9">'MYP Detail'!$1:$8</definedName>
    <definedName name="prog">'[39]Program Master Report'!$1:$1048576</definedName>
    <definedName name="qry_08_09_AdjSchLvl___Dist___LFs">#REF!</definedName>
    <definedName name="qry_2008_CBED_Oral_Health_Gr_1_Dist_File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rate">#REF!</definedName>
    <definedName name="recon">'[40]use this work file'!$F$1:$F$65536</definedName>
    <definedName name="roundOpt">#REF!</definedName>
    <definedName name="s">#REF!</definedName>
    <definedName name="SchoolDetailExpanded">#REF!</definedName>
    <definedName name="schoolstatus">'[12]IN Detail'!$A$640:$A$642</definedName>
    <definedName name="Sept_IP">'[16]IP 9-2010'!$C$228:$E$237</definedName>
    <definedName name="STATE">#REF!</definedName>
    <definedName name="status">'[41]AP OS 2010-12'!$A:$A</definedName>
    <definedName name="table">'[42]3312010'!$A$1:$B$65536</definedName>
    <definedName name="tamt">'[5]200912'!$H$1:$H$65536</definedName>
    <definedName name="tblPubschlsDownload">#REF!</definedName>
    <definedName name="tdate">'[4]201010'!$F$1:$F$65536</definedName>
    <definedName name="term">#REF!</definedName>
    <definedName name="test">#REF!</definedName>
    <definedName name="topcell">#REF!</definedName>
    <definedName name="total">'[43]IC balances'!$B$37:$M$46</definedName>
    <definedName name="Unbilled_Report_Calculation">'[19]1-11nr'!$A$24:$H$40</definedName>
    <definedName name="Values_Entered_9">IF(Loan_Amount_9*Interest_Rate_9*Loan_Years_9*Loan_Start_9&gt;0,1,0)</definedName>
    <definedName name="variance">'[41]AP OS 2010-12'!$G:$G</definedName>
    <definedName name="vdmap">'[40]avm ap bank'!$B$2:$E$217+'[40]avm ap bank'!$B$2:$D$247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" i="10" l="1"/>
  <c r="Q437" i="9"/>
  <c r="J9" i="5"/>
  <c r="J10" i="5"/>
  <c r="J11" i="5"/>
  <c r="J8" i="5"/>
  <c r="AA442" i="8" l="1"/>
  <c r="AM104" i="29" l="1"/>
  <c r="AL104" i="29"/>
  <c r="AL145" i="29"/>
  <c r="AM145" i="29"/>
  <c r="AL117" i="29"/>
  <c r="AM117" i="29"/>
  <c r="AB71" i="29"/>
  <c r="AC71" i="29"/>
  <c r="AD71" i="29"/>
  <c r="AE71" i="29"/>
  <c r="AF71" i="29"/>
  <c r="AG71" i="29"/>
  <c r="AH71" i="29"/>
  <c r="AI71" i="29"/>
  <c r="AJ71" i="29"/>
  <c r="AK71" i="29"/>
  <c r="AL71" i="29"/>
  <c r="AM71" i="29"/>
  <c r="AN71" i="29"/>
  <c r="AA71" i="29"/>
  <c r="AI38" i="29"/>
  <c r="AH38" i="29"/>
  <c r="AF38" i="29"/>
  <c r="AE38" i="29"/>
  <c r="AD38" i="29"/>
  <c r="AC38" i="29"/>
  <c r="AA38" i="29"/>
  <c r="AM38" i="29" s="1"/>
  <c r="K414" i="9"/>
  <c r="L414" i="9"/>
  <c r="M414" i="9"/>
  <c r="N414" i="9"/>
  <c r="AL38" i="29" l="1"/>
  <c r="AN38" i="29" s="1"/>
  <c r="X17" i="9"/>
  <c r="E16" i="2"/>
  <c r="O435" i="9"/>
  <c r="O434" i="9"/>
  <c r="O436" i="9"/>
  <c r="D16" i="2"/>
  <c r="F16" i="2"/>
  <c r="G16" i="2"/>
  <c r="H16" i="2"/>
  <c r="I16" i="2"/>
  <c r="P433" i="8" l="1"/>
  <c r="Q433" i="8"/>
  <c r="R433" i="8"/>
  <c r="S433" i="8"/>
  <c r="T433" i="8"/>
  <c r="U433" i="8"/>
  <c r="P437" i="8"/>
  <c r="Q437" i="8"/>
  <c r="R437" i="8"/>
  <c r="S437" i="8"/>
  <c r="T437" i="8"/>
  <c r="U437" i="8"/>
  <c r="R413" i="9"/>
  <c r="R54" i="9"/>
  <c r="O394" i="9" l="1"/>
  <c r="O411" i="9" l="1"/>
  <c r="P411" i="9" s="1"/>
  <c r="AB411" i="8"/>
  <c r="AD411" i="18"/>
  <c r="AA411" i="18"/>
  <c r="Z411" i="18"/>
  <c r="Y411" i="18"/>
  <c r="X411" i="18"/>
  <c r="W411" i="18"/>
  <c r="V411" i="18"/>
  <c r="U411" i="18"/>
  <c r="T411" i="18"/>
  <c r="S411" i="18"/>
  <c r="R411" i="18"/>
  <c r="Q411" i="18"/>
  <c r="P411" i="18"/>
  <c r="AC411" i="18" s="1"/>
  <c r="O411" i="18"/>
  <c r="J411" i="18"/>
  <c r="R411" i="9"/>
  <c r="R410" i="9"/>
  <c r="P410" i="9"/>
  <c r="L374" i="9"/>
  <c r="M374" i="9"/>
  <c r="N374" i="9"/>
  <c r="C339" i="18"/>
  <c r="J339" i="18" s="1"/>
  <c r="G339" i="18"/>
  <c r="AB339" i="8"/>
  <c r="AD339" i="18"/>
  <c r="AA339" i="18"/>
  <c r="Z339" i="18"/>
  <c r="Y339" i="18"/>
  <c r="X339" i="18"/>
  <c r="W339" i="18"/>
  <c r="V339" i="18"/>
  <c r="U339" i="18"/>
  <c r="T339" i="18"/>
  <c r="S339" i="18"/>
  <c r="R339" i="18"/>
  <c r="Q339" i="18"/>
  <c r="P339" i="18"/>
  <c r="O339" i="18"/>
  <c r="H339" i="18"/>
  <c r="AD338" i="18"/>
  <c r="O339" i="9"/>
  <c r="Q339" i="9" s="1"/>
  <c r="R338" i="9"/>
  <c r="P338" i="9"/>
  <c r="L369" i="9"/>
  <c r="M369" i="9"/>
  <c r="N369" i="9"/>
  <c r="L283" i="9"/>
  <c r="M283" i="9"/>
  <c r="N283" i="9"/>
  <c r="X339" i="8"/>
  <c r="X411" i="8"/>
  <c r="L415" i="9" l="1"/>
  <c r="L416" i="9" s="1"/>
  <c r="AC411" i="8"/>
  <c r="Y411" i="8"/>
  <c r="AE411" i="18"/>
  <c r="AF411" i="18" s="1"/>
  <c r="AC339" i="18"/>
  <c r="AE339" i="18" s="1"/>
  <c r="AF339" i="18" s="1"/>
  <c r="K374" i="9"/>
  <c r="AC339" i="8"/>
  <c r="Y339" i="8"/>
  <c r="S339" i="9"/>
  <c r="T339" i="9" s="1"/>
  <c r="U339" i="9" s="1"/>
  <c r="V339" i="9" s="1"/>
  <c r="W339" i="9" s="1"/>
  <c r="R339" i="9"/>
  <c r="P339" i="9"/>
  <c r="K369" i="9"/>
  <c r="K283" i="9" l="1"/>
  <c r="K38" i="9"/>
  <c r="K18" i="9"/>
  <c r="O371" i="9" l="1"/>
  <c r="P371" i="9" s="1"/>
  <c r="O372" i="9"/>
  <c r="Q372" i="9"/>
  <c r="R372" i="9" s="1"/>
  <c r="S372" i="9" l="1"/>
  <c r="P372" i="9"/>
  <c r="Q371" i="9"/>
  <c r="T372" i="9" l="1"/>
  <c r="S371" i="9"/>
  <c r="T371" i="9" s="1"/>
  <c r="U371" i="9" s="1"/>
  <c r="V371" i="9" s="1"/>
  <c r="R371" i="9"/>
  <c r="U372" i="9" l="1"/>
  <c r="AB72" i="29"/>
  <c r="AI69" i="29"/>
  <c r="AH69" i="29"/>
  <c r="AF69" i="29"/>
  <c r="AE69" i="29"/>
  <c r="AD69" i="29"/>
  <c r="AC69" i="29"/>
  <c r="AA69" i="29"/>
  <c r="AM69" i="29" s="1"/>
  <c r="AI66" i="29"/>
  <c r="AH66" i="29"/>
  <c r="AF66" i="29"/>
  <c r="AE66" i="29"/>
  <c r="AD66" i="29"/>
  <c r="AL66" i="29" s="1"/>
  <c r="AC66" i="29"/>
  <c r="AA66" i="29"/>
  <c r="AM66" i="29" s="1"/>
  <c r="AI61" i="29"/>
  <c r="AH61" i="29"/>
  <c r="AF61" i="29"/>
  <c r="AE61" i="29"/>
  <c r="AD61" i="29"/>
  <c r="AC61" i="29"/>
  <c r="AA61" i="29"/>
  <c r="AI56" i="29"/>
  <c r="AH56" i="29"/>
  <c r="AF56" i="29"/>
  <c r="AE56" i="29"/>
  <c r="AD56" i="29"/>
  <c r="AC56" i="29"/>
  <c r="AA56" i="29"/>
  <c r="AM56" i="29" s="1"/>
  <c r="AI53" i="29"/>
  <c r="AH53" i="29"/>
  <c r="AF53" i="29"/>
  <c r="AE53" i="29"/>
  <c r="AD53" i="29"/>
  <c r="AC53" i="29"/>
  <c r="AA53" i="29"/>
  <c r="AM53" i="29" s="1"/>
  <c r="AI51" i="29"/>
  <c r="AH51" i="29"/>
  <c r="AF51" i="29"/>
  <c r="AE51" i="29"/>
  <c r="AD51" i="29"/>
  <c r="AC51" i="29"/>
  <c r="AA51" i="29"/>
  <c r="AI50" i="29"/>
  <c r="AH50" i="29"/>
  <c r="AF50" i="29"/>
  <c r="AE50" i="29"/>
  <c r="AD50" i="29"/>
  <c r="AC50" i="29"/>
  <c r="AA50" i="29"/>
  <c r="AM50" i="29" s="1"/>
  <c r="AI48" i="29"/>
  <c r="AH48" i="29"/>
  <c r="AF48" i="29"/>
  <c r="AE48" i="29"/>
  <c r="AD48" i="29"/>
  <c r="AC48" i="29"/>
  <c r="AA48" i="29"/>
  <c r="AM48" i="29" s="1"/>
  <c r="AI45" i="29"/>
  <c r="AH45" i="29"/>
  <c r="AF45" i="29"/>
  <c r="AE45" i="29"/>
  <c r="AD45" i="29"/>
  <c r="AC45" i="29"/>
  <c r="AA45" i="29"/>
  <c r="AM45" i="29" s="1"/>
  <c r="AI43" i="29"/>
  <c r="AH43" i="29"/>
  <c r="AF43" i="29"/>
  <c r="AE43" i="29"/>
  <c r="AD43" i="29"/>
  <c r="AC43" i="29"/>
  <c r="AA43" i="29"/>
  <c r="AM43" i="29" s="1"/>
  <c r="AI41" i="29"/>
  <c r="AH41" i="29"/>
  <c r="AF41" i="29"/>
  <c r="AE41" i="29"/>
  <c r="AD41" i="29"/>
  <c r="AC41" i="29"/>
  <c r="AA41" i="29"/>
  <c r="AM41" i="29" s="1"/>
  <c r="AI36" i="29"/>
  <c r="AH36" i="29"/>
  <c r="AF36" i="29"/>
  <c r="AE36" i="29"/>
  <c r="AD36" i="29"/>
  <c r="AC36" i="29"/>
  <c r="AA36" i="29"/>
  <c r="AM36" i="29" s="1"/>
  <c r="AI33" i="29"/>
  <c r="AH33" i="29"/>
  <c r="AF33" i="29"/>
  <c r="AE33" i="29"/>
  <c r="AD33" i="29"/>
  <c r="AC33" i="29"/>
  <c r="AA33" i="29"/>
  <c r="AM33" i="29" s="1"/>
  <c r="AI29" i="29"/>
  <c r="AH29" i="29"/>
  <c r="AF29" i="29"/>
  <c r="AE29" i="29"/>
  <c r="AD29" i="29"/>
  <c r="AC29" i="29"/>
  <c r="AA29" i="29"/>
  <c r="AM29" i="29" s="1"/>
  <c r="AI26" i="29"/>
  <c r="AH26" i="29"/>
  <c r="AF26" i="29"/>
  <c r="AE26" i="29"/>
  <c r="AD26" i="29"/>
  <c r="AC26" i="29"/>
  <c r="AA26" i="29"/>
  <c r="AM26" i="29" s="1"/>
  <c r="AI24" i="29"/>
  <c r="AH24" i="29"/>
  <c r="AF24" i="29"/>
  <c r="AE24" i="29"/>
  <c r="AD24" i="29"/>
  <c r="AC24" i="29"/>
  <c r="AA24" i="29"/>
  <c r="AM24" i="29" s="1"/>
  <c r="AI22" i="29"/>
  <c r="AH22" i="29"/>
  <c r="AF22" i="29"/>
  <c r="AE22" i="29"/>
  <c r="AD22" i="29"/>
  <c r="AC22" i="29"/>
  <c r="AA22" i="29"/>
  <c r="AM22" i="29" s="1"/>
  <c r="AI16" i="29"/>
  <c r="AH16" i="29"/>
  <c r="AF16" i="29"/>
  <c r="AE16" i="29"/>
  <c r="AD16" i="29"/>
  <c r="AC16" i="29"/>
  <c r="AA16" i="29"/>
  <c r="AM16" i="29" s="1"/>
  <c r="AI14" i="29"/>
  <c r="AH14" i="29"/>
  <c r="AF14" i="29"/>
  <c r="AE14" i="29"/>
  <c r="AD14" i="29"/>
  <c r="AC14" i="29"/>
  <c r="AA14" i="29"/>
  <c r="AM14" i="29" s="1"/>
  <c r="AI12" i="29"/>
  <c r="AH12" i="29"/>
  <c r="AF12" i="29"/>
  <c r="AE12" i="29"/>
  <c r="AD12" i="29"/>
  <c r="AC12" i="29"/>
  <c r="AA12" i="29"/>
  <c r="AM12" i="29" s="1"/>
  <c r="AK70" i="29"/>
  <c r="AJ70" i="29"/>
  <c r="AG70" i="29"/>
  <c r="AB70" i="29"/>
  <c r="AB73" i="29" s="1"/>
  <c r="AM61" i="29"/>
  <c r="AC6" i="29"/>
  <c r="U6" i="29"/>
  <c r="V6" i="29" s="1"/>
  <c r="T6" i="29"/>
  <c r="S6" i="29"/>
  <c r="R6" i="29"/>
  <c r="Q6" i="29"/>
  <c r="P6" i="29"/>
  <c r="W6" i="29" s="1"/>
  <c r="O6" i="29"/>
  <c r="N6" i="29"/>
  <c r="M6" i="29"/>
  <c r="L6" i="29"/>
  <c r="K6" i="29"/>
  <c r="J6" i="29"/>
  <c r="I6" i="29"/>
  <c r="G6" i="29"/>
  <c r="F6" i="29"/>
  <c r="E6" i="29"/>
  <c r="C6" i="29"/>
  <c r="B6" i="29"/>
  <c r="A6" i="29"/>
  <c r="C2" i="29"/>
  <c r="AH1" i="29"/>
  <c r="AC1" i="29"/>
  <c r="A1" i="29"/>
  <c r="R412" i="9"/>
  <c r="R409" i="9"/>
  <c r="R408" i="9"/>
  <c r="R406" i="9"/>
  <c r="R404" i="9"/>
  <c r="R403" i="9"/>
  <c r="R402" i="9"/>
  <c r="R400" i="9"/>
  <c r="R397" i="9"/>
  <c r="R395" i="9"/>
  <c r="R394" i="9"/>
  <c r="R393" i="9"/>
  <c r="R392" i="9"/>
  <c r="R391" i="9"/>
  <c r="R390" i="9"/>
  <c r="R388" i="9"/>
  <c r="R383" i="9"/>
  <c r="R381" i="9"/>
  <c r="R379" i="9"/>
  <c r="R377" i="9"/>
  <c r="R375" i="9"/>
  <c r="R373" i="9"/>
  <c r="R367" i="9"/>
  <c r="R366" i="9"/>
  <c r="R365" i="9"/>
  <c r="R364" i="9"/>
  <c r="R363" i="9"/>
  <c r="R358" i="9"/>
  <c r="R354" i="9"/>
  <c r="R352" i="9"/>
  <c r="R350" i="9"/>
  <c r="R349" i="9"/>
  <c r="R348" i="9"/>
  <c r="R347" i="9"/>
  <c r="R346" i="9"/>
  <c r="R345" i="9"/>
  <c r="R344" i="9"/>
  <c r="R342" i="9"/>
  <c r="R340" i="9"/>
  <c r="R335" i="9"/>
  <c r="R331" i="9"/>
  <c r="R323" i="9"/>
  <c r="R320" i="9"/>
  <c r="R318" i="9"/>
  <c r="R310" i="9"/>
  <c r="R304" i="9"/>
  <c r="R300" i="9"/>
  <c r="R298" i="9"/>
  <c r="R295" i="9"/>
  <c r="R291" i="9"/>
  <c r="R286" i="9"/>
  <c r="R282" i="9"/>
  <c r="R281" i="9"/>
  <c r="R280" i="9"/>
  <c r="R279" i="9"/>
  <c r="R278" i="9"/>
  <c r="R276" i="9"/>
  <c r="R273" i="9"/>
  <c r="R271" i="9"/>
  <c r="R270" i="9"/>
  <c r="R269" i="9"/>
  <c r="R268" i="9"/>
  <c r="R267" i="9"/>
  <c r="R266" i="9"/>
  <c r="R265" i="9"/>
  <c r="R264" i="9"/>
  <c r="R262" i="9"/>
  <c r="R261" i="9"/>
  <c r="R260" i="9"/>
  <c r="R259" i="9"/>
  <c r="R258" i="9"/>
  <c r="R255" i="9"/>
  <c r="R251" i="9"/>
  <c r="R248" i="9"/>
  <c r="R243" i="9"/>
  <c r="R242" i="9"/>
  <c r="R241" i="9"/>
  <c r="R239" i="9"/>
  <c r="R237" i="9"/>
  <c r="R227" i="9"/>
  <c r="R224" i="9"/>
  <c r="R222" i="9"/>
  <c r="R220" i="9"/>
  <c r="R219" i="9"/>
  <c r="R218" i="9"/>
  <c r="R212" i="9"/>
  <c r="R210" i="9"/>
  <c r="R206" i="9"/>
  <c r="R203" i="9"/>
  <c r="R202" i="9"/>
  <c r="R193" i="9"/>
  <c r="R188" i="9"/>
  <c r="R185" i="9"/>
  <c r="R182" i="9"/>
  <c r="R181" i="9"/>
  <c r="R180" i="9"/>
  <c r="R176" i="9"/>
  <c r="R39" i="9"/>
  <c r="O30" i="10"/>
  <c r="AB212" i="8"/>
  <c r="AC58" i="12"/>
  <c r="D65" i="2"/>
  <c r="E65" i="2"/>
  <c r="F65" i="2"/>
  <c r="G65" i="2"/>
  <c r="H65" i="2"/>
  <c r="Q25" i="7"/>
  <c r="I25" i="7"/>
  <c r="V80" i="12"/>
  <c r="O212" i="9"/>
  <c r="AB394" i="8"/>
  <c r="AC394" i="8"/>
  <c r="AA209" i="8"/>
  <c r="E51" i="8"/>
  <c r="D51" i="8"/>
  <c r="C51" i="8"/>
  <c r="E50" i="8"/>
  <c r="D50" i="8"/>
  <c r="C50" i="8"/>
  <c r="E49" i="8"/>
  <c r="D49" i="8"/>
  <c r="C49" i="8"/>
  <c r="E48" i="8"/>
  <c r="D48" i="8"/>
  <c r="C48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0" i="8"/>
  <c r="B11" i="8"/>
  <c r="B12" i="8"/>
  <c r="B13" i="8"/>
  <c r="B14" i="8"/>
  <c r="B15" i="8"/>
  <c r="B16" i="8"/>
  <c r="B17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8" i="8"/>
  <c r="D28" i="8"/>
  <c r="C28" i="8"/>
  <c r="E27" i="8"/>
  <c r="D27" i="8"/>
  <c r="C27" i="8"/>
  <c r="E26" i="8"/>
  <c r="D26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C10" i="8"/>
  <c r="D10" i="8"/>
  <c r="E10" i="8"/>
  <c r="C11" i="8"/>
  <c r="D11" i="8"/>
  <c r="E11" i="8"/>
  <c r="C12" i="8"/>
  <c r="D12" i="8"/>
  <c r="E12" i="8"/>
  <c r="C13" i="8"/>
  <c r="D13" i="8"/>
  <c r="E13" i="8"/>
  <c r="C14" i="8"/>
  <c r="D14" i="8"/>
  <c r="E14" i="8"/>
  <c r="C15" i="8"/>
  <c r="D15" i="8"/>
  <c r="E15" i="8"/>
  <c r="C16" i="8"/>
  <c r="D16" i="8"/>
  <c r="E16" i="8"/>
  <c r="C17" i="8"/>
  <c r="D17" i="8"/>
  <c r="E17" i="8"/>
  <c r="D9" i="8"/>
  <c r="E9" i="8"/>
  <c r="S233" i="9"/>
  <c r="T394" i="9"/>
  <c r="U394" i="9" s="1"/>
  <c r="V394" i="9" s="1"/>
  <c r="W394" i="9" s="1"/>
  <c r="V269" i="9"/>
  <c r="W269" i="9" s="1"/>
  <c r="V270" i="9"/>
  <c r="W270" i="9" s="1"/>
  <c r="W254" i="9"/>
  <c r="E39" i="3"/>
  <c r="F39" i="3"/>
  <c r="G39" i="3"/>
  <c r="H39" i="3"/>
  <c r="D39" i="3"/>
  <c r="C39" i="3"/>
  <c r="E9" i="3"/>
  <c r="F9" i="3" s="1"/>
  <c r="G9" i="3" s="1"/>
  <c r="H9" i="3" s="1"/>
  <c r="D9" i="3"/>
  <c r="T209" i="9"/>
  <c r="U209" i="9" s="1"/>
  <c r="V209" i="9" s="1"/>
  <c r="W209" i="9" s="1"/>
  <c r="S209" i="9"/>
  <c r="Q209" i="9"/>
  <c r="R209" i="9" s="1"/>
  <c r="T234" i="9"/>
  <c r="U234" i="9" s="1"/>
  <c r="V234" i="9" s="1"/>
  <c r="W234" i="9" s="1"/>
  <c r="S234" i="9"/>
  <c r="Q234" i="9"/>
  <c r="R234" i="9" s="1"/>
  <c r="T215" i="9"/>
  <c r="S215" i="9"/>
  <c r="Q215" i="9"/>
  <c r="R215" i="9" s="1"/>
  <c r="R447" i="9" s="1"/>
  <c r="AA215" i="8"/>
  <c r="AA234" i="8"/>
  <c r="T233" i="9"/>
  <c r="U233" i="9" s="1"/>
  <c r="V233" i="9" s="1"/>
  <c r="W233" i="9" s="1"/>
  <c r="Q233" i="9"/>
  <c r="R233" i="9" s="1"/>
  <c r="AA233" i="8"/>
  <c r="O141" i="9"/>
  <c r="Q205" i="9"/>
  <c r="R205" i="9" s="1"/>
  <c r="S219" i="9"/>
  <c r="T219" i="9" s="1"/>
  <c r="U219" i="9" s="1"/>
  <c r="V219" i="9" s="1"/>
  <c r="W219" i="9" s="1"/>
  <c r="S212" i="9"/>
  <c r="T212" i="9" s="1"/>
  <c r="U212" i="9" s="1"/>
  <c r="V212" i="9" s="1"/>
  <c r="W212" i="9" s="1"/>
  <c r="S210" i="9"/>
  <c r="T210" i="9" s="1"/>
  <c r="U210" i="9" s="1"/>
  <c r="V210" i="9" s="1"/>
  <c r="W210" i="9" s="1"/>
  <c r="D212" i="18"/>
  <c r="C212" i="18"/>
  <c r="Q208" i="9"/>
  <c r="S208" i="9" s="1"/>
  <c r="Q207" i="9"/>
  <c r="R207" i="9" s="1"/>
  <c r="T192" i="9"/>
  <c r="S192" i="9"/>
  <c r="Q192" i="9"/>
  <c r="R192" i="9" s="1"/>
  <c r="Q187" i="9"/>
  <c r="R187" i="9" s="1"/>
  <c r="Q178" i="9"/>
  <c r="S178" i="9" s="1"/>
  <c r="T178" i="9" s="1"/>
  <c r="U178" i="9" s="1"/>
  <c r="V178" i="9" s="1"/>
  <c r="W178" i="9" s="1"/>
  <c r="O178" i="9"/>
  <c r="P178" i="9" s="1"/>
  <c r="AB178" i="8"/>
  <c r="AD178" i="18"/>
  <c r="AA178" i="18"/>
  <c r="Z178" i="18"/>
  <c r="Y178" i="18"/>
  <c r="X178" i="18"/>
  <c r="W178" i="18"/>
  <c r="V178" i="18"/>
  <c r="U178" i="18"/>
  <c r="T178" i="18"/>
  <c r="S178" i="18"/>
  <c r="R178" i="18"/>
  <c r="Q178" i="18"/>
  <c r="P178" i="18"/>
  <c r="O178" i="18"/>
  <c r="H178" i="18"/>
  <c r="F178" i="18"/>
  <c r="D178" i="18"/>
  <c r="C178" i="18"/>
  <c r="Q175" i="9"/>
  <c r="R175" i="9" s="1"/>
  <c r="C9" i="3"/>
  <c r="X178" i="8"/>
  <c r="X212" i="8"/>
  <c r="AM51" i="29" l="1"/>
  <c r="AL33" i="29"/>
  <c r="AL41" i="29"/>
  <c r="AN41" i="29" s="1"/>
  <c r="AL43" i="29"/>
  <c r="AN43" i="29" s="1"/>
  <c r="AL48" i="29"/>
  <c r="AN48" i="29" s="1"/>
  <c r="AL50" i="29"/>
  <c r="AN50" i="29" s="1"/>
  <c r="AL51" i="29"/>
  <c r="AL56" i="29"/>
  <c r="AN56" i="29" s="1"/>
  <c r="AL61" i="29"/>
  <c r="AN61" i="29" s="1"/>
  <c r="AL69" i="29"/>
  <c r="AN69" i="29" s="1"/>
  <c r="AL36" i="29"/>
  <c r="AN36" i="29" s="1"/>
  <c r="AL45" i="29"/>
  <c r="AN45" i="29" s="1"/>
  <c r="AL53" i="29"/>
  <c r="AN53" i="29" s="1"/>
  <c r="AL12" i="29"/>
  <c r="AN12" i="29" s="1"/>
  <c r="V372" i="9"/>
  <c r="S207" i="9"/>
  <c r="T207" i="9" s="1"/>
  <c r="U207" i="9" s="1"/>
  <c r="V207" i="9" s="1"/>
  <c r="W207" i="9" s="1"/>
  <c r="R208" i="9"/>
  <c r="R178" i="9"/>
  <c r="AN66" i="29"/>
  <c r="AL16" i="29"/>
  <c r="AN16" i="29" s="1"/>
  <c r="AL14" i="29"/>
  <c r="AN14" i="29" s="1"/>
  <c r="AL22" i="29"/>
  <c r="AN22" i="29" s="1"/>
  <c r="AL24" i="29"/>
  <c r="AN24" i="29" s="1"/>
  <c r="AL26" i="29"/>
  <c r="AN26" i="29" s="1"/>
  <c r="AL29" i="29"/>
  <c r="AN29" i="29" s="1"/>
  <c r="X6" i="29"/>
  <c r="AA6" i="29" s="1"/>
  <c r="AN33" i="29"/>
  <c r="T208" i="9"/>
  <c r="AC212" i="8"/>
  <c r="Y212" i="8"/>
  <c r="J178" i="18"/>
  <c r="AC178" i="18"/>
  <c r="AE178" i="18" s="1"/>
  <c r="AF178" i="18" s="1"/>
  <c r="AC178" i="8"/>
  <c r="Y178" i="8"/>
  <c r="C31" i="3"/>
  <c r="AN51" i="29" l="1"/>
  <c r="AH6" i="29"/>
  <c r="AM6" i="29"/>
  <c r="AF6" i="29"/>
  <c r="AD6" i="29"/>
  <c r="AI6" i="29"/>
  <c r="AE6" i="29"/>
  <c r="U208" i="9"/>
  <c r="C43" i="28"/>
  <c r="C42" i="28"/>
  <c r="C41" i="28"/>
  <c r="C40" i="28"/>
  <c r="C39" i="28"/>
  <c r="C38" i="28"/>
  <c r="C37" i="28"/>
  <c r="C36" i="28"/>
  <c r="B35" i="28"/>
  <c r="C35" i="28" s="1"/>
  <c r="C34" i="28"/>
  <c r="C33" i="28"/>
  <c r="C32" i="28"/>
  <c r="C31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AL6" i="29" l="1"/>
  <c r="V208" i="9"/>
  <c r="D47" i="2"/>
  <c r="Q174" i="9"/>
  <c r="AD434" i="8"/>
  <c r="V8" i="16"/>
  <c r="U8" i="19" s="1"/>
  <c r="V8" i="19" s="1"/>
  <c r="AB374" i="18"/>
  <c r="J374" i="9"/>
  <c r="J20" i="10" s="1"/>
  <c r="L20" i="10"/>
  <c r="M20" i="10"/>
  <c r="J374" i="8"/>
  <c r="K374" i="8"/>
  <c r="L374" i="8"/>
  <c r="M374" i="8"/>
  <c r="N374" i="8"/>
  <c r="C34" i="3"/>
  <c r="AA374" i="8"/>
  <c r="Z374" i="8"/>
  <c r="O374" i="8"/>
  <c r="P374" i="8"/>
  <c r="Q374" i="8"/>
  <c r="R374" i="8"/>
  <c r="S374" i="8"/>
  <c r="T374" i="8"/>
  <c r="U374" i="8"/>
  <c r="V374" i="8"/>
  <c r="N374" i="18"/>
  <c r="N20" i="10"/>
  <c r="P373" i="9"/>
  <c r="K20" i="7"/>
  <c r="L20" i="7"/>
  <c r="M20" i="7"/>
  <c r="N20" i="7"/>
  <c r="O20" i="7"/>
  <c r="K21" i="7"/>
  <c r="L21" i="7"/>
  <c r="M21" i="7"/>
  <c r="N21" i="7"/>
  <c r="O21" i="7"/>
  <c r="K24" i="7"/>
  <c r="L24" i="7"/>
  <c r="M24" i="7"/>
  <c r="N24" i="7"/>
  <c r="O24" i="7"/>
  <c r="K27" i="7"/>
  <c r="L27" i="7"/>
  <c r="M27" i="7"/>
  <c r="N27" i="7"/>
  <c r="O27" i="7"/>
  <c r="K28" i="7"/>
  <c r="L28" i="7"/>
  <c r="M28" i="7"/>
  <c r="N28" i="7"/>
  <c r="O28" i="7"/>
  <c r="J28" i="7"/>
  <c r="J27" i="7"/>
  <c r="J24" i="7"/>
  <c r="J21" i="7"/>
  <c r="J20" i="7"/>
  <c r="B68" i="3"/>
  <c r="C60" i="3"/>
  <c r="D60" i="3" s="1"/>
  <c r="B67" i="3"/>
  <c r="C59" i="3"/>
  <c r="D59" i="3"/>
  <c r="E59" i="3" s="1"/>
  <c r="F59" i="3" s="1"/>
  <c r="G59" i="3" s="1"/>
  <c r="H59" i="3" s="1"/>
  <c r="B66" i="3"/>
  <c r="C58" i="3"/>
  <c r="D58" i="3"/>
  <c r="E58" i="3" s="1"/>
  <c r="F58" i="3" s="1"/>
  <c r="G58" i="3" s="1"/>
  <c r="H58" i="3" s="1"/>
  <c r="C57" i="3"/>
  <c r="D57" i="3" s="1"/>
  <c r="C56" i="3"/>
  <c r="D56" i="3" s="1"/>
  <c r="C64" i="3"/>
  <c r="B64" i="3"/>
  <c r="B65" i="3"/>
  <c r="C67" i="3"/>
  <c r="C65" i="3"/>
  <c r="C66" i="3"/>
  <c r="C68" i="3"/>
  <c r="R7" i="22"/>
  <c r="N27" i="22"/>
  <c r="N30" i="22"/>
  <c r="C55" i="3"/>
  <c r="D55" i="3"/>
  <c r="E55" i="3"/>
  <c r="F55" i="3"/>
  <c r="G55" i="3"/>
  <c r="H55" i="3"/>
  <c r="B55" i="3"/>
  <c r="B38" i="3"/>
  <c r="E18" i="3"/>
  <c r="F18" i="3"/>
  <c r="G18" i="3"/>
  <c r="H18" i="3"/>
  <c r="D17" i="3"/>
  <c r="E17" i="3"/>
  <c r="F17" i="3"/>
  <c r="G17" i="3"/>
  <c r="H17" i="3"/>
  <c r="D18" i="3"/>
  <c r="D16" i="3"/>
  <c r="E16" i="3"/>
  <c r="F16" i="3"/>
  <c r="G16" i="3"/>
  <c r="H16" i="3"/>
  <c r="D8" i="3"/>
  <c r="D10" i="3" s="1"/>
  <c r="Q14" i="9"/>
  <c r="R14" i="9" s="1"/>
  <c r="S14" i="9"/>
  <c r="T14" i="9"/>
  <c r="U14" i="9"/>
  <c r="V14" i="9"/>
  <c r="W14" i="9"/>
  <c r="Q15" i="9"/>
  <c r="R15" i="9" s="1"/>
  <c r="S15" i="9"/>
  <c r="T15" i="9"/>
  <c r="U15" i="9"/>
  <c r="V15" i="9"/>
  <c r="W15" i="9"/>
  <c r="Q16" i="9"/>
  <c r="R16" i="9" s="1"/>
  <c r="S16" i="9"/>
  <c r="T16" i="9"/>
  <c r="U16" i="9"/>
  <c r="V16" i="9"/>
  <c r="W16" i="9"/>
  <c r="Q17" i="9"/>
  <c r="R17" i="9" s="1"/>
  <c r="S17" i="9"/>
  <c r="T17" i="9"/>
  <c r="U17" i="9"/>
  <c r="V17" i="9"/>
  <c r="W17" i="9"/>
  <c r="J11" i="7"/>
  <c r="Q11" i="9"/>
  <c r="R11" i="9" s="1"/>
  <c r="K11" i="7"/>
  <c r="S11" i="9"/>
  <c r="L11" i="7"/>
  <c r="T11" i="9"/>
  <c r="M11" i="7"/>
  <c r="U11" i="9"/>
  <c r="N11" i="7"/>
  <c r="V11" i="9"/>
  <c r="O11" i="7"/>
  <c r="W11" i="9"/>
  <c r="AA40" i="8"/>
  <c r="O40" i="9" s="1"/>
  <c r="P40" i="9" s="1"/>
  <c r="AA41" i="8"/>
  <c r="AA42" i="8"/>
  <c r="AA43" i="8"/>
  <c r="AA44" i="8"/>
  <c r="O44" i="9" s="1"/>
  <c r="P44" i="9" s="1"/>
  <c r="AA45" i="8"/>
  <c r="O45" i="9" s="1"/>
  <c r="P45" i="9" s="1"/>
  <c r="AA46" i="8"/>
  <c r="O46" i="9" s="1"/>
  <c r="AA47" i="8"/>
  <c r="AA48" i="8"/>
  <c r="O48" i="9" s="1"/>
  <c r="P48" i="9" s="1"/>
  <c r="AA49" i="8"/>
  <c r="AA50" i="8"/>
  <c r="O50" i="9"/>
  <c r="P50" i="9" s="1"/>
  <c r="AA51" i="8"/>
  <c r="O51" i="9" s="1"/>
  <c r="P51" i="9" s="1"/>
  <c r="S193" i="9"/>
  <c r="T193" i="9" s="1"/>
  <c r="U193" i="9" s="1"/>
  <c r="V193" i="9" s="1"/>
  <c r="W193" i="9" s="1"/>
  <c r="O193" i="9"/>
  <c r="S265" i="9"/>
  <c r="T265" i="9" s="1"/>
  <c r="U265" i="9" s="1"/>
  <c r="V265" i="9" s="1"/>
  <c r="W265" i="9" s="1"/>
  <c r="S264" i="9"/>
  <c r="T264" i="9" s="1"/>
  <c r="U264" i="9" s="1"/>
  <c r="V264" i="9" s="1"/>
  <c r="W264" i="9" s="1"/>
  <c r="S262" i="9"/>
  <c r="T262" i="9" s="1"/>
  <c r="U262" i="9" s="1"/>
  <c r="V262" i="9" s="1"/>
  <c r="W262" i="9" s="1"/>
  <c r="S261" i="9"/>
  <c r="T261" i="9" s="1"/>
  <c r="U261" i="9" s="1"/>
  <c r="V261" i="9" s="1"/>
  <c r="W261" i="9" s="1"/>
  <c r="S260" i="9"/>
  <c r="T260" i="9" s="1"/>
  <c r="U260" i="9" s="1"/>
  <c r="V260" i="9" s="1"/>
  <c r="W260" i="9" s="1"/>
  <c r="S259" i="9"/>
  <c r="T259" i="9" s="1"/>
  <c r="U259" i="9" s="1"/>
  <c r="V259" i="9" s="1"/>
  <c r="W259" i="9" s="1"/>
  <c r="S282" i="9"/>
  <c r="T282" i="9" s="1"/>
  <c r="U282" i="9" s="1"/>
  <c r="V282" i="9" s="1"/>
  <c r="W282" i="9" s="1"/>
  <c r="S280" i="9"/>
  <c r="T280" i="9" s="1"/>
  <c r="U280" i="9" s="1"/>
  <c r="V280" i="9" s="1"/>
  <c r="W280" i="9" s="1"/>
  <c r="S279" i="9"/>
  <c r="T279" i="9" s="1"/>
  <c r="U279" i="9" s="1"/>
  <c r="V279" i="9" s="1"/>
  <c r="W279" i="9" s="1"/>
  <c r="S270" i="9"/>
  <c r="T270" i="9" s="1"/>
  <c r="S269" i="9"/>
  <c r="T269" i="9" s="1"/>
  <c r="S349" i="9"/>
  <c r="T349" i="9" s="1"/>
  <c r="U349" i="9" s="1"/>
  <c r="V349" i="9" s="1"/>
  <c r="W349" i="9" s="1"/>
  <c r="S348" i="9"/>
  <c r="T348" i="9" s="1"/>
  <c r="U348" i="9" s="1"/>
  <c r="V348" i="9" s="1"/>
  <c r="W348" i="9" s="1"/>
  <c r="S347" i="9"/>
  <c r="T347" i="9" s="1"/>
  <c r="U347" i="9" s="1"/>
  <c r="V347" i="9" s="1"/>
  <c r="W347" i="9" s="1"/>
  <c r="S346" i="9"/>
  <c r="T346" i="9" s="1"/>
  <c r="U346" i="9" s="1"/>
  <c r="V346" i="9" s="1"/>
  <c r="W346" i="9" s="1"/>
  <c r="S345" i="9"/>
  <c r="T345" i="9" s="1"/>
  <c r="U345" i="9" s="1"/>
  <c r="V345" i="9" s="1"/>
  <c r="W345" i="9" s="1"/>
  <c r="S344" i="9"/>
  <c r="T344" i="9" s="1"/>
  <c r="U344" i="9" s="1"/>
  <c r="V344" i="9" s="1"/>
  <c r="W344" i="9" s="1"/>
  <c r="S364" i="9"/>
  <c r="T364" i="9" s="1"/>
  <c r="U364" i="9" s="1"/>
  <c r="V364" i="9" s="1"/>
  <c r="W364" i="9" s="1"/>
  <c r="S366" i="9"/>
  <c r="T366" i="9" s="1"/>
  <c r="U366" i="9" s="1"/>
  <c r="V366" i="9" s="1"/>
  <c r="W366" i="9" s="1"/>
  <c r="S393" i="9"/>
  <c r="T393" i="9" s="1"/>
  <c r="U393" i="9" s="1"/>
  <c r="V393" i="9" s="1"/>
  <c r="W393" i="9" s="1"/>
  <c r="S409" i="9"/>
  <c r="T409" i="9" s="1"/>
  <c r="U409" i="9" s="1"/>
  <c r="V409" i="9" s="1"/>
  <c r="W409" i="9" s="1"/>
  <c r="S403" i="9"/>
  <c r="T403" i="9" s="1"/>
  <c r="U403" i="9" s="1"/>
  <c r="V403" i="9" s="1"/>
  <c r="W403" i="9" s="1"/>
  <c r="N30" i="10"/>
  <c r="O263" i="9"/>
  <c r="X99" i="12"/>
  <c r="X100" i="12"/>
  <c r="X101" i="12"/>
  <c r="AE101" i="12" s="1"/>
  <c r="X102" i="12"/>
  <c r="AA102" i="12" s="1"/>
  <c r="X103" i="12"/>
  <c r="AC102" i="12"/>
  <c r="M104" i="16"/>
  <c r="M104" i="19" s="1"/>
  <c r="M104" i="26" s="1"/>
  <c r="M103" i="16"/>
  <c r="M103" i="19" s="1"/>
  <c r="M103" i="26" s="1"/>
  <c r="M102" i="16"/>
  <c r="M102" i="19" s="1"/>
  <c r="M102" i="26" s="1"/>
  <c r="M101" i="16"/>
  <c r="M101" i="19" s="1"/>
  <c r="M101" i="26" s="1"/>
  <c r="M100" i="16"/>
  <c r="M100" i="19" s="1"/>
  <c r="M100" i="26" s="1"/>
  <c r="M99" i="16"/>
  <c r="M99" i="19" s="1"/>
  <c r="M99" i="26" s="1"/>
  <c r="M98" i="16"/>
  <c r="M98" i="19" s="1"/>
  <c r="M98" i="26" s="1"/>
  <c r="M97" i="16"/>
  <c r="M97" i="19" s="1"/>
  <c r="M97" i="26" s="1"/>
  <c r="M96" i="16"/>
  <c r="M96" i="19" s="1"/>
  <c r="M96" i="26" s="1"/>
  <c r="M95" i="16"/>
  <c r="M95" i="19" s="1"/>
  <c r="M95" i="26" s="1"/>
  <c r="M94" i="16"/>
  <c r="M94" i="19" s="1"/>
  <c r="M94" i="26" s="1"/>
  <c r="M93" i="16"/>
  <c r="M93" i="19" s="1"/>
  <c r="M93" i="26" s="1"/>
  <c r="M92" i="16"/>
  <c r="M92" i="19" s="1"/>
  <c r="M92" i="26" s="1"/>
  <c r="M91" i="16"/>
  <c r="M91" i="19" s="1"/>
  <c r="M91" i="26" s="1"/>
  <c r="M90" i="16"/>
  <c r="M90" i="19" s="1"/>
  <c r="M90" i="26" s="1"/>
  <c r="M89" i="16"/>
  <c r="M89" i="19" s="1"/>
  <c r="M89" i="26" s="1"/>
  <c r="M88" i="16"/>
  <c r="M88" i="19" s="1"/>
  <c r="M88" i="26" s="1"/>
  <c r="M87" i="16"/>
  <c r="M87" i="19" s="1"/>
  <c r="M87" i="26" s="1"/>
  <c r="M86" i="16"/>
  <c r="M86" i="19" s="1"/>
  <c r="M86" i="26" s="1"/>
  <c r="M85" i="16"/>
  <c r="M85" i="19" s="1"/>
  <c r="M85" i="26" s="1"/>
  <c r="M84" i="16"/>
  <c r="M84" i="19" s="1"/>
  <c r="M84" i="26" s="1"/>
  <c r="M83" i="16"/>
  <c r="M83" i="19" s="1"/>
  <c r="M83" i="26" s="1"/>
  <c r="M82" i="16"/>
  <c r="M82" i="19" s="1"/>
  <c r="M82" i="26" s="1"/>
  <c r="M81" i="16"/>
  <c r="M81" i="19" s="1"/>
  <c r="M81" i="26" s="1"/>
  <c r="M80" i="16"/>
  <c r="M80" i="19" s="1"/>
  <c r="M79" i="16"/>
  <c r="M79" i="19" s="1"/>
  <c r="M79" i="26" s="1"/>
  <c r="M78" i="16"/>
  <c r="M78" i="19" s="1"/>
  <c r="M78" i="26" s="1"/>
  <c r="M77" i="16"/>
  <c r="M77" i="19" s="1"/>
  <c r="M77" i="26" s="1"/>
  <c r="M76" i="16"/>
  <c r="M76" i="19" s="1"/>
  <c r="M76" i="26" s="1"/>
  <c r="M75" i="16"/>
  <c r="M75" i="19" s="1"/>
  <c r="M75" i="26" s="1"/>
  <c r="M74" i="16"/>
  <c r="M74" i="19" s="1"/>
  <c r="M74" i="26" s="1"/>
  <c r="M73" i="16"/>
  <c r="M73" i="19" s="1"/>
  <c r="M73" i="26" s="1"/>
  <c r="M72" i="16"/>
  <c r="M72" i="19" s="1"/>
  <c r="M72" i="26" s="1"/>
  <c r="M71" i="16"/>
  <c r="M71" i="19" s="1"/>
  <c r="M71" i="26" s="1"/>
  <c r="M70" i="16"/>
  <c r="M70" i="19" s="1"/>
  <c r="M70" i="26" s="1"/>
  <c r="M69" i="16"/>
  <c r="M69" i="19" s="1"/>
  <c r="M69" i="26" s="1"/>
  <c r="M68" i="16"/>
  <c r="M68" i="19" s="1"/>
  <c r="M68" i="26" s="1"/>
  <c r="M67" i="16"/>
  <c r="M67" i="19" s="1"/>
  <c r="M67" i="26" s="1"/>
  <c r="M66" i="16"/>
  <c r="M66" i="19" s="1"/>
  <c r="M66" i="26" s="1"/>
  <c r="M65" i="16"/>
  <c r="M65" i="19" s="1"/>
  <c r="M65" i="26" s="1"/>
  <c r="M64" i="16"/>
  <c r="M64" i="19" s="1"/>
  <c r="M64" i="26" s="1"/>
  <c r="M63" i="16"/>
  <c r="M63" i="19" s="1"/>
  <c r="M63" i="26" s="1"/>
  <c r="M62" i="16"/>
  <c r="M62" i="19" s="1"/>
  <c r="M62" i="26" s="1"/>
  <c r="M61" i="16"/>
  <c r="M61" i="19" s="1"/>
  <c r="M61" i="26" s="1"/>
  <c r="M60" i="16"/>
  <c r="M60" i="19" s="1"/>
  <c r="M60" i="26" s="1"/>
  <c r="M59" i="16"/>
  <c r="M59" i="19" s="1"/>
  <c r="M59" i="26" s="1"/>
  <c r="M58" i="16"/>
  <c r="M58" i="19" s="1"/>
  <c r="M58" i="26" s="1"/>
  <c r="M57" i="16"/>
  <c r="M57" i="19" s="1"/>
  <c r="M57" i="26" s="1"/>
  <c r="M56" i="16"/>
  <c r="M56" i="19" s="1"/>
  <c r="M56" i="26" s="1"/>
  <c r="M55" i="16"/>
  <c r="M55" i="19" s="1"/>
  <c r="M55" i="26" s="1"/>
  <c r="M54" i="16"/>
  <c r="M54" i="19" s="1"/>
  <c r="M54" i="26" s="1"/>
  <c r="M53" i="16"/>
  <c r="M53" i="19" s="1"/>
  <c r="M53" i="26" s="1"/>
  <c r="M52" i="16"/>
  <c r="M52" i="19" s="1"/>
  <c r="M52" i="26" s="1"/>
  <c r="M51" i="16"/>
  <c r="M51" i="19" s="1"/>
  <c r="M51" i="26" s="1"/>
  <c r="M50" i="16"/>
  <c r="M50" i="19" s="1"/>
  <c r="M50" i="26" s="1"/>
  <c r="M49" i="16"/>
  <c r="M49" i="19" s="1"/>
  <c r="M49" i="26" s="1"/>
  <c r="M48" i="16"/>
  <c r="M48" i="19" s="1"/>
  <c r="M48" i="26" s="1"/>
  <c r="M47" i="16"/>
  <c r="M47" i="19" s="1"/>
  <c r="M47" i="26" s="1"/>
  <c r="M46" i="16"/>
  <c r="M46" i="19" s="1"/>
  <c r="M46" i="26" s="1"/>
  <c r="M45" i="16"/>
  <c r="M45" i="19" s="1"/>
  <c r="M45" i="26" s="1"/>
  <c r="M44" i="16"/>
  <c r="M44" i="19" s="1"/>
  <c r="M44" i="26" s="1"/>
  <c r="M43" i="16"/>
  <c r="M43" i="19" s="1"/>
  <c r="M43" i="26" s="1"/>
  <c r="M42" i="16"/>
  <c r="M42" i="19" s="1"/>
  <c r="M42" i="26" s="1"/>
  <c r="M41" i="16"/>
  <c r="M41" i="19" s="1"/>
  <c r="M41" i="26" s="1"/>
  <c r="M40" i="16"/>
  <c r="M40" i="19" s="1"/>
  <c r="M40" i="26" s="1"/>
  <c r="M39" i="16"/>
  <c r="M39" i="19" s="1"/>
  <c r="M39" i="26" s="1"/>
  <c r="M38" i="16"/>
  <c r="M38" i="19" s="1"/>
  <c r="M38" i="26" s="1"/>
  <c r="M37" i="16"/>
  <c r="M37" i="19" s="1"/>
  <c r="M37" i="26" s="1"/>
  <c r="M36" i="16"/>
  <c r="M36" i="19" s="1"/>
  <c r="M36" i="26" s="1"/>
  <c r="M35" i="16"/>
  <c r="M35" i="19" s="1"/>
  <c r="M35" i="26" s="1"/>
  <c r="M34" i="16"/>
  <c r="M34" i="19" s="1"/>
  <c r="M34" i="26" s="1"/>
  <c r="M33" i="16"/>
  <c r="M33" i="19" s="1"/>
  <c r="M33" i="26" s="1"/>
  <c r="M32" i="16"/>
  <c r="M32" i="19" s="1"/>
  <c r="M32" i="26" s="1"/>
  <c r="M31" i="16"/>
  <c r="M31" i="19" s="1"/>
  <c r="M30" i="16"/>
  <c r="M30" i="19" s="1"/>
  <c r="M30" i="26" s="1"/>
  <c r="M29" i="16"/>
  <c r="M29" i="19" s="1"/>
  <c r="M29" i="26" s="1"/>
  <c r="M28" i="16"/>
  <c r="M28" i="19" s="1"/>
  <c r="M28" i="26" s="1"/>
  <c r="M27" i="16"/>
  <c r="M27" i="19" s="1"/>
  <c r="M27" i="26" s="1"/>
  <c r="M26" i="16"/>
  <c r="M26" i="19" s="1"/>
  <c r="M26" i="26" s="1"/>
  <c r="M25" i="16"/>
  <c r="M25" i="19" s="1"/>
  <c r="M25" i="26" s="1"/>
  <c r="M24" i="16"/>
  <c r="M24" i="19" s="1"/>
  <c r="M24" i="26" s="1"/>
  <c r="M23" i="16"/>
  <c r="M23" i="19" s="1"/>
  <c r="M23" i="26" s="1"/>
  <c r="M22" i="16"/>
  <c r="M22" i="19" s="1"/>
  <c r="M22" i="26" s="1"/>
  <c r="M21" i="16"/>
  <c r="M21" i="19" s="1"/>
  <c r="M21" i="26" s="1"/>
  <c r="M20" i="16"/>
  <c r="M20" i="19" s="1"/>
  <c r="M20" i="26" s="1"/>
  <c r="M19" i="16"/>
  <c r="M19" i="19" s="1"/>
  <c r="M19" i="26" s="1"/>
  <c r="M18" i="16"/>
  <c r="M18" i="19" s="1"/>
  <c r="M18" i="26" s="1"/>
  <c r="M17" i="16"/>
  <c r="M17" i="19" s="1"/>
  <c r="M17" i="26" s="1"/>
  <c r="M16" i="16"/>
  <c r="M16" i="19" s="1"/>
  <c r="M16" i="26" s="1"/>
  <c r="M15" i="16"/>
  <c r="M15" i="19" s="1"/>
  <c r="M15" i="26" s="1"/>
  <c r="M14" i="16"/>
  <c r="M14" i="19" s="1"/>
  <c r="M14" i="26" s="1"/>
  <c r="M13" i="16"/>
  <c r="M13" i="19" s="1"/>
  <c r="M13" i="26" s="1"/>
  <c r="M12" i="16"/>
  <c r="M12" i="19" s="1"/>
  <c r="M12" i="26" s="1"/>
  <c r="M11" i="16"/>
  <c r="M11" i="19" s="1"/>
  <c r="M11" i="26" s="1"/>
  <c r="M10" i="16"/>
  <c r="M10" i="19" s="1"/>
  <c r="M10" i="26" s="1"/>
  <c r="M9" i="16"/>
  <c r="M9" i="19" s="1"/>
  <c r="M9" i="26" s="1"/>
  <c r="M8" i="16"/>
  <c r="M8" i="19" s="1"/>
  <c r="M8" i="26" s="1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I115" i="14"/>
  <c r="I115" i="15" s="1"/>
  <c r="I122" i="14"/>
  <c r="I122" i="15" s="1"/>
  <c r="I119" i="14"/>
  <c r="I119" i="15" s="1"/>
  <c r="I114" i="14"/>
  <c r="I114" i="15" s="1"/>
  <c r="I118" i="14"/>
  <c r="I118" i="15" s="1"/>
  <c r="I118" i="16" s="1"/>
  <c r="I117" i="14"/>
  <c r="I117" i="15" s="1"/>
  <c r="I117" i="16" s="1"/>
  <c r="I113" i="14"/>
  <c r="I113" i="15" s="1"/>
  <c r="I112" i="14"/>
  <c r="I112" i="15" s="1"/>
  <c r="I106" i="14"/>
  <c r="I106" i="15" s="1"/>
  <c r="U71" i="14"/>
  <c r="V71" i="14" s="1"/>
  <c r="S71" i="14"/>
  <c r="R71" i="14"/>
  <c r="T71" i="14" s="1"/>
  <c r="Q71" i="14"/>
  <c r="P71" i="14"/>
  <c r="O71" i="14"/>
  <c r="N71" i="14"/>
  <c r="L71" i="14"/>
  <c r="K71" i="14"/>
  <c r="J71" i="14"/>
  <c r="I71" i="14"/>
  <c r="G71" i="14"/>
  <c r="F71" i="14"/>
  <c r="E71" i="14"/>
  <c r="C71" i="14"/>
  <c r="B71" i="14"/>
  <c r="A71" i="14"/>
  <c r="W71" i="13"/>
  <c r="T71" i="13"/>
  <c r="W7" i="13"/>
  <c r="W8" i="13"/>
  <c r="W10" i="13"/>
  <c r="V11" i="13"/>
  <c r="W11" i="13"/>
  <c r="X11" i="13"/>
  <c r="AA11" i="13" s="1"/>
  <c r="W12" i="13"/>
  <c r="W13" i="13"/>
  <c r="X13" i="13"/>
  <c r="AA13" i="13" s="1"/>
  <c r="AD13" i="13" s="1"/>
  <c r="W15" i="13"/>
  <c r="W16" i="13"/>
  <c r="W18" i="13"/>
  <c r="W19" i="13"/>
  <c r="W20" i="13"/>
  <c r="W21" i="13"/>
  <c r="X21" i="13"/>
  <c r="AA21" i="13" s="1"/>
  <c r="W22" i="13"/>
  <c r="W23" i="13"/>
  <c r="W24" i="13"/>
  <c r="W25" i="13"/>
  <c r="V26" i="13"/>
  <c r="W26" i="13"/>
  <c r="X26" i="13"/>
  <c r="AE26" i="13" s="1"/>
  <c r="V28" i="13"/>
  <c r="W28" i="13"/>
  <c r="X28" i="13"/>
  <c r="W29" i="13"/>
  <c r="V32" i="13"/>
  <c r="W32" i="13"/>
  <c r="X32" i="13"/>
  <c r="V35" i="13"/>
  <c r="W35" i="13"/>
  <c r="X35" i="13"/>
  <c r="AA35" i="13" s="1"/>
  <c r="AM35" i="13" s="1"/>
  <c r="W37" i="13"/>
  <c r="X37" i="13"/>
  <c r="AE37" i="13" s="1"/>
  <c r="W38" i="13"/>
  <c r="V41" i="13"/>
  <c r="W41" i="13"/>
  <c r="X41" i="13"/>
  <c r="AA41" i="13" s="1"/>
  <c r="W42" i="13"/>
  <c r="V43" i="13"/>
  <c r="W43" i="13"/>
  <c r="X43" i="13"/>
  <c r="AA43" i="13" s="1"/>
  <c r="AH43" i="13" s="1"/>
  <c r="V45" i="13"/>
  <c r="W45" i="13"/>
  <c r="X45" i="13"/>
  <c r="AE45" i="13" s="1"/>
  <c r="W46" i="13"/>
  <c r="W47" i="13"/>
  <c r="V48" i="13"/>
  <c r="W48" i="13"/>
  <c r="X48" i="13"/>
  <c r="AA48" i="13" s="1"/>
  <c r="AM48" i="13" s="1"/>
  <c r="W50" i="13"/>
  <c r="V56" i="13"/>
  <c r="W56" i="13"/>
  <c r="X56" i="13"/>
  <c r="AA56" i="13" s="1"/>
  <c r="AH56" i="13" s="1"/>
  <c r="W58" i="13"/>
  <c r="W59" i="13"/>
  <c r="W70" i="13"/>
  <c r="W65" i="13"/>
  <c r="W61" i="13"/>
  <c r="W66" i="13"/>
  <c r="W69" i="13"/>
  <c r="V72" i="13"/>
  <c r="W72" i="13"/>
  <c r="X72" i="13"/>
  <c r="AA72" i="13" s="1"/>
  <c r="W73" i="13"/>
  <c r="X73" i="13"/>
  <c r="AE73" i="13" s="1"/>
  <c r="AE46" i="29" s="1"/>
  <c r="W75" i="13"/>
  <c r="W76" i="13"/>
  <c r="W77" i="13"/>
  <c r="W78" i="13"/>
  <c r="X78" i="13"/>
  <c r="AE78" i="13" s="1"/>
  <c r="W79" i="13"/>
  <c r="X79" i="13"/>
  <c r="V80" i="13"/>
  <c r="W80" i="13"/>
  <c r="X80" i="13"/>
  <c r="AE80" i="13" s="1"/>
  <c r="W81" i="13"/>
  <c r="W82" i="13"/>
  <c r="W83" i="13"/>
  <c r="X83" i="13"/>
  <c r="AE83" i="13" s="1"/>
  <c r="W84" i="13"/>
  <c r="W85" i="13"/>
  <c r="W86" i="13"/>
  <c r="W87" i="13"/>
  <c r="W88" i="13"/>
  <c r="W89" i="13"/>
  <c r="W90" i="13"/>
  <c r="W91" i="13"/>
  <c r="W92" i="13"/>
  <c r="X92" i="13"/>
  <c r="AE92" i="13" s="1"/>
  <c r="W93" i="13"/>
  <c r="W94" i="13"/>
  <c r="W95" i="13"/>
  <c r="W62" i="13"/>
  <c r="X62" i="13"/>
  <c r="AA62" i="13" s="1"/>
  <c r="W96" i="13"/>
  <c r="X96" i="13"/>
  <c r="AA96" i="13" s="1"/>
  <c r="W97" i="13"/>
  <c r="X97" i="13"/>
  <c r="W98" i="13"/>
  <c r="X98" i="13"/>
  <c r="AA98" i="13" s="1"/>
  <c r="AD98" i="13" s="1"/>
  <c r="W99" i="13"/>
  <c r="X99" i="13"/>
  <c r="AA99" i="13" s="1"/>
  <c r="W100" i="13"/>
  <c r="X100" i="13"/>
  <c r="W101" i="13"/>
  <c r="X101" i="13"/>
  <c r="AE101" i="13" s="1"/>
  <c r="W102" i="13"/>
  <c r="X102" i="13"/>
  <c r="AA102" i="13" s="1"/>
  <c r="AH102" i="13" s="1"/>
  <c r="W103" i="13"/>
  <c r="X103" i="13"/>
  <c r="AE103" i="13" s="1"/>
  <c r="W104" i="13"/>
  <c r="X104" i="13"/>
  <c r="AA104" i="13" s="1"/>
  <c r="AD104" i="13" s="1"/>
  <c r="W105" i="13"/>
  <c r="X105" i="13"/>
  <c r="AE105" i="13" s="1"/>
  <c r="W106" i="13"/>
  <c r="X106" i="13"/>
  <c r="U121" i="13"/>
  <c r="V121" i="13" s="1"/>
  <c r="W121" i="13"/>
  <c r="X121" i="13"/>
  <c r="AA121" i="13" s="1"/>
  <c r="U107" i="13"/>
  <c r="W107" i="13"/>
  <c r="X107" i="13"/>
  <c r="AA107" i="13" s="1"/>
  <c r="W109" i="13"/>
  <c r="X109" i="13"/>
  <c r="W124" i="13"/>
  <c r="X124" i="13"/>
  <c r="AA124" i="13" s="1"/>
  <c r="W108" i="13"/>
  <c r="X108" i="13"/>
  <c r="AE108" i="13" s="1"/>
  <c r="W116" i="13"/>
  <c r="X116" i="13"/>
  <c r="W110" i="13"/>
  <c r="X110" i="13"/>
  <c r="AE110" i="13" s="1"/>
  <c r="U125" i="13"/>
  <c r="U125" i="14" s="1"/>
  <c r="V125" i="13"/>
  <c r="W125" i="13"/>
  <c r="X125" i="13"/>
  <c r="W112" i="13"/>
  <c r="X112" i="13"/>
  <c r="AA112" i="13" s="1"/>
  <c r="AD112" i="13" s="1"/>
  <c r="W113" i="13"/>
  <c r="X113" i="13"/>
  <c r="W126" i="13"/>
  <c r="X126" i="13"/>
  <c r="AA126" i="13" s="1"/>
  <c r="W114" i="13"/>
  <c r="X114" i="13"/>
  <c r="AE114" i="13" s="1"/>
  <c r="U111" i="13"/>
  <c r="U124" i="13"/>
  <c r="U133" i="13" s="1"/>
  <c r="W111" i="13"/>
  <c r="X111" i="13"/>
  <c r="AA111" i="13" s="1"/>
  <c r="AI111" i="13" s="1"/>
  <c r="W115" i="13"/>
  <c r="X115" i="13"/>
  <c r="AA115" i="13" s="1"/>
  <c r="U127" i="13"/>
  <c r="W127" i="13"/>
  <c r="X127" i="13"/>
  <c r="AA127" i="13" s="1"/>
  <c r="AD127" i="13" s="1"/>
  <c r="W117" i="13"/>
  <c r="X117" i="13"/>
  <c r="W118" i="13"/>
  <c r="X118" i="13"/>
  <c r="AA118" i="13" s="1"/>
  <c r="AM118" i="13" s="1"/>
  <c r="W128" i="13"/>
  <c r="X128" i="13"/>
  <c r="W119" i="13"/>
  <c r="X119" i="13"/>
  <c r="U123" i="13"/>
  <c r="W123" i="13"/>
  <c r="X123" i="13"/>
  <c r="AA123" i="13" s="1"/>
  <c r="AI123" i="13" s="1"/>
  <c r="W120" i="13"/>
  <c r="X120" i="13"/>
  <c r="AA120" i="13" s="1"/>
  <c r="U129" i="13"/>
  <c r="W129" i="13"/>
  <c r="X129" i="13"/>
  <c r="W122" i="13"/>
  <c r="X122" i="13"/>
  <c r="AA122" i="13" s="1"/>
  <c r="U130" i="13"/>
  <c r="U23" i="14"/>
  <c r="U23" i="15" s="1"/>
  <c r="U23" i="16" s="1"/>
  <c r="U23" i="19" s="1"/>
  <c r="U23" i="26" s="1"/>
  <c r="V23" i="26" s="1"/>
  <c r="U20" i="14"/>
  <c r="U20" i="15" s="1"/>
  <c r="U20" i="16" s="1"/>
  <c r="U12" i="14"/>
  <c r="U12" i="15" s="1"/>
  <c r="V12" i="15" s="1"/>
  <c r="X110" i="12"/>
  <c r="AA110" i="12"/>
  <c r="AI110" i="12" s="1"/>
  <c r="W110" i="12"/>
  <c r="X111" i="12"/>
  <c r="AA111" i="12"/>
  <c r="AI111" i="12" s="1"/>
  <c r="W111" i="12"/>
  <c r="X109" i="12"/>
  <c r="W109" i="12"/>
  <c r="AC98" i="12"/>
  <c r="X98" i="12"/>
  <c r="AE98" i="12" s="1"/>
  <c r="W98" i="12"/>
  <c r="V98" i="12"/>
  <c r="AC97" i="12"/>
  <c r="X97" i="12"/>
  <c r="W97" i="12"/>
  <c r="V97" i="12"/>
  <c r="AC96" i="12"/>
  <c r="X96" i="12"/>
  <c r="AE96" i="12" s="1"/>
  <c r="AA96" i="12"/>
  <c r="AI96" i="12" s="1"/>
  <c r="W96" i="12"/>
  <c r="V96" i="12"/>
  <c r="AC95" i="12"/>
  <c r="X95" i="12"/>
  <c r="W95" i="12"/>
  <c r="V95" i="12"/>
  <c r="S104" i="14"/>
  <c r="S104" i="15" s="1"/>
  <c r="R104" i="14"/>
  <c r="T104" i="14" s="1"/>
  <c r="Q104" i="14"/>
  <c r="Q104" i="15"/>
  <c r="Q104" i="16" s="1"/>
  <c r="Q104" i="19" s="1"/>
  <c r="Q104" i="26" s="1"/>
  <c r="P104" i="14"/>
  <c r="P104" i="15" s="1"/>
  <c r="O104" i="14"/>
  <c r="O104" i="15" s="1"/>
  <c r="O104" i="16" s="1"/>
  <c r="O104" i="19" s="1"/>
  <c r="O104" i="26" s="1"/>
  <c r="N104" i="14"/>
  <c r="N104" i="15" s="1"/>
  <c r="L104" i="14"/>
  <c r="L104" i="15" s="1"/>
  <c r="L104" i="16" s="1"/>
  <c r="L104" i="19" s="1"/>
  <c r="L104" i="26" s="1"/>
  <c r="K104" i="14"/>
  <c r="K104" i="15" s="1"/>
  <c r="J104" i="14"/>
  <c r="J104" i="15" s="1"/>
  <c r="J104" i="16" s="1"/>
  <c r="J104" i="19" s="1"/>
  <c r="J104" i="26" s="1"/>
  <c r="I104" i="14"/>
  <c r="I104" i="15" s="1"/>
  <c r="G104" i="14"/>
  <c r="G104" i="15" s="1"/>
  <c r="G104" i="16" s="1"/>
  <c r="G104" i="19" s="1"/>
  <c r="G104" i="26" s="1"/>
  <c r="F104" i="14"/>
  <c r="F104" i="15" s="1"/>
  <c r="E104" i="14"/>
  <c r="E104" i="15" s="1"/>
  <c r="E104" i="16" s="1"/>
  <c r="E104" i="19" s="1"/>
  <c r="E104" i="26" s="1"/>
  <c r="C104" i="14"/>
  <c r="C104" i="15" s="1"/>
  <c r="B104" i="14"/>
  <c r="B104" i="15" s="1"/>
  <c r="B104" i="16" s="1"/>
  <c r="B104" i="19" s="1"/>
  <c r="B104" i="26" s="1"/>
  <c r="A104" i="14"/>
  <c r="A104" i="15" s="1"/>
  <c r="S103" i="14"/>
  <c r="S103" i="15" s="1"/>
  <c r="S103" i="16" s="1"/>
  <c r="S103" i="19" s="1"/>
  <c r="S103" i="26" s="1"/>
  <c r="R103" i="14"/>
  <c r="R103" i="15" s="1"/>
  <c r="Q103" i="14"/>
  <c r="Q103" i="15" s="1"/>
  <c r="P103" i="14"/>
  <c r="W103" i="14" s="1"/>
  <c r="O103" i="14"/>
  <c r="O103" i="15" s="1"/>
  <c r="O103" i="16" s="1"/>
  <c r="O103" i="19" s="1"/>
  <c r="O103" i="26" s="1"/>
  <c r="N103" i="14"/>
  <c r="N103" i="15" s="1"/>
  <c r="L103" i="14"/>
  <c r="L103" i="15" s="1"/>
  <c r="L103" i="16" s="1"/>
  <c r="L103" i="19" s="1"/>
  <c r="L103" i="26" s="1"/>
  <c r="K103" i="14"/>
  <c r="K103" i="15" s="1"/>
  <c r="J103" i="14"/>
  <c r="J103" i="15" s="1"/>
  <c r="J103" i="16" s="1"/>
  <c r="J103" i="19" s="1"/>
  <c r="J103" i="26" s="1"/>
  <c r="I103" i="14"/>
  <c r="I103" i="15" s="1"/>
  <c r="I103" i="16" s="1"/>
  <c r="I103" i="19" s="1"/>
  <c r="I103" i="26" s="1"/>
  <c r="G103" i="14"/>
  <c r="G103" i="15" s="1"/>
  <c r="G103" i="16" s="1"/>
  <c r="G103" i="19" s="1"/>
  <c r="G103" i="26" s="1"/>
  <c r="F103" i="14"/>
  <c r="F103" i="15" s="1"/>
  <c r="E103" i="14"/>
  <c r="E103" i="15" s="1"/>
  <c r="E103" i="16" s="1"/>
  <c r="E103" i="19" s="1"/>
  <c r="E103" i="26" s="1"/>
  <c r="C103" i="14"/>
  <c r="C103" i="15" s="1"/>
  <c r="C103" i="16" s="1"/>
  <c r="C103" i="19" s="1"/>
  <c r="C103" i="26" s="1"/>
  <c r="B103" i="14"/>
  <c r="B103" i="15" s="1"/>
  <c r="A103" i="14"/>
  <c r="A103" i="15" s="1"/>
  <c r="A103" i="16" s="1"/>
  <c r="A103" i="19" s="1"/>
  <c r="A103" i="26" s="1"/>
  <c r="S102" i="14"/>
  <c r="S102" i="15" s="1"/>
  <c r="R102" i="14"/>
  <c r="R102" i="15" s="1"/>
  <c r="T102" i="15" s="1"/>
  <c r="Q102" i="14"/>
  <c r="Q102" i="15" s="1"/>
  <c r="Q102" i="16" s="1"/>
  <c r="Q102" i="19" s="1"/>
  <c r="Q102" i="26" s="1"/>
  <c r="P102" i="14"/>
  <c r="P102" i="15" s="1"/>
  <c r="W102" i="15" s="1"/>
  <c r="O102" i="14"/>
  <c r="O102" i="15" s="1"/>
  <c r="O102" i="16" s="1"/>
  <c r="O102" i="19" s="1"/>
  <c r="O102" i="26" s="1"/>
  <c r="N102" i="14"/>
  <c r="N102" i="15" s="1"/>
  <c r="L102" i="14"/>
  <c r="L102" i="15" s="1"/>
  <c r="L102" i="16" s="1"/>
  <c r="L102" i="19" s="1"/>
  <c r="L102" i="26" s="1"/>
  <c r="K102" i="14"/>
  <c r="K102" i="15" s="1"/>
  <c r="J102" i="14"/>
  <c r="J102" i="15" s="1"/>
  <c r="J102" i="16" s="1"/>
  <c r="J102" i="19" s="1"/>
  <c r="J102" i="26" s="1"/>
  <c r="I102" i="14"/>
  <c r="I102" i="15" s="1"/>
  <c r="I102" i="16" s="1"/>
  <c r="I102" i="19" s="1"/>
  <c r="I102" i="26" s="1"/>
  <c r="G102" i="14"/>
  <c r="G102" i="15" s="1"/>
  <c r="F102" i="14"/>
  <c r="F102" i="15" s="1"/>
  <c r="F102" i="16" s="1"/>
  <c r="F102" i="19" s="1"/>
  <c r="F102" i="26" s="1"/>
  <c r="E102" i="14"/>
  <c r="E102" i="15" s="1"/>
  <c r="C102" i="14"/>
  <c r="C102" i="15" s="1"/>
  <c r="C102" i="16" s="1"/>
  <c r="C102" i="19" s="1"/>
  <c r="C102" i="26" s="1"/>
  <c r="B102" i="14"/>
  <c r="B102" i="15" s="1"/>
  <c r="A102" i="14"/>
  <c r="A102" i="15" s="1"/>
  <c r="A102" i="16" s="1"/>
  <c r="A102" i="19" s="1"/>
  <c r="A102" i="26" s="1"/>
  <c r="S101" i="14"/>
  <c r="S101" i="15" s="1"/>
  <c r="R101" i="14"/>
  <c r="R101" i="15" s="1"/>
  <c r="R101" i="16" s="1"/>
  <c r="Q101" i="14"/>
  <c r="Q101" i="15" s="1"/>
  <c r="Q101" i="16" s="1"/>
  <c r="Q101" i="19" s="1"/>
  <c r="Q101" i="26" s="1"/>
  <c r="P101" i="14"/>
  <c r="P101" i="15" s="1"/>
  <c r="O101" i="14"/>
  <c r="O101" i="15" s="1"/>
  <c r="O101" i="16" s="1"/>
  <c r="O101" i="19" s="1"/>
  <c r="O101" i="26" s="1"/>
  <c r="N101" i="14"/>
  <c r="N101" i="15" s="1"/>
  <c r="L101" i="14"/>
  <c r="L101" i="15" s="1"/>
  <c r="L101" i="16" s="1"/>
  <c r="L101" i="19" s="1"/>
  <c r="L101" i="26" s="1"/>
  <c r="K101" i="14"/>
  <c r="K101" i="15" s="1"/>
  <c r="J101" i="14"/>
  <c r="J101" i="15" s="1"/>
  <c r="J101" i="16" s="1"/>
  <c r="J101" i="19" s="1"/>
  <c r="J101" i="26" s="1"/>
  <c r="I101" i="14"/>
  <c r="I101" i="15" s="1"/>
  <c r="G101" i="14"/>
  <c r="G101" i="15" s="1"/>
  <c r="G101" i="16" s="1"/>
  <c r="G101" i="19" s="1"/>
  <c r="G101" i="26" s="1"/>
  <c r="F101" i="14"/>
  <c r="F101" i="15" s="1"/>
  <c r="E101" i="14"/>
  <c r="E101" i="15" s="1"/>
  <c r="E101" i="16" s="1"/>
  <c r="E101" i="19" s="1"/>
  <c r="E101" i="26" s="1"/>
  <c r="C101" i="14"/>
  <c r="C101" i="15" s="1"/>
  <c r="B101" i="14"/>
  <c r="B101" i="15" s="1"/>
  <c r="B101" i="16" s="1"/>
  <c r="B101" i="19" s="1"/>
  <c r="B101" i="26" s="1"/>
  <c r="A101" i="14"/>
  <c r="A101" i="15" s="1"/>
  <c r="S100" i="14"/>
  <c r="S100" i="15" s="1"/>
  <c r="S100" i="16" s="1"/>
  <c r="S100" i="19" s="1"/>
  <c r="S100" i="26" s="1"/>
  <c r="R100" i="14"/>
  <c r="R100" i="15" s="1"/>
  <c r="Q100" i="14"/>
  <c r="Q100" i="15" s="1"/>
  <c r="Q100" i="16" s="1"/>
  <c r="Q100" i="19" s="1"/>
  <c r="Q100" i="26" s="1"/>
  <c r="P100" i="14"/>
  <c r="W100" i="14" s="1"/>
  <c r="O100" i="14"/>
  <c r="O100" i="15" s="1"/>
  <c r="O100" i="16" s="1"/>
  <c r="O100" i="19" s="1"/>
  <c r="O100" i="26" s="1"/>
  <c r="N100" i="14"/>
  <c r="N100" i="15" s="1"/>
  <c r="L100" i="14"/>
  <c r="L100" i="15" s="1"/>
  <c r="L100" i="16" s="1"/>
  <c r="L100" i="19" s="1"/>
  <c r="L100" i="26" s="1"/>
  <c r="K100" i="14"/>
  <c r="K100" i="15" s="1"/>
  <c r="J100" i="14"/>
  <c r="J100" i="15" s="1"/>
  <c r="J100" i="16" s="1"/>
  <c r="J100" i="19" s="1"/>
  <c r="J100" i="26" s="1"/>
  <c r="I100" i="14"/>
  <c r="I100" i="15" s="1"/>
  <c r="G100" i="14"/>
  <c r="G100" i="15" s="1"/>
  <c r="G100" i="16" s="1"/>
  <c r="G100" i="19" s="1"/>
  <c r="G100" i="26" s="1"/>
  <c r="F100" i="14"/>
  <c r="F100" i="15" s="1"/>
  <c r="E100" i="14"/>
  <c r="E100" i="15" s="1"/>
  <c r="E100" i="16" s="1"/>
  <c r="E100" i="19" s="1"/>
  <c r="E100" i="26" s="1"/>
  <c r="C100" i="14"/>
  <c r="C100" i="15" s="1"/>
  <c r="B100" i="14"/>
  <c r="B100" i="15" s="1"/>
  <c r="B100" i="16" s="1"/>
  <c r="B100" i="19" s="1"/>
  <c r="B100" i="26" s="1"/>
  <c r="A100" i="14"/>
  <c r="A100" i="15" s="1"/>
  <c r="AC104" i="13"/>
  <c r="U104" i="14"/>
  <c r="U104" i="15" s="1"/>
  <c r="U104" i="16" s="1"/>
  <c r="U104" i="19" s="1"/>
  <c r="U104" i="26" s="1"/>
  <c r="V104" i="26" s="1"/>
  <c r="T104" i="13"/>
  <c r="AC103" i="13"/>
  <c r="T103" i="13"/>
  <c r="AC102" i="13"/>
  <c r="T102" i="13"/>
  <c r="AC101" i="13"/>
  <c r="U101" i="14"/>
  <c r="U101" i="15" s="1"/>
  <c r="T101" i="13"/>
  <c r="AC100" i="13"/>
  <c r="U100" i="14"/>
  <c r="U100" i="15" s="1"/>
  <c r="U100" i="16" s="1"/>
  <c r="U100" i="19" s="1"/>
  <c r="U100" i="26" s="1"/>
  <c r="V100" i="26" s="1"/>
  <c r="T100" i="13"/>
  <c r="S98" i="14"/>
  <c r="S98" i="15" s="1"/>
  <c r="S98" i="16" s="1"/>
  <c r="S98" i="19" s="1"/>
  <c r="S98" i="26" s="1"/>
  <c r="R98" i="14"/>
  <c r="Q98" i="14"/>
  <c r="Q98" i="15" s="1"/>
  <c r="Q98" i="16" s="1"/>
  <c r="Q98" i="19" s="1"/>
  <c r="Q98" i="26" s="1"/>
  <c r="P98" i="14"/>
  <c r="W98" i="14" s="1"/>
  <c r="O98" i="14"/>
  <c r="O98" i="15" s="1"/>
  <c r="O98" i="16" s="1"/>
  <c r="O98" i="19" s="1"/>
  <c r="O98" i="26" s="1"/>
  <c r="N98" i="14"/>
  <c r="N98" i="15" s="1"/>
  <c r="L98" i="14"/>
  <c r="L98" i="15" s="1"/>
  <c r="L98" i="16" s="1"/>
  <c r="L98" i="19" s="1"/>
  <c r="L98" i="26" s="1"/>
  <c r="K98" i="14"/>
  <c r="K98" i="15" s="1"/>
  <c r="J98" i="14"/>
  <c r="J98" i="15" s="1"/>
  <c r="J98" i="16" s="1"/>
  <c r="J98" i="19" s="1"/>
  <c r="J98" i="26" s="1"/>
  <c r="I98" i="14"/>
  <c r="I98" i="15" s="1"/>
  <c r="G98" i="14"/>
  <c r="G98" i="15" s="1"/>
  <c r="G98" i="16" s="1"/>
  <c r="G98" i="19" s="1"/>
  <c r="G98" i="26" s="1"/>
  <c r="F98" i="14"/>
  <c r="F98" i="15" s="1"/>
  <c r="F98" i="16" s="1"/>
  <c r="F98" i="19" s="1"/>
  <c r="F98" i="26" s="1"/>
  <c r="E98" i="14"/>
  <c r="E98" i="15" s="1"/>
  <c r="E98" i="16" s="1"/>
  <c r="E98" i="19" s="1"/>
  <c r="E98" i="26" s="1"/>
  <c r="C98" i="14"/>
  <c r="C98" i="15" s="1"/>
  <c r="B98" i="14"/>
  <c r="B98" i="15" s="1"/>
  <c r="B98" i="16" s="1"/>
  <c r="B98" i="19" s="1"/>
  <c r="B98" i="26" s="1"/>
  <c r="A98" i="14"/>
  <c r="A98" i="15" s="1"/>
  <c r="S97" i="14"/>
  <c r="S97" i="15" s="1"/>
  <c r="S97" i="16" s="1"/>
  <c r="S97" i="19" s="1"/>
  <c r="S97" i="26" s="1"/>
  <c r="R97" i="14"/>
  <c r="Q97" i="14"/>
  <c r="Q97" i="15" s="1"/>
  <c r="Q97" i="16" s="1"/>
  <c r="Q97" i="19" s="1"/>
  <c r="Q97" i="26" s="1"/>
  <c r="P97" i="14"/>
  <c r="X97" i="14" s="1"/>
  <c r="AA97" i="14" s="1"/>
  <c r="AH97" i="14" s="1"/>
  <c r="O97" i="14"/>
  <c r="O97" i="15" s="1"/>
  <c r="O97" i="16" s="1"/>
  <c r="O97" i="19" s="1"/>
  <c r="O97" i="26" s="1"/>
  <c r="N97" i="14"/>
  <c r="N97" i="15" s="1"/>
  <c r="L97" i="14"/>
  <c r="L97" i="15" s="1"/>
  <c r="L97" i="16" s="1"/>
  <c r="L97" i="19" s="1"/>
  <c r="L97" i="26" s="1"/>
  <c r="K97" i="14"/>
  <c r="K97" i="15" s="1"/>
  <c r="J97" i="14"/>
  <c r="J97" i="15" s="1"/>
  <c r="J97" i="16" s="1"/>
  <c r="J97" i="19" s="1"/>
  <c r="J97" i="26" s="1"/>
  <c r="I97" i="14"/>
  <c r="I97" i="15" s="1"/>
  <c r="I97" i="16" s="1"/>
  <c r="I97" i="19" s="1"/>
  <c r="I97" i="26" s="1"/>
  <c r="G97" i="14"/>
  <c r="G97" i="15" s="1"/>
  <c r="G97" i="16" s="1"/>
  <c r="G97" i="19" s="1"/>
  <c r="G97" i="26" s="1"/>
  <c r="F97" i="14"/>
  <c r="F97" i="15" s="1"/>
  <c r="E97" i="14"/>
  <c r="E97" i="15" s="1"/>
  <c r="E97" i="16" s="1"/>
  <c r="E97" i="19" s="1"/>
  <c r="E97" i="26" s="1"/>
  <c r="C97" i="14"/>
  <c r="C97" i="15" s="1"/>
  <c r="B97" i="14"/>
  <c r="B97" i="15" s="1"/>
  <c r="B97" i="16" s="1"/>
  <c r="B97" i="19" s="1"/>
  <c r="B97" i="26" s="1"/>
  <c r="A97" i="14"/>
  <c r="A97" i="15" s="1"/>
  <c r="AC98" i="13"/>
  <c r="T98" i="13"/>
  <c r="AC97" i="13"/>
  <c r="U97" i="14"/>
  <c r="U97" i="15" s="1"/>
  <c r="U97" i="16" s="1"/>
  <c r="T97" i="13"/>
  <c r="L22" i="14"/>
  <c r="L22" i="15" s="1"/>
  <c r="T128" i="12"/>
  <c r="T127" i="12"/>
  <c r="W127" i="12"/>
  <c r="T126" i="12"/>
  <c r="T125" i="12"/>
  <c r="W125" i="12"/>
  <c r="T124" i="12"/>
  <c r="T123" i="12"/>
  <c r="T122" i="12"/>
  <c r="T121" i="12"/>
  <c r="T120" i="12"/>
  <c r="T119" i="12"/>
  <c r="T118" i="12"/>
  <c r="T117" i="12"/>
  <c r="T116" i="12"/>
  <c r="T115" i="12"/>
  <c r="T113" i="12"/>
  <c r="T112" i="12"/>
  <c r="T106" i="12"/>
  <c r="T105" i="12"/>
  <c r="T104" i="12"/>
  <c r="X128" i="12"/>
  <c r="W128" i="12"/>
  <c r="X127" i="12"/>
  <c r="AA127" i="12"/>
  <c r="AD127" i="12" s="1"/>
  <c r="X126" i="12"/>
  <c r="W126" i="12"/>
  <c r="X125" i="12"/>
  <c r="AA125" i="12"/>
  <c r="X124" i="12"/>
  <c r="W124" i="12"/>
  <c r="X123" i="12"/>
  <c r="W123" i="12"/>
  <c r="T129" i="13"/>
  <c r="AC122" i="13"/>
  <c r="T122" i="13"/>
  <c r="U129" i="14"/>
  <c r="S129" i="14"/>
  <c r="R129" i="14"/>
  <c r="T129" i="14"/>
  <c r="Q129" i="14"/>
  <c r="X129" i="14"/>
  <c r="AC122" i="14"/>
  <c r="X122" i="14"/>
  <c r="W122" i="14"/>
  <c r="T122" i="14"/>
  <c r="U129" i="15"/>
  <c r="S129" i="15"/>
  <c r="R129" i="15"/>
  <c r="T129" i="15"/>
  <c r="Q129" i="15"/>
  <c r="W129" i="15"/>
  <c r="L129" i="15"/>
  <c r="K129" i="15"/>
  <c r="J129" i="15"/>
  <c r="I129" i="15"/>
  <c r="G129" i="15"/>
  <c r="F129" i="15"/>
  <c r="E129" i="15"/>
  <c r="C129" i="15"/>
  <c r="B129" i="15"/>
  <c r="A129" i="15"/>
  <c r="AC122" i="15"/>
  <c r="X122" i="15"/>
  <c r="AA122" i="15" s="1"/>
  <c r="W122" i="15"/>
  <c r="T122" i="15"/>
  <c r="U129" i="16"/>
  <c r="V129" i="16"/>
  <c r="S129" i="16"/>
  <c r="R129" i="16"/>
  <c r="T129" i="16"/>
  <c r="Q129" i="16"/>
  <c r="W129" i="16"/>
  <c r="L129" i="16"/>
  <c r="K129" i="16"/>
  <c r="J129" i="16"/>
  <c r="I129" i="16"/>
  <c r="G129" i="16"/>
  <c r="F129" i="16"/>
  <c r="E129" i="16"/>
  <c r="C129" i="16"/>
  <c r="B129" i="16"/>
  <c r="A129" i="16"/>
  <c r="W122" i="16"/>
  <c r="T122" i="16"/>
  <c r="U129" i="26"/>
  <c r="V129" i="26"/>
  <c r="S129" i="26"/>
  <c r="R129" i="26"/>
  <c r="T129" i="26"/>
  <c r="Q129" i="26"/>
  <c r="W129" i="26"/>
  <c r="L129" i="26"/>
  <c r="K129" i="26"/>
  <c r="J129" i="26"/>
  <c r="I129" i="26"/>
  <c r="G129" i="26"/>
  <c r="F129" i="26"/>
  <c r="E129" i="26"/>
  <c r="C129" i="26"/>
  <c r="B129" i="26"/>
  <c r="A129" i="26"/>
  <c r="W122" i="26"/>
  <c r="T122" i="26"/>
  <c r="U129" i="19"/>
  <c r="V129" i="19"/>
  <c r="S129" i="19"/>
  <c r="R129" i="19"/>
  <c r="T129" i="19"/>
  <c r="Q129" i="19"/>
  <c r="L129" i="19"/>
  <c r="K129" i="19"/>
  <c r="J129" i="19"/>
  <c r="I129" i="19"/>
  <c r="G129" i="19"/>
  <c r="F129" i="19"/>
  <c r="E129" i="19"/>
  <c r="C129" i="19"/>
  <c r="B129" i="19"/>
  <c r="A129" i="19"/>
  <c r="W122" i="19"/>
  <c r="T122" i="19"/>
  <c r="T123" i="13"/>
  <c r="AC119" i="13"/>
  <c r="T119" i="13"/>
  <c r="U123" i="14"/>
  <c r="S123" i="14"/>
  <c r="R123" i="14"/>
  <c r="T123" i="14"/>
  <c r="Q123" i="14"/>
  <c r="W123" i="14"/>
  <c r="AC119" i="14"/>
  <c r="X119" i="14"/>
  <c r="W119" i="14"/>
  <c r="T119" i="14"/>
  <c r="U123" i="15"/>
  <c r="S123" i="15"/>
  <c r="R123" i="15"/>
  <c r="T123" i="15"/>
  <c r="Q123" i="15"/>
  <c r="W123" i="15"/>
  <c r="L123" i="15"/>
  <c r="K123" i="15"/>
  <c r="J123" i="15"/>
  <c r="I123" i="15"/>
  <c r="G123" i="15"/>
  <c r="F123" i="15"/>
  <c r="E123" i="15"/>
  <c r="C123" i="15"/>
  <c r="B123" i="15"/>
  <c r="A123" i="15"/>
  <c r="W119" i="15"/>
  <c r="T119" i="15"/>
  <c r="U123" i="19"/>
  <c r="V123" i="19"/>
  <c r="S123" i="19"/>
  <c r="R123" i="19"/>
  <c r="T123" i="19"/>
  <c r="Q123" i="19"/>
  <c r="W123" i="19"/>
  <c r="L123" i="19"/>
  <c r="K123" i="19"/>
  <c r="J123" i="19"/>
  <c r="I123" i="19"/>
  <c r="G123" i="19"/>
  <c r="F123" i="19"/>
  <c r="E123" i="19"/>
  <c r="C123" i="19"/>
  <c r="B123" i="19"/>
  <c r="A123" i="19"/>
  <c r="W119" i="19"/>
  <c r="T119" i="19"/>
  <c r="U123" i="26"/>
  <c r="V123" i="26"/>
  <c r="S123" i="26"/>
  <c r="R123" i="26"/>
  <c r="T123" i="26"/>
  <c r="Q123" i="26"/>
  <c r="W123" i="26"/>
  <c r="L123" i="26"/>
  <c r="K123" i="26"/>
  <c r="J123" i="26"/>
  <c r="I123" i="26"/>
  <c r="G123" i="26"/>
  <c r="F123" i="26"/>
  <c r="E123" i="26"/>
  <c r="C123" i="26"/>
  <c r="B123" i="26"/>
  <c r="A123" i="26"/>
  <c r="W119" i="26"/>
  <c r="T119" i="26"/>
  <c r="U123" i="16"/>
  <c r="V123" i="16"/>
  <c r="S123" i="16"/>
  <c r="R123" i="16"/>
  <c r="T123" i="16"/>
  <c r="Q123" i="16"/>
  <c r="W123" i="16"/>
  <c r="L123" i="16"/>
  <c r="K123" i="16"/>
  <c r="J123" i="16"/>
  <c r="I123" i="16"/>
  <c r="G123" i="16"/>
  <c r="F123" i="16"/>
  <c r="E123" i="16"/>
  <c r="C123" i="16"/>
  <c r="B123" i="16"/>
  <c r="A123" i="16"/>
  <c r="W119" i="16"/>
  <c r="T119" i="16"/>
  <c r="Q115" i="14"/>
  <c r="R115" i="14"/>
  <c r="T115" i="14"/>
  <c r="S115" i="14"/>
  <c r="T115" i="13"/>
  <c r="U127" i="14"/>
  <c r="S127" i="14"/>
  <c r="R127" i="14"/>
  <c r="T127" i="14"/>
  <c r="Q127" i="14"/>
  <c r="U127" i="15"/>
  <c r="S127" i="15"/>
  <c r="R127" i="15"/>
  <c r="T127" i="15"/>
  <c r="Q127" i="15"/>
  <c r="L127" i="15"/>
  <c r="K127" i="15"/>
  <c r="J127" i="15"/>
  <c r="I127" i="15"/>
  <c r="G127" i="15"/>
  <c r="F127" i="15"/>
  <c r="E127" i="15"/>
  <c r="C127" i="15"/>
  <c r="B127" i="15"/>
  <c r="A127" i="15"/>
  <c r="U127" i="16"/>
  <c r="V127" i="16"/>
  <c r="S127" i="16"/>
  <c r="R127" i="16"/>
  <c r="T127" i="16"/>
  <c r="Q127" i="16"/>
  <c r="L127" i="16"/>
  <c r="K127" i="16"/>
  <c r="J127" i="16"/>
  <c r="I127" i="16"/>
  <c r="G127" i="16"/>
  <c r="F127" i="16"/>
  <c r="E127" i="16"/>
  <c r="C127" i="16"/>
  <c r="B127" i="16"/>
  <c r="A127" i="16"/>
  <c r="U127" i="19"/>
  <c r="V127" i="19"/>
  <c r="S127" i="19"/>
  <c r="R127" i="19"/>
  <c r="T127" i="19"/>
  <c r="Q127" i="19"/>
  <c r="L127" i="19"/>
  <c r="K127" i="19"/>
  <c r="J127" i="19"/>
  <c r="I127" i="19"/>
  <c r="G127" i="19"/>
  <c r="F127" i="19"/>
  <c r="E127" i="19"/>
  <c r="C127" i="19"/>
  <c r="B127" i="19"/>
  <c r="A127" i="19"/>
  <c r="U127" i="26"/>
  <c r="V127" i="26"/>
  <c r="S127" i="26"/>
  <c r="R127" i="26"/>
  <c r="T127" i="26"/>
  <c r="Q127" i="26"/>
  <c r="L127" i="26"/>
  <c r="K127" i="26"/>
  <c r="J127" i="26"/>
  <c r="I127" i="26"/>
  <c r="G127" i="26"/>
  <c r="F127" i="26"/>
  <c r="E127" i="26"/>
  <c r="C127" i="26"/>
  <c r="B127" i="26"/>
  <c r="A127" i="26"/>
  <c r="T127" i="13"/>
  <c r="AC115" i="13"/>
  <c r="T105" i="15"/>
  <c r="U105" i="15"/>
  <c r="V105" i="15" s="1"/>
  <c r="W105" i="15"/>
  <c r="X105" i="15"/>
  <c r="AC105" i="26"/>
  <c r="AC116" i="26"/>
  <c r="AC124" i="26"/>
  <c r="AC126" i="26"/>
  <c r="AC128" i="26"/>
  <c r="S99" i="14"/>
  <c r="S99" i="15" s="1"/>
  <c r="S99" i="16" s="1"/>
  <c r="S99" i="19" s="1"/>
  <c r="S99" i="26" s="1"/>
  <c r="R99" i="14"/>
  <c r="Q99" i="14"/>
  <c r="Q99" i="15" s="1"/>
  <c r="Q99" i="16" s="1"/>
  <c r="Q99" i="19" s="1"/>
  <c r="Q99" i="26" s="1"/>
  <c r="P99" i="14"/>
  <c r="X99" i="14" s="1"/>
  <c r="AE99" i="14" s="1"/>
  <c r="O99" i="14"/>
  <c r="O99" i="15" s="1"/>
  <c r="O99" i="16" s="1"/>
  <c r="O99" i="19" s="1"/>
  <c r="O99" i="26" s="1"/>
  <c r="N99" i="14"/>
  <c r="N99" i="15" s="1"/>
  <c r="N99" i="16" s="1"/>
  <c r="N99" i="19" s="1"/>
  <c r="N99" i="26" s="1"/>
  <c r="L99" i="14"/>
  <c r="L99" i="15" s="1"/>
  <c r="L99" i="16" s="1"/>
  <c r="L99" i="19" s="1"/>
  <c r="L99" i="26" s="1"/>
  <c r="K99" i="14"/>
  <c r="K99" i="15" s="1"/>
  <c r="K99" i="16" s="1"/>
  <c r="K99" i="19" s="1"/>
  <c r="K99" i="26" s="1"/>
  <c r="J99" i="14"/>
  <c r="J99" i="15" s="1"/>
  <c r="J99" i="16" s="1"/>
  <c r="J99" i="19" s="1"/>
  <c r="J99" i="26" s="1"/>
  <c r="I99" i="14"/>
  <c r="I99" i="15" s="1"/>
  <c r="G99" i="14"/>
  <c r="G99" i="15" s="1"/>
  <c r="G99" i="16" s="1"/>
  <c r="G99" i="19" s="1"/>
  <c r="G99" i="26" s="1"/>
  <c r="F99" i="14"/>
  <c r="F99" i="15" s="1"/>
  <c r="E99" i="14"/>
  <c r="E99" i="15" s="1"/>
  <c r="E99" i="16" s="1"/>
  <c r="E99" i="19" s="1"/>
  <c r="E99" i="26" s="1"/>
  <c r="C99" i="14"/>
  <c r="C99" i="15" s="1"/>
  <c r="B99" i="14"/>
  <c r="B99" i="15" s="1"/>
  <c r="B99" i="16" s="1"/>
  <c r="B99" i="19" s="1"/>
  <c r="B99" i="26" s="1"/>
  <c r="A99" i="14"/>
  <c r="A99" i="15" s="1"/>
  <c r="S96" i="14"/>
  <c r="S96" i="15" s="1"/>
  <c r="S96" i="16" s="1"/>
  <c r="S96" i="19" s="1"/>
  <c r="S96" i="26" s="1"/>
  <c r="R96" i="14"/>
  <c r="Q96" i="14"/>
  <c r="Q96" i="15" s="1"/>
  <c r="P96" i="14"/>
  <c r="X96" i="14" s="1"/>
  <c r="AA96" i="14" s="1"/>
  <c r="O96" i="14"/>
  <c r="O96" i="15" s="1"/>
  <c r="N96" i="14"/>
  <c r="N96" i="15" s="1"/>
  <c r="N96" i="16" s="1"/>
  <c r="N96" i="19" s="1"/>
  <c r="N96" i="26" s="1"/>
  <c r="L96" i="14"/>
  <c r="L96" i="15" s="1"/>
  <c r="K96" i="14"/>
  <c r="K96" i="15" s="1"/>
  <c r="K96" i="16" s="1"/>
  <c r="K96" i="19" s="1"/>
  <c r="K96" i="26" s="1"/>
  <c r="J96" i="14"/>
  <c r="J96" i="15" s="1"/>
  <c r="J96" i="16" s="1"/>
  <c r="J96" i="19" s="1"/>
  <c r="J96" i="26" s="1"/>
  <c r="I96" i="14"/>
  <c r="I96" i="15" s="1"/>
  <c r="G96" i="14"/>
  <c r="G96" i="15" s="1"/>
  <c r="G96" i="16" s="1"/>
  <c r="G96" i="19" s="1"/>
  <c r="G96" i="26" s="1"/>
  <c r="F96" i="14"/>
  <c r="F96" i="15" s="1"/>
  <c r="E96" i="14"/>
  <c r="E96" i="15" s="1"/>
  <c r="E96" i="16" s="1"/>
  <c r="E96" i="19" s="1"/>
  <c r="E96" i="26" s="1"/>
  <c r="C96" i="14"/>
  <c r="C96" i="15" s="1"/>
  <c r="B96" i="14"/>
  <c r="B96" i="15" s="1"/>
  <c r="B96" i="16" s="1"/>
  <c r="B96" i="19" s="1"/>
  <c r="B96" i="26" s="1"/>
  <c r="A96" i="14"/>
  <c r="A96" i="15" s="1"/>
  <c r="T121" i="14"/>
  <c r="L121" i="14"/>
  <c r="L121" i="15" s="1"/>
  <c r="K121" i="14"/>
  <c r="K121" i="15" s="1"/>
  <c r="J121" i="14"/>
  <c r="J121" i="15" s="1"/>
  <c r="J121" i="26" s="1"/>
  <c r="I121" i="14"/>
  <c r="I121" i="15" s="1"/>
  <c r="I121" i="16" s="1"/>
  <c r="G121" i="14"/>
  <c r="G121" i="15" s="1"/>
  <c r="F121" i="14"/>
  <c r="F121" i="15" s="1"/>
  <c r="E121" i="14"/>
  <c r="E121" i="15" s="1"/>
  <c r="C121" i="14"/>
  <c r="C121" i="15" s="1"/>
  <c r="B121" i="14"/>
  <c r="B121" i="15" s="1"/>
  <c r="B121" i="16" s="1"/>
  <c r="A121" i="14"/>
  <c r="A121" i="15" s="1"/>
  <c r="A121" i="19" s="1"/>
  <c r="S125" i="14"/>
  <c r="S125" i="15" s="1"/>
  <c r="R125" i="14"/>
  <c r="T125" i="14" s="1"/>
  <c r="Q125" i="14"/>
  <c r="Q125" i="15" s="1"/>
  <c r="Q125" i="26" s="1"/>
  <c r="L125" i="15"/>
  <c r="K125" i="15"/>
  <c r="J125" i="15"/>
  <c r="J125" i="26" s="1"/>
  <c r="I125" i="15"/>
  <c r="I125" i="16" s="1"/>
  <c r="G125" i="15"/>
  <c r="F125" i="15"/>
  <c r="E125" i="15"/>
  <c r="E125" i="26" s="1"/>
  <c r="C125" i="15"/>
  <c r="B125" i="15"/>
  <c r="A125" i="15"/>
  <c r="S110" i="14"/>
  <c r="S110" i="15" s="1"/>
  <c r="S110" i="26" s="1"/>
  <c r="R110" i="14"/>
  <c r="R110" i="15" s="1"/>
  <c r="Q110" i="14"/>
  <c r="Q110" i="15" s="1"/>
  <c r="L110" i="15"/>
  <c r="J110" i="15"/>
  <c r="I110" i="15"/>
  <c r="G110" i="15"/>
  <c r="F110" i="15"/>
  <c r="E110" i="15"/>
  <c r="C110" i="15"/>
  <c r="B110" i="15"/>
  <c r="A110" i="15"/>
  <c r="S62" i="14"/>
  <c r="S62" i="15" s="1"/>
  <c r="S62" i="16" s="1"/>
  <c r="S62" i="19" s="1"/>
  <c r="S62" i="26" s="1"/>
  <c r="R62" i="14"/>
  <c r="R62" i="15" s="1"/>
  <c r="Q62" i="14"/>
  <c r="Q62" i="15" s="1"/>
  <c r="P62" i="14"/>
  <c r="P62" i="15" s="1"/>
  <c r="AC62" i="15" s="1"/>
  <c r="O62" i="14"/>
  <c r="O62" i="15" s="1"/>
  <c r="N62" i="14"/>
  <c r="N62" i="15" s="1"/>
  <c r="L62" i="14"/>
  <c r="L62" i="15" s="1"/>
  <c r="K62" i="14"/>
  <c r="K62" i="15" s="1"/>
  <c r="K62" i="16" s="1"/>
  <c r="K62" i="19" s="1"/>
  <c r="K62" i="26" s="1"/>
  <c r="J62" i="14"/>
  <c r="J62" i="15" s="1"/>
  <c r="I62" i="14"/>
  <c r="I62" i="15" s="1"/>
  <c r="I62" i="16" s="1"/>
  <c r="I62" i="19" s="1"/>
  <c r="I62" i="26" s="1"/>
  <c r="G62" i="14"/>
  <c r="G62" i="15" s="1"/>
  <c r="F62" i="14"/>
  <c r="F62" i="15" s="1"/>
  <c r="F62" i="16" s="1"/>
  <c r="F62" i="19" s="1"/>
  <c r="F62" i="26" s="1"/>
  <c r="E62" i="14"/>
  <c r="E62" i="15" s="1"/>
  <c r="C62" i="14"/>
  <c r="C62" i="15" s="1"/>
  <c r="C62" i="16" s="1"/>
  <c r="C62" i="19" s="1"/>
  <c r="C62" i="26" s="1"/>
  <c r="B62" i="14"/>
  <c r="B62" i="15" s="1"/>
  <c r="A62" i="14"/>
  <c r="A62" i="15" s="1"/>
  <c r="A62" i="16" s="1"/>
  <c r="A62" i="19" s="1"/>
  <c r="A62" i="26" s="1"/>
  <c r="S95" i="14"/>
  <c r="S95" i="15" s="1"/>
  <c r="R95" i="14"/>
  <c r="T95" i="14" s="1"/>
  <c r="Q95" i="14"/>
  <c r="Q95" i="15" s="1"/>
  <c r="P95" i="14"/>
  <c r="P95" i="15" s="1"/>
  <c r="W95" i="15" s="1"/>
  <c r="O95" i="14"/>
  <c r="O95" i="15" s="1"/>
  <c r="O95" i="16" s="1"/>
  <c r="O95" i="19" s="1"/>
  <c r="O95" i="26" s="1"/>
  <c r="N95" i="14"/>
  <c r="N95" i="15" s="1"/>
  <c r="N95" i="16" s="1"/>
  <c r="N95" i="19" s="1"/>
  <c r="N95" i="26" s="1"/>
  <c r="L95" i="14"/>
  <c r="L95" i="15" s="1"/>
  <c r="L95" i="16" s="1"/>
  <c r="L95" i="19" s="1"/>
  <c r="L95" i="26" s="1"/>
  <c r="K95" i="14"/>
  <c r="K95" i="15" s="1"/>
  <c r="K95" i="16" s="1"/>
  <c r="K95" i="19" s="1"/>
  <c r="K95" i="26" s="1"/>
  <c r="J95" i="14"/>
  <c r="J95" i="15" s="1"/>
  <c r="J95" i="16" s="1"/>
  <c r="J95" i="19" s="1"/>
  <c r="J95" i="26" s="1"/>
  <c r="I95" i="14"/>
  <c r="I95" i="15" s="1"/>
  <c r="I95" i="16" s="1"/>
  <c r="I95" i="19" s="1"/>
  <c r="I95" i="26" s="1"/>
  <c r="G95" i="14"/>
  <c r="G95" i="15" s="1"/>
  <c r="G95" i="16" s="1"/>
  <c r="G95" i="19" s="1"/>
  <c r="G95" i="26" s="1"/>
  <c r="F95" i="14"/>
  <c r="F95" i="15" s="1"/>
  <c r="F95" i="16" s="1"/>
  <c r="F95" i="19" s="1"/>
  <c r="F95" i="26" s="1"/>
  <c r="E95" i="14"/>
  <c r="E95" i="15" s="1"/>
  <c r="E95" i="16" s="1"/>
  <c r="E95" i="19" s="1"/>
  <c r="E95" i="26" s="1"/>
  <c r="C95" i="15"/>
  <c r="B95" i="15"/>
  <c r="B95" i="16" s="1"/>
  <c r="B95" i="19" s="1"/>
  <c r="B95" i="26" s="1"/>
  <c r="A95" i="14"/>
  <c r="A95" i="15" s="1"/>
  <c r="S94" i="14"/>
  <c r="S94" i="15" s="1"/>
  <c r="S94" i="16" s="1"/>
  <c r="S94" i="19" s="1"/>
  <c r="S94" i="26" s="1"/>
  <c r="R94" i="14"/>
  <c r="R94" i="15" s="1"/>
  <c r="Q94" i="14"/>
  <c r="Q94" i="15" s="1"/>
  <c r="Q94" i="16" s="1"/>
  <c r="Q94" i="19" s="1"/>
  <c r="Q94" i="26" s="1"/>
  <c r="P94" i="14"/>
  <c r="O94" i="14"/>
  <c r="O94" i="15" s="1"/>
  <c r="O94" i="16" s="1"/>
  <c r="O94" i="19" s="1"/>
  <c r="O94" i="26" s="1"/>
  <c r="N94" i="14"/>
  <c r="N94" i="15" s="1"/>
  <c r="L94" i="14"/>
  <c r="L94" i="15" s="1"/>
  <c r="L94" i="16" s="1"/>
  <c r="L94" i="19" s="1"/>
  <c r="L94" i="26" s="1"/>
  <c r="K94" i="14"/>
  <c r="K94" i="15" s="1"/>
  <c r="J94" i="14"/>
  <c r="J94" i="15" s="1"/>
  <c r="J94" i="16" s="1"/>
  <c r="J94" i="19" s="1"/>
  <c r="J94" i="26" s="1"/>
  <c r="I94" i="14"/>
  <c r="I94" i="15" s="1"/>
  <c r="I94" i="16" s="1"/>
  <c r="I94" i="19" s="1"/>
  <c r="I94" i="26" s="1"/>
  <c r="G94" i="14"/>
  <c r="G94" i="15" s="1"/>
  <c r="G94" i="16" s="1"/>
  <c r="G94" i="19" s="1"/>
  <c r="G94" i="26" s="1"/>
  <c r="F94" i="14"/>
  <c r="F94" i="15" s="1"/>
  <c r="E94" i="14"/>
  <c r="E94" i="15" s="1"/>
  <c r="E94" i="16" s="1"/>
  <c r="E94" i="19" s="1"/>
  <c r="E94" i="26" s="1"/>
  <c r="C94" i="15"/>
  <c r="B94" i="15"/>
  <c r="B94" i="16" s="1"/>
  <c r="B94" i="19" s="1"/>
  <c r="B94" i="26" s="1"/>
  <c r="A94" i="14"/>
  <c r="A94" i="15" s="1"/>
  <c r="S93" i="14"/>
  <c r="S93" i="15" s="1"/>
  <c r="S93" i="16" s="1"/>
  <c r="S93" i="19" s="1"/>
  <c r="S93" i="26" s="1"/>
  <c r="R93" i="14"/>
  <c r="T93" i="14" s="1"/>
  <c r="Q93" i="14"/>
  <c r="Q93" i="15" s="1"/>
  <c r="Q93" i="16" s="1"/>
  <c r="Q93" i="19" s="1"/>
  <c r="Q93" i="26" s="1"/>
  <c r="P93" i="14"/>
  <c r="O93" i="14"/>
  <c r="O93" i="15" s="1"/>
  <c r="O93" i="16" s="1"/>
  <c r="O93" i="19" s="1"/>
  <c r="O93" i="26" s="1"/>
  <c r="N93" i="14"/>
  <c r="N93" i="15" s="1"/>
  <c r="L93" i="14"/>
  <c r="L93" i="15" s="1"/>
  <c r="K93" i="14"/>
  <c r="K93" i="15" s="1"/>
  <c r="J93" i="14"/>
  <c r="J93" i="15" s="1"/>
  <c r="I93" i="14"/>
  <c r="I93" i="15" s="1"/>
  <c r="I93" i="16" s="1"/>
  <c r="I93" i="19" s="1"/>
  <c r="I93" i="26" s="1"/>
  <c r="G93" i="14"/>
  <c r="G93" i="15" s="1"/>
  <c r="F93" i="14"/>
  <c r="F93" i="15" s="1"/>
  <c r="F93" i="16" s="1"/>
  <c r="F93" i="19" s="1"/>
  <c r="F93" i="26" s="1"/>
  <c r="E93" i="14"/>
  <c r="E93" i="15" s="1"/>
  <c r="C93" i="15"/>
  <c r="B93" i="15"/>
  <c r="B93" i="16" s="1"/>
  <c r="B93" i="19" s="1"/>
  <c r="B93" i="26" s="1"/>
  <c r="A93" i="14"/>
  <c r="A93" i="15" s="1"/>
  <c r="S92" i="14"/>
  <c r="S92" i="15" s="1"/>
  <c r="S92" i="16" s="1"/>
  <c r="S92" i="19" s="1"/>
  <c r="S92" i="26" s="1"/>
  <c r="R92" i="14"/>
  <c r="Q92" i="14"/>
  <c r="Q92" i="15" s="1"/>
  <c r="Q92" i="16" s="1"/>
  <c r="Q92" i="19" s="1"/>
  <c r="Q92" i="26" s="1"/>
  <c r="P92" i="14"/>
  <c r="X92" i="14" s="1"/>
  <c r="O92" i="14"/>
  <c r="O92" i="15" s="1"/>
  <c r="O92" i="16" s="1"/>
  <c r="O92" i="19" s="1"/>
  <c r="O92" i="26" s="1"/>
  <c r="N92" i="14"/>
  <c r="N92" i="15" s="1"/>
  <c r="L92" i="14"/>
  <c r="L92" i="15" s="1"/>
  <c r="L92" i="16" s="1"/>
  <c r="L92" i="19" s="1"/>
  <c r="L92" i="26" s="1"/>
  <c r="K92" i="14"/>
  <c r="K92" i="15" s="1"/>
  <c r="J92" i="14"/>
  <c r="J92" i="15" s="1"/>
  <c r="J92" i="16" s="1"/>
  <c r="J92" i="19" s="1"/>
  <c r="J92" i="26" s="1"/>
  <c r="I92" i="14"/>
  <c r="I92" i="15" s="1"/>
  <c r="I92" i="16" s="1"/>
  <c r="I92" i="19" s="1"/>
  <c r="I92" i="26" s="1"/>
  <c r="G92" i="14"/>
  <c r="G92" i="15" s="1"/>
  <c r="G92" i="16" s="1"/>
  <c r="G92" i="19" s="1"/>
  <c r="G92" i="26" s="1"/>
  <c r="F92" i="14"/>
  <c r="F92" i="15" s="1"/>
  <c r="F92" i="16" s="1"/>
  <c r="F92" i="19" s="1"/>
  <c r="F92" i="26" s="1"/>
  <c r="E92" i="14"/>
  <c r="E92" i="15" s="1"/>
  <c r="E92" i="16" s="1"/>
  <c r="E92" i="19" s="1"/>
  <c r="E92" i="26" s="1"/>
  <c r="C92" i="14"/>
  <c r="C92" i="15" s="1"/>
  <c r="C92" i="16" s="1"/>
  <c r="C92" i="19" s="1"/>
  <c r="C92" i="26" s="1"/>
  <c r="B92" i="14"/>
  <c r="B92" i="15" s="1"/>
  <c r="B92" i="16" s="1"/>
  <c r="B92" i="19" s="1"/>
  <c r="B92" i="26" s="1"/>
  <c r="A92" i="14"/>
  <c r="A92" i="15" s="1"/>
  <c r="S91" i="14"/>
  <c r="S91" i="15" s="1"/>
  <c r="R91" i="14"/>
  <c r="T91" i="14" s="1"/>
  <c r="Q91" i="14"/>
  <c r="Q91" i="15" s="1"/>
  <c r="P91" i="14"/>
  <c r="P91" i="15" s="1"/>
  <c r="W91" i="15" s="1"/>
  <c r="O91" i="14"/>
  <c r="O91" i="15" s="1"/>
  <c r="O91" i="16" s="1"/>
  <c r="O91" i="19" s="1"/>
  <c r="O91" i="26" s="1"/>
  <c r="N91" i="14"/>
  <c r="N91" i="15" s="1"/>
  <c r="L91" i="14"/>
  <c r="L91" i="15" s="1"/>
  <c r="L91" i="16" s="1"/>
  <c r="L91" i="19" s="1"/>
  <c r="L91" i="26" s="1"/>
  <c r="K91" i="14"/>
  <c r="K91" i="15" s="1"/>
  <c r="J91" i="14"/>
  <c r="J91" i="15" s="1"/>
  <c r="I91" i="14"/>
  <c r="I91" i="15" s="1"/>
  <c r="G91" i="14"/>
  <c r="G91" i="15" s="1"/>
  <c r="G91" i="16" s="1"/>
  <c r="G91" i="19" s="1"/>
  <c r="G91" i="26" s="1"/>
  <c r="F91" i="14"/>
  <c r="F91" i="15" s="1"/>
  <c r="E91" i="14"/>
  <c r="E91" i="15" s="1"/>
  <c r="E91" i="16" s="1"/>
  <c r="E91" i="19" s="1"/>
  <c r="E91" i="26" s="1"/>
  <c r="C91" i="14"/>
  <c r="C91" i="15" s="1"/>
  <c r="C91" i="16" s="1"/>
  <c r="C91" i="19" s="1"/>
  <c r="C91" i="26" s="1"/>
  <c r="B91" i="14"/>
  <c r="B91" i="15" s="1"/>
  <c r="B91" i="16" s="1"/>
  <c r="B91" i="19" s="1"/>
  <c r="B91" i="26" s="1"/>
  <c r="A91" i="14"/>
  <c r="A91" i="15" s="1"/>
  <c r="S90" i="14"/>
  <c r="S90" i="15" s="1"/>
  <c r="S90" i="16" s="1"/>
  <c r="S90" i="19" s="1"/>
  <c r="S90" i="26" s="1"/>
  <c r="R90" i="14"/>
  <c r="T90" i="14" s="1"/>
  <c r="Q90" i="14"/>
  <c r="Q90" i="15" s="1"/>
  <c r="P90" i="14"/>
  <c r="P90" i="15" s="1"/>
  <c r="O90" i="14"/>
  <c r="O90" i="15" s="1"/>
  <c r="N90" i="14"/>
  <c r="N90" i="15" s="1"/>
  <c r="L90" i="14"/>
  <c r="L90" i="15" s="1"/>
  <c r="K90" i="14"/>
  <c r="K90" i="15" s="1"/>
  <c r="J90" i="14"/>
  <c r="J90" i="15" s="1"/>
  <c r="I90" i="14"/>
  <c r="I90" i="15" s="1"/>
  <c r="G90" i="14"/>
  <c r="G90" i="15" s="1"/>
  <c r="G90" i="16" s="1"/>
  <c r="G90" i="19" s="1"/>
  <c r="G90" i="26" s="1"/>
  <c r="F90" i="14"/>
  <c r="F90" i="15" s="1"/>
  <c r="E90" i="14"/>
  <c r="E90" i="15" s="1"/>
  <c r="E90" i="16" s="1"/>
  <c r="E90" i="19" s="1"/>
  <c r="E90" i="26" s="1"/>
  <c r="C90" i="14"/>
  <c r="C90" i="15" s="1"/>
  <c r="C90" i="16" s="1"/>
  <c r="C90" i="19" s="1"/>
  <c r="C90" i="26" s="1"/>
  <c r="B90" i="14"/>
  <c r="B90" i="15" s="1"/>
  <c r="B90" i="16" s="1"/>
  <c r="B90" i="19" s="1"/>
  <c r="B90" i="26" s="1"/>
  <c r="A90" i="14"/>
  <c r="A90" i="15" s="1"/>
  <c r="A90" i="16" s="1"/>
  <c r="A90" i="19" s="1"/>
  <c r="A90" i="26" s="1"/>
  <c r="S89" i="14"/>
  <c r="S89" i="15" s="1"/>
  <c r="S89" i="16" s="1"/>
  <c r="S89" i="19" s="1"/>
  <c r="S89" i="26" s="1"/>
  <c r="R89" i="14"/>
  <c r="Q89" i="14"/>
  <c r="Q89" i="15" s="1"/>
  <c r="Q89" i="16" s="1"/>
  <c r="Q89" i="19" s="1"/>
  <c r="Q89" i="26" s="1"/>
  <c r="P89" i="14"/>
  <c r="O89" i="14"/>
  <c r="O89" i="15" s="1"/>
  <c r="O89" i="16" s="1"/>
  <c r="O89" i="19" s="1"/>
  <c r="O89" i="26" s="1"/>
  <c r="N89" i="14"/>
  <c r="N89" i="15" s="1"/>
  <c r="N89" i="16" s="1"/>
  <c r="N89" i="19" s="1"/>
  <c r="N89" i="26" s="1"/>
  <c r="L89" i="14"/>
  <c r="L89" i="15" s="1"/>
  <c r="L89" i="16" s="1"/>
  <c r="L89" i="19" s="1"/>
  <c r="L89" i="26" s="1"/>
  <c r="K89" i="14"/>
  <c r="K89" i="15" s="1"/>
  <c r="J89" i="14"/>
  <c r="J89" i="15" s="1"/>
  <c r="I89" i="14"/>
  <c r="I89" i="15" s="1"/>
  <c r="G89" i="14"/>
  <c r="G89" i="15" s="1"/>
  <c r="F89" i="14"/>
  <c r="F89" i="15" s="1"/>
  <c r="E89" i="14"/>
  <c r="E89" i="15" s="1"/>
  <c r="C89" i="14"/>
  <c r="C89" i="15" s="1"/>
  <c r="C89" i="16" s="1"/>
  <c r="C89" i="19" s="1"/>
  <c r="C89" i="26" s="1"/>
  <c r="B89" i="14"/>
  <c r="B89" i="15" s="1"/>
  <c r="B89" i="16" s="1"/>
  <c r="B89" i="19" s="1"/>
  <c r="B89" i="26" s="1"/>
  <c r="A89" i="14"/>
  <c r="A89" i="15" s="1"/>
  <c r="A89" i="16" s="1"/>
  <c r="A89" i="19" s="1"/>
  <c r="A89" i="26" s="1"/>
  <c r="S88" i="14"/>
  <c r="S88" i="15" s="1"/>
  <c r="S88" i="16" s="1"/>
  <c r="S88" i="19" s="1"/>
  <c r="S88" i="26" s="1"/>
  <c r="R88" i="14"/>
  <c r="Q88" i="14"/>
  <c r="Q88" i="15" s="1"/>
  <c r="Q88" i="16" s="1"/>
  <c r="Q88" i="19" s="1"/>
  <c r="Q88" i="26" s="1"/>
  <c r="P88" i="14"/>
  <c r="P88" i="15" s="1"/>
  <c r="W88" i="15" s="1"/>
  <c r="O88" i="14"/>
  <c r="O88" i="15" s="1"/>
  <c r="O88" i="16" s="1"/>
  <c r="O88" i="19" s="1"/>
  <c r="O88" i="26" s="1"/>
  <c r="N88" i="14"/>
  <c r="N88" i="15" s="1"/>
  <c r="N88" i="16" s="1"/>
  <c r="N88" i="19" s="1"/>
  <c r="N88" i="26" s="1"/>
  <c r="L88" i="14"/>
  <c r="L88" i="15" s="1"/>
  <c r="L88" i="16" s="1"/>
  <c r="L88" i="19" s="1"/>
  <c r="L88" i="26" s="1"/>
  <c r="K88" i="14"/>
  <c r="K88" i="15" s="1"/>
  <c r="K88" i="16" s="1"/>
  <c r="K88" i="19" s="1"/>
  <c r="K88" i="26" s="1"/>
  <c r="J88" i="14"/>
  <c r="J88" i="15" s="1"/>
  <c r="J88" i="16" s="1"/>
  <c r="J88" i="19" s="1"/>
  <c r="J88" i="26" s="1"/>
  <c r="I88" i="14"/>
  <c r="I88" i="15" s="1"/>
  <c r="I88" i="16" s="1"/>
  <c r="I88" i="19" s="1"/>
  <c r="I88" i="26" s="1"/>
  <c r="G88" i="14"/>
  <c r="G88" i="15" s="1"/>
  <c r="G88" i="16" s="1"/>
  <c r="G88" i="19" s="1"/>
  <c r="G88" i="26" s="1"/>
  <c r="F88" i="14"/>
  <c r="F88" i="15" s="1"/>
  <c r="F88" i="16" s="1"/>
  <c r="F88" i="19" s="1"/>
  <c r="F88" i="26" s="1"/>
  <c r="E88" i="14"/>
  <c r="E88" i="15" s="1"/>
  <c r="C88" i="14"/>
  <c r="C88" i="15" s="1"/>
  <c r="C88" i="16" s="1"/>
  <c r="C88" i="19" s="1"/>
  <c r="C88" i="26" s="1"/>
  <c r="B88" i="14"/>
  <c r="B88" i="15" s="1"/>
  <c r="A88" i="14"/>
  <c r="A88" i="15" s="1"/>
  <c r="A88" i="16" s="1"/>
  <c r="A88" i="19" s="1"/>
  <c r="A88" i="26" s="1"/>
  <c r="S87" i="14"/>
  <c r="S87" i="15" s="1"/>
  <c r="R87" i="14"/>
  <c r="R87" i="15" s="1"/>
  <c r="R87" i="16" s="1"/>
  <c r="Q87" i="14"/>
  <c r="Q87" i="15" s="1"/>
  <c r="Q87" i="16" s="1"/>
  <c r="Q87" i="19" s="1"/>
  <c r="Q87" i="26" s="1"/>
  <c r="P87" i="14"/>
  <c r="W87" i="14" s="1"/>
  <c r="O87" i="14"/>
  <c r="O87" i="15" s="1"/>
  <c r="O87" i="16" s="1"/>
  <c r="O87" i="19" s="1"/>
  <c r="O87" i="26" s="1"/>
  <c r="N87" i="14"/>
  <c r="N87" i="15" s="1"/>
  <c r="N87" i="16" s="1"/>
  <c r="N87" i="19" s="1"/>
  <c r="N87" i="26" s="1"/>
  <c r="L87" i="14"/>
  <c r="L87" i="15" s="1"/>
  <c r="L87" i="16" s="1"/>
  <c r="L87" i="19" s="1"/>
  <c r="L87" i="26" s="1"/>
  <c r="K87" i="14"/>
  <c r="K87" i="15" s="1"/>
  <c r="K87" i="16" s="1"/>
  <c r="K87" i="19" s="1"/>
  <c r="K87" i="26" s="1"/>
  <c r="J87" i="14"/>
  <c r="J87" i="15" s="1"/>
  <c r="I87" i="14"/>
  <c r="I87" i="15" s="1"/>
  <c r="I87" i="16" s="1"/>
  <c r="I87" i="19" s="1"/>
  <c r="I87" i="26" s="1"/>
  <c r="G87" i="14"/>
  <c r="G87" i="15" s="1"/>
  <c r="G87" i="16" s="1"/>
  <c r="G87" i="19" s="1"/>
  <c r="G87" i="26" s="1"/>
  <c r="F87" i="14"/>
  <c r="F87" i="15" s="1"/>
  <c r="F87" i="16" s="1"/>
  <c r="F87" i="19" s="1"/>
  <c r="F87" i="26" s="1"/>
  <c r="E87" i="14"/>
  <c r="E87" i="15" s="1"/>
  <c r="E87" i="16" s="1"/>
  <c r="E87" i="19" s="1"/>
  <c r="E87" i="26" s="1"/>
  <c r="C87" i="14"/>
  <c r="C87" i="15" s="1"/>
  <c r="C87" i="16" s="1"/>
  <c r="C87" i="19" s="1"/>
  <c r="C87" i="26" s="1"/>
  <c r="B87" i="14"/>
  <c r="B87" i="15" s="1"/>
  <c r="B87" i="16" s="1"/>
  <c r="B87" i="19" s="1"/>
  <c r="B87" i="26" s="1"/>
  <c r="A87" i="14"/>
  <c r="A87" i="15" s="1"/>
  <c r="A87" i="16" s="1"/>
  <c r="A87" i="19" s="1"/>
  <c r="A87" i="26" s="1"/>
  <c r="S86" i="14"/>
  <c r="S86" i="15" s="1"/>
  <c r="S86" i="16" s="1"/>
  <c r="S86" i="19" s="1"/>
  <c r="S86" i="26" s="1"/>
  <c r="R86" i="14"/>
  <c r="Q86" i="14"/>
  <c r="Q86" i="15" s="1"/>
  <c r="Q86" i="16" s="1"/>
  <c r="Q86" i="19" s="1"/>
  <c r="Q86" i="26" s="1"/>
  <c r="P86" i="14"/>
  <c r="P86" i="15" s="1"/>
  <c r="P86" i="16" s="1"/>
  <c r="AC86" i="16" s="1"/>
  <c r="O86" i="14"/>
  <c r="O86" i="15" s="1"/>
  <c r="O86" i="16" s="1"/>
  <c r="O86" i="19" s="1"/>
  <c r="O86" i="26" s="1"/>
  <c r="N86" i="14"/>
  <c r="N86" i="15" s="1"/>
  <c r="N86" i="16" s="1"/>
  <c r="N86" i="19" s="1"/>
  <c r="N86" i="26" s="1"/>
  <c r="L86" i="14"/>
  <c r="L86" i="15" s="1"/>
  <c r="L86" i="16" s="1"/>
  <c r="L86" i="19" s="1"/>
  <c r="L86" i="26" s="1"/>
  <c r="K86" i="14"/>
  <c r="K86" i="15" s="1"/>
  <c r="K86" i="16" s="1"/>
  <c r="K86" i="19" s="1"/>
  <c r="K86" i="26" s="1"/>
  <c r="J86" i="14"/>
  <c r="J86" i="15" s="1"/>
  <c r="J86" i="16" s="1"/>
  <c r="J86" i="19" s="1"/>
  <c r="J86" i="26" s="1"/>
  <c r="I86" i="14"/>
  <c r="I86" i="15" s="1"/>
  <c r="I86" i="16" s="1"/>
  <c r="I86" i="19" s="1"/>
  <c r="I86" i="26" s="1"/>
  <c r="G86" i="14"/>
  <c r="G86" i="15" s="1"/>
  <c r="G86" i="16" s="1"/>
  <c r="G86" i="19" s="1"/>
  <c r="G86" i="26" s="1"/>
  <c r="F86" i="14"/>
  <c r="F86" i="15" s="1"/>
  <c r="F86" i="16" s="1"/>
  <c r="F86" i="19" s="1"/>
  <c r="F86" i="26" s="1"/>
  <c r="E86" i="14"/>
  <c r="E86" i="15" s="1"/>
  <c r="E86" i="16" s="1"/>
  <c r="E86" i="19" s="1"/>
  <c r="E86" i="26" s="1"/>
  <c r="C86" i="14"/>
  <c r="C86" i="15" s="1"/>
  <c r="C86" i="16" s="1"/>
  <c r="C86" i="19" s="1"/>
  <c r="C86" i="26" s="1"/>
  <c r="B86" i="14"/>
  <c r="B86" i="15" s="1"/>
  <c r="B86" i="16" s="1"/>
  <c r="B86" i="19" s="1"/>
  <c r="B86" i="26" s="1"/>
  <c r="A86" i="14"/>
  <c r="A86" i="15" s="1"/>
  <c r="A86" i="16" s="1"/>
  <c r="A86" i="19" s="1"/>
  <c r="A86" i="26" s="1"/>
  <c r="S85" i="14"/>
  <c r="S85" i="15" s="1"/>
  <c r="S85" i="16" s="1"/>
  <c r="S85" i="19" s="1"/>
  <c r="S85" i="26" s="1"/>
  <c r="R85" i="14"/>
  <c r="R85" i="15" s="1"/>
  <c r="R85" i="16" s="1"/>
  <c r="Q85" i="14"/>
  <c r="Q85" i="15" s="1"/>
  <c r="Q85" i="16" s="1"/>
  <c r="Q85" i="19" s="1"/>
  <c r="Q85" i="26" s="1"/>
  <c r="P85" i="14"/>
  <c r="W85" i="14" s="1"/>
  <c r="O85" i="14"/>
  <c r="O85" i="15" s="1"/>
  <c r="O85" i="16" s="1"/>
  <c r="O85" i="19" s="1"/>
  <c r="O85" i="26" s="1"/>
  <c r="N85" i="14"/>
  <c r="N85" i="15" s="1"/>
  <c r="N85" i="16" s="1"/>
  <c r="N85" i="19" s="1"/>
  <c r="N85" i="26" s="1"/>
  <c r="L85" i="14"/>
  <c r="L85" i="15" s="1"/>
  <c r="L85" i="16" s="1"/>
  <c r="L85" i="19" s="1"/>
  <c r="L85" i="26" s="1"/>
  <c r="K85" i="14"/>
  <c r="K85" i="15" s="1"/>
  <c r="K85" i="16" s="1"/>
  <c r="K85" i="19" s="1"/>
  <c r="K85" i="26" s="1"/>
  <c r="J85" i="14"/>
  <c r="J85" i="15" s="1"/>
  <c r="J85" i="16" s="1"/>
  <c r="J85" i="19" s="1"/>
  <c r="J85" i="26" s="1"/>
  <c r="I85" i="14"/>
  <c r="I85" i="15" s="1"/>
  <c r="I85" i="16" s="1"/>
  <c r="I85" i="19" s="1"/>
  <c r="I85" i="26" s="1"/>
  <c r="G85" i="14"/>
  <c r="G85" i="15" s="1"/>
  <c r="G85" i="16" s="1"/>
  <c r="G85" i="19" s="1"/>
  <c r="G85" i="26" s="1"/>
  <c r="F85" i="14"/>
  <c r="F85" i="15" s="1"/>
  <c r="F85" i="16" s="1"/>
  <c r="F85" i="19" s="1"/>
  <c r="F85" i="26" s="1"/>
  <c r="E85" i="14"/>
  <c r="E85" i="15" s="1"/>
  <c r="E85" i="16" s="1"/>
  <c r="E85" i="19" s="1"/>
  <c r="E85" i="26" s="1"/>
  <c r="C85" i="14"/>
  <c r="C85" i="15" s="1"/>
  <c r="C85" i="16" s="1"/>
  <c r="C85" i="19" s="1"/>
  <c r="C85" i="26" s="1"/>
  <c r="B85" i="14"/>
  <c r="B85" i="15" s="1"/>
  <c r="B85" i="16" s="1"/>
  <c r="B85" i="19" s="1"/>
  <c r="B85" i="26" s="1"/>
  <c r="A85" i="14"/>
  <c r="A85" i="15" s="1"/>
  <c r="A85" i="16" s="1"/>
  <c r="A85" i="19" s="1"/>
  <c r="A85" i="26" s="1"/>
  <c r="S84" i="14"/>
  <c r="S84" i="15" s="1"/>
  <c r="S84" i="16" s="1"/>
  <c r="S84" i="19" s="1"/>
  <c r="S84" i="26" s="1"/>
  <c r="R84" i="14"/>
  <c r="Q84" i="14"/>
  <c r="Q84" i="15" s="1"/>
  <c r="Q84" i="16" s="1"/>
  <c r="Q84" i="19" s="1"/>
  <c r="Q84" i="26" s="1"/>
  <c r="P84" i="14"/>
  <c r="O84" i="14"/>
  <c r="O84" i="15" s="1"/>
  <c r="O84" i="16" s="1"/>
  <c r="O84" i="19" s="1"/>
  <c r="O84" i="26" s="1"/>
  <c r="N84" i="14"/>
  <c r="N84" i="15" s="1"/>
  <c r="N84" i="16" s="1"/>
  <c r="N84" i="19" s="1"/>
  <c r="N84" i="26" s="1"/>
  <c r="L84" i="14"/>
  <c r="L84" i="15" s="1"/>
  <c r="L84" i="16" s="1"/>
  <c r="L84" i="19" s="1"/>
  <c r="L84" i="26" s="1"/>
  <c r="K84" i="14"/>
  <c r="K84" i="15" s="1"/>
  <c r="K84" i="16" s="1"/>
  <c r="K84" i="19" s="1"/>
  <c r="K84" i="26" s="1"/>
  <c r="J84" i="14"/>
  <c r="J84" i="15" s="1"/>
  <c r="J84" i="16" s="1"/>
  <c r="J84" i="19" s="1"/>
  <c r="J84" i="26" s="1"/>
  <c r="I84" i="14"/>
  <c r="I84" i="15" s="1"/>
  <c r="I84" i="16" s="1"/>
  <c r="I84" i="19" s="1"/>
  <c r="I84" i="26" s="1"/>
  <c r="G84" i="14"/>
  <c r="G84" i="15" s="1"/>
  <c r="G84" i="16" s="1"/>
  <c r="G84" i="19" s="1"/>
  <c r="G84" i="26" s="1"/>
  <c r="F84" i="14"/>
  <c r="F84" i="15" s="1"/>
  <c r="F84" i="16" s="1"/>
  <c r="F84" i="19" s="1"/>
  <c r="F84" i="26" s="1"/>
  <c r="E84" i="14"/>
  <c r="E84" i="15" s="1"/>
  <c r="E84" i="16" s="1"/>
  <c r="E84" i="19" s="1"/>
  <c r="E84" i="26" s="1"/>
  <c r="C84" i="14"/>
  <c r="C84" i="15" s="1"/>
  <c r="C84" i="16" s="1"/>
  <c r="C84" i="19" s="1"/>
  <c r="C84" i="26" s="1"/>
  <c r="B84" i="14"/>
  <c r="B84" i="15" s="1"/>
  <c r="B84" i="16" s="1"/>
  <c r="B84" i="19" s="1"/>
  <c r="B84" i="26" s="1"/>
  <c r="A84" i="14"/>
  <c r="A84" i="15" s="1"/>
  <c r="A84" i="16" s="1"/>
  <c r="A84" i="19" s="1"/>
  <c r="A84" i="26" s="1"/>
  <c r="S83" i="14"/>
  <c r="S83" i="15" s="1"/>
  <c r="S83" i="16" s="1"/>
  <c r="S83" i="19" s="1"/>
  <c r="S83" i="26" s="1"/>
  <c r="R83" i="14"/>
  <c r="Q83" i="14"/>
  <c r="Q83" i="15" s="1"/>
  <c r="Q83" i="16" s="1"/>
  <c r="Q83" i="19" s="1"/>
  <c r="Q83" i="26" s="1"/>
  <c r="P83" i="14"/>
  <c r="X83" i="14" s="1"/>
  <c r="O83" i="14"/>
  <c r="O83" i="15" s="1"/>
  <c r="O83" i="16" s="1"/>
  <c r="O83" i="19" s="1"/>
  <c r="O83" i="26" s="1"/>
  <c r="N83" i="14"/>
  <c r="N83" i="15" s="1"/>
  <c r="N83" i="16" s="1"/>
  <c r="N83" i="19" s="1"/>
  <c r="N83" i="26" s="1"/>
  <c r="L83" i="14"/>
  <c r="L83" i="15" s="1"/>
  <c r="L83" i="16" s="1"/>
  <c r="L83" i="19" s="1"/>
  <c r="L83" i="26" s="1"/>
  <c r="K83" i="14"/>
  <c r="K83" i="15" s="1"/>
  <c r="K83" i="16" s="1"/>
  <c r="K83" i="19" s="1"/>
  <c r="K83" i="26" s="1"/>
  <c r="J83" i="14"/>
  <c r="J83" i="15" s="1"/>
  <c r="J83" i="16" s="1"/>
  <c r="J83" i="19" s="1"/>
  <c r="J83" i="26" s="1"/>
  <c r="I83" i="14"/>
  <c r="I83" i="15" s="1"/>
  <c r="I83" i="16" s="1"/>
  <c r="I83" i="19" s="1"/>
  <c r="I83" i="26" s="1"/>
  <c r="G83" i="14"/>
  <c r="G83" i="15" s="1"/>
  <c r="G83" i="16" s="1"/>
  <c r="G83" i="19" s="1"/>
  <c r="G83" i="26" s="1"/>
  <c r="F83" i="14"/>
  <c r="F83" i="15" s="1"/>
  <c r="E83" i="14"/>
  <c r="E83" i="15" s="1"/>
  <c r="E83" i="16" s="1"/>
  <c r="E83" i="19" s="1"/>
  <c r="E83" i="26" s="1"/>
  <c r="C83" i="14"/>
  <c r="C83" i="15" s="1"/>
  <c r="B83" i="14"/>
  <c r="B83" i="15" s="1"/>
  <c r="B83" i="16" s="1"/>
  <c r="B83" i="19" s="1"/>
  <c r="B83" i="26" s="1"/>
  <c r="A83" i="14"/>
  <c r="A83" i="15" s="1"/>
  <c r="A83" i="16" s="1"/>
  <c r="A83" i="19" s="1"/>
  <c r="A83" i="26" s="1"/>
  <c r="S82" i="14"/>
  <c r="S82" i="15" s="1"/>
  <c r="S82" i="16" s="1"/>
  <c r="S82" i="19" s="1"/>
  <c r="S82" i="26" s="1"/>
  <c r="R82" i="14"/>
  <c r="Q82" i="14"/>
  <c r="Q82" i="15" s="1"/>
  <c r="Q82" i="16" s="1"/>
  <c r="Q82" i="19" s="1"/>
  <c r="Q82" i="26" s="1"/>
  <c r="P82" i="14"/>
  <c r="P82" i="15" s="1"/>
  <c r="AC82" i="15" s="1"/>
  <c r="O82" i="14"/>
  <c r="O82" i="15" s="1"/>
  <c r="O82" i="16" s="1"/>
  <c r="O82" i="19" s="1"/>
  <c r="O82" i="26" s="1"/>
  <c r="N82" i="14"/>
  <c r="N82" i="15" s="1"/>
  <c r="N82" i="16" s="1"/>
  <c r="N82" i="19" s="1"/>
  <c r="N82" i="26" s="1"/>
  <c r="L82" i="14"/>
  <c r="L82" i="15" s="1"/>
  <c r="L82" i="16" s="1"/>
  <c r="L82" i="19" s="1"/>
  <c r="L82" i="26" s="1"/>
  <c r="K82" i="14"/>
  <c r="K82" i="15" s="1"/>
  <c r="K82" i="16" s="1"/>
  <c r="K82" i="19" s="1"/>
  <c r="K82" i="26" s="1"/>
  <c r="J82" i="14"/>
  <c r="J82" i="15" s="1"/>
  <c r="J82" i="16" s="1"/>
  <c r="J82" i="19" s="1"/>
  <c r="J82" i="26" s="1"/>
  <c r="I82" i="14"/>
  <c r="I82" i="15" s="1"/>
  <c r="I82" i="16" s="1"/>
  <c r="I82" i="19" s="1"/>
  <c r="I82" i="26" s="1"/>
  <c r="G82" i="14"/>
  <c r="G82" i="15" s="1"/>
  <c r="G82" i="16" s="1"/>
  <c r="G82" i="19" s="1"/>
  <c r="G82" i="26" s="1"/>
  <c r="F82" i="14"/>
  <c r="F82" i="15" s="1"/>
  <c r="F82" i="16" s="1"/>
  <c r="F82" i="19" s="1"/>
  <c r="F82" i="26" s="1"/>
  <c r="E82" i="14"/>
  <c r="E82" i="15" s="1"/>
  <c r="E82" i="16" s="1"/>
  <c r="E82" i="19" s="1"/>
  <c r="E82" i="26" s="1"/>
  <c r="C82" i="14"/>
  <c r="C82" i="15" s="1"/>
  <c r="C82" i="16" s="1"/>
  <c r="C82" i="19" s="1"/>
  <c r="C82" i="26" s="1"/>
  <c r="B82" i="14"/>
  <c r="B82" i="15" s="1"/>
  <c r="B82" i="16" s="1"/>
  <c r="B82" i="19" s="1"/>
  <c r="B82" i="26" s="1"/>
  <c r="A82" i="14"/>
  <c r="A82" i="15" s="1"/>
  <c r="A82" i="16" s="1"/>
  <c r="A82" i="19" s="1"/>
  <c r="A82" i="26" s="1"/>
  <c r="S81" i="14"/>
  <c r="S81" i="15" s="1"/>
  <c r="S81" i="16" s="1"/>
  <c r="S81" i="19" s="1"/>
  <c r="S81" i="26" s="1"/>
  <c r="R81" i="14"/>
  <c r="R81" i="15" s="1"/>
  <c r="T81" i="15" s="1"/>
  <c r="Q81" i="14"/>
  <c r="Q81" i="15" s="1"/>
  <c r="Q81" i="16" s="1"/>
  <c r="Q81" i="19" s="1"/>
  <c r="Q81" i="26" s="1"/>
  <c r="P81" i="14"/>
  <c r="W81" i="14" s="1"/>
  <c r="O81" i="14"/>
  <c r="O81" i="15" s="1"/>
  <c r="O81" i="16" s="1"/>
  <c r="O81" i="19" s="1"/>
  <c r="O81" i="26" s="1"/>
  <c r="N81" i="14"/>
  <c r="N81" i="15" s="1"/>
  <c r="N81" i="16" s="1"/>
  <c r="N81" i="19" s="1"/>
  <c r="N81" i="26" s="1"/>
  <c r="L81" i="14"/>
  <c r="L81" i="15" s="1"/>
  <c r="L81" i="16" s="1"/>
  <c r="L81" i="19" s="1"/>
  <c r="L81" i="26" s="1"/>
  <c r="K81" i="14"/>
  <c r="K81" i="15" s="1"/>
  <c r="K81" i="16" s="1"/>
  <c r="K81" i="19" s="1"/>
  <c r="K81" i="26" s="1"/>
  <c r="J81" i="14"/>
  <c r="J81" i="15" s="1"/>
  <c r="J81" i="16" s="1"/>
  <c r="J81" i="19" s="1"/>
  <c r="J81" i="26" s="1"/>
  <c r="I81" i="14"/>
  <c r="I81" i="15" s="1"/>
  <c r="I81" i="16" s="1"/>
  <c r="I81" i="19" s="1"/>
  <c r="I81" i="26" s="1"/>
  <c r="G81" i="14"/>
  <c r="G81" i="15" s="1"/>
  <c r="G81" i="16" s="1"/>
  <c r="G81" i="19" s="1"/>
  <c r="G81" i="26" s="1"/>
  <c r="F81" i="14"/>
  <c r="F81" i="15" s="1"/>
  <c r="F81" i="16" s="1"/>
  <c r="F81" i="19" s="1"/>
  <c r="F81" i="26" s="1"/>
  <c r="E81" i="14"/>
  <c r="E81" i="15" s="1"/>
  <c r="E81" i="16" s="1"/>
  <c r="E81" i="19" s="1"/>
  <c r="E81" i="26" s="1"/>
  <c r="C81" i="14"/>
  <c r="C81" i="15" s="1"/>
  <c r="C81" i="16" s="1"/>
  <c r="C81" i="19" s="1"/>
  <c r="C81" i="26" s="1"/>
  <c r="B81" i="14"/>
  <c r="B81" i="15" s="1"/>
  <c r="B81" i="16" s="1"/>
  <c r="B81" i="19" s="1"/>
  <c r="B81" i="26" s="1"/>
  <c r="A81" i="14"/>
  <c r="A81" i="15" s="1"/>
  <c r="A81" i="16" s="1"/>
  <c r="A81" i="19" s="1"/>
  <c r="A81" i="26" s="1"/>
  <c r="S80" i="14"/>
  <c r="S80" i="15" s="1"/>
  <c r="S80" i="16" s="1"/>
  <c r="S80" i="19" s="1"/>
  <c r="S80" i="26" s="1"/>
  <c r="R80" i="14"/>
  <c r="Q80" i="14"/>
  <c r="Q80" i="15" s="1"/>
  <c r="P80" i="14"/>
  <c r="P80" i="15" s="1"/>
  <c r="X80" i="15" s="1"/>
  <c r="AA80" i="15" s="1"/>
  <c r="O80" i="14"/>
  <c r="O80" i="15" s="1"/>
  <c r="N80" i="14"/>
  <c r="N80" i="15" s="1"/>
  <c r="N80" i="16" s="1"/>
  <c r="N80" i="19" s="1"/>
  <c r="N80" i="26" s="1"/>
  <c r="L80" i="14"/>
  <c r="L80" i="15" s="1"/>
  <c r="K80" i="14"/>
  <c r="K80" i="15" s="1"/>
  <c r="K80" i="16" s="1"/>
  <c r="K80" i="19" s="1"/>
  <c r="K80" i="26" s="1"/>
  <c r="J80" i="14"/>
  <c r="J80" i="15" s="1"/>
  <c r="J80" i="16" s="1"/>
  <c r="J80" i="19" s="1"/>
  <c r="J80" i="26" s="1"/>
  <c r="I80" i="14"/>
  <c r="I80" i="15" s="1"/>
  <c r="I80" i="16" s="1"/>
  <c r="I80" i="19" s="1"/>
  <c r="I80" i="26" s="1"/>
  <c r="G80" i="14"/>
  <c r="G80" i="15" s="1"/>
  <c r="F80" i="14"/>
  <c r="F80" i="15" s="1"/>
  <c r="F80" i="16" s="1"/>
  <c r="F80" i="19" s="1"/>
  <c r="F80" i="26" s="1"/>
  <c r="E80" i="14"/>
  <c r="E80" i="15" s="1"/>
  <c r="E80" i="16" s="1"/>
  <c r="E80" i="19" s="1"/>
  <c r="E80" i="26" s="1"/>
  <c r="C80" i="14"/>
  <c r="C80" i="15" s="1"/>
  <c r="C80" i="16" s="1"/>
  <c r="C80" i="19" s="1"/>
  <c r="C80" i="26" s="1"/>
  <c r="B80" i="14"/>
  <c r="B80" i="15" s="1"/>
  <c r="B80" i="16" s="1"/>
  <c r="B80" i="19" s="1"/>
  <c r="B80" i="26" s="1"/>
  <c r="A80" i="14"/>
  <c r="A80" i="15" s="1"/>
  <c r="A80" i="16" s="1"/>
  <c r="A80" i="19" s="1"/>
  <c r="A80" i="26" s="1"/>
  <c r="S79" i="14"/>
  <c r="S79" i="15" s="1"/>
  <c r="S79" i="16" s="1"/>
  <c r="S79" i="19" s="1"/>
  <c r="S79" i="26" s="1"/>
  <c r="R79" i="14"/>
  <c r="R79" i="15" s="1"/>
  <c r="Q79" i="14"/>
  <c r="Q79" i="15" s="1"/>
  <c r="Q79" i="16" s="1"/>
  <c r="Q79" i="19" s="1"/>
  <c r="Q79" i="26" s="1"/>
  <c r="P79" i="14"/>
  <c r="O79" i="14"/>
  <c r="O79" i="15" s="1"/>
  <c r="O79" i="16" s="1"/>
  <c r="O79" i="19" s="1"/>
  <c r="O79" i="26" s="1"/>
  <c r="N79" i="14"/>
  <c r="N79" i="15" s="1"/>
  <c r="N79" i="16" s="1"/>
  <c r="N79" i="19" s="1"/>
  <c r="N79" i="26" s="1"/>
  <c r="L79" i="14"/>
  <c r="L79" i="15" s="1"/>
  <c r="L79" i="16" s="1"/>
  <c r="L79" i="19" s="1"/>
  <c r="L79" i="26" s="1"/>
  <c r="K79" i="14"/>
  <c r="K79" i="15" s="1"/>
  <c r="J79" i="14"/>
  <c r="J79" i="15" s="1"/>
  <c r="J79" i="16" s="1"/>
  <c r="J79" i="19" s="1"/>
  <c r="J79" i="26" s="1"/>
  <c r="I79" i="14"/>
  <c r="I79" i="15" s="1"/>
  <c r="G79" i="14"/>
  <c r="G79" i="15" s="1"/>
  <c r="G79" i="16" s="1"/>
  <c r="G79" i="19" s="1"/>
  <c r="G79" i="26" s="1"/>
  <c r="F79" i="14"/>
  <c r="F79" i="15" s="1"/>
  <c r="E79" i="14"/>
  <c r="E79" i="15" s="1"/>
  <c r="E79" i="16" s="1"/>
  <c r="E79" i="19" s="1"/>
  <c r="E79" i="26" s="1"/>
  <c r="C79" i="14"/>
  <c r="C79" i="15" s="1"/>
  <c r="B79" i="14"/>
  <c r="B79" i="15" s="1"/>
  <c r="B79" i="16" s="1"/>
  <c r="B79" i="19" s="1"/>
  <c r="B79" i="26" s="1"/>
  <c r="A79" i="14"/>
  <c r="A79" i="15" s="1"/>
  <c r="S78" i="14"/>
  <c r="S78" i="15" s="1"/>
  <c r="S78" i="16" s="1"/>
  <c r="S78" i="19" s="1"/>
  <c r="S78" i="26" s="1"/>
  <c r="R78" i="14"/>
  <c r="Q78" i="14"/>
  <c r="Q78" i="15" s="1"/>
  <c r="Q78" i="16" s="1"/>
  <c r="Q78" i="19" s="1"/>
  <c r="Q78" i="26" s="1"/>
  <c r="P78" i="14"/>
  <c r="W78" i="14" s="1"/>
  <c r="O78" i="14"/>
  <c r="O78" i="15" s="1"/>
  <c r="N78" i="14"/>
  <c r="N78" i="15" s="1"/>
  <c r="N78" i="16" s="1"/>
  <c r="N78" i="19" s="1"/>
  <c r="N78" i="26" s="1"/>
  <c r="L78" i="14"/>
  <c r="L78" i="15" s="1"/>
  <c r="K78" i="14"/>
  <c r="K78" i="15" s="1"/>
  <c r="K78" i="16" s="1"/>
  <c r="K78" i="19" s="1"/>
  <c r="K78" i="26" s="1"/>
  <c r="J78" i="14"/>
  <c r="J78" i="15" s="1"/>
  <c r="I78" i="14"/>
  <c r="I78" i="15" s="1"/>
  <c r="G78" i="14"/>
  <c r="G78" i="15" s="1"/>
  <c r="G78" i="16" s="1"/>
  <c r="G78" i="19" s="1"/>
  <c r="G78" i="26" s="1"/>
  <c r="F78" i="14"/>
  <c r="F78" i="15" s="1"/>
  <c r="F78" i="16" s="1"/>
  <c r="F78" i="19" s="1"/>
  <c r="F78" i="26" s="1"/>
  <c r="E78" i="14"/>
  <c r="E78" i="15" s="1"/>
  <c r="E78" i="16" s="1"/>
  <c r="E78" i="19" s="1"/>
  <c r="E78" i="26" s="1"/>
  <c r="C78" i="14"/>
  <c r="C78" i="15" s="1"/>
  <c r="C78" i="16" s="1"/>
  <c r="C78" i="19" s="1"/>
  <c r="C78" i="26" s="1"/>
  <c r="B78" i="14"/>
  <c r="B78" i="15" s="1"/>
  <c r="B78" i="16" s="1"/>
  <c r="B78" i="19" s="1"/>
  <c r="B78" i="26" s="1"/>
  <c r="A78" i="14"/>
  <c r="A78" i="15" s="1"/>
  <c r="S77" i="14"/>
  <c r="S77" i="15" s="1"/>
  <c r="S77" i="16" s="1"/>
  <c r="S77" i="19" s="1"/>
  <c r="S77" i="26" s="1"/>
  <c r="R77" i="14"/>
  <c r="Q77" i="14"/>
  <c r="Q77" i="15" s="1"/>
  <c r="Q77" i="16" s="1"/>
  <c r="Q77" i="19" s="1"/>
  <c r="Q77" i="26" s="1"/>
  <c r="P77" i="14"/>
  <c r="P77" i="15" s="1"/>
  <c r="AC77" i="15" s="1"/>
  <c r="O77" i="14"/>
  <c r="O77" i="15" s="1"/>
  <c r="O77" i="16" s="1"/>
  <c r="O77" i="19" s="1"/>
  <c r="O77" i="26" s="1"/>
  <c r="N77" i="14"/>
  <c r="N77" i="15" s="1"/>
  <c r="N77" i="16" s="1"/>
  <c r="N77" i="19" s="1"/>
  <c r="N77" i="26" s="1"/>
  <c r="L77" i="14"/>
  <c r="L77" i="15" s="1"/>
  <c r="L77" i="16" s="1"/>
  <c r="L77" i="19" s="1"/>
  <c r="L77" i="26" s="1"/>
  <c r="K77" i="14"/>
  <c r="K77" i="15" s="1"/>
  <c r="J77" i="14"/>
  <c r="J77" i="15" s="1"/>
  <c r="J77" i="16" s="1"/>
  <c r="J77" i="19" s="1"/>
  <c r="J77" i="26" s="1"/>
  <c r="I77" i="14"/>
  <c r="I77" i="15" s="1"/>
  <c r="G77" i="14"/>
  <c r="G77" i="15" s="1"/>
  <c r="G77" i="16" s="1"/>
  <c r="G77" i="19" s="1"/>
  <c r="G77" i="26" s="1"/>
  <c r="F77" i="14"/>
  <c r="F77" i="15" s="1"/>
  <c r="E77" i="14"/>
  <c r="E77" i="15" s="1"/>
  <c r="E77" i="16" s="1"/>
  <c r="E77" i="19" s="1"/>
  <c r="E77" i="26" s="1"/>
  <c r="C77" i="14"/>
  <c r="C77" i="15" s="1"/>
  <c r="B77" i="14"/>
  <c r="B77" i="15" s="1"/>
  <c r="B77" i="16" s="1"/>
  <c r="B77" i="19" s="1"/>
  <c r="B77" i="26" s="1"/>
  <c r="A77" i="14"/>
  <c r="A77" i="15" s="1"/>
  <c r="A77" i="16" s="1"/>
  <c r="A77" i="19" s="1"/>
  <c r="A77" i="26" s="1"/>
  <c r="S76" i="14"/>
  <c r="S76" i="15" s="1"/>
  <c r="S76" i="16" s="1"/>
  <c r="S76" i="19" s="1"/>
  <c r="S76" i="26" s="1"/>
  <c r="R76" i="14"/>
  <c r="Q76" i="14"/>
  <c r="Q76" i="15" s="1"/>
  <c r="Q76" i="16" s="1"/>
  <c r="Q76" i="19" s="1"/>
  <c r="Q76" i="26" s="1"/>
  <c r="P76" i="14"/>
  <c r="O76" i="14"/>
  <c r="O76" i="15" s="1"/>
  <c r="O76" i="16" s="1"/>
  <c r="O76" i="19" s="1"/>
  <c r="O76" i="26" s="1"/>
  <c r="N76" i="14"/>
  <c r="N76" i="15" s="1"/>
  <c r="N76" i="16" s="1"/>
  <c r="N76" i="19" s="1"/>
  <c r="N76" i="26" s="1"/>
  <c r="L76" i="14"/>
  <c r="L76" i="15" s="1"/>
  <c r="L76" i="16" s="1"/>
  <c r="L76" i="19" s="1"/>
  <c r="L76" i="26" s="1"/>
  <c r="K76" i="14"/>
  <c r="K76" i="15" s="1"/>
  <c r="K76" i="16" s="1"/>
  <c r="K76" i="19" s="1"/>
  <c r="K76" i="26" s="1"/>
  <c r="J76" i="14"/>
  <c r="J76" i="15" s="1"/>
  <c r="J76" i="16" s="1"/>
  <c r="J76" i="19" s="1"/>
  <c r="J76" i="26" s="1"/>
  <c r="I76" i="14"/>
  <c r="I76" i="15" s="1"/>
  <c r="I76" i="16" s="1"/>
  <c r="I76" i="19" s="1"/>
  <c r="I76" i="26" s="1"/>
  <c r="G76" i="14"/>
  <c r="G76" i="15" s="1"/>
  <c r="G76" i="16" s="1"/>
  <c r="G76" i="19" s="1"/>
  <c r="G76" i="26" s="1"/>
  <c r="F76" i="14"/>
  <c r="F76" i="15" s="1"/>
  <c r="F76" i="16" s="1"/>
  <c r="F76" i="19" s="1"/>
  <c r="F76" i="26" s="1"/>
  <c r="E76" i="14"/>
  <c r="E76" i="15" s="1"/>
  <c r="E76" i="16" s="1"/>
  <c r="E76" i="19" s="1"/>
  <c r="E76" i="26" s="1"/>
  <c r="C76" i="14"/>
  <c r="C76" i="15" s="1"/>
  <c r="C76" i="16" s="1"/>
  <c r="C76" i="19" s="1"/>
  <c r="C76" i="26" s="1"/>
  <c r="B76" i="14"/>
  <c r="B76" i="15" s="1"/>
  <c r="B76" i="16" s="1"/>
  <c r="B76" i="19" s="1"/>
  <c r="B76" i="26" s="1"/>
  <c r="A76" i="14"/>
  <c r="A76" i="15" s="1"/>
  <c r="A76" i="16" s="1"/>
  <c r="A76" i="19" s="1"/>
  <c r="A76" i="26" s="1"/>
  <c r="S75" i="14"/>
  <c r="S75" i="15" s="1"/>
  <c r="S75" i="16" s="1"/>
  <c r="S75" i="19" s="1"/>
  <c r="S75" i="26" s="1"/>
  <c r="R75" i="14"/>
  <c r="Q75" i="14"/>
  <c r="Q75" i="15" s="1"/>
  <c r="Q75" i="16" s="1"/>
  <c r="Q75" i="19" s="1"/>
  <c r="Q75" i="26" s="1"/>
  <c r="P75" i="14"/>
  <c r="O75" i="14"/>
  <c r="O75" i="15" s="1"/>
  <c r="O75" i="16" s="1"/>
  <c r="O75" i="19" s="1"/>
  <c r="O75" i="26" s="1"/>
  <c r="N75" i="14"/>
  <c r="N75" i="15" s="1"/>
  <c r="N75" i="16" s="1"/>
  <c r="N75" i="19" s="1"/>
  <c r="N75" i="26" s="1"/>
  <c r="L75" i="14"/>
  <c r="L75" i="15" s="1"/>
  <c r="L75" i="16" s="1"/>
  <c r="L75" i="19" s="1"/>
  <c r="L75" i="26" s="1"/>
  <c r="K75" i="14"/>
  <c r="K75" i="15" s="1"/>
  <c r="K75" i="16" s="1"/>
  <c r="K75" i="19" s="1"/>
  <c r="K75" i="26" s="1"/>
  <c r="J75" i="14"/>
  <c r="J75" i="15" s="1"/>
  <c r="J75" i="16" s="1"/>
  <c r="J75" i="19" s="1"/>
  <c r="J75" i="26" s="1"/>
  <c r="I75" i="14"/>
  <c r="I75" i="15" s="1"/>
  <c r="I75" i="16" s="1"/>
  <c r="I75" i="19" s="1"/>
  <c r="I75" i="26" s="1"/>
  <c r="G75" i="14"/>
  <c r="G75" i="15" s="1"/>
  <c r="G75" i="16" s="1"/>
  <c r="G75" i="19" s="1"/>
  <c r="G75" i="26" s="1"/>
  <c r="F75" i="14"/>
  <c r="F75" i="15" s="1"/>
  <c r="F75" i="16" s="1"/>
  <c r="F75" i="19" s="1"/>
  <c r="F75" i="26" s="1"/>
  <c r="E75" i="14"/>
  <c r="E75" i="15" s="1"/>
  <c r="E75" i="16" s="1"/>
  <c r="E75" i="19" s="1"/>
  <c r="E75" i="26" s="1"/>
  <c r="C75" i="14"/>
  <c r="C75" i="15" s="1"/>
  <c r="C75" i="16" s="1"/>
  <c r="C75" i="19" s="1"/>
  <c r="C75" i="26" s="1"/>
  <c r="B75" i="14"/>
  <c r="B75" i="15" s="1"/>
  <c r="B75" i="16" s="1"/>
  <c r="B75" i="19" s="1"/>
  <c r="B75" i="26" s="1"/>
  <c r="A75" i="14"/>
  <c r="A75" i="15" s="1"/>
  <c r="A75" i="16" s="1"/>
  <c r="A75" i="19" s="1"/>
  <c r="A75" i="26" s="1"/>
  <c r="U74" i="14"/>
  <c r="V74" i="14" s="1"/>
  <c r="S74" i="14"/>
  <c r="S74" i="15" s="1"/>
  <c r="S74" i="16" s="1"/>
  <c r="S74" i="19" s="1"/>
  <c r="S74" i="26" s="1"/>
  <c r="R74" i="14"/>
  <c r="R74" i="15" s="1"/>
  <c r="Q74" i="14"/>
  <c r="Q74" i="15" s="1"/>
  <c r="Q74" i="16" s="1"/>
  <c r="Q74" i="19" s="1"/>
  <c r="Q74" i="26" s="1"/>
  <c r="P74" i="14"/>
  <c r="W74" i="14" s="1"/>
  <c r="O74" i="14"/>
  <c r="O74" i="15" s="1"/>
  <c r="O74" i="16" s="1"/>
  <c r="O74" i="19" s="1"/>
  <c r="O74" i="26" s="1"/>
  <c r="N74" i="14"/>
  <c r="N74" i="15" s="1"/>
  <c r="L74" i="14"/>
  <c r="L74" i="15" s="1"/>
  <c r="L74" i="16" s="1"/>
  <c r="L74" i="19" s="1"/>
  <c r="L74" i="26" s="1"/>
  <c r="K74" i="14"/>
  <c r="K74" i="15" s="1"/>
  <c r="J74" i="14"/>
  <c r="J74" i="15" s="1"/>
  <c r="J74" i="16" s="1"/>
  <c r="J74" i="19" s="1"/>
  <c r="J74" i="26" s="1"/>
  <c r="I74" i="14"/>
  <c r="I74" i="15" s="1"/>
  <c r="I74" i="16" s="1"/>
  <c r="I74" i="19" s="1"/>
  <c r="I74" i="26" s="1"/>
  <c r="G74" i="14"/>
  <c r="G74" i="15" s="1"/>
  <c r="G74" i="16" s="1"/>
  <c r="G74" i="19" s="1"/>
  <c r="G74" i="26" s="1"/>
  <c r="F74" i="14"/>
  <c r="F74" i="15" s="1"/>
  <c r="E74" i="14"/>
  <c r="E74" i="15" s="1"/>
  <c r="E74" i="16" s="1"/>
  <c r="E74" i="19" s="1"/>
  <c r="E74" i="26" s="1"/>
  <c r="C74" i="14"/>
  <c r="C74" i="15" s="1"/>
  <c r="B74" i="14"/>
  <c r="B74" i="15" s="1"/>
  <c r="B74" i="16" s="1"/>
  <c r="B74" i="19" s="1"/>
  <c r="B74" i="26" s="1"/>
  <c r="A74" i="14"/>
  <c r="A74" i="15" s="1"/>
  <c r="U73" i="14"/>
  <c r="U73" i="15" s="1"/>
  <c r="U73" i="16" s="1"/>
  <c r="U73" i="19" s="1"/>
  <c r="U73" i="26" s="1"/>
  <c r="V73" i="26" s="1"/>
  <c r="S73" i="14"/>
  <c r="S73" i="15" s="1"/>
  <c r="R73" i="14"/>
  <c r="T73" i="14" s="1"/>
  <c r="Q73" i="14"/>
  <c r="Q73" i="15" s="1"/>
  <c r="P73" i="14"/>
  <c r="P73" i="15" s="1"/>
  <c r="P73" i="16" s="1"/>
  <c r="AC73" i="16" s="1"/>
  <c r="O73" i="14"/>
  <c r="O73" i="15" s="1"/>
  <c r="N73" i="14"/>
  <c r="N73" i="15" s="1"/>
  <c r="N73" i="16" s="1"/>
  <c r="N73" i="19" s="1"/>
  <c r="N73" i="26" s="1"/>
  <c r="L73" i="14"/>
  <c r="L73" i="15" s="1"/>
  <c r="K73" i="14"/>
  <c r="K73" i="15" s="1"/>
  <c r="K73" i="16" s="1"/>
  <c r="K73" i="19" s="1"/>
  <c r="K73" i="26" s="1"/>
  <c r="J73" i="14"/>
  <c r="J73" i="15" s="1"/>
  <c r="I73" i="14"/>
  <c r="I73" i="15" s="1"/>
  <c r="I73" i="16" s="1"/>
  <c r="I73" i="19" s="1"/>
  <c r="I73" i="26" s="1"/>
  <c r="G73" i="14"/>
  <c r="G73" i="15" s="1"/>
  <c r="F73" i="14"/>
  <c r="F73" i="15" s="1"/>
  <c r="F73" i="16" s="1"/>
  <c r="F73" i="19" s="1"/>
  <c r="F73" i="26" s="1"/>
  <c r="E73" i="14"/>
  <c r="E73" i="15" s="1"/>
  <c r="C73" i="14"/>
  <c r="C73" i="15" s="1"/>
  <c r="C73" i="16" s="1"/>
  <c r="C73" i="19" s="1"/>
  <c r="C73" i="26" s="1"/>
  <c r="B73" i="14"/>
  <c r="B73" i="15" s="1"/>
  <c r="A73" i="14"/>
  <c r="A73" i="15" s="1"/>
  <c r="A73" i="16" s="1"/>
  <c r="A73" i="19" s="1"/>
  <c r="A73" i="26" s="1"/>
  <c r="S72" i="14"/>
  <c r="S72" i="15" s="1"/>
  <c r="S72" i="16" s="1"/>
  <c r="R72" i="14"/>
  <c r="Q72" i="14"/>
  <c r="P72" i="14"/>
  <c r="X72" i="14" s="1"/>
  <c r="AA72" i="14" s="1"/>
  <c r="AH72" i="14" s="1"/>
  <c r="O72" i="14"/>
  <c r="O72" i="15" s="1"/>
  <c r="O71" i="16" s="1"/>
  <c r="N72" i="14"/>
  <c r="L72" i="14"/>
  <c r="K72" i="14"/>
  <c r="K72" i="15" s="1"/>
  <c r="J72" i="14"/>
  <c r="J72" i="15" s="1"/>
  <c r="I72" i="14"/>
  <c r="G72" i="14"/>
  <c r="G72" i="15" s="1"/>
  <c r="F72" i="14"/>
  <c r="F72" i="15" s="1"/>
  <c r="F72" i="16" s="1"/>
  <c r="E72" i="14"/>
  <c r="E72" i="15" s="1"/>
  <c r="E72" i="16" s="1"/>
  <c r="C72" i="14"/>
  <c r="B72" i="14"/>
  <c r="B72" i="15" s="1"/>
  <c r="B72" i="16" s="1"/>
  <c r="A72" i="14"/>
  <c r="S69" i="14"/>
  <c r="S69" i="15" s="1"/>
  <c r="S69" i="16" s="1"/>
  <c r="S69" i="19" s="1"/>
  <c r="S69" i="26" s="1"/>
  <c r="R69" i="14"/>
  <c r="T69" i="14" s="1"/>
  <c r="Q69" i="14"/>
  <c r="Q69" i="15" s="1"/>
  <c r="Q69" i="16" s="1"/>
  <c r="Q69" i="19" s="1"/>
  <c r="Q69" i="26" s="1"/>
  <c r="P69" i="14"/>
  <c r="O69" i="14"/>
  <c r="O69" i="15" s="1"/>
  <c r="O69" i="16" s="1"/>
  <c r="O69" i="19" s="1"/>
  <c r="O69" i="26" s="1"/>
  <c r="N69" i="14"/>
  <c r="N69" i="15" s="1"/>
  <c r="N69" i="16" s="1"/>
  <c r="N69" i="19" s="1"/>
  <c r="N69" i="26" s="1"/>
  <c r="L69" i="14"/>
  <c r="L69" i="15" s="1"/>
  <c r="L69" i="16" s="1"/>
  <c r="L69" i="19" s="1"/>
  <c r="L69" i="26" s="1"/>
  <c r="K69" i="14"/>
  <c r="K69" i="15" s="1"/>
  <c r="K69" i="16" s="1"/>
  <c r="K69" i="19" s="1"/>
  <c r="K69" i="26" s="1"/>
  <c r="J69" i="14"/>
  <c r="J69" i="15" s="1"/>
  <c r="J69" i="16" s="1"/>
  <c r="J69" i="19" s="1"/>
  <c r="J69" i="26" s="1"/>
  <c r="I69" i="14"/>
  <c r="I69" i="15" s="1"/>
  <c r="I69" i="16" s="1"/>
  <c r="I69" i="19" s="1"/>
  <c r="I69" i="26" s="1"/>
  <c r="G69" i="14"/>
  <c r="G69" i="15" s="1"/>
  <c r="F69" i="14"/>
  <c r="F69" i="15" s="1"/>
  <c r="F69" i="16" s="1"/>
  <c r="F69" i="19" s="1"/>
  <c r="F69" i="26" s="1"/>
  <c r="E69" i="14"/>
  <c r="E69" i="15" s="1"/>
  <c r="C69" i="14"/>
  <c r="C69" i="15" s="1"/>
  <c r="C69" i="16" s="1"/>
  <c r="C69" i="19" s="1"/>
  <c r="C69" i="26" s="1"/>
  <c r="B69" i="14"/>
  <c r="B69" i="15" s="1"/>
  <c r="B69" i="16" s="1"/>
  <c r="B69" i="19" s="1"/>
  <c r="B69" i="26" s="1"/>
  <c r="A69" i="14"/>
  <c r="A69" i="15" s="1"/>
  <c r="A69" i="16" s="1"/>
  <c r="A69" i="19" s="1"/>
  <c r="A69" i="26" s="1"/>
  <c r="S68" i="14"/>
  <c r="S68" i="15" s="1"/>
  <c r="S68" i="16" s="1"/>
  <c r="S68" i="19" s="1"/>
  <c r="S68" i="26" s="1"/>
  <c r="R68" i="14"/>
  <c r="Q68" i="14"/>
  <c r="Q68" i="15" s="1"/>
  <c r="Q68" i="16" s="1"/>
  <c r="Q68" i="19" s="1"/>
  <c r="Q68" i="26" s="1"/>
  <c r="P68" i="14"/>
  <c r="O68" i="14"/>
  <c r="O68" i="15" s="1"/>
  <c r="O68" i="16" s="1"/>
  <c r="O68" i="19" s="1"/>
  <c r="O68" i="26" s="1"/>
  <c r="N68" i="14"/>
  <c r="N68" i="15" s="1"/>
  <c r="N68" i="16" s="1"/>
  <c r="N68" i="19" s="1"/>
  <c r="N68" i="26" s="1"/>
  <c r="L68" i="14"/>
  <c r="L68" i="15" s="1"/>
  <c r="L68" i="16" s="1"/>
  <c r="L68" i="19" s="1"/>
  <c r="L68" i="26" s="1"/>
  <c r="K68" i="14"/>
  <c r="K68" i="15" s="1"/>
  <c r="K68" i="16" s="1"/>
  <c r="K68" i="19" s="1"/>
  <c r="K68" i="26" s="1"/>
  <c r="J68" i="14"/>
  <c r="J68" i="15" s="1"/>
  <c r="J68" i="16" s="1"/>
  <c r="J68" i="19" s="1"/>
  <c r="J68" i="26" s="1"/>
  <c r="I68" i="14"/>
  <c r="I68" i="15" s="1"/>
  <c r="I68" i="16" s="1"/>
  <c r="I68" i="19" s="1"/>
  <c r="I68" i="26" s="1"/>
  <c r="G68" i="14"/>
  <c r="G68" i="15" s="1"/>
  <c r="G68" i="16" s="1"/>
  <c r="G68" i="19" s="1"/>
  <c r="G68" i="26" s="1"/>
  <c r="F68" i="14"/>
  <c r="F68" i="15" s="1"/>
  <c r="F68" i="16" s="1"/>
  <c r="F68" i="19" s="1"/>
  <c r="F68" i="26" s="1"/>
  <c r="E68" i="14"/>
  <c r="E68" i="15" s="1"/>
  <c r="E68" i="16" s="1"/>
  <c r="E68" i="19" s="1"/>
  <c r="E68" i="26" s="1"/>
  <c r="C68" i="14"/>
  <c r="C68" i="15" s="1"/>
  <c r="C68" i="16" s="1"/>
  <c r="C68" i="19" s="1"/>
  <c r="C68" i="26" s="1"/>
  <c r="B68" i="14"/>
  <c r="B68" i="15" s="1"/>
  <c r="B68" i="16" s="1"/>
  <c r="B68" i="19" s="1"/>
  <c r="B68" i="26" s="1"/>
  <c r="A68" i="14"/>
  <c r="A68" i="15" s="1"/>
  <c r="S67" i="14"/>
  <c r="S67" i="15" s="1"/>
  <c r="S67" i="16" s="1"/>
  <c r="S67" i="19" s="1"/>
  <c r="S67" i="26" s="1"/>
  <c r="R67" i="14"/>
  <c r="Q67" i="14"/>
  <c r="Q67" i="15" s="1"/>
  <c r="Q67" i="16" s="1"/>
  <c r="Q67" i="19" s="1"/>
  <c r="Q67" i="26" s="1"/>
  <c r="P67" i="14"/>
  <c r="P67" i="15" s="1"/>
  <c r="P67" i="16" s="1"/>
  <c r="P67" i="19" s="1"/>
  <c r="O67" i="14"/>
  <c r="O67" i="15" s="1"/>
  <c r="O67" i="16" s="1"/>
  <c r="O67" i="19" s="1"/>
  <c r="O67" i="26" s="1"/>
  <c r="N67" i="14"/>
  <c r="N67" i="15" s="1"/>
  <c r="N67" i="16" s="1"/>
  <c r="N67" i="19" s="1"/>
  <c r="N67" i="26" s="1"/>
  <c r="L67" i="14"/>
  <c r="L67" i="15" s="1"/>
  <c r="L67" i="16" s="1"/>
  <c r="L67" i="19" s="1"/>
  <c r="L67" i="26" s="1"/>
  <c r="K67" i="14"/>
  <c r="K67" i="15" s="1"/>
  <c r="J67" i="14"/>
  <c r="J67" i="15" s="1"/>
  <c r="J67" i="16" s="1"/>
  <c r="J67" i="19" s="1"/>
  <c r="J67" i="26" s="1"/>
  <c r="I67" i="14"/>
  <c r="I67" i="15" s="1"/>
  <c r="G67" i="14"/>
  <c r="G67" i="15" s="1"/>
  <c r="G67" i="16" s="1"/>
  <c r="G67" i="19" s="1"/>
  <c r="G67" i="26" s="1"/>
  <c r="F67" i="14"/>
  <c r="F67" i="15" s="1"/>
  <c r="E67" i="14"/>
  <c r="E67" i="15" s="1"/>
  <c r="E67" i="16" s="1"/>
  <c r="E67" i="19" s="1"/>
  <c r="E67" i="26" s="1"/>
  <c r="C67" i="14"/>
  <c r="C67" i="15" s="1"/>
  <c r="B67" i="14"/>
  <c r="B67" i="15" s="1"/>
  <c r="B67" i="16" s="1"/>
  <c r="B67" i="19" s="1"/>
  <c r="B67" i="26" s="1"/>
  <c r="A67" i="14"/>
  <c r="A67" i="15" s="1"/>
  <c r="S66" i="14"/>
  <c r="S66" i="15" s="1"/>
  <c r="R66" i="14"/>
  <c r="R66" i="15" s="1"/>
  <c r="R66" i="16" s="1"/>
  <c r="R66" i="19" s="1"/>
  <c r="R66" i="26" s="1"/>
  <c r="Q66" i="14"/>
  <c r="Q66" i="15" s="1"/>
  <c r="Q66" i="16" s="1"/>
  <c r="Q66" i="19" s="1"/>
  <c r="Q66" i="26" s="1"/>
  <c r="P66" i="14"/>
  <c r="P66" i="15" s="1"/>
  <c r="AC66" i="15" s="1"/>
  <c r="O66" i="14"/>
  <c r="O66" i="15" s="1"/>
  <c r="O66" i="16" s="1"/>
  <c r="O66" i="19" s="1"/>
  <c r="O66" i="26" s="1"/>
  <c r="N66" i="14"/>
  <c r="N66" i="15" s="1"/>
  <c r="N66" i="16" s="1"/>
  <c r="N66" i="19" s="1"/>
  <c r="N66" i="26" s="1"/>
  <c r="L66" i="14"/>
  <c r="L66" i="15" s="1"/>
  <c r="L66" i="16" s="1"/>
  <c r="L66" i="19" s="1"/>
  <c r="L66" i="26" s="1"/>
  <c r="K66" i="14"/>
  <c r="K66" i="15" s="1"/>
  <c r="K66" i="16" s="1"/>
  <c r="K66" i="19" s="1"/>
  <c r="K66" i="26" s="1"/>
  <c r="J66" i="14"/>
  <c r="J66" i="15" s="1"/>
  <c r="J66" i="16" s="1"/>
  <c r="J66" i="19" s="1"/>
  <c r="J66" i="26" s="1"/>
  <c r="I66" i="14"/>
  <c r="I66" i="15" s="1"/>
  <c r="I66" i="16" s="1"/>
  <c r="I66" i="19" s="1"/>
  <c r="I66" i="26" s="1"/>
  <c r="G66" i="14"/>
  <c r="G66" i="15" s="1"/>
  <c r="G66" i="16" s="1"/>
  <c r="G66" i="19" s="1"/>
  <c r="G66" i="26" s="1"/>
  <c r="F66" i="14"/>
  <c r="F66" i="15" s="1"/>
  <c r="F66" i="16" s="1"/>
  <c r="F66" i="19" s="1"/>
  <c r="F66" i="26" s="1"/>
  <c r="E66" i="14"/>
  <c r="E66" i="15" s="1"/>
  <c r="E66" i="16" s="1"/>
  <c r="E66" i="19" s="1"/>
  <c r="E66" i="26" s="1"/>
  <c r="C66" i="14"/>
  <c r="C66" i="15" s="1"/>
  <c r="C66" i="16" s="1"/>
  <c r="C66" i="19" s="1"/>
  <c r="C66" i="26" s="1"/>
  <c r="B66" i="14"/>
  <c r="B66" i="15" s="1"/>
  <c r="B66" i="16" s="1"/>
  <c r="B66" i="19" s="1"/>
  <c r="B66" i="26" s="1"/>
  <c r="A66" i="14"/>
  <c r="A66" i="15" s="1"/>
  <c r="A66" i="16" s="1"/>
  <c r="A66" i="19" s="1"/>
  <c r="A66" i="26" s="1"/>
  <c r="S61" i="14"/>
  <c r="R61" i="14"/>
  <c r="R61" i="15" s="1"/>
  <c r="Q61" i="14"/>
  <c r="Q61" i="15" s="1"/>
  <c r="Q61" i="16" s="1"/>
  <c r="Q61" i="19" s="1"/>
  <c r="Q61" i="26" s="1"/>
  <c r="P61" i="14"/>
  <c r="P61" i="15" s="1"/>
  <c r="AC61" i="15" s="1"/>
  <c r="O61" i="14"/>
  <c r="O61" i="15" s="1"/>
  <c r="O61" i="16" s="1"/>
  <c r="O61" i="19" s="1"/>
  <c r="O61" i="26" s="1"/>
  <c r="N61" i="14"/>
  <c r="N61" i="15" s="1"/>
  <c r="N61" i="16" s="1"/>
  <c r="N61" i="19" s="1"/>
  <c r="N61" i="26" s="1"/>
  <c r="L61" i="14"/>
  <c r="L61" i="15" s="1"/>
  <c r="L61" i="16" s="1"/>
  <c r="L61" i="19" s="1"/>
  <c r="L61" i="26" s="1"/>
  <c r="K61" i="14"/>
  <c r="K61" i="15" s="1"/>
  <c r="K61" i="16" s="1"/>
  <c r="K61" i="19" s="1"/>
  <c r="K61" i="26" s="1"/>
  <c r="J61" i="14"/>
  <c r="J61" i="15" s="1"/>
  <c r="J61" i="16" s="1"/>
  <c r="J61" i="19" s="1"/>
  <c r="J61" i="26" s="1"/>
  <c r="I61" i="14"/>
  <c r="I61" i="15" s="1"/>
  <c r="I61" i="16" s="1"/>
  <c r="I61" i="19" s="1"/>
  <c r="I61" i="26" s="1"/>
  <c r="G61" i="14"/>
  <c r="G61" i="15" s="1"/>
  <c r="G61" i="16" s="1"/>
  <c r="G61" i="19" s="1"/>
  <c r="G61" i="26" s="1"/>
  <c r="F61" i="14"/>
  <c r="F61" i="15" s="1"/>
  <c r="F61" i="16" s="1"/>
  <c r="F61" i="19" s="1"/>
  <c r="F61" i="26" s="1"/>
  <c r="E61" i="14"/>
  <c r="E61" i="15" s="1"/>
  <c r="E61" i="16" s="1"/>
  <c r="E61" i="19" s="1"/>
  <c r="E61" i="26" s="1"/>
  <c r="C61" i="15"/>
  <c r="B61" i="15"/>
  <c r="B61" i="16" s="1"/>
  <c r="B61" i="19" s="1"/>
  <c r="B61" i="26" s="1"/>
  <c r="A61" i="14"/>
  <c r="A61" i="15" s="1"/>
  <c r="A61" i="16" s="1"/>
  <c r="A61" i="19" s="1"/>
  <c r="A61" i="26" s="1"/>
  <c r="S65" i="14"/>
  <c r="S65" i="15" s="1"/>
  <c r="S65" i="16" s="1"/>
  <c r="S65" i="19" s="1"/>
  <c r="S65" i="26" s="1"/>
  <c r="R65" i="14"/>
  <c r="R65" i="15" s="1"/>
  <c r="Q65" i="14"/>
  <c r="Q65" i="15" s="1"/>
  <c r="Q65" i="16" s="1"/>
  <c r="Q65" i="19" s="1"/>
  <c r="Q65" i="26" s="1"/>
  <c r="P65" i="14"/>
  <c r="P65" i="15" s="1"/>
  <c r="P65" i="16" s="1"/>
  <c r="O65" i="14"/>
  <c r="O65" i="15" s="1"/>
  <c r="O65" i="16" s="1"/>
  <c r="O65" i="19" s="1"/>
  <c r="O65" i="26" s="1"/>
  <c r="N65" i="14"/>
  <c r="N65" i="15" s="1"/>
  <c r="L65" i="14"/>
  <c r="L65" i="15" s="1"/>
  <c r="L65" i="16" s="1"/>
  <c r="L65" i="19" s="1"/>
  <c r="L65" i="26" s="1"/>
  <c r="K65" i="14"/>
  <c r="K65" i="15" s="1"/>
  <c r="J65" i="14"/>
  <c r="J65" i="15" s="1"/>
  <c r="J65" i="16" s="1"/>
  <c r="J65" i="19" s="1"/>
  <c r="J65" i="26" s="1"/>
  <c r="I65" i="14"/>
  <c r="I65" i="15" s="1"/>
  <c r="G65" i="14"/>
  <c r="G65" i="15" s="1"/>
  <c r="G65" i="16" s="1"/>
  <c r="G65" i="19" s="1"/>
  <c r="G65" i="26" s="1"/>
  <c r="F65" i="14"/>
  <c r="F65" i="15" s="1"/>
  <c r="E65" i="14"/>
  <c r="E65" i="15" s="1"/>
  <c r="E65" i="16" s="1"/>
  <c r="E65" i="19" s="1"/>
  <c r="E65" i="26" s="1"/>
  <c r="C65" i="15"/>
  <c r="B65" i="15"/>
  <c r="B65" i="16" s="1"/>
  <c r="B65" i="19" s="1"/>
  <c r="B65" i="26" s="1"/>
  <c r="A65" i="14"/>
  <c r="A65" i="15" s="1"/>
  <c r="A65" i="16" s="1"/>
  <c r="A65" i="19" s="1"/>
  <c r="A65" i="26" s="1"/>
  <c r="S64" i="14"/>
  <c r="R64" i="14"/>
  <c r="R64" i="15" s="1"/>
  <c r="Q64" i="14"/>
  <c r="Q64" i="15" s="1"/>
  <c r="Q64" i="16" s="1"/>
  <c r="Q64" i="19" s="1"/>
  <c r="Q64" i="26" s="1"/>
  <c r="P64" i="14"/>
  <c r="P64" i="15" s="1"/>
  <c r="AC64" i="15" s="1"/>
  <c r="O64" i="14"/>
  <c r="O64" i="15" s="1"/>
  <c r="O64" i="16" s="1"/>
  <c r="O64" i="19" s="1"/>
  <c r="O64" i="26" s="1"/>
  <c r="N64" i="14"/>
  <c r="N64" i="15" s="1"/>
  <c r="N64" i="16" s="1"/>
  <c r="N64" i="19" s="1"/>
  <c r="N64" i="26" s="1"/>
  <c r="L64" i="14"/>
  <c r="L64" i="15" s="1"/>
  <c r="L64" i="16" s="1"/>
  <c r="L64" i="19" s="1"/>
  <c r="L64" i="26" s="1"/>
  <c r="K64" i="14"/>
  <c r="K64" i="15" s="1"/>
  <c r="J64" i="14"/>
  <c r="J64" i="15" s="1"/>
  <c r="J64" i="16" s="1"/>
  <c r="J64" i="19" s="1"/>
  <c r="J64" i="26" s="1"/>
  <c r="I64" i="14"/>
  <c r="I64" i="15" s="1"/>
  <c r="G64" i="14"/>
  <c r="G64" i="15" s="1"/>
  <c r="G64" i="16" s="1"/>
  <c r="G64" i="19" s="1"/>
  <c r="G64" i="26" s="1"/>
  <c r="F64" i="14"/>
  <c r="F64" i="15" s="1"/>
  <c r="E64" i="14"/>
  <c r="E64" i="15" s="1"/>
  <c r="E64" i="16" s="1"/>
  <c r="E64" i="19" s="1"/>
  <c r="E64" i="26" s="1"/>
  <c r="C64" i="14"/>
  <c r="C64" i="15" s="1"/>
  <c r="C64" i="16" s="1"/>
  <c r="C64" i="19" s="1"/>
  <c r="C64" i="26" s="1"/>
  <c r="B64" i="14"/>
  <c r="B64" i="15" s="1"/>
  <c r="B64" i="16" s="1"/>
  <c r="B64" i="19" s="1"/>
  <c r="B64" i="26" s="1"/>
  <c r="A64" i="14"/>
  <c r="A64" i="15" s="1"/>
  <c r="A64" i="16" s="1"/>
  <c r="A64" i="19" s="1"/>
  <c r="A64" i="26" s="1"/>
  <c r="S63" i="14"/>
  <c r="S63" i="15" s="1"/>
  <c r="R63" i="14"/>
  <c r="R63" i="15" s="1"/>
  <c r="Q63" i="14"/>
  <c r="Q63" i="15" s="1"/>
  <c r="Q63" i="16" s="1"/>
  <c r="Q63" i="19" s="1"/>
  <c r="Q63" i="26" s="1"/>
  <c r="P63" i="14"/>
  <c r="P63" i="15" s="1"/>
  <c r="AC63" i="15" s="1"/>
  <c r="O63" i="14"/>
  <c r="O63" i="15" s="1"/>
  <c r="O63" i="16" s="1"/>
  <c r="O63" i="19" s="1"/>
  <c r="O63" i="26" s="1"/>
  <c r="N63" i="14"/>
  <c r="N63" i="15" s="1"/>
  <c r="L63" i="14"/>
  <c r="L63" i="15" s="1"/>
  <c r="L63" i="16" s="1"/>
  <c r="L63" i="19" s="1"/>
  <c r="L63" i="26" s="1"/>
  <c r="K63" i="14"/>
  <c r="K63" i="15" s="1"/>
  <c r="J63" i="14"/>
  <c r="J63" i="15" s="1"/>
  <c r="J63" i="16" s="1"/>
  <c r="J63" i="19" s="1"/>
  <c r="J63" i="26" s="1"/>
  <c r="I63" i="14"/>
  <c r="I63" i="15" s="1"/>
  <c r="G63" i="14"/>
  <c r="G63" i="15" s="1"/>
  <c r="G63" i="16" s="1"/>
  <c r="G63" i="19" s="1"/>
  <c r="G63" i="26" s="1"/>
  <c r="F63" i="14"/>
  <c r="F63" i="15" s="1"/>
  <c r="F63" i="16" s="1"/>
  <c r="F63" i="19" s="1"/>
  <c r="F63" i="26" s="1"/>
  <c r="E63" i="14"/>
  <c r="E63" i="15" s="1"/>
  <c r="E63" i="16" s="1"/>
  <c r="E63" i="19" s="1"/>
  <c r="E63" i="26" s="1"/>
  <c r="C63" i="14"/>
  <c r="C63" i="15" s="1"/>
  <c r="C63" i="16" s="1"/>
  <c r="C63" i="19" s="1"/>
  <c r="C63" i="26" s="1"/>
  <c r="B63" i="14"/>
  <c r="B63" i="15" s="1"/>
  <c r="B63" i="16" s="1"/>
  <c r="B63" i="19" s="1"/>
  <c r="B63" i="26" s="1"/>
  <c r="A63" i="14"/>
  <c r="A63" i="15" s="1"/>
  <c r="A63" i="16" s="1"/>
  <c r="A63" i="19" s="1"/>
  <c r="A63" i="26" s="1"/>
  <c r="U60" i="14"/>
  <c r="V60" i="14" s="1"/>
  <c r="S60" i="14"/>
  <c r="S60" i="15" s="1"/>
  <c r="R60" i="14"/>
  <c r="R60" i="15" s="1"/>
  <c r="R60" i="16" s="1"/>
  <c r="Q60" i="14"/>
  <c r="Q60" i="15" s="1"/>
  <c r="P60" i="14"/>
  <c r="X60" i="14" s="1"/>
  <c r="O60" i="14"/>
  <c r="O60" i="15" s="1"/>
  <c r="O60" i="16" s="1"/>
  <c r="O60" i="19" s="1"/>
  <c r="O60" i="26" s="1"/>
  <c r="N60" i="14"/>
  <c r="N60" i="15" s="1"/>
  <c r="N60" i="16" s="1"/>
  <c r="N60" i="19" s="1"/>
  <c r="N60" i="26" s="1"/>
  <c r="L60" i="14"/>
  <c r="L60" i="15" s="1"/>
  <c r="L60" i="16" s="1"/>
  <c r="L60" i="19" s="1"/>
  <c r="L60" i="26" s="1"/>
  <c r="K60" i="14"/>
  <c r="K60" i="15" s="1"/>
  <c r="K60" i="16" s="1"/>
  <c r="K60" i="19" s="1"/>
  <c r="K60" i="26" s="1"/>
  <c r="J60" i="14"/>
  <c r="J60" i="15" s="1"/>
  <c r="J60" i="16" s="1"/>
  <c r="J60" i="19" s="1"/>
  <c r="J60" i="26" s="1"/>
  <c r="I60" i="14"/>
  <c r="I60" i="15" s="1"/>
  <c r="I60" i="16" s="1"/>
  <c r="I60" i="19" s="1"/>
  <c r="I60" i="26" s="1"/>
  <c r="G60" i="14"/>
  <c r="G60" i="15" s="1"/>
  <c r="G60" i="16" s="1"/>
  <c r="G60" i="19" s="1"/>
  <c r="G60" i="26" s="1"/>
  <c r="F60" i="14"/>
  <c r="F60" i="15" s="1"/>
  <c r="F60" i="16" s="1"/>
  <c r="F60" i="19" s="1"/>
  <c r="F60" i="26" s="1"/>
  <c r="E60" i="14"/>
  <c r="E60" i="15" s="1"/>
  <c r="E60" i="16" s="1"/>
  <c r="E60" i="19" s="1"/>
  <c r="E60" i="26" s="1"/>
  <c r="C60" i="14"/>
  <c r="C60" i="15" s="1"/>
  <c r="C60" i="16" s="1"/>
  <c r="C60" i="19" s="1"/>
  <c r="C60" i="26" s="1"/>
  <c r="B60" i="14"/>
  <c r="B60" i="15" s="1"/>
  <c r="B60" i="16" s="1"/>
  <c r="B60" i="19" s="1"/>
  <c r="B60" i="26" s="1"/>
  <c r="A60" i="14"/>
  <c r="A60" i="15" s="1"/>
  <c r="U70" i="14"/>
  <c r="V70" i="14" s="1"/>
  <c r="S70" i="14"/>
  <c r="S70" i="15" s="1"/>
  <c r="S70" i="16" s="1"/>
  <c r="S70" i="19" s="1"/>
  <c r="S70" i="26" s="1"/>
  <c r="R70" i="14"/>
  <c r="T70" i="14" s="1"/>
  <c r="Q70" i="14"/>
  <c r="Q70" i="15" s="1"/>
  <c r="P70" i="14"/>
  <c r="O70" i="14"/>
  <c r="O70" i="15" s="1"/>
  <c r="N70" i="14"/>
  <c r="N70" i="15" s="1"/>
  <c r="N70" i="16" s="1"/>
  <c r="N70" i="19" s="1"/>
  <c r="N70" i="26" s="1"/>
  <c r="L70" i="14"/>
  <c r="L70" i="15" s="1"/>
  <c r="K70" i="14"/>
  <c r="K70" i="15" s="1"/>
  <c r="K70" i="16" s="1"/>
  <c r="K70" i="19" s="1"/>
  <c r="K70" i="26" s="1"/>
  <c r="J70" i="14"/>
  <c r="J70" i="15" s="1"/>
  <c r="I70" i="14"/>
  <c r="I70" i="15" s="1"/>
  <c r="I70" i="16" s="1"/>
  <c r="I70" i="19" s="1"/>
  <c r="I70" i="26" s="1"/>
  <c r="G70" i="14"/>
  <c r="G70" i="15" s="1"/>
  <c r="G70" i="16" s="1"/>
  <c r="G70" i="19" s="1"/>
  <c r="G70" i="26" s="1"/>
  <c r="F70" i="14"/>
  <c r="F70" i="15" s="1"/>
  <c r="F70" i="16" s="1"/>
  <c r="F70" i="19" s="1"/>
  <c r="F70" i="26" s="1"/>
  <c r="E70" i="14"/>
  <c r="E70" i="15" s="1"/>
  <c r="E70" i="16" s="1"/>
  <c r="E70" i="19" s="1"/>
  <c r="E70" i="26" s="1"/>
  <c r="C70" i="14"/>
  <c r="C70" i="15" s="1"/>
  <c r="C70" i="16" s="1"/>
  <c r="C70" i="19" s="1"/>
  <c r="C70" i="26" s="1"/>
  <c r="B70" i="14"/>
  <c r="B70" i="15" s="1"/>
  <c r="B70" i="16" s="1"/>
  <c r="B70" i="19" s="1"/>
  <c r="B70" i="26" s="1"/>
  <c r="A70" i="14"/>
  <c r="A70" i="15" s="1"/>
  <c r="A70" i="16" s="1"/>
  <c r="A70" i="19" s="1"/>
  <c r="A70" i="26" s="1"/>
  <c r="S59" i="14"/>
  <c r="S59" i="15" s="1"/>
  <c r="R59" i="14"/>
  <c r="Q59" i="14"/>
  <c r="Q59" i="15" s="1"/>
  <c r="P59" i="14"/>
  <c r="P59" i="15" s="1"/>
  <c r="O59" i="14"/>
  <c r="O59" i="15" s="1"/>
  <c r="N59" i="14"/>
  <c r="N59" i="15" s="1"/>
  <c r="N59" i="16" s="1"/>
  <c r="N59" i="19" s="1"/>
  <c r="N59" i="26" s="1"/>
  <c r="L59" i="14"/>
  <c r="L59" i="15" s="1"/>
  <c r="K59" i="14"/>
  <c r="K59" i="15" s="1"/>
  <c r="K59" i="16" s="1"/>
  <c r="K59" i="19" s="1"/>
  <c r="K59" i="26" s="1"/>
  <c r="J59" i="14"/>
  <c r="J59" i="15" s="1"/>
  <c r="I59" i="14"/>
  <c r="I59" i="15" s="1"/>
  <c r="I59" i="16" s="1"/>
  <c r="I59" i="19" s="1"/>
  <c r="I59" i="26" s="1"/>
  <c r="G59" i="14"/>
  <c r="G59" i="15" s="1"/>
  <c r="G59" i="16" s="1"/>
  <c r="G59" i="19" s="1"/>
  <c r="G59" i="26" s="1"/>
  <c r="F59" i="14"/>
  <c r="F59" i="15" s="1"/>
  <c r="F59" i="16" s="1"/>
  <c r="F59" i="19" s="1"/>
  <c r="F59" i="26" s="1"/>
  <c r="E59" i="14"/>
  <c r="E59" i="15" s="1"/>
  <c r="C59" i="14"/>
  <c r="C59" i="15" s="1"/>
  <c r="C59" i="16" s="1"/>
  <c r="C59" i="19" s="1"/>
  <c r="C59" i="26" s="1"/>
  <c r="B59" i="14"/>
  <c r="B59" i="15" s="1"/>
  <c r="B59" i="16" s="1"/>
  <c r="B59" i="19" s="1"/>
  <c r="B59" i="26" s="1"/>
  <c r="A59" i="14"/>
  <c r="A59" i="15" s="1"/>
  <c r="A59" i="16" s="1"/>
  <c r="A59" i="19" s="1"/>
  <c r="A59" i="26" s="1"/>
  <c r="S58" i="14"/>
  <c r="S58" i="15" s="1"/>
  <c r="S58" i="16" s="1"/>
  <c r="R58" i="14"/>
  <c r="R58" i="15" s="1"/>
  <c r="R58" i="16" s="1"/>
  <c r="R58" i="19" s="1"/>
  <c r="R58" i="26" s="1"/>
  <c r="Q58" i="14"/>
  <c r="Q58" i="15" s="1"/>
  <c r="Q58" i="16" s="1"/>
  <c r="Q58" i="19" s="1"/>
  <c r="Q58" i="26" s="1"/>
  <c r="P58" i="14"/>
  <c r="O58" i="14"/>
  <c r="O58" i="15" s="1"/>
  <c r="O58" i="16" s="1"/>
  <c r="O58" i="19" s="1"/>
  <c r="O58" i="26" s="1"/>
  <c r="N58" i="14"/>
  <c r="N58" i="15" s="1"/>
  <c r="N58" i="16" s="1"/>
  <c r="N58" i="19" s="1"/>
  <c r="N58" i="26" s="1"/>
  <c r="L58" i="14"/>
  <c r="L58" i="15" s="1"/>
  <c r="K58" i="14"/>
  <c r="K58" i="15" s="1"/>
  <c r="K58" i="16" s="1"/>
  <c r="K58" i="19" s="1"/>
  <c r="K58" i="26" s="1"/>
  <c r="J58" i="14"/>
  <c r="J58" i="15" s="1"/>
  <c r="I58" i="14"/>
  <c r="I58" i="15" s="1"/>
  <c r="I58" i="16" s="1"/>
  <c r="I58" i="19" s="1"/>
  <c r="I58" i="26" s="1"/>
  <c r="G58" i="14"/>
  <c r="G58" i="15" s="1"/>
  <c r="F58" i="14"/>
  <c r="F58" i="15" s="1"/>
  <c r="F58" i="16" s="1"/>
  <c r="F58" i="19" s="1"/>
  <c r="F58" i="26" s="1"/>
  <c r="E58" i="14"/>
  <c r="E58" i="15" s="1"/>
  <c r="C58" i="14"/>
  <c r="C58" i="15" s="1"/>
  <c r="C58" i="16" s="1"/>
  <c r="C58" i="19" s="1"/>
  <c r="C58" i="26" s="1"/>
  <c r="B58" i="14"/>
  <c r="B58" i="15" s="1"/>
  <c r="B58" i="16" s="1"/>
  <c r="B58" i="19" s="1"/>
  <c r="B58" i="26" s="1"/>
  <c r="A58" i="14"/>
  <c r="A58" i="15" s="1"/>
  <c r="A58" i="16" s="1"/>
  <c r="A58" i="19" s="1"/>
  <c r="A58" i="26" s="1"/>
  <c r="S57" i="14"/>
  <c r="S57" i="15" s="1"/>
  <c r="R57" i="14"/>
  <c r="Q57" i="14"/>
  <c r="Q57" i="15" s="1"/>
  <c r="P57" i="14"/>
  <c r="P57" i="15" s="1"/>
  <c r="P57" i="16" s="1"/>
  <c r="P57" i="19" s="1"/>
  <c r="O57" i="14"/>
  <c r="O57" i="15" s="1"/>
  <c r="N57" i="14"/>
  <c r="N57" i="15" s="1"/>
  <c r="N57" i="16" s="1"/>
  <c r="N57" i="19" s="1"/>
  <c r="N57" i="26" s="1"/>
  <c r="L57" i="14"/>
  <c r="L57" i="15" s="1"/>
  <c r="K57" i="14"/>
  <c r="K57" i="15" s="1"/>
  <c r="K57" i="16" s="1"/>
  <c r="K57" i="19" s="1"/>
  <c r="K57" i="26" s="1"/>
  <c r="J57" i="14"/>
  <c r="J57" i="15" s="1"/>
  <c r="J57" i="16" s="1"/>
  <c r="J57" i="19" s="1"/>
  <c r="J57" i="26" s="1"/>
  <c r="I57" i="14"/>
  <c r="I57" i="15" s="1"/>
  <c r="I57" i="16" s="1"/>
  <c r="I57" i="19" s="1"/>
  <c r="I57" i="26" s="1"/>
  <c r="G57" i="14"/>
  <c r="G57" i="15" s="1"/>
  <c r="F57" i="14"/>
  <c r="F57" i="15" s="1"/>
  <c r="F57" i="16" s="1"/>
  <c r="F57" i="19" s="1"/>
  <c r="F57" i="26" s="1"/>
  <c r="E57" i="14"/>
  <c r="E57" i="15" s="1"/>
  <c r="C57" i="14"/>
  <c r="C57" i="15" s="1"/>
  <c r="C57" i="16" s="1"/>
  <c r="C57" i="19" s="1"/>
  <c r="C57" i="26" s="1"/>
  <c r="B57" i="14"/>
  <c r="B57" i="15" s="1"/>
  <c r="A57" i="14"/>
  <c r="A57" i="15" s="1"/>
  <c r="A57" i="16" s="1"/>
  <c r="A57" i="19" s="1"/>
  <c r="A57" i="26" s="1"/>
  <c r="U56" i="14"/>
  <c r="S56" i="14"/>
  <c r="S56" i="15" s="1"/>
  <c r="S56" i="16" s="1"/>
  <c r="S56" i="19" s="1"/>
  <c r="S56" i="26" s="1"/>
  <c r="R56" i="14"/>
  <c r="R56" i="15" s="1"/>
  <c r="T56" i="15" s="1"/>
  <c r="Q56" i="14"/>
  <c r="Q56" i="15" s="1"/>
  <c r="Q56" i="16" s="1"/>
  <c r="Q56" i="19" s="1"/>
  <c r="Q56" i="26" s="1"/>
  <c r="P56" i="14"/>
  <c r="O56" i="14"/>
  <c r="O56" i="15" s="1"/>
  <c r="O56" i="16" s="1"/>
  <c r="O56" i="19" s="1"/>
  <c r="O56" i="26" s="1"/>
  <c r="N56" i="14"/>
  <c r="N56" i="15" s="1"/>
  <c r="L56" i="14"/>
  <c r="L56" i="15" s="1"/>
  <c r="L56" i="16" s="1"/>
  <c r="L56" i="19" s="1"/>
  <c r="L56" i="26" s="1"/>
  <c r="K56" i="14"/>
  <c r="K56" i="15" s="1"/>
  <c r="J56" i="14"/>
  <c r="J56" i="15" s="1"/>
  <c r="J56" i="16" s="1"/>
  <c r="J56" i="19" s="1"/>
  <c r="J56" i="26" s="1"/>
  <c r="I56" i="14"/>
  <c r="I56" i="15" s="1"/>
  <c r="G56" i="14"/>
  <c r="G56" i="15" s="1"/>
  <c r="G56" i="16" s="1"/>
  <c r="G56" i="19" s="1"/>
  <c r="G56" i="26" s="1"/>
  <c r="F56" i="14"/>
  <c r="F56" i="15" s="1"/>
  <c r="E56" i="14"/>
  <c r="E56" i="15" s="1"/>
  <c r="E56" i="16" s="1"/>
  <c r="E56" i="19" s="1"/>
  <c r="E56" i="26" s="1"/>
  <c r="C56" i="14"/>
  <c r="C56" i="15" s="1"/>
  <c r="B56" i="14"/>
  <c r="B56" i="15" s="1"/>
  <c r="B56" i="16" s="1"/>
  <c r="B56" i="19" s="1"/>
  <c r="B56" i="26" s="1"/>
  <c r="A56" i="14"/>
  <c r="A56" i="15" s="1"/>
  <c r="A56" i="16" s="1"/>
  <c r="A56" i="19" s="1"/>
  <c r="A56" i="26" s="1"/>
  <c r="U55" i="14"/>
  <c r="U55" i="15" s="1"/>
  <c r="V55" i="15" s="1"/>
  <c r="R55" i="15"/>
  <c r="Q55" i="15"/>
  <c r="P55" i="15"/>
  <c r="O55" i="15"/>
  <c r="N55" i="15"/>
  <c r="L55" i="14"/>
  <c r="L55" i="15" s="1"/>
  <c r="K55" i="14"/>
  <c r="K55" i="15" s="1"/>
  <c r="K55" i="16" s="1"/>
  <c r="K55" i="19" s="1"/>
  <c r="K55" i="26" s="1"/>
  <c r="J55" i="14"/>
  <c r="J55" i="15" s="1"/>
  <c r="J55" i="16" s="1"/>
  <c r="J55" i="19" s="1"/>
  <c r="J55" i="26" s="1"/>
  <c r="I55" i="14"/>
  <c r="I55" i="15" s="1"/>
  <c r="I55" i="16" s="1"/>
  <c r="I55" i="19" s="1"/>
  <c r="I55" i="26" s="1"/>
  <c r="G55" i="14"/>
  <c r="G55" i="15" s="1"/>
  <c r="F55" i="14"/>
  <c r="F55" i="15" s="1"/>
  <c r="F55" i="16" s="1"/>
  <c r="F55" i="19" s="1"/>
  <c r="F55" i="26" s="1"/>
  <c r="E55" i="14"/>
  <c r="E55" i="15" s="1"/>
  <c r="C55" i="14"/>
  <c r="C55" i="15" s="1"/>
  <c r="C55" i="16" s="1"/>
  <c r="C55" i="19" s="1"/>
  <c r="C55" i="26" s="1"/>
  <c r="B55" i="14"/>
  <c r="B55" i="15" s="1"/>
  <c r="B55" i="16" s="1"/>
  <c r="B55" i="19" s="1"/>
  <c r="B55" i="26" s="1"/>
  <c r="A55" i="14"/>
  <c r="A55" i="15" s="1"/>
  <c r="A55" i="16" s="1"/>
  <c r="A55" i="19" s="1"/>
  <c r="A55" i="26" s="1"/>
  <c r="S54" i="14"/>
  <c r="S54" i="15" s="1"/>
  <c r="R54" i="14"/>
  <c r="Q54" i="14"/>
  <c r="Q54" i="15" s="1"/>
  <c r="Q54" i="16" s="1"/>
  <c r="Q54" i="19" s="1"/>
  <c r="Q54" i="26" s="1"/>
  <c r="P54" i="14"/>
  <c r="O54" i="14"/>
  <c r="O54" i="15" s="1"/>
  <c r="O54" i="16" s="1"/>
  <c r="O54" i="19" s="1"/>
  <c r="O54" i="26" s="1"/>
  <c r="N54" i="14"/>
  <c r="N54" i="15" s="1"/>
  <c r="L54" i="14"/>
  <c r="L54" i="15" s="1"/>
  <c r="L54" i="16" s="1"/>
  <c r="L54" i="19" s="1"/>
  <c r="L54" i="26" s="1"/>
  <c r="K54" i="14"/>
  <c r="K54" i="15" s="1"/>
  <c r="J54" i="14"/>
  <c r="J54" i="15" s="1"/>
  <c r="J54" i="16" s="1"/>
  <c r="J54" i="19" s="1"/>
  <c r="J54" i="26" s="1"/>
  <c r="I54" i="14"/>
  <c r="I54" i="15" s="1"/>
  <c r="G54" i="14"/>
  <c r="G54" i="15" s="1"/>
  <c r="G54" i="16" s="1"/>
  <c r="G54" i="19" s="1"/>
  <c r="G54" i="26" s="1"/>
  <c r="F54" i="14"/>
  <c r="F54" i="15" s="1"/>
  <c r="E54" i="14"/>
  <c r="E54" i="15" s="1"/>
  <c r="E54" i="16" s="1"/>
  <c r="E54" i="19" s="1"/>
  <c r="E54" i="26" s="1"/>
  <c r="C54" i="14"/>
  <c r="C54" i="15" s="1"/>
  <c r="B54" i="14"/>
  <c r="B54" i="15" s="1"/>
  <c r="B54" i="16" s="1"/>
  <c r="B54" i="19" s="1"/>
  <c r="B54" i="26" s="1"/>
  <c r="A54" i="14"/>
  <c r="A54" i="15" s="1"/>
  <c r="A54" i="16" s="1"/>
  <c r="A54" i="19" s="1"/>
  <c r="A54" i="26" s="1"/>
  <c r="S53" i="14"/>
  <c r="R53" i="14"/>
  <c r="R53" i="15" s="1"/>
  <c r="Q53" i="14"/>
  <c r="Q53" i="15" s="1"/>
  <c r="Q53" i="16" s="1"/>
  <c r="Q53" i="19" s="1"/>
  <c r="Q53" i="26" s="1"/>
  <c r="P53" i="14"/>
  <c r="P53" i="15" s="1"/>
  <c r="P53" i="16" s="1"/>
  <c r="P53" i="19" s="1"/>
  <c r="P53" i="26" s="1"/>
  <c r="O53" i="14"/>
  <c r="O53" i="15" s="1"/>
  <c r="O53" i="16" s="1"/>
  <c r="O53" i="19" s="1"/>
  <c r="O53" i="26" s="1"/>
  <c r="N53" i="14"/>
  <c r="N53" i="15" s="1"/>
  <c r="L53" i="14"/>
  <c r="L53" i="15" s="1"/>
  <c r="L53" i="16" s="1"/>
  <c r="L53" i="19" s="1"/>
  <c r="L53" i="26" s="1"/>
  <c r="K53" i="14"/>
  <c r="K53" i="15" s="1"/>
  <c r="K53" i="16" s="1"/>
  <c r="K53" i="19" s="1"/>
  <c r="K53" i="26" s="1"/>
  <c r="J53" i="14"/>
  <c r="J53" i="15" s="1"/>
  <c r="J53" i="16" s="1"/>
  <c r="J53" i="19" s="1"/>
  <c r="J53" i="26" s="1"/>
  <c r="I53" i="14"/>
  <c r="I53" i="15" s="1"/>
  <c r="I53" i="16" s="1"/>
  <c r="I53" i="19" s="1"/>
  <c r="I53" i="26" s="1"/>
  <c r="G53" i="14"/>
  <c r="G53" i="15" s="1"/>
  <c r="G53" i="16" s="1"/>
  <c r="G53" i="19" s="1"/>
  <c r="G53" i="26" s="1"/>
  <c r="F53" i="14"/>
  <c r="F53" i="15" s="1"/>
  <c r="E53" i="14"/>
  <c r="E53" i="15" s="1"/>
  <c r="E53" i="16" s="1"/>
  <c r="E53" i="19" s="1"/>
  <c r="E53" i="26" s="1"/>
  <c r="C53" i="14"/>
  <c r="C53" i="15" s="1"/>
  <c r="B53" i="14"/>
  <c r="B53" i="15" s="1"/>
  <c r="B53" i="16" s="1"/>
  <c r="B53" i="19" s="1"/>
  <c r="B53" i="26" s="1"/>
  <c r="A53" i="14"/>
  <c r="A53" i="15" s="1"/>
  <c r="S52" i="14"/>
  <c r="S52" i="15" s="1"/>
  <c r="S52" i="16" s="1"/>
  <c r="S52" i="19" s="1"/>
  <c r="S52" i="26" s="1"/>
  <c r="R52" i="14"/>
  <c r="Q52" i="14"/>
  <c r="Q52" i="15" s="1"/>
  <c r="Q52" i="16" s="1"/>
  <c r="Q52" i="19" s="1"/>
  <c r="Q52" i="26" s="1"/>
  <c r="P52" i="14"/>
  <c r="P52" i="15" s="1"/>
  <c r="O52" i="14"/>
  <c r="O52" i="15" s="1"/>
  <c r="O52" i="16" s="1"/>
  <c r="O52" i="19" s="1"/>
  <c r="O52" i="26" s="1"/>
  <c r="N52" i="14"/>
  <c r="N52" i="15" s="1"/>
  <c r="L52" i="14"/>
  <c r="L52" i="15" s="1"/>
  <c r="L52" i="16" s="1"/>
  <c r="L52" i="19" s="1"/>
  <c r="L52" i="26" s="1"/>
  <c r="K52" i="14"/>
  <c r="K52" i="15" s="1"/>
  <c r="J52" i="14"/>
  <c r="J52" i="15" s="1"/>
  <c r="J52" i="16" s="1"/>
  <c r="J52" i="19" s="1"/>
  <c r="J52" i="26" s="1"/>
  <c r="I52" i="14"/>
  <c r="I52" i="15" s="1"/>
  <c r="G52" i="14"/>
  <c r="G52" i="15" s="1"/>
  <c r="G52" i="16" s="1"/>
  <c r="G52" i="19" s="1"/>
  <c r="G52" i="26" s="1"/>
  <c r="F52" i="14"/>
  <c r="F52" i="15" s="1"/>
  <c r="F52" i="16" s="1"/>
  <c r="F52" i="19" s="1"/>
  <c r="F52" i="26" s="1"/>
  <c r="E52" i="14"/>
  <c r="E52" i="15" s="1"/>
  <c r="E52" i="16" s="1"/>
  <c r="E52" i="19" s="1"/>
  <c r="E52" i="26" s="1"/>
  <c r="C52" i="14"/>
  <c r="C52" i="15" s="1"/>
  <c r="C52" i="16" s="1"/>
  <c r="C52" i="19" s="1"/>
  <c r="C52" i="26" s="1"/>
  <c r="B52" i="14"/>
  <c r="B52" i="15" s="1"/>
  <c r="B52" i="16" s="1"/>
  <c r="B52" i="19" s="1"/>
  <c r="B52" i="26" s="1"/>
  <c r="A52" i="14"/>
  <c r="A52" i="15" s="1"/>
  <c r="S51" i="14"/>
  <c r="S51" i="15" s="1"/>
  <c r="S51" i="16" s="1"/>
  <c r="S51" i="19" s="1"/>
  <c r="S51" i="26" s="1"/>
  <c r="R51" i="14"/>
  <c r="Q51" i="14"/>
  <c r="Q51" i="15" s="1"/>
  <c r="Q51" i="16" s="1"/>
  <c r="Q51" i="19" s="1"/>
  <c r="Q51" i="26" s="1"/>
  <c r="P51" i="14"/>
  <c r="P51" i="15" s="1"/>
  <c r="O51" i="14"/>
  <c r="O51" i="15" s="1"/>
  <c r="O51" i="16" s="1"/>
  <c r="O51" i="19" s="1"/>
  <c r="O51" i="26" s="1"/>
  <c r="N51" i="14"/>
  <c r="N51" i="15" s="1"/>
  <c r="L51" i="14"/>
  <c r="L51" i="15" s="1"/>
  <c r="L51" i="16" s="1"/>
  <c r="L51" i="19" s="1"/>
  <c r="L51" i="26" s="1"/>
  <c r="K51" i="14"/>
  <c r="K51" i="15" s="1"/>
  <c r="J51" i="14"/>
  <c r="J51" i="15" s="1"/>
  <c r="J51" i="16" s="1"/>
  <c r="J51" i="19" s="1"/>
  <c r="J51" i="26" s="1"/>
  <c r="I51" i="14"/>
  <c r="I51" i="15" s="1"/>
  <c r="G51" i="14"/>
  <c r="G51" i="15" s="1"/>
  <c r="G51" i="16" s="1"/>
  <c r="G51" i="19" s="1"/>
  <c r="G51" i="26" s="1"/>
  <c r="F51" i="14"/>
  <c r="F51" i="15" s="1"/>
  <c r="F51" i="16" s="1"/>
  <c r="F51" i="19" s="1"/>
  <c r="F51" i="26" s="1"/>
  <c r="E51" i="14"/>
  <c r="E51" i="15" s="1"/>
  <c r="E51" i="16" s="1"/>
  <c r="E51" i="19" s="1"/>
  <c r="E51" i="26" s="1"/>
  <c r="C51" i="14"/>
  <c r="C51" i="15" s="1"/>
  <c r="B51" i="14"/>
  <c r="B51" i="15" s="1"/>
  <c r="B51" i="16" s="1"/>
  <c r="B51" i="19" s="1"/>
  <c r="B51" i="26" s="1"/>
  <c r="A51" i="14"/>
  <c r="A51" i="15" s="1"/>
  <c r="S50" i="14"/>
  <c r="S50" i="15" s="1"/>
  <c r="R50" i="14"/>
  <c r="R50" i="15" s="1"/>
  <c r="R50" i="16" s="1"/>
  <c r="R50" i="19" s="1"/>
  <c r="R50" i="26" s="1"/>
  <c r="Q50" i="14"/>
  <c r="Q50" i="15" s="1"/>
  <c r="Q50" i="16" s="1"/>
  <c r="Q50" i="19" s="1"/>
  <c r="Q50" i="26" s="1"/>
  <c r="P50" i="14"/>
  <c r="P50" i="15" s="1"/>
  <c r="P50" i="16" s="1"/>
  <c r="O50" i="14"/>
  <c r="O50" i="15" s="1"/>
  <c r="O50" i="16" s="1"/>
  <c r="O50" i="19" s="1"/>
  <c r="O50" i="26" s="1"/>
  <c r="N50" i="14"/>
  <c r="N50" i="15" s="1"/>
  <c r="N50" i="16" s="1"/>
  <c r="N50" i="19" s="1"/>
  <c r="N50" i="26" s="1"/>
  <c r="L50" i="14"/>
  <c r="L50" i="15" s="1"/>
  <c r="L50" i="16" s="1"/>
  <c r="L50" i="19" s="1"/>
  <c r="L50" i="26" s="1"/>
  <c r="K50" i="14"/>
  <c r="K50" i="15" s="1"/>
  <c r="K50" i="16" s="1"/>
  <c r="K50" i="19" s="1"/>
  <c r="K50" i="26" s="1"/>
  <c r="J50" i="14"/>
  <c r="J50" i="15" s="1"/>
  <c r="J50" i="16" s="1"/>
  <c r="J50" i="19" s="1"/>
  <c r="J50" i="26" s="1"/>
  <c r="I50" i="14"/>
  <c r="I50" i="15" s="1"/>
  <c r="I50" i="16" s="1"/>
  <c r="I50" i="19" s="1"/>
  <c r="I50" i="26" s="1"/>
  <c r="G50" i="14"/>
  <c r="G50" i="15" s="1"/>
  <c r="G50" i="16" s="1"/>
  <c r="G50" i="19" s="1"/>
  <c r="G50" i="26" s="1"/>
  <c r="F50" i="14"/>
  <c r="F50" i="15" s="1"/>
  <c r="F50" i="16" s="1"/>
  <c r="F50" i="19" s="1"/>
  <c r="F50" i="26" s="1"/>
  <c r="E50" i="14"/>
  <c r="E50" i="15" s="1"/>
  <c r="E50" i="16" s="1"/>
  <c r="E50" i="19" s="1"/>
  <c r="E50" i="26" s="1"/>
  <c r="C50" i="14"/>
  <c r="C50" i="15" s="1"/>
  <c r="C50" i="16" s="1"/>
  <c r="C50" i="19" s="1"/>
  <c r="C50" i="26" s="1"/>
  <c r="B50" i="14"/>
  <c r="B50" i="15" s="1"/>
  <c r="B50" i="16" s="1"/>
  <c r="B50" i="19" s="1"/>
  <c r="B50" i="26" s="1"/>
  <c r="A50" i="14"/>
  <c r="A50" i="15" s="1"/>
  <c r="A50" i="16" s="1"/>
  <c r="A50" i="19" s="1"/>
  <c r="A50" i="26" s="1"/>
  <c r="S49" i="14"/>
  <c r="S49" i="15" s="1"/>
  <c r="S49" i="16" s="1"/>
  <c r="S49" i="19" s="1"/>
  <c r="R49" i="14"/>
  <c r="Q49" i="14"/>
  <c r="Q49" i="15" s="1"/>
  <c r="Q49" i="16" s="1"/>
  <c r="Q49" i="19" s="1"/>
  <c r="Q49" i="26" s="1"/>
  <c r="P49" i="14"/>
  <c r="P49" i="15" s="1"/>
  <c r="P49" i="16" s="1"/>
  <c r="O49" i="14"/>
  <c r="O49" i="15" s="1"/>
  <c r="O49" i="16" s="1"/>
  <c r="O49" i="19" s="1"/>
  <c r="O49" i="26" s="1"/>
  <c r="N49" i="14"/>
  <c r="N49" i="15" s="1"/>
  <c r="N49" i="16" s="1"/>
  <c r="N49" i="19" s="1"/>
  <c r="N49" i="26" s="1"/>
  <c r="L49" i="14"/>
  <c r="L49" i="15" s="1"/>
  <c r="L49" i="16" s="1"/>
  <c r="L49" i="19" s="1"/>
  <c r="L49" i="26" s="1"/>
  <c r="K49" i="14"/>
  <c r="K49" i="15" s="1"/>
  <c r="K49" i="16" s="1"/>
  <c r="K49" i="19" s="1"/>
  <c r="K49" i="26" s="1"/>
  <c r="J49" i="14"/>
  <c r="J49" i="15" s="1"/>
  <c r="J49" i="16" s="1"/>
  <c r="J49" i="19" s="1"/>
  <c r="J49" i="26" s="1"/>
  <c r="I49" i="14"/>
  <c r="I49" i="15" s="1"/>
  <c r="I49" i="16" s="1"/>
  <c r="I49" i="19" s="1"/>
  <c r="I49" i="26" s="1"/>
  <c r="G49" i="14"/>
  <c r="G49" i="15" s="1"/>
  <c r="G49" i="16" s="1"/>
  <c r="G49" i="19" s="1"/>
  <c r="G49" i="26" s="1"/>
  <c r="F49" i="14"/>
  <c r="F49" i="15" s="1"/>
  <c r="F49" i="16" s="1"/>
  <c r="F49" i="19" s="1"/>
  <c r="F49" i="26" s="1"/>
  <c r="E49" i="14"/>
  <c r="E49" i="15" s="1"/>
  <c r="E49" i="16" s="1"/>
  <c r="E49" i="19" s="1"/>
  <c r="E49" i="26" s="1"/>
  <c r="C49" i="14"/>
  <c r="C49" i="15" s="1"/>
  <c r="B49" i="14"/>
  <c r="B49" i="15" s="1"/>
  <c r="B49" i="16" s="1"/>
  <c r="B49" i="19" s="1"/>
  <c r="B49" i="26" s="1"/>
  <c r="A49" i="14"/>
  <c r="A49" i="15" s="1"/>
  <c r="A49" i="16" s="1"/>
  <c r="A49" i="19" s="1"/>
  <c r="A49" i="26" s="1"/>
  <c r="U48" i="14"/>
  <c r="V48" i="14" s="1"/>
  <c r="S48" i="14"/>
  <c r="S48" i="15" s="1"/>
  <c r="S48" i="16" s="1"/>
  <c r="S48" i="19" s="1"/>
  <c r="S48" i="26" s="1"/>
  <c r="R48" i="14"/>
  <c r="R48" i="15" s="1"/>
  <c r="Q48" i="14"/>
  <c r="Q48" i="15" s="1"/>
  <c r="Q48" i="16" s="1"/>
  <c r="Q48" i="19" s="1"/>
  <c r="Q48" i="26" s="1"/>
  <c r="P48" i="14"/>
  <c r="X48" i="14" s="1"/>
  <c r="AA48" i="14" s="1"/>
  <c r="O48" i="14"/>
  <c r="O48" i="15" s="1"/>
  <c r="O48" i="16" s="1"/>
  <c r="O48" i="19" s="1"/>
  <c r="O48" i="26" s="1"/>
  <c r="N48" i="14"/>
  <c r="N48" i="15" s="1"/>
  <c r="N48" i="16" s="1"/>
  <c r="N48" i="19" s="1"/>
  <c r="N48" i="26" s="1"/>
  <c r="L48" i="14"/>
  <c r="L48" i="15" s="1"/>
  <c r="L48" i="16" s="1"/>
  <c r="L48" i="19" s="1"/>
  <c r="L48" i="26" s="1"/>
  <c r="K48" i="14"/>
  <c r="K48" i="15" s="1"/>
  <c r="K48" i="16" s="1"/>
  <c r="K48" i="19" s="1"/>
  <c r="K48" i="26" s="1"/>
  <c r="J48" i="14"/>
  <c r="J48" i="15" s="1"/>
  <c r="J48" i="16" s="1"/>
  <c r="J48" i="19" s="1"/>
  <c r="J48" i="26" s="1"/>
  <c r="I48" i="14"/>
  <c r="I48" i="15" s="1"/>
  <c r="I48" i="16" s="1"/>
  <c r="I48" i="19" s="1"/>
  <c r="I48" i="26" s="1"/>
  <c r="G48" i="14"/>
  <c r="G48" i="15" s="1"/>
  <c r="G48" i="16" s="1"/>
  <c r="G48" i="19" s="1"/>
  <c r="G48" i="26" s="1"/>
  <c r="F48" i="14"/>
  <c r="F48" i="15" s="1"/>
  <c r="F48" i="16" s="1"/>
  <c r="E48" i="14"/>
  <c r="E48" i="15" s="1"/>
  <c r="E48" i="16" s="1"/>
  <c r="E48" i="19" s="1"/>
  <c r="E48" i="26" s="1"/>
  <c r="C48" i="14"/>
  <c r="C48" i="15" s="1"/>
  <c r="C48" i="16" s="1"/>
  <c r="C48" i="19" s="1"/>
  <c r="C48" i="26" s="1"/>
  <c r="B48" i="14"/>
  <c r="B48" i="15" s="1"/>
  <c r="B48" i="16" s="1"/>
  <c r="B48" i="19" s="1"/>
  <c r="B48" i="26" s="1"/>
  <c r="A48" i="14"/>
  <c r="A48" i="15" s="1"/>
  <c r="A48" i="16" s="1"/>
  <c r="A48" i="19" s="1"/>
  <c r="A48" i="26" s="1"/>
  <c r="S47" i="14"/>
  <c r="S47" i="15" s="1"/>
  <c r="R47" i="14"/>
  <c r="R47" i="15" s="1"/>
  <c r="Q47" i="14"/>
  <c r="Q47" i="15" s="1"/>
  <c r="Q47" i="16" s="1"/>
  <c r="Q47" i="19" s="1"/>
  <c r="Q47" i="26" s="1"/>
  <c r="P47" i="14"/>
  <c r="O47" i="14"/>
  <c r="O47" i="15" s="1"/>
  <c r="O47" i="16" s="1"/>
  <c r="O47" i="19" s="1"/>
  <c r="O47" i="26" s="1"/>
  <c r="N47" i="14"/>
  <c r="N47" i="15" s="1"/>
  <c r="L47" i="14"/>
  <c r="L47" i="15" s="1"/>
  <c r="L47" i="16" s="1"/>
  <c r="L47" i="19" s="1"/>
  <c r="L47" i="26" s="1"/>
  <c r="K47" i="14"/>
  <c r="K47" i="15" s="1"/>
  <c r="J47" i="14"/>
  <c r="J47" i="15" s="1"/>
  <c r="J47" i="16" s="1"/>
  <c r="J47" i="19" s="1"/>
  <c r="J47" i="26" s="1"/>
  <c r="I47" i="14"/>
  <c r="I47" i="15" s="1"/>
  <c r="G47" i="14"/>
  <c r="G47" i="15" s="1"/>
  <c r="G47" i="16" s="1"/>
  <c r="G47" i="19" s="1"/>
  <c r="G47" i="26" s="1"/>
  <c r="F47" i="14"/>
  <c r="F47" i="15" s="1"/>
  <c r="E47" i="14"/>
  <c r="E47" i="15" s="1"/>
  <c r="E47" i="16" s="1"/>
  <c r="E47" i="19" s="1"/>
  <c r="E47" i="26" s="1"/>
  <c r="C47" i="14"/>
  <c r="C47" i="15" s="1"/>
  <c r="C47" i="16" s="1"/>
  <c r="C47" i="19" s="1"/>
  <c r="C47" i="26" s="1"/>
  <c r="B47" i="14"/>
  <c r="B47" i="15" s="1"/>
  <c r="B47" i="16" s="1"/>
  <c r="B47" i="19" s="1"/>
  <c r="B47" i="26" s="1"/>
  <c r="A47" i="14"/>
  <c r="A47" i="15" s="1"/>
  <c r="S46" i="14"/>
  <c r="R46" i="14"/>
  <c r="R46" i="15" s="1"/>
  <c r="R46" i="16" s="1"/>
  <c r="R46" i="19" s="1"/>
  <c r="R46" i="26" s="1"/>
  <c r="Q46" i="14"/>
  <c r="Q46" i="15" s="1"/>
  <c r="Q46" i="16" s="1"/>
  <c r="Q46" i="19" s="1"/>
  <c r="Q46" i="26" s="1"/>
  <c r="P46" i="14"/>
  <c r="W46" i="14" s="1"/>
  <c r="O46" i="14"/>
  <c r="O46" i="15" s="1"/>
  <c r="O46" i="16" s="1"/>
  <c r="O46" i="19" s="1"/>
  <c r="O46" i="26" s="1"/>
  <c r="N46" i="14"/>
  <c r="N46" i="15" s="1"/>
  <c r="L46" i="14"/>
  <c r="L46" i="15" s="1"/>
  <c r="L46" i="16" s="1"/>
  <c r="L46" i="19" s="1"/>
  <c r="L46" i="26" s="1"/>
  <c r="K46" i="14"/>
  <c r="K46" i="15" s="1"/>
  <c r="J46" i="14"/>
  <c r="J46" i="15" s="1"/>
  <c r="J46" i="16" s="1"/>
  <c r="J46" i="19" s="1"/>
  <c r="J46" i="26" s="1"/>
  <c r="I46" i="14"/>
  <c r="I46" i="15" s="1"/>
  <c r="G46" i="14"/>
  <c r="G46" i="15" s="1"/>
  <c r="G46" i="16" s="1"/>
  <c r="G46" i="19" s="1"/>
  <c r="G46" i="26" s="1"/>
  <c r="F46" i="14"/>
  <c r="F46" i="15" s="1"/>
  <c r="E46" i="14"/>
  <c r="E46" i="15" s="1"/>
  <c r="E46" i="16" s="1"/>
  <c r="E46" i="19" s="1"/>
  <c r="E46" i="26" s="1"/>
  <c r="C46" i="14"/>
  <c r="C46" i="15" s="1"/>
  <c r="B46" i="14"/>
  <c r="B46" i="15" s="1"/>
  <c r="B46" i="16" s="1"/>
  <c r="B46" i="19" s="1"/>
  <c r="B46" i="26" s="1"/>
  <c r="A46" i="14"/>
  <c r="A46" i="15" s="1"/>
  <c r="S45" i="14"/>
  <c r="S45" i="15" s="1"/>
  <c r="S45" i="16" s="1"/>
  <c r="S45" i="19" s="1"/>
  <c r="S45" i="26" s="1"/>
  <c r="R45" i="14"/>
  <c r="T45" i="14" s="1"/>
  <c r="Q45" i="14"/>
  <c r="Q45" i="15" s="1"/>
  <c r="Q45" i="16" s="1"/>
  <c r="Q45" i="19" s="1"/>
  <c r="Q45" i="26" s="1"/>
  <c r="P45" i="14"/>
  <c r="W45" i="14" s="1"/>
  <c r="O45" i="14"/>
  <c r="O45" i="15" s="1"/>
  <c r="O45" i="16" s="1"/>
  <c r="O45" i="19" s="1"/>
  <c r="O45" i="26" s="1"/>
  <c r="N45" i="14"/>
  <c r="N45" i="15" s="1"/>
  <c r="N45" i="16" s="1"/>
  <c r="N45" i="19" s="1"/>
  <c r="N45" i="26" s="1"/>
  <c r="L45" i="14"/>
  <c r="L45" i="15" s="1"/>
  <c r="L45" i="16" s="1"/>
  <c r="L45" i="19" s="1"/>
  <c r="L45" i="26" s="1"/>
  <c r="K45" i="14"/>
  <c r="K45" i="15" s="1"/>
  <c r="K45" i="16" s="1"/>
  <c r="K45" i="19" s="1"/>
  <c r="K45" i="26" s="1"/>
  <c r="J45" i="14"/>
  <c r="J45" i="15" s="1"/>
  <c r="J45" i="16" s="1"/>
  <c r="J45" i="19" s="1"/>
  <c r="J45" i="26" s="1"/>
  <c r="I45" i="14"/>
  <c r="I45" i="15" s="1"/>
  <c r="I45" i="16" s="1"/>
  <c r="I45" i="19" s="1"/>
  <c r="I45" i="26" s="1"/>
  <c r="G45" i="14"/>
  <c r="G45" i="15" s="1"/>
  <c r="G45" i="16" s="1"/>
  <c r="G45" i="19" s="1"/>
  <c r="G45" i="26" s="1"/>
  <c r="F45" i="14"/>
  <c r="F45" i="15" s="1"/>
  <c r="F45" i="16" s="1"/>
  <c r="F45" i="19" s="1"/>
  <c r="F45" i="26" s="1"/>
  <c r="E45" i="14"/>
  <c r="E45" i="15" s="1"/>
  <c r="E45" i="16" s="1"/>
  <c r="E45" i="19" s="1"/>
  <c r="E45" i="26" s="1"/>
  <c r="C45" i="14"/>
  <c r="C45" i="15" s="1"/>
  <c r="C45" i="16" s="1"/>
  <c r="C45" i="19" s="1"/>
  <c r="C45" i="26" s="1"/>
  <c r="B45" i="14"/>
  <c r="B45" i="15" s="1"/>
  <c r="B45" i="16" s="1"/>
  <c r="B45" i="19" s="1"/>
  <c r="B45" i="26" s="1"/>
  <c r="A45" i="14"/>
  <c r="A45" i="15" s="1"/>
  <c r="A45" i="16" s="1"/>
  <c r="A45" i="19" s="1"/>
  <c r="A45" i="26" s="1"/>
  <c r="S44" i="14"/>
  <c r="S44" i="15" s="1"/>
  <c r="R44" i="14"/>
  <c r="R44" i="15" s="1"/>
  <c r="R44" i="16" s="1"/>
  <c r="R44" i="19" s="1"/>
  <c r="Q44" i="14"/>
  <c r="Q44" i="15" s="1"/>
  <c r="P44" i="14"/>
  <c r="P44" i="15" s="1"/>
  <c r="P44" i="16" s="1"/>
  <c r="P44" i="19" s="1"/>
  <c r="P44" i="26" s="1"/>
  <c r="O44" i="14"/>
  <c r="O44" i="15" s="1"/>
  <c r="N44" i="14"/>
  <c r="N44" i="15" s="1"/>
  <c r="N44" i="16" s="1"/>
  <c r="N44" i="19" s="1"/>
  <c r="N44" i="26" s="1"/>
  <c r="L44" i="14"/>
  <c r="L44" i="15" s="1"/>
  <c r="K44" i="14"/>
  <c r="K44" i="15" s="1"/>
  <c r="K44" i="16" s="1"/>
  <c r="K44" i="19" s="1"/>
  <c r="K44" i="26" s="1"/>
  <c r="J44" i="14"/>
  <c r="J44" i="15" s="1"/>
  <c r="I44" i="14"/>
  <c r="I44" i="15" s="1"/>
  <c r="I44" i="16" s="1"/>
  <c r="I44" i="19" s="1"/>
  <c r="I44" i="26" s="1"/>
  <c r="G44" i="14"/>
  <c r="G44" i="15" s="1"/>
  <c r="F44" i="14"/>
  <c r="F44" i="15" s="1"/>
  <c r="F44" i="16" s="1"/>
  <c r="F44" i="19" s="1"/>
  <c r="F44" i="26" s="1"/>
  <c r="E44" i="14"/>
  <c r="E44" i="15" s="1"/>
  <c r="C44" i="14"/>
  <c r="C44" i="15" s="1"/>
  <c r="C44" i="16" s="1"/>
  <c r="C44" i="19" s="1"/>
  <c r="C44" i="26" s="1"/>
  <c r="B44" i="14"/>
  <c r="B44" i="15" s="1"/>
  <c r="A44" i="14"/>
  <c r="A44" i="15" s="1"/>
  <c r="A44" i="16" s="1"/>
  <c r="A44" i="19" s="1"/>
  <c r="A44" i="26" s="1"/>
  <c r="S43" i="14"/>
  <c r="S43" i="15" s="1"/>
  <c r="R43" i="14"/>
  <c r="T43" i="14" s="1"/>
  <c r="Q43" i="14"/>
  <c r="Q43" i="15" s="1"/>
  <c r="Q43" i="16" s="1"/>
  <c r="Q43" i="19" s="1"/>
  <c r="Q43" i="26" s="1"/>
  <c r="P43" i="14"/>
  <c r="W43" i="14" s="1"/>
  <c r="O43" i="14"/>
  <c r="O43" i="15" s="1"/>
  <c r="O43" i="16" s="1"/>
  <c r="O43" i="19" s="1"/>
  <c r="O43" i="26" s="1"/>
  <c r="N43" i="14"/>
  <c r="N43" i="15" s="1"/>
  <c r="N43" i="16" s="1"/>
  <c r="N43" i="19" s="1"/>
  <c r="N43" i="26" s="1"/>
  <c r="L43" i="14"/>
  <c r="L43" i="15" s="1"/>
  <c r="K43" i="14"/>
  <c r="K43" i="15" s="1"/>
  <c r="K43" i="16" s="1"/>
  <c r="K43" i="19" s="1"/>
  <c r="K43" i="26" s="1"/>
  <c r="J43" i="14"/>
  <c r="J43" i="15" s="1"/>
  <c r="J43" i="16" s="1"/>
  <c r="J43" i="19" s="1"/>
  <c r="J43" i="26" s="1"/>
  <c r="I43" i="14"/>
  <c r="I43" i="15" s="1"/>
  <c r="I43" i="16" s="1"/>
  <c r="I43" i="19" s="1"/>
  <c r="I43" i="26" s="1"/>
  <c r="G43" i="14"/>
  <c r="G43" i="15" s="1"/>
  <c r="G43" i="16" s="1"/>
  <c r="G43" i="19" s="1"/>
  <c r="G43" i="26" s="1"/>
  <c r="F43" i="14"/>
  <c r="F43" i="15" s="1"/>
  <c r="F43" i="16" s="1"/>
  <c r="F43" i="19" s="1"/>
  <c r="F43" i="26" s="1"/>
  <c r="E43" i="14"/>
  <c r="E43" i="15" s="1"/>
  <c r="E43" i="16" s="1"/>
  <c r="E43" i="19" s="1"/>
  <c r="E43" i="26" s="1"/>
  <c r="C43" i="14"/>
  <c r="C43" i="15" s="1"/>
  <c r="C43" i="16" s="1"/>
  <c r="C43" i="19" s="1"/>
  <c r="C43" i="26" s="1"/>
  <c r="B43" i="14"/>
  <c r="B43" i="15" s="1"/>
  <c r="B43" i="16" s="1"/>
  <c r="B43" i="19" s="1"/>
  <c r="B43" i="26" s="1"/>
  <c r="A43" i="14"/>
  <c r="A43" i="15" s="1"/>
  <c r="A43" i="16" s="1"/>
  <c r="A43" i="19" s="1"/>
  <c r="A43" i="26" s="1"/>
  <c r="S42" i="14"/>
  <c r="S42" i="15" s="1"/>
  <c r="S42" i="16" s="1"/>
  <c r="S42" i="19" s="1"/>
  <c r="S42" i="26" s="1"/>
  <c r="R42" i="14"/>
  <c r="R42" i="15" s="1"/>
  <c r="Q42" i="14"/>
  <c r="Q42" i="15" s="1"/>
  <c r="Q42" i="16" s="1"/>
  <c r="Q42" i="19" s="1"/>
  <c r="Q42" i="26" s="1"/>
  <c r="P42" i="14"/>
  <c r="W42" i="14" s="1"/>
  <c r="O42" i="14"/>
  <c r="O42" i="15" s="1"/>
  <c r="O42" i="16" s="1"/>
  <c r="O42" i="19" s="1"/>
  <c r="O42" i="26" s="1"/>
  <c r="N42" i="14"/>
  <c r="N42" i="15" s="1"/>
  <c r="L42" i="14"/>
  <c r="L42" i="15" s="1"/>
  <c r="L42" i="16" s="1"/>
  <c r="L42" i="19" s="1"/>
  <c r="L42" i="26" s="1"/>
  <c r="K42" i="14"/>
  <c r="K42" i="15" s="1"/>
  <c r="K42" i="16" s="1"/>
  <c r="K42" i="19" s="1"/>
  <c r="K42" i="26" s="1"/>
  <c r="J42" i="14"/>
  <c r="J42" i="15"/>
  <c r="J42" i="16" s="1"/>
  <c r="J42" i="19" s="1"/>
  <c r="J42" i="26" s="1"/>
  <c r="I42" i="14"/>
  <c r="I42" i="15" s="1"/>
  <c r="I42" i="16" s="1"/>
  <c r="I42" i="19" s="1"/>
  <c r="I42" i="26" s="1"/>
  <c r="G42" i="14"/>
  <c r="G42" i="15" s="1"/>
  <c r="G42" i="16" s="1"/>
  <c r="G42" i="19" s="1"/>
  <c r="G42" i="26" s="1"/>
  <c r="F42" i="14"/>
  <c r="F42" i="15" s="1"/>
  <c r="F42" i="16" s="1"/>
  <c r="F42" i="19" s="1"/>
  <c r="F42" i="26" s="1"/>
  <c r="E42" i="14"/>
  <c r="E42" i="15" s="1"/>
  <c r="E42" i="16" s="1"/>
  <c r="E42" i="19" s="1"/>
  <c r="E42" i="26" s="1"/>
  <c r="C42" i="14"/>
  <c r="C42" i="15" s="1"/>
  <c r="C42" i="16" s="1"/>
  <c r="C42" i="19" s="1"/>
  <c r="C42" i="26" s="1"/>
  <c r="B42" i="14"/>
  <c r="B42" i="15" s="1"/>
  <c r="A42" i="14"/>
  <c r="A42" i="15" s="1"/>
  <c r="A42" i="16" s="1"/>
  <c r="A42" i="19" s="1"/>
  <c r="A42" i="26" s="1"/>
  <c r="S41" i="14"/>
  <c r="S41" i="15" s="1"/>
  <c r="R41" i="14"/>
  <c r="R41" i="15" s="1"/>
  <c r="T41" i="15" s="1"/>
  <c r="Q41" i="14"/>
  <c r="Q41" i="15" s="1"/>
  <c r="P41" i="14"/>
  <c r="P41" i="15" s="1"/>
  <c r="X41" i="15" s="1"/>
  <c r="O41" i="14"/>
  <c r="O41" i="15" s="1"/>
  <c r="N41" i="14"/>
  <c r="N41" i="15" s="1"/>
  <c r="N41" i="16" s="1"/>
  <c r="N41" i="19" s="1"/>
  <c r="N41" i="26" s="1"/>
  <c r="K41" i="14"/>
  <c r="K41" i="15" s="1"/>
  <c r="J41" i="14"/>
  <c r="J41" i="15" s="1"/>
  <c r="J41" i="16" s="1"/>
  <c r="J41" i="19" s="1"/>
  <c r="J41" i="26" s="1"/>
  <c r="I41" i="14"/>
  <c r="I41" i="15" s="1"/>
  <c r="I41" i="16" s="1"/>
  <c r="I41" i="19" s="1"/>
  <c r="I41" i="26" s="1"/>
  <c r="G41" i="14"/>
  <c r="G41" i="15" s="1"/>
  <c r="G41" i="16" s="1"/>
  <c r="G41" i="19" s="1"/>
  <c r="G41" i="26" s="1"/>
  <c r="F41" i="14"/>
  <c r="F41" i="15" s="1"/>
  <c r="F41" i="16" s="1"/>
  <c r="F41" i="19" s="1"/>
  <c r="F41" i="26" s="1"/>
  <c r="E41" i="14"/>
  <c r="E41" i="15" s="1"/>
  <c r="E41" i="16" s="1"/>
  <c r="E41" i="19" s="1"/>
  <c r="E41" i="26" s="1"/>
  <c r="C41" i="14"/>
  <c r="C41" i="15" s="1"/>
  <c r="C41" i="16" s="1"/>
  <c r="C41" i="19" s="1"/>
  <c r="C41" i="26" s="1"/>
  <c r="B41" i="14"/>
  <c r="B41" i="15" s="1"/>
  <c r="B41" i="16" s="1"/>
  <c r="B41" i="19" s="1"/>
  <c r="B41" i="26" s="1"/>
  <c r="A41" i="14"/>
  <c r="A41" i="15" s="1"/>
  <c r="A41" i="16" s="1"/>
  <c r="A41" i="19" s="1"/>
  <c r="A41" i="26" s="1"/>
  <c r="U109" i="14"/>
  <c r="V109" i="14" s="1"/>
  <c r="X109" i="14" s="1"/>
  <c r="S109" i="14"/>
  <c r="S109" i="15" s="1"/>
  <c r="S109" i="16" s="1"/>
  <c r="R109" i="14"/>
  <c r="R109" i="15" s="1"/>
  <c r="R109" i="16" s="1"/>
  <c r="T109" i="16" s="1"/>
  <c r="W109" i="14"/>
  <c r="L109" i="14"/>
  <c r="L109" i="15" s="1"/>
  <c r="L109" i="19" s="1"/>
  <c r="K109" i="14"/>
  <c r="K109" i="15" s="1"/>
  <c r="I109" i="14"/>
  <c r="I109" i="15" s="1"/>
  <c r="G109" i="14"/>
  <c r="G109" i="15" s="1"/>
  <c r="G109" i="19" s="1"/>
  <c r="F109" i="14"/>
  <c r="F109" i="15" s="1"/>
  <c r="E109" i="14"/>
  <c r="E109" i="15" s="1"/>
  <c r="E109" i="19" s="1"/>
  <c r="C109" i="14"/>
  <c r="C109" i="15" s="1"/>
  <c r="B109" i="14"/>
  <c r="B109" i="15" s="1"/>
  <c r="A109" i="14"/>
  <c r="A109" i="15" s="1"/>
  <c r="U37" i="14"/>
  <c r="V37" i="14" s="1"/>
  <c r="S37" i="14"/>
  <c r="S37" i="15" s="1"/>
  <c r="R37" i="14"/>
  <c r="R37" i="15" s="1"/>
  <c r="Q37" i="14"/>
  <c r="Q37" i="15" s="1"/>
  <c r="Q37" i="16" s="1"/>
  <c r="Q37" i="19" s="1"/>
  <c r="Q37" i="26" s="1"/>
  <c r="P37" i="14"/>
  <c r="P37" i="15" s="1"/>
  <c r="P37" i="16" s="1"/>
  <c r="AC37" i="16" s="1"/>
  <c r="O37" i="14"/>
  <c r="O37" i="15" s="1"/>
  <c r="O37" i="16" s="1"/>
  <c r="O37" i="19" s="1"/>
  <c r="O37" i="26" s="1"/>
  <c r="N37" i="14"/>
  <c r="N37" i="15" s="1"/>
  <c r="N37" i="16" s="1"/>
  <c r="N37" i="19" s="1"/>
  <c r="N37" i="26" s="1"/>
  <c r="L37" i="14"/>
  <c r="L37" i="15" s="1"/>
  <c r="L37" i="16" s="1"/>
  <c r="L37" i="19" s="1"/>
  <c r="L37" i="26" s="1"/>
  <c r="K37" i="14"/>
  <c r="K37" i="15" s="1"/>
  <c r="K37" i="16" s="1"/>
  <c r="K37" i="19" s="1"/>
  <c r="K37" i="26" s="1"/>
  <c r="J37" i="14"/>
  <c r="J37" i="15" s="1"/>
  <c r="J37" i="16" s="1"/>
  <c r="J37" i="19" s="1"/>
  <c r="J37" i="26" s="1"/>
  <c r="I37" i="14"/>
  <c r="I37" i="15" s="1"/>
  <c r="I37" i="16" s="1"/>
  <c r="I37" i="19" s="1"/>
  <c r="I37" i="26" s="1"/>
  <c r="G37" i="14"/>
  <c r="G37" i="15" s="1"/>
  <c r="G37" i="16" s="1"/>
  <c r="G37" i="19" s="1"/>
  <c r="G37" i="26" s="1"/>
  <c r="F37" i="14"/>
  <c r="F37" i="15" s="1"/>
  <c r="E37" i="14"/>
  <c r="E37" i="15" s="1"/>
  <c r="E37" i="16" s="1"/>
  <c r="E37" i="19" s="1"/>
  <c r="E37" i="26" s="1"/>
  <c r="C37" i="14"/>
  <c r="C37" i="15" s="1"/>
  <c r="C37" i="16" s="1"/>
  <c r="C37" i="19" s="1"/>
  <c r="C37" i="26" s="1"/>
  <c r="B37" i="14"/>
  <c r="B37" i="15" s="1"/>
  <c r="A37" i="14"/>
  <c r="A37" i="15" s="1"/>
  <c r="A37" i="16" s="1"/>
  <c r="A37" i="19" s="1"/>
  <c r="A37" i="26" s="1"/>
  <c r="S40" i="14"/>
  <c r="R40" i="14"/>
  <c r="R40" i="15" s="1"/>
  <c r="R40" i="16" s="1"/>
  <c r="R40" i="19" s="1"/>
  <c r="Q40" i="14"/>
  <c r="Q40" i="15" s="1"/>
  <c r="Q40" i="16" s="1"/>
  <c r="Q40" i="19" s="1"/>
  <c r="Q40" i="26" s="1"/>
  <c r="P40" i="14"/>
  <c r="P40" i="15" s="1"/>
  <c r="P40" i="16" s="1"/>
  <c r="P40" i="19" s="1"/>
  <c r="P40" i="26" s="1"/>
  <c r="O40" i="14"/>
  <c r="O40" i="15" s="1"/>
  <c r="O40" i="16" s="1"/>
  <c r="O40" i="19" s="1"/>
  <c r="O40" i="26" s="1"/>
  <c r="N40" i="14"/>
  <c r="N40" i="15" s="1"/>
  <c r="N40" i="16" s="1"/>
  <c r="N40" i="19" s="1"/>
  <c r="N40" i="26" s="1"/>
  <c r="L40" i="14"/>
  <c r="L40" i="15" s="1"/>
  <c r="L40" i="16" s="1"/>
  <c r="L40" i="19" s="1"/>
  <c r="L40" i="26" s="1"/>
  <c r="K40" i="14"/>
  <c r="K40" i="15" s="1"/>
  <c r="K40" i="16" s="1"/>
  <c r="K40" i="19" s="1"/>
  <c r="K40" i="26" s="1"/>
  <c r="J40" i="14"/>
  <c r="J40" i="15" s="1"/>
  <c r="J40" i="16" s="1"/>
  <c r="J40" i="19" s="1"/>
  <c r="J40" i="26" s="1"/>
  <c r="I40" i="14"/>
  <c r="I40" i="15" s="1"/>
  <c r="I40" i="16" s="1"/>
  <c r="I40" i="19" s="1"/>
  <c r="I40" i="26" s="1"/>
  <c r="G40" i="14"/>
  <c r="G40" i="15" s="1"/>
  <c r="G40" i="16" s="1"/>
  <c r="G40" i="19" s="1"/>
  <c r="G40" i="26" s="1"/>
  <c r="F40" i="14"/>
  <c r="F40" i="15" s="1"/>
  <c r="F40" i="16" s="1"/>
  <c r="F40" i="19" s="1"/>
  <c r="F40" i="26" s="1"/>
  <c r="E40" i="14"/>
  <c r="E40" i="15" s="1"/>
  <c r="E40" i="16" s="1"/>
  <c r="E40" i="19" s="1"/>
  <c r="E40" i="26" s="1"/>
  <c r="C40" i="14"/>
  <c r="C40" i="15" s="1"/>
  <c r="C40" i="16" s="1"/>
  <c r="C40" i="19" s="1"/>
  <c r="C40" i="26" s="1"/>
  <c r="B40" i="14"/>
  <c r="B40" i="15" s="1"/>
  <c r="B40" i="16" s="1"/>
  <c r="B40" i="19" s="1"/>
  <c r="B40" i="26" s="1"/>
  <c r="A40" i="14"/>
  <c r="A40" i="15" s="1"/>
  <c r="A40" i="16" s="1"/>
  <c r="A40" i="19" s="1"/>
  <c r="A40" i="26" s="1"/>
  <c r="S39" i="14"/>
  <c r="R39" i="14"/>
  <c r="R39" i="15" s="1"/>
  <c r="R39" i="16" s="1"/>
  <c r="Q39" i="14"/>
  <c r="Q39" i="15" s="1"/>
  <c r="Q39" i="16" s="1"/>
  <c r="Q39" i="19" s="1"/>
  <c r="Q39" i="26" s="1"/>
  <c r="P39" i="14"/>
  <c r="P39" i="15" s="1"/>
  <c r="AC39" i="15" s="1"/>
  <c r="O39" i="14"/>
  <c r="O39" i="15" s="1"/>
  <c r="O39" i="16" s="1"/>
  <c r="O39" i="19" s="1"/>
  <c r="O39" i="26" s="1"/>
  <c r="N39" i="14"/>
  <c r="N39" i="15" s="1"/>
  <c r="L39" i="14"/>
  <c r="L39" i="15" s="1"/>
  <c r="L39" i="16" s="1"/>
  <c r="L39" i="19" s="1"/>
  <c r="L39" i="26" s="1"/>
  <c r="K39" i="14"/>
  <c r="K39" i="15" s="1"/>
  <c r="J39" i="14"/>
  <c r="J39" i="15" s="1"/>
  <c r="J39" i="16" s="1"/>
  <c r="J39" i="19" s="1"/>
  <c r="J39" i="26" s="1"/>
  <c r="I39" i="14"/>
  <c r="I39" i="15" s="1"/>
  <c r="G39" i="14"/>
  <c r="G39" i="15" s="1"/>
  <c r="G39" i="16" s="1"/>
  <c r="G39" i="19" s="1"/>
  <c r="G39" i="26" s="1"/>
  <c r="F39" i="14"/>
  <c r="F39" i="15" s="1"/>
  <c r="E39" i="14"/>
  <c r="E39" i="15" s="1"/>
  <c r="E39" i="16" s="1"/>
  <c r="E39" i="19" s="1"/>
  <c r="E39" i="26" s="1"/>
  <c r="C39" i="15"/>
  <c r="B39" i="15"/>
  <c r="A39" i="14"/>
  <c r="A39" i="15" s="1"/>
  <c r="S38" i="14"/>
  <c r="R38" i="14"/>
  <c r="R38" i="15" s="1"/>
  <c r="Q38" i="14"/>
  <c r="Q38" i="15" s="1"/>
  <c r="Q38" i="16" s="1"/>
  <c r="Q38" i="19" s="1"/>
  <c r="Q38" i="26" s="1"/>
  <c r="P38" i="14"/>
  <c r="P38" i="15" s="1"/>
  <c r="AC38" i="15" s="1"/>
  <c r="O38" i="14"/>
  <c r="O38" i="15" s="1"/>
  <c r="O38" i="16" s="1"/>
  <c r="O38" i="19" s="1"/>
  <c r="O38" i="26" s="1"/>
  <c r="N38" i="14"/>
  <c r="N38" i="15" s="1"/>
  <c r="L38" i="14"/>
  <c r="L38" i="15" s="1"/>
  <c r="L38" i="16" s="1"/>
  <c r="L38" i="19" s="1"/>
  <c r="L38" i="26" s="1"/>
  <c r="K38" i="14"/>
  <c r="K38" i="15" s="1"/>
  <c r="J38" i="14"/>
  <c r="J38" i="15" s="1"/>
  <c r="J38" i="16" s="1"/>
  <c r="J38" i="19" s="1"/>
  <c r="J38" i="26" s="1"/>
  <c r="I38" i="14"/>
  <c r="I38" i="15" s="1"/>
  <c r="G38" i="14"/>
  <c r="G38" i="15" s="1"/>
  <c r="G38" i="16" s="1"/>
  <c r="G38" i="19" s="1"/>
  <c r="G38" i="26" s="1"/>
  <c r="F38" i="14"/>
  <c r="F38" i="15" s="1"/>
  <c r="E38" i="14"/>
  <c r="E38" i="15" s="1"/>
  <c r="E38" i="16" s="1"/>
  <c r="E38" i="19" s="1"/>
  <c r="E38" i="26" s="1"/>
  <c r="C38" i="14"/>
  <c r="C38" i="15" s="1"/>
  <c r="B38" i="14"/>
  <c r="B38" i="15" s="1"/>
  <c r="B38" i="16" s="1"/>
  <c r="B38" i="19" s="1"/>
  <c r="B38" i="26" s="1"/>
  <c r="A38" i="14"/>
  <c r="A38" i="15" s="1"/>
  <c r="S36" i="14"/>
  <c r="S36" i="15" s="1"/>
  <c r="S36" i="16" s="1"/>
  <c r="R36" i="14"/>
  <c r="R36" i="15" s="1"/>
  <c r="R36" i="16" s="1"/>
  <c r="R36" i="19" s="1"/>
  <c r="R36" i="26" s="1"/>
  <c r="Q36" i="14"/>
  <c r="Q36" i="15" s="1"/>
  <c r="Q36" i="16" s="1"/>
  <c r="Q36" i="19" s="1"/>
  <c r="Q36" i="26" s="1"/>
  <c r="P36" i="14"/>
  <c r="P36" i="15" s="1"/>
  <c r="P36" i="16" s="1"/>
  <c r="P36" i="19" s="1"/>
  <c r="P36" i="26" s="1"/>
  <c r="O36" i="14"/>
  <c r="O36" i="15" s="1"/>
  <c r="O36" i="16" s="1"/>
  <c r="O36" i="19" s="1"/>
  <c r="O36" i="26" s="1"/>
  <c r="N36" i="14"/>
  <c r="N36" i="15" s="1"/>
  <c r="N36" i="16" s="1"/>
  <c r="N36" i="19" s="1"/>
  <c r="N36" i="26" s="1"/>
  <c r="L36" i="14"/>
  <c r="L36" i="15" s="1"/>
  <c r="L36" i="16" s="1"/>
  <c r="L36" i="19" s="1"/>
  <c r="L36" i="26" s="1"/>
  <c r="K36" i="14"/>
  <c r="K36" i="15" s="1"/>
  <c r="K36" i="16" s="1"/>
  <c r="K36" i="19" s="1"/>
  <c r="K36" i="26" s="1"/>
  <c r="J36" i="14"/>
  <c r="J36" i="15" s="1"/>
  <c r="J36" i="16" s="1"/>
  <c r="J36" i="19" s="1"/>
  <c r="J36" i="26" s="1"/>
  <c r="I36" i="14"/>
  <c r="I36" i="15" s="1"/>
  <c r="I36" i="16" s="1"/>
  <c r="I36" i="19" s="1"/>
  <c r="I36" i="26" s="1"/>
  <c r="G36" i="14"/>
  <c r="G36" i="15" s="1"/>
  <c r="G36" i="16" s="1"/>
  <c r="G36" i="19" s="1"/>
  <c r="G36" i="26" s="1"/>
  <c r="F36" i="14"/>
  <c r="F36" i="15" s="1"/>
  <c r="F36" i="16" s="1"/>
  <c r="F36" i="19" s="1"/>
  <c r="F36" i="26" s="1"/>
  <c r="E36" i="14"/>
  <c r="E36" i="15" s="1"/>
  <c r="E36" i="16" s="1"/>
  <c r="E36" i="19" s="1"/>
  <c r="E36" i="26" s="1"/>
  <c r="C36" i="15"/>
  <c r="C36" i="16" s="1"/>
  <c r="C36" i="19" s="1"/>
  <c r="C36" i="26" s="1"/>
  <c r="B36" i="15"/>
  <c r="B36" i="16" s="1"/>
  <c r="B36" i="19" s="1"/>
  <c r="B36" i="26" s="1"/>
  <c r="A36" i="14"/>
  <c r="A36" i="15" s="1"/>
  <c r="A36" i="16" s="1"/>
  <c r="A36" i="19" s="1"/>
  <c r="A36" i="26" s="1"/>
  <c r="S35" i="14"/>
  <c r="S35" i="15" s="1"/>
  <c r="S35" i="16" s="1"/>
  <c r="S35" i="19" s="1"/>
  <c r="S35" i="26" s="1"/>
  <c r="R35" i="14"/>
  <c r="R35" i="15" s="1"/>
  <c r="Q35" i="14"/>
  <c r="Q35" i="15" s="1"/>
  <c r="Q35" i="16" s="1"/>
  <c r="Q35" i="19" s="1"/>
  <c r="Q35" i="26" s="1"/>
  <c r="P35" i="14"/>
  <c r="W35" i="14" s="1"/>
  <c r="O35" i="14"/>
  <c r="O35" i="15" s="1"/>
  <c r="O35" i="16" s="1"/>
  <c r="O35" i="19" s="1"/>
  <c r="O35" i="26" s="1"/>
  <c r="N35" i="14"/>
  <c r="N35" i="15" s="1"/>
  <c r="L35" i="14"/>
  <c r="L35" i="15" s="1"/>
  <c r="L35" i="16" s="1"/>
  <c r="L35" i="19" s="1"/>
  <c r="L35" i="26" s="1"/>
  <c r="K35" i="14"/>
  <c r="K35" i="15" s="1"/>
  <c r="K35" i="16" s="1"/>
  <c r="K35" i="19" s="1"/>
  <c r="K35" i="26" s="1"/>
  <c r="J35" i="14"/>
  <c r="J35" i="15" s="1"/>
  <c r="J35" i="16" s="1"/>
  <c r="J35" i="19" s="1"/>
  <c r="J35" i="26" s="1"/>
  <c r="I35" i="14"/>
  <c r="I35" i="15"/>
  <c r="I35" i="16" s="1"/>
  <c r="I35" i="19" s="1"/>
  <c r="I35" i="26" s="1"/>
  <c r="G35" i="14"/>
  <c r="G35" i="15" s="1"/>
  <c r="G35" i="16" s="1"/>
  <c r="G35" i="19" s="1"/>
  <c r="G35" i="26" s="1"/>
  <c r="F35" i="14"/>
  <c r="F35" i="15" s="1"/>
  <c r="F35" i="16" s="1"/>
  <c r="F35" i="19" s="1"/>
  <c r="F35" i="26" s="1"/>
  <c r="E35" i="14"/>
  <c r="E35" i="15" s="1"/>
  <c r="E35" i="16" s="1"/>
  <c r="E35" i="19" s="1"/>
  <c r="E35" i="26" s="1"/>
  <c r="C35" i="14"/>
  <c r="C35" i="15" s="1"/>
  <c r="C35" i="16" s="1"/>
  <c r="C35" i="19" s="1"/>
  <c r="C35" i="26" s="1"/>
  <c r="B35" i="14"/>
  <c r="B35" i="15" s="1"/>
  <c r="B35" i="16" s="1"/>
  <c r="B35" i="19" s="1"/>
  <c r="B35" i="26" s="1"/>
  <c r="A35" i="14"/>
  <c r="A35" i="15" s="1"/>
  <c r="A35" i="16" s="1"/>
  <c r="A35" i="19" s="1"/>
  <c r="A35" i="26" s="1"/>
  <c r="U34" i="14"/>
  <c r="U34" i="15" s="1"/>
  <c r="U34" i="16" s="1"/>
  <c r="U34" i="19" s="1"/>
  <c r="S34" i="14"/>
  <c r="S34" i="15" s="1"/>
  <c r="S34" i="16" s="1"/>
  <c r="S34" i="19" s="1"/>
  <c r="S34" i="26" s="1"/>
  <c r="R34" i="14"/>
  <c r="R34" i="15" s="1"/>
  <c r="Q34" i="14"/>
  <c r="Q34" i="15" s="1"/>
  <c r="Q34" i="16" s="1"/>
  <c r="Q34" i="19" s="1"/>
  <c r="Q34" i="26" s="1"/>
  <c r="P34" i="14"/>
  <c r="O34" i="14"/>
  <c r="O34" i="15" s="1"/>
  <c r="O34" i="16" s="1"/>
  <c r="O34" i="19" s="1"/>
  <c r="O34" i="26" s="1"/>
  <c r="N34" i="14"/>
  <c r="N34" i="15" s="1"/>
  <c r="N34" i="16" s="1"/>
  <c r="N34" i="19" s="1"/>
  <c r="N34" i="26" s="1"/>
  <c r="L34" i="14"/>
  <c r="L34" i="15" s="1"/>
  <c r="L34" i="16" s="1"/>
  <c r="L34" i="19" s="1"/>
  <c r="L34" i="26" s="1"/>
  <c r="K34" i="14"/>
  <c r="K34" i="15" s="1"/>
  <c r="K34" i="16" s="1"/>
  <c r="K34" i="19" s="1"/>
  <c r="K34" i="26" s="1"/>
  <c r="J34" i="14"/>
  <c r="J34" i="15" s="1"/>
  <c r="J34" i="16" s="1"/>
  <c r="J34" i="19" s="1"/>
  <c r="J34" i="26" s="1"/>
  <c r="I34" i="14"/>
  <c r="I34" i="15" s="1"/>
  <c r="I34" i="16" s="1"/>
  <c r="I34" i="19" s="1"/>
  <c r="I34" i="26" s="1"/>
  <c r="G34" i="14"/>
  <c r="G34" i="15" s="1"/>
  <c r="G34" i="16" s="1"/>
  <c r="G34" i="19" s="1"/>
  <c r="G34" i="26" s="1"/>
  <c r="F34" i="14"/>
  <c r="F34" i="15" s="1"/>
  <c r="F34" i="16" s="1"/>
  <c r="F34" i="19" s="1"/>
  <c r="F34" i="26" s="1"/>
  <c r="E34" i="14"/>
  <c r="E34" i="15" s="1"/>
  <c r="E34" i="16" s="1"/>
  <c r="E34" i="19" s="1"/>
  <c r="E34" i="26" s="1"/>
  <c r="C34" i="14"/>
  <c r="C34" i="15" s="1"/>
  <c r="C34" i="16" s="1"/>
  <c r="C34" i="19" s="1"/>
  <c r="C34" i="26" s="1"/>
  <c r="B34" i="14"/>
  <c r="B34" i="15" s="1"/>
  <c r="B34" i="16" s="1"/>
  <c r="B34" i="19" s="1"/>
  <c r="B34" i="26" s="1"/>
  <c r="A34" i="14"/>
  <c r="A34" i="15" s="1"/>
  <c r="A34" i="16" s="1"/>
  <c r="A34" i="19" s="1"/>
  <c r="A34" i="26" s="1"/>
  <c r="S33" i="14"/>
  <c r="S33" i="15" s="1"/>
  <c r="S33" i="16" s="1"/>
  <c r="R33" i="14"/>
  <c r="Q33" i="14"/>
  <c r="Q33" i="15" s="1"/>
  <c r="Q33" i="16" s="1"/>
  <c r="Q33" i="19" s="1"/>
  <c r="Q33" i="26" s="1"/>
  <c r="P33" i="14"/>
  <c r="P33" i="15" s="1"/>
  <c r="P33" i="16" s="1"/>
  <c r="P33" i="19" s="1"/>
  <c r="P33" i="26" s="1"/>
  <c r="O33" i="14"/>
  <c r="O33" i="15" s="1"/>
  <c r="O33" i="16" s="1"/>
  <c r="O33" i="19" s="1"/>
  <c r="O33" i="26" s="1"/>
  <c r="N33" i="14"/>
  <c r="N33" i="15" s="1"/>
  <c r="N33" i="16" s="1"/>
  <c r="N33" i="19" s="1"/>
  <c r="N33" i="26" s="1"/>
  <c r="L33" i="14"/>
  <c r="L33" i="15" s="1"/>
  <c r="L33" i="16" s="1"/>
  <c r="L33" i="19" s="1"/>
  <c r="L33" i="26" s="1"/>
  <c r="K33" i="14"/>
  <c r="K33" i="15" s="1"/>
  <c r="K33" i="16" s="1"/>
  <c r="K33" i="19" s="1"/>
  <c r="K33" i="26" s="1"/>
  <c r="J33" i="14"/>
  <c r="J33" i="15" s="1"/>
  <c r="J33" i="16" s="1"/>
  <c r="J33" i="19" s="1"/>
  <c r="J33" i="26" s="1"/>
  <c r="I33" i="14"/>
  <c r="I33" i="15" s="1"/>
  <c r="I33" i="16" s="1"/>
  <c r="I33" i="19" s="1"/>
  <c r="I33" i="26" s="1"/>
  <c r="G33" i="14"/>
  <c r="G33" i="15" s="1"/>
  <c r="G33" i="16" s="1"/>
  <c r="G33" i="19" s="1"/>
  <c r="G33" i="26" s="1"/>
  <c r="F33" i="14"/>
  <c r="F33" i="15" s="1"/>
  <c r="F33" i="16" s="1"/>
  <c r="F33" i="19" s="1"/>
  <c r="F33" i="26" s="1"/>
  <c r="E33" i="14"/>
  <c r="E33" i="15" s="1"/>
  <c r="E33" i="16" s="1"/>
  <c r="E33" i="19" s="1"/>
  <c r="E33" i="26" s="1"/>
  <c r="C33" i="14"/>
  <c r="C33" i="15" s="1"/>
  <c r="C33" i="16" s="1"/>
  <c r="C33" i="19" s="1"/>
  <c r="C33" i="26" s="1"/>
  <c r="B33" i="14"/>
  <c r="B33" i="15" s="1"/>
  <c r="B33" i="16" s="1"/>
  <c r="B33" i="19" s="1"/>
  <c r="B33" i="26" s="1"/>
  <c r="A33" i="14"/>
  <c r="A33" i="15" s="1"/>
  <c r="A33" i="16" s="1"/>
  <c r="A33" i="19" s="1"/>
  <c r="A33" i="26" s="1"/>
  <c r="S32" i="14"/>
  <c r="S32" i="15" s="1"/>
  <c r="S32" i="16" s="1"/>
  <c r="S32" i="19" s="1"/>
  <c r="S32" i="26" s="1"/>
  <c r="R32" i="14"/>
  <c r="Q32" i="14"/>
  <c r="Q32" i="15" s="1"/>
  <c r="Q32" i="16" s="1"/>
  <c r="Q32" i="19" s="1"/>
  <c r="Q32" i="26" s="1"/>
  <c r="P32" i="14"/>
  <c r="O32" i="14"/>
  <c r="O32" i="15" s="1"/>
  <c r="O32" i="16" s="1"/>
  <c r="O32" i="19" s="1"/>
  <c r="O32" i="26" s="1"/>
  <c r="N32" i="14"/>
  <c r="N32" i="15" s="1"/>
  <c r="N32" i="16" s="1"/>
  <c r="N32" i="19" s="1"/>
  <c r="N32" i="26" s="1"/>
  <c r="L32" i="14"/>
  <c r="L32" i="15" s="1"/>
  <c r="L32" i="16" s="1"/>
  <c r="L32" i="19" s="1"/>
  <c r="L32" i="26" s="1"/>
  <c r="K32" i="14"/>
  <c r="K32" i="15" s="1"/>
  <c r="K32" i="16" s="1"/>
  <c r="K32" i="19" s="1"/>
  <c r="K32" i="26" s="1"/>
  <c r="J32" i="14"/>
  <c r="J32" i="15" s="1"/>
  <c r="J32" i="16" s="1"/>
  <c r="J32" i="19" s="1"/>
  <c r="J32" i="26" s="1"/>
  <c r="I32" i="14"/>
  <c r="I32" i="15" s="1"/>
  <c r="I32" i="16" s="1"/>
  <c r="I32" i="19" s="1"/>
  <c r="I32" i="26" s="1"/>
  <c r="G32" i="14"/>
  <c r="G32" i="15" s="1"/>
  <c r="G32" i="16" s="1"/>
  <c r="G32" i="19" s="1"/>
  <c r="G32" i="26" s="1"/>
  <c r="F32" i="14"/>
  <c r="F32" i="15" s="1"/>
  <c r="F32" i="16" s="1"/>
  <c r="F32" i="19" s="1"/>
  <c r="F32" i="26" s="1"/>
  <c r="E32" i="14"/>
  <c r="E32" i="15" s="1"/>
  <c r="E32" i="16" s="1"/>
  <c r="E32" i="19" s="1"/>
  <c r="E32" i="26" s="1"/>
  <c r="C32" i="14"/>
  <c r="C32" i="15" s="1"/>
  <c r="C32" i="16" s="1"/>
  <c r="C32" i="19" s="1"/>
  <c r="C32" i="26" s="1"/>
  <c r="B32" i="14"/>
  <c r="B32" i="15" s="1"/>
  <c r="B32" i="16" s="1"/>
  <c r="B32" i="19" s="1"/>
  <c r="B32" i="26" s="1"/>
  <c r="A32" i="14"/>
  <c r="A32" i="15" s="1"/>
  <c r="A32" i="16" s="1"/>
  <c r="A32" i="19" s="1"/>
  <c r="A32" i="26" s="1"/>
  <c r="S31" i="14"/>
  <c r="S31" i="15" s="1"/>
  <c r="S31" i="16" s="1"/>
  <c r="S31" i="19" s="1"/>
  <c r="S31" i="26" s="1"/>
  <c r="R31" i="14"/>
  <c r="Q31" i="14"/>
  <c r="Q31" i="15" s="1"/>
  <c r="P31" i="14"/>
  <c r="P31" i="15" s="1"/>
  <c r="P31" i="16" s="1"/>
  <c r="P31" i="19" s="1"/>
  <c r="P31" i="26" s="1"/>
  <c r="O31" i="14"/>
  <c r="O31" i="15" s="1"/>
  <c r="N31" i="14"/>
  <c r="N31" i="15" s="1"/>
  <c r="N31" i="16" s="1"/>
  <c r="N31" i="19" s="1"/>
  <c r="N31" i="26" s="1"/>
  <c r="L31" i="14"/>
  <c r="L31" i="15" s="1"/>
  <c r="K31" i="14"/>
  <c r="K31" i="15" s="1"/>
  <c r="K31" i="16" s="1"/>
  <c r="K31" i="19" s="1"/>
  <c r="K31" i="26" s="1"/>
  <c r="J31" i="14"/>
  <c r="J31" i="15" s="1"/>
  <c r="I31" i="14"/>
  <c r="I31" i="15" s="1"/>
  <c r="I31" i="16" s="1"/>
  <c r="I31" i="19" s="1"/>
  <c r="I31" i="26" s="1"/>
  <c r="G31" i="14"/>
  <c r="G31" i="15" s="1"/>
  <c r="F31" i="14"/>
  <c r="F31" i="15" s="1"/>
  <c r="F31" i="16" s="1"/>
  <c r="F31" i="19" s="1"/>
  <c r="F31" i="26" s="1"/>
  <c r="E31" i="14"/>
  <c r="E31" i="15" s="1"/>
  <c r="C31" i="14"/>
  <c r="C31" i="15" s="1"/>
  <c r="C31" i="16" s="1"/>
  <c r="C31" i="19" s="1"/>
  <c r="C31" i="26" s="1"/>
  <c r="B31" i="14"/>
  <c r="B31" i="15" s="1"/>
  <c r="A31" i="14"/>
  <c r="A31" i="15" s="1"/>
  <c r="A31" i="16" s="1"/>
  <c r="A31" i="19" s="1"/>
  <c r="A31" i="26" s="1"/>
  <c r="S30" i="14"/>
  <c r="S30" i="15" s="1"/>
  <c r="S30" i="16" s="1"/>
  <c r="S30" i="19" s="1"/>
  <c r="S30" i="26" s="1"/>
  <c r="R30" i="14"/>
  <c r="Q30" i="14"/>
  <c r="Q30" i="15" s="1"/>
  <c r="Q30" i="16" s="1"/>
  <c r="Q30" i="19" s="1"/>
  <c r="Q30" i="26" s="1"/>
  <c r="P30" i="14"/>
  <c r="P30" i="15" s="1"/>
  <c r="P30" i="16" s="1"/>
  <c r="P30" i="19" s="1"/>
  <c r="P30" i="26" s="1"/>
  <c r="O30" i="14"/>
  <c r="O30" i="15" s="1"/>
  <c r="O30" i="16" s="1"/>
  <c r="O30" i="19" s="1"/>
  <c r="O30" i="26" s="1"/>
  <c r="N30" i="14"/>
  <c r="N30" i="15" s="1"/>
  <c r="N30" i="16" s="1"/>
  <c r="N30" i="19" s="1"/>
  <c r="N30" i="26" s="1"/>
  <c r="L30" i="14"/>
  <c r="L30" i="15" s="1"/>
  <c r="L30" i="16" s="1"/>
  <c r="L30" i="19" s="1"/>
  <c r="L30" i="26" s="1"/>
  <c r="K30" i="14"/>
  <c r="K30" i="15" s="1"/>
  <c r="K30" i="16" s="1"/>
  <c r="K30" i="19" s="1"/>
  <c r="K30" i="26" s="1"/>
  <c r="J30" i="14"/>
  <c r="J30" i="15" s="1"/>
  <c r="J30" i="16" s="1"/>
  <c r="J30" i="19" s="1"/>
  <c r="J30" i="26" s="1"/>
  <c r="I30" i="14"/>
  <c r="I30" i="15" s="1"/>
  <c r="I30" i="16" s="1"/>
  <c r="I30" i="19" s="1"/>
  <c r="I30" i="26" s="1"/>
  <c r="G30" i="14"/>
  <c r="G30" i="15" s="1"/>
  <c r="G30" i="16" s="1"/>
  <c r="G30" i="19" s="1"/>
  <c r="G30" i="26" s="1"/>
  <c r="F30" i="14"/>
  <c r="F30" i="15" s="1"/>
  <c r="F30" i="16" s="1"/>
  <c r="F30" i="19" s="1"/>
  <c r="F30" i="26" s="1"/>
  <c r="E30" i="14"/>
  <c r="E30" i="15" s="1"/>
  <c r="E30" i="16" s="1"/>
  <c r="E30" i="19" s="1"/>
  <c r="E30" i="26" s="1"/>
  <c r="C30" i="14"/>
  <c r="C30" i="15" s="1"/>
  <c r="C30" i="16" s="1"/>
  <c r="C30" i="19" s="1"/>
  <c r="C30" i="26" s="1"/>
  <c r="B30" i="14"/>
  <c r="B30" i="15" s="1"/>
  <c r="B30" i="16" s="1"/>
  <c r="B30" i="19" s="1"/>
  <c r="B30" i="26" s="1"/>
  <c r="A30" i="14"/>
  <c r="A30" i="15" s="1"/>
  <c r="A30" i="16" s="1"/>
  <c r="A30" i="19" s="1"/>
  <c r="A30" i="26" s="1"/>
  <c r="S29" i="14"/>
  <c r="R29" i="14"/>
  <c r="R29" i="15" s="1"/>
  <c r="R29" i="16" s="1"/>
  <c r="R29" i="19" s="1"/>
  <c r="Q29" i="14"/>
  <c r="Q29" i="15" s="1"/>
  <c r="Q29" i="16" s="1"/>
  <c r="Q29" i="19" s="1"/>
  <c r="Q29" i="26" s="1"/>
  <c r="P29" i="14"/>
  <c r="O29" i="14"/>
  <c r="O29" i="15" s="1"/>
  <c r="O29" i="16" s="1"/>
  <c r="O29" i="19" s="1"/>
  <c r="O29" i="26" s="1"/>
  <c r="N29" i="14"/>
  <c r="N29" i="15" s="1"/>
  <c r="N29" i="16" s="1"/>
  <c r="N29" i="19" s="1"/>
  <c r="N29" i="26" s="1"/>
  <c r="L29" i="14"/>
  <c r="L29" i="15" s="1"/>
  <c r="L29" i="16" s="1"/>
  <c r="L29" i="19" s="1"/>
  <c r="L29" i="26" s="1"/>
  <c r="K29" i="14"/>
  <c r="K29" i="15"/>
  <c r="K29" i="16" s="1"/>
  <c r="K29" i="19" s="1"/>
  <c r="K29" i="26" s="1"/>
  <c r="J29" i="14"/>
  <c r="J29" i="15" s="1"/>
  <c r="J29" i="16" s="1"/>
  <c r="J29" i="19" s="1"/>
  <c r="J29" i="26" s="1"/>
  <c r="I29" i="14"/>
  <c r="I29" i="15" s="1"/>
  <c r="I29" i="16" s="1"/>
  <c r="I29" i="19" s="1"/>
  <c r="I29" i="26" s="1"/>
  <c r="G29" i="14"/>
  <c r="G29" i="15" s="1"/>
  <c r="G29" i="16" s="1"/>
  <c r="G29" i="19" s="1"/>
  <c r="G29" i="26" s="1"/>
  <c r="F29" i="14"/>
  <c r="F29" i="15" s="1"/>
  <c r="F29" i="16" s="1"/>
  <c r="F29" i="19" s="1"/>
  <c r="F29" i="26" s="1"/>
  <c r="E29" i="14"/>
  <c r="E29" i="15" s="1"/>
  <c r="E29" i="16" s="1"/>
  <c r="E29" i="19" s="1"/>
  <c r="E29" i="26" s="1"/>
  <c r="C29" i="14"/>
  <c r="C29" i="15" s="1"/>
  <c r="C29" i="16" s="1"/>
  <c r="C29" i="19" s="1"/>
  <c r="C29" i="26" s="1"/>
  <c r="B29" i="14"/>
  <c r="B29" i="15" s="1"/>
  <c r="B29" i="16" s="1"/>
  <c r="B29" i="19" s="1"/>
  <c r="B29" i="26" s="1"/>
  <c r="A29" i="14"/>
  <c r="A29" i="15" s="1"/>
  <c r="A29" i="16" s="1"/>
  <c r="A29" i="19" s="1"/>
  <c r="A29" i="26" s="1"/>
  <c r="S28" i="14"/>
  <c r="S28" i="15" s="1"/>
  <c r="S28" i="16" s="1"/>
  <c r="S28" i="19" s="1"/>
  <c r="S28" i="26" s="1"/>
  <c r="R28" i="14"/>
  <c r="R28" i="15" s="1"/>
  <c r="Q28" i="14"/>
  <c r="Q28" i="15" s="1"/>
  <c r="Q28" i="16" s="1"/>
  <c r="Q28" i="19" s="1"/>
  <c r="Q28" i="26" s="1"/>
  <c r="P28" i="14"/>
  <c r="W28" i="14" s="1"/>
  <c r="O28" i="14"/>
  <c r="O28" i="15" s="1"/>
  <c r="O28" i="16" s="1"/>
  <c r="O28" i="19" s="1"/>
  <c r="O28" i="26" s="1"/>
  <c r="N28" i="14"/>
  <c r="N28" i="15" s="1"/>
  <c r="N28" i="16" s="1"/>
  <c r="N28" i="19" s="1"/>
  <c r="N28" i="26" s="1"/>
  <c r="L28" i="14"/>
  <c r="L28" i="15" s="1"/>
  <c r="L28" i="16" s="1"/>
  <c r="L28" i="19" s="1"/>
  <c r="L28" i="26" s="1"/>
  <c r="K28" i="14"/>
  <c r="K28" i="15" s="1"/>
  <c r="K28" i="16" s="1"/>
  <c r="K28" i="19" s="1"/>
  <c r="K28" i="26" s="1"/>
  <c r="J28" i="14"/>
  <c r="J28" i="15" s="1"/>
  <c r="J28" i="16" s="1"/>
  <c r="J28" i="19" s="1"/>
  <c r="J28" i="26" s="1"/>
  <c r="I28" i="14"/>
  <c r="I28" i="15" s="1"/>
  <c r="I28" i="16" s="1"/>
  <c r="I28" i="19" s="1"/>
  <c r="I28" i="26" s="1"/>
  <c r="G28" i="14"/>
  <c r="G28" i="15" s="1"/>
  <c r="G28" i="16" s="1"/>
  <c r="G28" i="19" s="1"/>
  <c r="G28" i="26" s="1"/>
  <c r="F28" i="14"/>
  <c r="F28" i="15" s="1"/>
  <c r="F28" i="16" s="1"/>
  <c r="F28" i="19" s="1"/>
  <c r="F28" i="26" s="1"/>
  <c r="E28" i="14"/>
  <c r="E28" i="15" s="1"/>
  <c r="E28" i="16" s="1"/>
  <c r="E28" i="19" s="1"/>
  <c r="E28" i="26" s="1"/>
  <c r="C28" i="14"/>
  <c r="C28" i="15" s="1"/>
  <c r="C28" i="16" s="1"/>
  <c r="C28" i="19" s="1"/>
  <c r="C28" i="26" s="1"/>
  <c r="B28" i="14"/>
  <c r="B28" i="15" s="1"/>
  <c r="B28" i="16" s="1"/>
  <c r="B28" i="19" s="1"/>
  <c r="B28" i="26" s="1"/>
  <c r="A28" i="14"/>
  <c r="A28" i="15" s="1"/>
  <c r="A28" i="16" s="1"/>
  <c r="A28" i="19" s="1"/>
  <c r="A28" i="26" s="1"/>
  <c r="S27" i="14"/>
  <c r="R27" i="14"/>
  <c r="R27" i="15" s="1"/>
  <c r="R27" i="16" s="1"/>
  <c r="R27" i="19" s="1"/>
  <c r="R27" i="26" s="1"/>
  <c r="Q27" i="14"/>
  <c r="Q27" i="15" s="1"/>
  <c r="Q27" i="16" s="1"/>
  <c r="Q27" i="19" s="1"/>
  <c r="Q27" i="26" s="1"/>
  <c r="P27" i="14"/>
  <c r="P27" i="15" s="1"/>
  <c r="AC27" i="15" s="1"/>
  <c r="O27" i="14"/>
  <c r="O27" i="15" s="1"/>
  <c r="N27" i="14"/>
  <c r="N27" i="15" s="1"/>
  <c r="N27" i="16" s="1"/>
  <c r="N27" i="19" s="1"/>
  <c r="N27" i="26" s="1"/>
  <c r="L27" i="14"/>
  <c r="L27" i="15" s="1"/>
  <c r="L27" i="16" s="1"/>
  <c r="L27" i="19" s="1"/>
  <c r="L27" i="26" s="1"/>
  <c r="K27" i="14"/>
  <c r="K27" i="15" s="1"/>
  <c r="K27" i="16" s="1"/>
  <c r="K27" i="19" s="1"/>
  <c r="K27" i="26" s="1"/>
  <c r="J27" i="14"/>
  <c r="J27" i="15" s="1"/>
  <c r="J27" i="16" s="1"/>
  <c r="J27" i="19" s="1"/>
  <c r="J27" i="26" s="1"/>
  <c r="I27" i="14"/>
  <c r="I27" i="15" s="1"/>
  <c r="I27" i="16" s="1"/>
  <c r="I27" i="19" s="1"/>
  <c r="I27" i="26" s="1"/>
  <c r="G27" i="14"/>
  <c r="G27" i="15" s="1"/>
  <c r="G27" i="16" s="1"/>
  <c r="G27" i="19" s="1"/>
  <c r="G27" i="26" s="1"/>
  <c r="F27" i="14"/>
  <c r="F27" i="15" s="1"/>
  <c r="F27" i="16" s="1"/>
  <c r="F27" i="19" s="1"/>
  <c r="F27" i="26" s="1"/>
  <c r="E27" i="14"/>
  <c r="E27" i="15" s="1"/>
  <c r="E27" i="16" s="1"/>
  <c r="E27" i="19" s="1"/>
  <c r="E27" i="26" s="1"/>
  <c r="C27" i="14"/>
  <c r="C27" i="15" s="1"/>
  <c r="C27" i="16" s="1"/>
  <c r="C27" i="19" s="1"/>
  <c r="C27" i="26" s="1"/>
  <c r="B27" i="14"/>
  <c r="B27" i="15" s="1"/>
  <c r="B27" i="16" s="1"/>
  <c r="B27" i="19" s="1"/>
  <c r="B27" i="26" s="1"/>
  <c r="A27" i="14"/>
  <c r="A27" i="15" s="1"/>
  <c r="A27" i="16" s="1"/>
  <c r="A27" i="19" s="1"/>
  <c r="A27" i="26" s="1"/>
  <c r="S26" i="14"/>
  <c r="S26" i="15" s="1"/>
  <c r="S26" i="16" s="1"/>
  <c r="S26" i="19" s="1"/>
  <c r="S26" i="26" s="1"/>
  <c r="R26" i="14"/>
  <c r="Q26" i="14"/>
  <c r="Q26" i="15" s="1"/>
  <c r="Q26" i="16" s="1"/>
  <c r="Q26" i="19" s="1"/>
  <c r="Q26" i="26" s="1"/>
  <c r="P26" i="14"/>
  <c r="P26" i="15" s="1"/>
  <c r="O26" i="14"/>
  <c r="O26" i="15" s="1"/>
  <c r="O26" i="16" s="1"/>
  <c r="O26" i="19" s="1"/>
  <c r="O26" i="26" s="1"/>
  <c r="N26" i="14"/>
  <c r="N26" i="15" s="1"/>
  <c r="N26" i="16" s="1"/>
  <c r="N26" i="19" s="1"/>
  <c r="N26" i="26" s="1"/>
  <c r="L26" i="14"/>
  <c r="L26" i="15" s="1"/>
  <c r="L26" i="16" s="1"/>
  <c r="L26" i="19" s="1"/>
  <c r="L26" i="26" s="1"/>
  <c r="K26" i="14"/>
  <c r="K26" i="15" s="1"/>
  <c r="K26" i="16" s="1"/>
  <c r="K26" i="19" s="1"/>
  <c r="K26" i="26" s="1"/>
  <c r="J26" i="14"/>
  <c r="J26" i="15" s="1"/>
  <c r="J26" i="16" s="1"/>
  <c r="J26" i="19" s="1"/>
  <c r="J26" i="26" s="1"/>
  <c r="I26" i="14"/>
  <c r="I26" i="15" s="1"/>
  <c r="I26" i="16" s="1"/>
  <c r="I26" i="19" s="1"/>
  <c r="I26" i="26" s="1"/>
  <c r="G26" i="14"/>
  <c r="G26" i="15" s="1"/>
  <c r="G26" i="16" s="1"/>
  <c r="G26" i="19" s="1"/>
  <c r="G26" i="26" s="1"/>
  <c r="F26" i="14"/>
  <c r="F26" i="15" s="1"/>
  <c r="F26" i="16" s="1"/>
  <c r="F26" i="19" s="1"/>
  <c r="F26" i="26" s="1"/>
  <c r="E26" i="14"/>
  <c r="E26" i="15" s="1"/>
  <c r="E26" i="16" s="1"/>
  <c r="E26" i="19" s="1"/>
  <c r="E26" i="26" s="1"/>
  <c r="C26" i="14"/>
  <c r="C26" i="15" s="1"/>
  <c r="C26" i="16" s="1"/>
  <c r="C26" i="19" s="1"/>
  <c r="C26" i="26" s="1"/>
  <c r="B26" i="14"/>
  <c r="B26" i="15" s="1"/>
  <c r="B26" i="16" s="1"/>
  <c r="B26" i="19" s="1"/>
  <c r="B26" i="26" s="1"/>
  <c r="A26" i="14"/>
  <c r="A26" i="15" s="1"/>
  <c r="A26" i="16" s="1"/>
  <c r="A26" i="19" s="1"/>
  <c r="A26" i="26" s="1"/>
  <c r="L107" i="14"/>
  <c r="L107" i="15" s="1"/>
  <c r="K107" i="14"/>
  <c r="K107" i="15" s="1"/>
  <c r="K107" i="26" s="1"/>
  <c r="J107" i="14"/>
  <c r="J107" i="15" s="1"/>
  <c r="J107" i="19" s="1"/>
  <c r="I107" i="14"/>
  <c r="I107" i="15" s="1"/>
  <c r="G107" i="14"/>
  <c r="G107" i="15" s="1"/>
  <c r="F107" i="14"/>
  <c r="F107" i="15" s="1"/>
  <c r="E107" i="14"/>
  <c r="E107" i="15" s="1"/>
  <c r="E107" i="26" s="1"/>
  <c r="C107" i="14"/>
  <c r="C107" i="15" s="1"/>
  <c r="B107" i="14"/>
  <c r="B107" i="15" s="1"/>
  <c r="A107" i="14"/>
  <c r="A107" i="15" s="1"/>
  <c r="S25" i="14"/>
  <c r="R25" i="14"/>
  <c r="R25" i="15" s="1"/>
  <c r="Q25" i="14"/>
  <c r="Q25" i="15" s="1"/>
  <c r="Q25" i="16" s="1"/>
  <c r="Q25" i="19" s="1"/>
  <c r="Q25" i="26" s="1"/>
  <c r="P25" i="14"/>
  <c r="P25" i="15" s="1"/>
  <c r="AC25" i="15" s="1"/>
  <c r="O25" i="14"/>
  <c r="O25" i="15" s="1"/>
  <c r="O25" i="16" s="1"/>
  <c r="O25" i="19" s="1"/>
  <c r="O25" i="26" s="1"/>
  <c r="N25" i="14"/>
  <c r="N25" i="15" s="1"/>
  <c r="L25" i="14"/>
  <c r="L25" i="15" s="1"/>
  <c r="L25" i="16" s="1"/>
  <c r="L25" i="19" s="1"/>
  <c r="L25" i="26" s="1"/>
  <c r="K25" i="14"/>
  <c r="K25" i="15" s="1"/>
  <c r="J25" i="14"/>
  <c r="J25" i="15" s="1"/>
  <c r="J25" i="16" s="1"/>
  <c r="J25" i="19" s="1"/>
  <c r="J25" i="26" s="1"/>
  <c r="I25" i="14"/>
  <c r="I25" i="15" s="1"/>
  <c r="G25" i="14"/>
  <c r="G25" i="15" s="1"/>
  <c r="G25" i="16" s="1"/>
  <c r="G25" i="19" s="1"/>
  <c r="G25" i="26" s="1"/>
  <c r="F25" i="14"/>
  <c r="F25" i="15" s="1"/>
  <c r="E25" i="14"/>
  <c r="E25" i="15" s="1"/>
  <c r="E25" i="16" s="1"/>
  <c r="E25" i="19" s="1"/>
  <c r="E25" i="26" s="1"/>
  <c r="C25" i="14"/>
  <c r="C25" i="15" s="1"/>
  <c r="B25" i="14"/>
  <c r="B25" i="15" s="1"/>
  <c r="B25" i="16" s="1"/>
  <c r="B25" i="19" s="1"/>
  <c r="B25" i="26" s="1"/>
  <c r="A25" i="14"/>
  <c r="A25" i="15" s="1"/>
  <c r="S24" i="14"/>
  <c r="S24" i="15" s="1"/>
  <c r="R24" i="14"/>
  <c r="Q24" i="14"/>
  <c r="Q24" i="15" s="1"/>
  <c r="Q24" i="16" s="1"/>
  <c r="Q24" i="19" s="1"/>
  <c r="Q24" i="26" s="1"/>
  <c r="P24" i="14"/>
  <c r="P24" i="15" s="1"/>
  <c r="O24" i="14"/>
  <c r="O24" i="15" s="1"/>
  <c r="O24" i="16" s="1"/>
  <c r="O24" i="19" s="1"/>
  <c r="O24" i="26" s="1"/>
  <c r="N24" i="14"/>
  <c r="N24" i="15" s="1"/>
  <c r="N24" i="16" s="1"/>
  <c r="N24" i="19" s="1"/>
  <c r="N24" i="26" s="1"/>
  <c r="L24" i="14"/>
  <c r="L24" i="15" s="1"/>
  <c r="L24" i="16" s="1"/>
  <c r="L24" i="19" s="1"/>
  <c r="L24" i="26" s="1"/>
  <c r="K24" i="14"/>
  <c r="K24" i="15" s="1"/>
  <c r="K24" i="16" s="1"/>
  <c r="K24" i="19" s="1"/>
  <c r="K24" i="26" s="1"/>
  <c r="J24" i="14"/>
  <c r="J24" i="15" s="1"/>
  <c r="J24" i="16" s="1"/>
  <c r="J24" i="19" s="1"/>
  <c r="J24" i="26" s="1"/>
  <c r="I24" i="14"/>
  <c r="I24" i="15" s="1"/>
  <c r="I24" i="16" s="1"/>
  <c r="I24" i="19" s="1"/>
  <c r="I24" i="26" s="1"/>
  <c r="G24" i="14"/>
  <c r="G24" i="15" s="1"/>
  <c r="G24" i="16" s="1"/>
  <c r="G24" i="19" s="1"/>
  <c r="G24" i="26" s="1"/>
  <c r="F24" i="14"/>
  <c r="F24" i="15" s="1"/>
  <c r="F24" i="16" s="1"/>
  <c r="F24" i="19" s="1"/>
  <c r="F24" i="26" s="1"/>
  <c r="E24" i="14"/>
  <c r="E24" i="15" s="1"/>
  <c r="E24" i="16" s="1"/>
  <c r="E24" i="19" s="1"/>
  <c r="E24" i="26" s="1"/>
  <c r="C24" i="14"/>
  <c r="C24" i="15" s="1"/>
  <c r="C24" i="16" s="1"/>
  <c r="C24" i="19" s="1"/>
  <c r="C24" i="26" s="1"/>
  <c r="B24" i="14"/>
  <c r="B24" i="15" s="1"/>
  <c r="B24" i="16" s="1"/>
  <c r="B24" i="19" s="1"/>
  <c r="B24" i="26" s="1"/>
  <c r="A24" i="14"/>
  <c r="A24" i="15" s="1"/>
  <c r="A24" i="16" s="1"/>
  <c r="A24" i="19" s="1"/>
  <c r="A24" i="26" s="1"/>
  <c r="S23" i="14"/>
  <c r="S23" i="15" s="1"/>
  <c r="S23" i="16" s="1"/>
  <c r="S23" i="19" s="1"/>
  <c r="S23" i="26" s="1"/>
  <c r="R23" i="14"/>
  <c r="Q23" i="14"/>
  <c r="Q23" i="15" s="1"/>
  <c r="Q23" i="16" s="1"/>
  <c r="Q23" i="19" s="1"/>
  <c r="Q23" i="26" s="1"/>
  <c r="P23" i="14"/>
  <c r="P23" i="15" s="1"/>
  <c r="AC23" i="15" s="1"/>
  <c r="O23" i="14"/>
  <c r="O23" i="15" s="1"/>
  <c r="O23" i="16" s="1"/>
  <c r="O23" i="19" s="1"/>
  <c r="O23" i="26" s="1"/>
  <c r="N23" i="14"/>
  <c r="N23" i="15" s="1"/>
  <c r="N23" i="16" s="1"/>
  <c r="N23" i="19" s="1"/>
  <c r="N23" i="26" s="1"/>
  <c r="L23" i="14"/>
  <c r="L23" i="15" s="1"/>
  <c r="L23" i="16" s="1"/>
  <c r="L23" i="19" s="1"/>
  <c r="L23" i="26" s="1"/>
  <c r="K23" i="14"/>
  <c r="K23" i="15" s="1"/>
  <c r="K23" i="16" s="1"/>
  <c r="K23" i="19" s="1"/>
  <c r="K23" i="26" s="1"/>
  <c r="J23" i="14"/>
  <c r="J23" i="15" s="1"/>
  <c r="J23" i="16" s="1"/>
  <c r="J23" i="19" s="1"/>
  <c r="J23" i="26" s="1"/>
  <c r="I23" i="14"/>
  <c r="I23" i="15" s="1"/>
  <c r="I23" i="16" s="1"/>
  <c r="I23" i="19" s="1"/>
  <c r="I23" i="26" s="1"/>
  <c r="G23" i="14"/>
  <c r="G23" i="15" s="1"/>
  <c r="G23" i="16" s="1"/>
  <c r="G23" i="19" s="1"/>
  <c r="G23" i="26" s="1"/>
  <c r="F23" i="14"/>
  <c r="F23" i="15" s="1"/>
  <c r="F23" i="16" s="1"/>
  <c r="F23" i="19" s="1"/>
  <c r="F23" i="26" s="1"/>
  <c r="E23" i="14"/>
  <c r="E23" i="15" s="1"/>
  <c r="E23" i="16" s="1"/>
  <c r="E23" i="19" s="1"/>
  <c r="E23" i="26" s="1"/>
  <c r="C23" i="14"/>
  <c r="C23" i="15" s="1"/>
  <c r="C23" i="16" s="1"/>
  <c r="C23" i="19" s="1"/>
  <c r="C23" i="26" s="1"/>
  <c r="B23" i="14"/>
  <c r="B23" i="15" s="1"/>
  <c r="B23" i="16" s="1"/>
  <c r="B23" i="19" s="1"/>
  <c r="B23" i="26" s="1"/>
  <c r="A23" i="14"/>
  <c r="A23" i="15" s="1"/>
  <c r="A23" i="16" s="1"/>
  <c r="A23" i="19" s="1"/>
  <c r="A23" i="26" s="1"/>
  <c r="S22" i="14"/>
  <c r="S22" i="15" s="1"/>
  <c r="S22" i="16" s="1"/>
  <c r="S22" i="19" s="1"/>
  <c r="S22" i="26" s="1"/>
  <c r="R22" i="14"/>
  <c r="R22" i="15" s="1"/>
  <c r="R22" i="16" s="1"/>
  <c r="Q22" i="14"/>
  <c r="Q22" i="15" s="1"/>
  <c r="Q22" i="16" s="1"/>
  <c r="Q22" i="19" s="1"/>
  <c r="Q22" i="26" s="1"/>
  <c r="P22" i="14"/>
  <c r="P22" i="15" s="1"/>
  <c r="AC22" i="15" s="1"/>
  <c r="O22" i="14"/>
  <c r="O22" i="15" s="1"/>
  <c r="O22" i="16" s="1"/>
  <c r="O22" i="19" s="1"/>
  <c r="O22" i="26" s="1"/>
  <c r="N22" i="14"/>
  <c r="N22" i="15" s="1"/>
  <c r="N22" i="16" s="1"/>
  <c r="N22" i="19" s="1"/>
  <c r="N22" i="26" s="1"/>
  <c r="K22" i="14"/>
  <c r="K22" i="15" s="1"/>
  <c r="K22" i="16" s="1"/>
  <c r="K22" i="19" s="1"/>
  <c r="K22" i="26" s="1"/>
  <c r="J22" i="14"/>
  <c r="J22" i="15" s="1"/>
  <c r="J22" i="16" s="1"/>
  <c r="J22" i="19" s="1"/>
  <c r="J22" i="26" s="1"/>
  <c r="I22" i="14"/>
  <c r="I22" i="15" s="1"/>
  <c r="I22" i="16" s="1"/>
  <c r="I22" i="19" s="1"/>
  <c r="I22" i="26" s="1"/>
  <c r="G22" i="14"/>
  <c r="G22" i="15" s="1"/>
  <c r="G22" i="16" s="1"/>
  <c r="G22" i="19" s="1"/>
  <c r="G22" i="26" s="1"/>
  <c r="F22" i="14"/>
  <c r="F22" i="15" s="1"/>
  <c r="F22" i="16" s="1"/>
  <c r="F22" i="19" s="1"/>
  <c r="F22" i="26" s="1"/>
  <c r="E22" i="14"/>
  <c r="E22" i="15" s="1"/>
  <c r="E22" i="16" s="1"/>
  <c r="E22" i="19" s="1"/>
  <c r="E22" i="26" s="1"/>
  <c r="C22" i="14"/>
  <c r="C22" i="15" s="1"/>
  <c r="C22" i="16" s="1"/>
  <c r="C22" i="19" s="1"/>
  <c r="C22" i="26" s="1"/>
  <c r="B22" i="14"/>
  <c r="B22" i="15" s="1"/>
  <c r="B22" i="16" s="1"/>
  <c r="B22" i="19" s="1"/>
  <c r="B22" i="26" s="1"/>
  <c r="A22" i="14"/>
  <c r="A22" i="15" s="1"/>
  <c r="A22" i="16" s="1"/>
  <c r="A22" i="19" s="1"/>
  <c r="A22" i="26" s="1"/>
  <c r="S21" i="14"/>
  <c r="S21" i="15" s="1"/>
  <c r="S21" i="16" s="1"/>
  <c r="S21" i="19" s="1"/>
  <c r="S21" i="26" s="1"/>
  <c r="R21" i="14"/>
  <c r="T21" i="14" s="1"/>
  <c r="Q21" i="14"/>
  <c r="Q21" i="15" s="1"/>
  <c r="Q21" i="16" s="1"/>
  <c r="Q21" i="19" s="1"/>
  <c r="Q21" i="26" s="1"/>
  <c r="P21" i="14"/>
  <c r="O21" i="14"/>
  <c r="O21" i="15" s="1"/>
  <c r="O21" i="16" s="1"/>
  <c r="O21" i="19" s="1"/>
  <c r="O21" i="26" s="1"/>
  <c r="N21" i="14"/>
  <c r="N21" i="15" s="1"/>
  <c r="N21" i="16" s="1"/>
  <c r="N21" i="19" s="1"/>
  <c r="N21" i="26" s="1"/>
  <c r="L21" i="14"/>
  <c r="L21" i="15" s="1"/>
  <c r="L21" i="16" s="1"/>
  <c r="L21" i="19" s="1"/>
  <c r="L21" i="26" s="1"/>
  <c r="K21" i="14"/>
  <c r="K21" i="15" s="1"/>
  <c r="K21" i="16" s="1"/>
  <c r="K21" i="19" s="1"/>
  <c r="K21" i="26" s="1"/>
  <c r="J21" i="14"/>
  <c r="J21" i="15" s="1"/>
  <c r="I21" i="14"/>
  <c r="I21" i="15" s="1"/>
  <c r="I21" i="16" s="1"/>
  <c r="I21" i="19" s="1"/>
  <c r="I21" i="26" s="1"/>
  <c r="G21" i="14"/>
  <c r="G21" i="15" s="1"/>
  <c r="F21" i="14"/>
  <c r="F21" i="15" s="1"/>
  <c r="F21" i="16" s="1"/>
  <c r="F21" i="19" s="1"/>
  <c r="F21" i="26" s="1"/>
  <c r="E21" i="14"/>
  <c r="E21" i="15" s="1"/>
  <c r="C21" i="14"/>
  <c r="C21" i="15" s="1"/>
  <c r="C21" i="16" s="1"/>
  <c r="C21" i="19" s="1"/>
  <c r="C21" i="26" s="1"/>
  <c r="B21" i="14"/>
  <c r="B21" i="15" s="1"/>
  <c r="A21" i="14"/>
  <c r="A21" i="15" s="1"/>
  <c r="A21" i="16" s="1"/>
  <c r="A21" i="19" s="1"/>
  <c r="A21" i="26" s="1"/>
  <c r="S20" i="14"/>
  <c r="S20" i="15" s="1"/>
  <c r="S20" i="16" s="1"/>
  <c r="S20" i="19" s="1"/>
  <c r="S20" i="26" s="1"/>
  <c r="R20" i="14"/>
  <c r="R20" i="15" s="1"/>
  <c r="R20" i="16" s="1"/>
  <c r="Q20" i="14"/>
  <c r="Q20" i="15" s="1"/>
  <c r="P20" i="14"/>
  <c r="O20" i="14"/>
  <c r="O20" i="15" s="1"/>
  <c r="N20" i="14"/>
  <c r="N20" i="15" s="1"/>
  <c r="N20" i="16" s="1"/>
  <c r="N20" i="19" s="1"/>
  <c r="N20" i="26" s="1"/>
  <c r="L20" i="14"/>
  <c r="L20" i="15" s="1"/>
  <c r="K20" i="14"/>
  <c r="K20" i="15" s="1"/>
  <c r="K20" i="16" s="1"/>
  <c r="K20" i="19" s="1"/>
  <c r="K20" i="26" s="1"/>
  <c r="J20" i="14"/>
  <c r="J20" i="15" s="1"/>
  <c r="I20" i="14"/>
  <c r="I20" i="15" s="1"/>
  <c r="I20" i="16" s="1"/>
  <c r="I20" i="19" s="1"/>
  <c r="I20" i="26" s="1"/>
  <c r="G20" i="14"/>
  <c r="G20" i="15" s="1"/>
  <c r="F20" i="14"/>
  <c r="F20" i="15" s="1"/>
  <c r="F20" i="16" s="1"/>
  <c r="F20" i="19" s="1"/>
  <c r="F20" i="26" s="1"/>
  <c r="E20" i="14"/>
  <c r="E20" i="15" s="1"/>
  <c r="C20" i="14"/>
  <c r="C20" i="15" s="1"/>
  <c r="C20" i="16" s="1"/>
  <c r="C20" i="19" s="1"/>
  <c r="C20" i="26" s="1"/>
  <c r="B20" i="14"/>
  <c r="B20" i="15" s="1"/>
  <c r="A20" i="14"/>
  <c r="A20" i="15" s="1"/>
  <c r="A20" i="16" s="1"/>
  <c r="A20" i="19" s="1"/>
  <c r="A20" i="26" s="1"/>
  <c r="S19" i="14"/>
  <c r="S19" i="15" s="1"/>
  <c r="R19" i="14"/>
  <c r="Q19" i="14"/>
  <c r="Q19" i="15" s="1"/>
  <c r="Q19" i="16" s="1"/>
  <c r="Q19" i="19" s="1"/>
  <c r="Q19" i="26" s="1"/>
  <c r="P19" i="14"/>
  <c r="P19" i="15" s="1"/>
  <c r="P19" i="16" s="1"/>
  <c r="AC19" i="16" s="1"/>
  <c r="O19" i="14"/>
  <c r="O19" i="15" s="1"/>
  <c r="O19" i="16" s="1"/>
  <c r="O19" i="19" s="1"/>
  <c r="O19" i="26" s="1"/>
  <c r="N19" i="14"/>
  <c r="N19" i="15" s="1"/>
  <c r="N19" i="16" s="1"/>
  <c r="N19" i="19" s="1"/>
  <c r="N19" i="26" s="1"/>
  <c r="L19" i="14"/>
  <c r="L19" i="15" s="1"/>
  <c r="L19" i="16" s="1"/>
  <c r="L19" i="19" s="1"/>
  <c r="L19" i="26" s="1"/>
  <c r="K19" i="14"/>
  <c r="K19" i="15" s="1"/>
  <c r="K19" i="16" s="1"/>
  <c r="K19" i="19" s="1"/>
  <c r="K19" i="26" s="1"/>
  <c r="J19" i="14"/>
  <c r="J19" i="15" s="1"/>
  <c r="J19" i="16" s="1"/>
  <c r="J19" i="19" s="1"/>
  <c r="J19" i="26" s="1"/>
  <c r="I19" i="14"/>
  <c r="I19" i="15" s="1"/>
  <c r="I19" i="16" s="1"/>
  <c r="I19" i="19" s="1"/>
  <c r="I19" i="26" s="1"/>
  <c r="G19" i="14"/>
  <c r="G19" i="15" s="1"/>
  <c r="G19" i="16" s="1"/>
  <c r="G19" i="19" s="1"/>
  <c r="G19" i="26" s="1"/>
  <c r="F19" i="14"/>
  <c r="F19" i="15" s="1"/>
  <c r="F19" i="16" s="1"/>
  <c r="F19" i="19" s="1"/>
  <c r="F19" i="26" s="1"/>
  <c r="E19" i="14"/>
  <c r="E19" i="15" s="1"/>
  <c r="E19" i="16" s="1"/>
  <c r="E19" i="19" s="1"/>
  <c r="E19" i="26" s="1"/>
  <c r="C19" i="14"/>
  <c r="C19" i="15" s="1"/>
  <c r="C19" i="16" s="1"/>
  <c r="C19" i="19" s="1"/>
  <c r="C19" i="26" s="1"/>
  <c r="B19" i="14"/>
  <c r="B19" i="15" s="1"/>
  <c r="B19" i="16" s="1"/>
  <c r="B19" i="19" s="1"/>
  <c r="B19" i="26" s="1"/>
  <c r="A19" i="14"/>
  <c r="A19" i="15" s="1"/>
  <c r="A19" i="16" s="1"/>
  <c r="A19" i="19" s="1"/>
  <c r="A19" i="26" s="1"/>
  <c r="S18" i="14"/>
  <c r="S18" i="15" s="1"/>
  <c r="S18" i="16" s="1"/>
  <c r="S18" i="19" s="1"/>
  <c r="S18" i="26" s="1"/>
  <c r="R18" i="14"/>
  <c r="R18" i="15" s="1"/>
  <c r="Q18" i="14"/>
  <c r="Q18" i="15" s="1"/>
  <c r="Q18" i="16" s="1"/>
  <c r="Q18" i="19" s="1"/>
  <c r="Q18" i="26" s="1"/>
  <c r="P18" i="14"/>
  <c r="O18" i="14"/>
  <c r="O18" i="15" s="1"/>
  <c r="O18" i="16" s="1"/>
  <c r="O18" i="19" s="1"/>
  <c r="O18" i="26" s="1"/>
  <c r="N18" i="14"/>
  <c r="N18" i="15" s="1"/>
  <c r="N18" i="16" s="1"/>
  <c r="N18" i="19" s="1"/>
  <c r="N18" i="26" s="1"/>
  <c r="L18" i="14"/>
  <c r="L18" i="15" s="1"/>
  <c r="L18" i="16" s="1"/>
  <c r="L18" i="19" s="1"/>
  <c r="L18" i="26" s="1"/>
  <c r="K18" i="14"/>
  <c r="K18" i="15" s="1"/>
  <c r="K18" i="16" s="1"/>
  <c r="K18" i="19" s="1"/>
  <c r="K18" i="26" s="1"/>
  <c r="J18" i="14"/>
  <c r="J18" i="15" s="1"/>
  <c r="J18" i="16" s="1"/>
  <c r="J18" i="19" s="1"/>
  <c r="J18" i="26" s="1"/>
  <c r="I18" i="14"/>
  <c r="I18" i="15" s="1"/>
  <c r="I18" i="16" s="1"/>
  <c r="I18" i="19" s="1"/>
  <c r="I18" i="26" s="1"/>
  <c r="G18" i="14"/>
  <c r="G18" i="15" s="1"/>
  <c r="G18" i="16" s="1"/>
  <c r="G18" i="19" s="1"/>
  <c r="G18" i="26" s="1"/>
  <c r="F18" i="14"/>
  <c r="F18" i="15" s="1"/>
  <c r="E18" i="14"/>
  <c r="E18" i="15" s="1"/>
  <c r="E18" i="16" s="1"/>
  <c r="E18" i="19" s="1"/>
  <c r="E18" i="26" s="1"/>
  <c r="C18" i="14"/>
  <c r="C18" i="15" s="1"/>
  <c r="B18" i="14"/>
  <c r="B18" i="15" s="1"/>
  <c r="B18" i="16" s="1"/>
  <c r="B18" i="19" s="1"/>
  <c r="B18" i="26" s="1"/>
  <c r="A18" i="14"/>
  <c r="A18" i="15" s="1"/>
  <c r="A18" i="16" s="1"/>
  <c r="A18" i="19" s="1"/>
  <c r="A18" i="26" s="1"/>
  <c r="S17" i="14"/>
  <c r="R17" i="14"/>
  <c r="R17" i="15" s="1"/>
  <c r="R17" i="16" s="1"/>
  <c r="R17" i="19" s="1"/>
  <c r="Q17" i="14"/>
  <c r="Q17" i="15" s="1"/>
  <c r="Q17" i="16" s="1"/>
  <c r="Q17" i="19" s="1"/>
  <c r="Q17" i="26" s="1"/>
  <c r="P17" i="14"/>
  <c r="P17" i="15" s="1"/>
  <c r="AC17" i="15" s="1"/>
  <c r="O17" i="14"/>
  <c r="O17" i="15" s="1"/>
  <c r="O17" i="16" s="1"/>
  <c r="O17" i="19" s="1"/>
  <c r="O17" i="26" s="1"/>
  <c r="N17" i="14"/>
  <c r="N17" i="15" s="1"/>
  <c r="N17" i="16" s="1"/>
  <c r="N17" i="19" s="1"/>
  <c r="N17" i="26" s="1"/>
  <c r="L17" i="14"/>
  <c r="L17" i="15" s="1"/>
  <c r="L17" i="16" s="1"/>
  <c r="L17" i="19" s="1"/>
  <c r="L17" i="26" s="1"/>
  <c r="K17" i="14"/>
  <c r="K17" i="15" s="1"/>
  <c r="K17" i="16" s="1"/>
  <c r="K17" i="19" s="1"/>
  <c r="K17" i="26" s="1"/>
  <c r="J17" i="14"/>
  <c r="J17" i="15" s="1"/>
  <c r="J17" i="16" s="1"/>
  <c r="J17" i="19" s="1"/>
  <c r="J17" i="26" s="1"/>
  <c r="I17" i="14"/>
  <c r="I17" i="15" s="1"/>
  <c r="I17" i="16" s="1"/>
  <c r="I17" i="19" s="1"/>
  <c r="I17" i="26" s="1"/>
  <c r="G17" i="14"/>
  <c r="G17" i="15" s="1"/>
  <c r="G17" i="16" s="1"/>
  <c r="G17" i="19" s="1"/>
  <c r="G17" i="26" s="1"/>
  <c r="F17" i="14"/>
  <c r="F17" i="15" s="1"/>
  <c r="F17" i="16" s="1"/>
  <c r="F17" i="19" s="1"/>
  <c r="F17" i="26" s="1"/>
  <c r="E17" i="14"/>
  <c r="E17" i="15" s="1"/>
  <c r="E17" i="16" s="1"/>
  <c r="E17" i="19" s="1"/>
  <c r="E17" i="26" s="1"/>
  <c r="C17" i="14"/>
  <c r="C17" i="15" s="1"/>
  <c r="C17" i="16" s="1"/>
  <c r="C17" i="19" s="1"/>
  <c r="C17" i="26" s="1"/>
  <c r="B17" i="14"/>
  <c r="B17" i="15" s="1"/>
  <c r="B17" i="16" s="1"/>
  <c r="B17" i="19" s="1"/>
  <c r="B17" i="26" s="1"/>
  <c r="A17" i="14"/>
  <c r="A17" i="15" s="1"/>
  <c r="A17" i="16" s="1"/>
  <c r="A17" i="19" s="1"/>
  <c r="A17" i="26" s="1"/>
  <c r="S16" i="14"/>
  <c r="S16" i="15" s="1"/>
  <c r="S16" i="16" s="1"/>
  <c r="S16" i="19" s="1"/>
  <c r="S16" i="26" s="1"/>
  <c r="R16" i="14"/>
  <c r="Q16" i="14"/>
  <c r="Q16" i="15" s="1"/>
  <c r="Q16" i="16" s="1"/>
  <c r="Q16" i="19" s="1"/>
  <c r="Q16" i="26" s="1"/>
  <c r="P16" i="14"/>
  <c r="O16" i="14"/>
  <c r="O16" i="15" s="1"/>
  <c r="O16" i="16" s="1"/>
  <c r="O16" i="19" s="1"/>
  <c r="O16" i="26" s="1"/>
  <c r="N16" i="14"/>
  <c r="N16" i="15" s="1"/>
  <c r="N16" i="16" s="1"/>
  <c r="N16" i="19" s="1"/>
  <c r="N16" i="26" s="1"/>
  <c r="L16" i="14"/>
  <c r="L16" i="15" s="1"/>
  <c r="L16" i="16" s="1"/>
  <c r="L16" i="19" s="1"/>
  <c r="L16" i="26" s="1"/>
  <c r="K16" i="14"/>
  <c r="K16" i="15" s="1"/>
  <c r="K16" i="16" s="1"/>
  <c r="K16" i="19" s="1"/>
  <c r="K16" i="26" s="1"/>
  <c r="J16" i="14"/>
  <c r="J16" i="15" s="1"/>
  <c r="J16" i="16" s="1"/>
  <c r="J16" i="19" s="1"/>
  <c r="J16" i="26" s="1"/>
  <c r="I16" i="14"/>
  <c r="I16" i="15" s="1"/>
  <c r="I16" i="16" s="1"/>
  <c r="I16" i="19" s="1"/>
  <c r="I16" i="26" s="1"/>
  <c r="G16" i="14"/>
  <c r="G16" i="15" s="1"/>
  <c r="G16" i="16" s="1"/>
  <c r="G16" i="19" s="1"/>
  <c r="G16" i="26" s="1"/>
  <c r="F16" i="14"/>
  <c r="F16" i="15" s="1"/>
  <c r="F16" i="16" s="1"/>
  <c r="F16" i="19" s="1"/>
  <c r="F16" i="26" s="1"/>
  <c r="E16" i="14"/>
  <c r="E16" i="15" s="1"/>
  <c r="E16" i="16" s="1"/>
  <c r="E16" i="19" s="1"/>
  <c r="E16" i="26" s="1"/>
  <c r="C16" i="14"/>
  <c r="C16" i="15" s="1"/>
  <c r="C16" i="16" s="1"/>
  <c r="C16" i="19" s="1"/>
  <c r="C16" i="26" s="1"/>
  <c r="B16" i="14"/>
  <c r="B16" i="15" s="1"/>
  <c r="B16" i="16" s="1"/>
  <c r="B16" i="19" s="1"/>
  <c r="B16" i="26" s="1"/>
  <c r="A16" i="14"/>
  <c r="A16" i="15" s="1"/>
  <c r="A16" i="16" s="1"/>
  <c r="A16" i="19" s="1"/>
  <c r="A16" i="26" s="1"/>
  <c r="S15" i="14"/>
  <c r="S15" i="15" s="1"/>
  <c r="S15" i="16" s="1"/>
  <c r="S15" i="19" s="1"/>
  <c r="S15" i="26" s="1"/>
  <c r="R15" i="14"/>
  <c r="Q15" i="14"/>
  <c r="Q15" i="15" s="1"/>
  <c r="Q15" i="16" s="1"/>
  <c r="Q15" i="19" s="1"/>
  <c r="Q15" i="26" s="1"/>
  <c r="P15" i="14"/>
  <c r="O15" i="14"/>
  <c r="O15" i="15" s="1"/>
  <c r="O15" i="16" s="1"/>
  <c r="O15" i="19" s="1"/>
  <c r="O15" i="26" s="1"/>
  <c r="N15" i="14"/>
  <c r="N15" i="15" s="1"/>
  <c r="N15" i="16" s="1"/>
  <c r="N15" i="19" s="1"/>
  <c r="N15" i="26" s="1"/>
  <c r="L15" i="14"/>
  <c r="L15" i="15" s="1"/>
  <c r="L15" i="16" s="1"/>
  <c r="L15" i="19" s="1"/>
  <c r="L15" i="26" s="1"/>
  <c r="K15" i="14"/>
  <c r="K15" i="15" s="1"/>
  <c r="K15" i="16" s="1"/>
  <c r="K15" i="19" s="1"/>
  <c r="K15" i="26" s="1"/>
  <c r="J15" i="14"/>
  <c r="J15" i="15" s="1"/>
  <c r="J15" i="16" s="1"/>
  <c r="J15" i="19" s="1"/>
  <c r="J15" i="26" s="1"/>
  <c r="I15" i="14"/>
  <c r="I15" i="15" s="1"/>
  <c r="I15" i="16" s="1"/>
  <c r="I15" i="19" s="1"/>
  <c r="I15" i="26" s="1"/>
  <c r="G15" i="14"/>
  <c r="G15" i="15" s="1"/>
  <c r="G15" i="16" s="1"/>
  <c r="G15" i="19" s="1"/>
  <c r="G15" i="26" s="1"/>
  <c r="F15" i="14"/>
  <c r="F15" i="15" s="1"/>
  <c r="F15" i="16" s="1"/>
  <c r="F15" i="19" s="1"/>
  <c r="F15" i="26" s="1"/>
  <c r="E15" i="14"/>
  <c r="E15" i="15" s="1"/>
  <c r="E15" i="16" s="1"/>
  <c r="E15" i="19" s="1"/>
  <c r="E15" i="26" s="1"/>
  <c r="C15" i="14"/>
  <c r="C15" i="15" s="1"/>
  <c r="C15" i="16" s="1"/>
  <c r="C15" i="19" s="1"/>
  <c r="C15" i="26" s="1"/>
  <c r="B15" i="14"/>
  <c r="B15" i="15" s="1"/>
  <c r="B15" i="16" s="1"/>
  <c r="B15" i="19" s="1"/>
  <c r="B15" i="26" s="1"/>
  <c r="A15" i="14"/>
  <c r="A15" i="15" s="1"/>
  <c r="A15" i="16" s="1"/>
  <c r="A15" i="19" s="1"/>
  <c r="A15" i="26" s="1"/>
  <c r="S14" i="14"/>
  <c r="S14" i="15" s="1"/>
  <c r="S14" i="16" s="1"/>
  <c r="S14" i="19" s="1"/>
  <c r="S14" i="26" s="1"/>
  <c r="R14" i="14"/>
  <c r="R14" i="15" s="1"/>
  <c r="Q14" i="14"/>
  <c r="Q14" i="15" s="1"/>
  <c r="Q14" i="16" s="1"/>
  <c r="Q14" i="19" s="1"/>
  <c r="Q14" i="26" s="1"/>
  <c r="P14" i="14"/>
  <c r="P14" i="15" s="1"/>
  <c r="P14" i="16" s="1"/>
  <c r="P14" i="19" s="1"/>
  <c r="O14" i="14"/>
  <c r="O14" i="15" s="1"/>
  <c r="O14" i="16" s="1"/>
  <c r="O14" i="19" s="1"/>
  <c r="O14" i="26" s="1"/>
  <c r="N14" i="14"/>
  <c r="N14" i="15" s="1"/>
  <c r="N14" i="16" s="1"/>
  <c r="N14" i="19" s="1"/>
  <c r="N14" i="26" s="1"/>
  <c r="L14" i="14"/>
  <c r="L14" i="15" s="1"/>
  <c r="L14" i="16" s="1"/>
  <c r="L14" i="19" s="1"/>
  <c r="L14" i="26" s="1"/>
  <c r="K14" i="14"/>
  <c r="K14" i="15" s="1"/>
  <c r="K14" i="16" s="1"/>
  <c r="K14" i="19" s="1"/>
  <c r="K14" i="26" s="1"/>
  <c r="J14" i="14"/>
  <c r="J14" i="15" s="1"/>
  <c r="J14" i="16" s="1"/>
  <c r="J14" i="19" s="1"/>
  <c r="J14" i="26" s="1"/>
  <c r="I14" i="14"/>
  <c r="I14" i="15" s="1"/>
  <c r="I14" i="16" s="1"/>
  <c r="I14" i="19" s="1"/>
  <c r="I14" i="26" s="1"/>
  <c r="G14" i="14"/>
  <c r="G14" i="15" s="1"/>
  <c r="G14" i="16" s="1"/>
  <c r="G14" i="19" s="1"/>
  <c r="G14" i="26" s="1"/>
  <c r="F14" i="14"/>
  <c r="F14" i="15" s="1"/>
  <c r="F14" i="16" s="1"/>
  <c r="F14" i="19" s="1"/>
  <c r="F14" i="26" s="1"/>
  <c r="E14" i="14"/>
  <c r="E14" i="15" s="1"/>
  <c r="E14" i="16" s="1"/>
  <c r="E14" i="19" s="1"/>
  <c r="E14" i="26" s="1"/>
  <c r="C14" i="14"/>
  <c r="C14" i="15" s="1"/>
  <c r="C14" i="16" s="1"/>
  <c r="C14" i="19" s="1"/>
  <c r="C14" i="26" s="1"/>
  <c r="B14" i="14"/>
  <c r="B14" i="15" s="1"/>
  <c r="B14" i="16" s="1"/>
  <c r="B14" i="19" s="1"/>
  <c r="B14" i="26" s="1"/>
  <c r="A14" i="14"/>
  <c r="A14" i="15" s="1"/>
  <c r="A14" i="16" s="1"/>
  <c r="A14" i="19" s="1"/>
  <c r="A14" i="26" s="1"/>
  <c r="S13" i="14"/>
  <c r="S13" i="15" s="1"/>
  <c r="S13" i="16" s="1"/>
  <c r="S13" i="19" s="1"/>
  <c r="S13" i="26" s="1"/>
  <c r="R13" i="14"/>
  <c r="Q13" i="14"/>
  <c r="Q13" i="15" s="1"/>
  <c r="Q13" i="16" s="1"/>
  <c r="Q13" i="19" s="1"/>
  <c r="Q13" i="26" s="1"/>
  <c r="P13" i="14"/>
  <c r="X13" i="14" s="1"/>
  <c r="O13" i="14"/>
  <c r="O13" i="15" s="1"/>
  <c r="O13" i="16" s="1"/>
  <c r="O13" i="19" s="1"/>
  <c r="O13" i="26" s="1"/>
  <c r="N13" i="14"/>
  <c r="N13" i="15" s="1"/>
  <c r="N13" i="16" s="1"/>
  <c r="N13" i="19" s="1"/>
  <c r="N13" i="26" s="1"/>
  <c r="L13" i="14"/>
  <c r="L13" i="15" s="1"/>
  <c r="L13" i="16" s="1"/>
  <c r="L13" i="19" s="1"/>
  <c r="L13" i="26" s="1"/>
  <c r="K13" i="14"/>
  <c r="K13" i="15" s="1"/>
  <c r="K13" i="16" s="1"/>
  <c r="K13" i="19" s="1"/>
  <c r="K13" i="26" s="1"/>
  <c r="J13" i="14"/>
  <c r="J13" i="15" s="1"/>
  <c r="J13" i="16" s="1"/>
  <c r="J13" i="19" s="1"/>
  <c r="J13" i="26" s="1"/>
  <c r="I13" i="14"/>
  <c r="I13" i="15" s="1"/>
  <c r="I13" i="16" s="1"/>
  <c r="I13" i="19" s="1"/>
  <c r="I13" i="26" s="1"/>
  <c r="G13" i="14"/>
  <c r="G13" i="15" s="1"/>
  <c r="G13" i="16" s="1"/>
  <c r="G13" i="19" s="1"/>
  <c r="G13" i="26" s="1"/>
  <c r="F13" i="14"/>
  <c r="F13" i="15" s="1"/>
  <c r="F13" i="16" s="1"/>
  <c r="F13" i="19" s="1"/>
  <c r="F13" i="26" s="1"/>
  <c r="E13" i="14"/>
  <c r="E13" i="15" s="1"/>
  <c r="E13" i="16" s="1"/>
  <c r="E13" i="19" s="1"/>
  <c r="E13" i="26" s="1"/>
  <c r="C13" i="14"/>
  <c r="C13" i="15" s="1"/>
  <c r="C13" i="16" s="1"/>
  <c r="C13" i="19" s="1"/>
  <c r="C13" i="26" s="1"/>
  <c r="B13" i="14"/>
  <c r="B13" i="15" s="1"/>
  <c r="B13" i="16" s="1"/>
  <c r="B13" i="19" s="1"/>
  <c r="B13" i="26" s="1"/>
  <c r="A13" i="14"/>
  <c r="A13" i="15" s="1"/>
  <c r="A13" i="16" s="1"/>
  <c r="A13" i="19" s="1"/>
  <c r="A13" i="26" s="1"/>
  <c r="S12" i="14"/>
  <c r="S12" i="15" s="1"/>
  <c r="S12" i="16" s="1"/>
  <c r="S12" i="19" s="1"/>
  <c r="S12" i="26" s="1"/>
  <c r="R12" i="14"/>
  <c r="R12" i="15" s="1"/>
  <c r="Q12" i="14"/>
  <c r="Q12" i="15" s="1"/>
  <c r="Q12" i="16" s="1"/>
  <c r="Q12" i="19" s="1"/>
  <c r="Q12" i="26" s="1"/>
  <c r="P12" i="14"/>
  <c r="O12" i="14"/>
  <c r="O12" i="15" s="1"/>
  <c r="O12" i="16" s="1"/>
  <c r="O12" i="19" s="1"/>
  <c r="O12" i="26" s="1"/>
  <c r="N12" i="14"/>
  <c r="N12" i="15" s="1"/>
  <c r="N12" i="16" s="1"/>
  <c r="N12" i="19" s="1"/>
  <c r="N12" i="26" s="1"/>
  <c r="L12" i="14"/>
  <c r="L12" i="15" s="1"/>
  <c r="L12" i="16" s="1"/>
  <c r="L12" i="19" s="1"/>
  <c r="L12" i="26" s="1"/>
  <c r="K12" i="14"/>
  <c r="K12" i="15" s="1"/>
  <c r="K12" i="16" s="1"/>
  <c r="K12" i="19" s="1"/>
  <c r="K12" i="26" s="1"/>
  <c r="J12" i="14"/>
  <c r="J12" i="15" s="1"/>
  <c r="I12" i="14"/>
  <c r="I12" i="15" s="1"/>
  <c r="I12" i="16" s="1"/>
  <c r="I12" i="19" s="1"/>
  <c r="I12" i="26" s="1"/>
  <c r="G12" i="14"/>
  <c r="G12" i="15" s="1"/>
  <c r="F12" i="14"/>
  <c r="F12" i="15" s="1"/>
  <c r="F12" i="16" s="1"/>
  <c r="F12" i="19" s="1"/>
  <c r="F12" i="26" s="1"/>
  <c r="E12" i="14"/>
  <c r="E12" i="15" s="1"/>
  <c r="E12" i="16" s="1"/>
  <c r="E12" i="19" s="1"/>
  <c r="E12" i="26" s="1"/>
  <c r="C12" i="14"/>
  <c r="C12" i="15" s="1"/>
  <c r="C12" i="16" s="1"/>
  <c r="C12" i="19" s="1"/>
  <c r="C12" i="26" s="1"/>
  <c r="B12" i="14"/>
  <c r="B12" i="15" s="1"/>
  <c r="B12" i="16" s="1"/>
  <c r="B12" i="19" s="1"/>
  <c r="B12" i="26" s="1"/>
  <c r="A12" i="14"/>
  <c r="A12" i="15" s="1"/>
  <c r="A12" i="16" s="1"/>
  <c r="A12" i="19" s="1"/>
  <c r="A12" i="26" s="1"/>
  <c r="S11" i="14"/>
  <c r="S11" i="15" s="1"/>
  <c r="S11" i="16" s="1"/>
  <c r="S11" i="19" s="1"/>
  <c r="S11" i="26" s="1"/>
  <c r="R11" i="14"/>
  <c r="Q11" i="14"/>
  <c r="Q11" i="15" s="1"/>
  <c r="Q11" i="16" s="1"/>
  <c r="Q11" i="19" s="1"/>
  <c r="Q11" i="26" s="1"/>
  <c r="P11" i="14"/>
  <c r="W11" i="14" s="1"/>
  <c r="O11" i="14"/>
  <c r="O11" i="15" s="1"/>
  <c r="O11" i="16" s="1"/>
  <c r="O11" i="19" s="1"/>
  <c r="O11" i="26" s="1"/>
  <c r="N11" i="14"/>
  <c r="N11" i="15" s="1"/>
  <c r="N11" i="16" s="1"/>
  <c r="N11" i="19" s="1"/>
  <c r="N11" i="26" s="1"/>
  <c r="L11" i="14"/>
  <c r="L11" i="15" s="1"/>
  <c r="L11" i="16" s="1"/>
  <c r="L11" i="19" s="1"/>
  <c r="L11" i="26" s="1"/>
  <c r="K11" i="14"/>
  <c r="K11" i="15" s="1"/>
  <c r="K11" i="16" s="1"/>
  <c r="K11" i="19" s="1"/>
  <c r="K11" i="26" s="1"/>
  <c r="J11" i="14"/>
  <c r="J11" i="15" s="1"/>
  <c r="J11" i="16" s="1"/>
  <c r="J11" i="19" s="1"/>
  <c r="J11" i="26" s="1"/>
  <c r="I11" i="14"/>
  <c r="I11" i="15" s="1"/>
  <c r="G11" i="14"/>
  <c r="G11" i="15" s="1"/>
  <c r="G11" i="16" s="1"/>
  <c r="G11" i="19" s="1"/>
  <c r="G11" i="26" s="1"/>
  <c r="F11" i="14"/>
  <c r="F11" i="15" s="1"/>
  <c r="F11" i="16" s="1"/>
  <c r="F11" i="19" s="1"/>
  <c r="F11" i="26" s="1"/>
  <c r="E11" i="14"/>
  <c r="E11" i="15" s="1"/>
  <c r="E11" i="16" s="1"/>
  <c r="E11" i="19" s="1"/>
  <c r="E11" i="26" s="1"/>
  <c r="C11" i="14"/>
  <c r="C11" i="15" s="1"/>
  <c r="C11" i="16" s="1"/>
  <c r="C11" i="19" s="1"/>
  <c r="C11" i="26" s="1"/>
  <c r="B11" i="14"/>
  <c r="B11" i="15" s="1"/>
  <c r="B11" i="16" s="1"/>
  <c r="B11" i="19" s="1"/>
  <c r="B11" i="26" s="1"/>
  <c r="A11" i="14"/>
  <c r="A11" i="15" s="1"/>
  <c r="A11" i="16" s="1"/>
  <c r="A11" i="19" s="1"/>
  <c r="A11" i="26" s="1"/>
  <c r="S10" i="14"/>
  <c r="S10" i="15" s="1"/>
  <c r="S10" i="16" s="1"/>
  <c r="S10" i="19" s="1"/>
  <c r="S10" i="26" s="1"/>
  <c r="R10" i="14"/>
  <c r="Q10" i="14"/>
  <c r="Q10" i="15" s="1"/>
  <c r="P10" i="14"/>
  <c r="W10" i="14" s="1"/>
  <c r="O10" i="14"/>
  <c r="O10" i="15" s="1"/>
  <c r="N10" i="14"/>
  <c r="N10" i="15" s="1"/>
  <c r="N10" i="16" s="1"/>
  <c r="N10" i="19" s="1"/>
  <c r="N10" i="26" s="1"/>
  <c r="L10" i="14"/>
  <c r="L10" i="15" s="1"/>
  <c r="K10" i="14"/>
  <c r="K10" i="15" s="1"/>
  <c r="K10" i="16" s="1"/>
  <c r="K10" i="19" s="1"/>
  <c r="K10" i="26" s="1"/>
  <c r="J10" i="14"/>
  <c r="J10" i="15" s="1"/>
  <c r="I10" i="14"/>
  <c r="I10" i="15" s="1"/>
  <c r="I10" i="16" s="1"/>
  <c r="I10" i="19" s="1"/>
  <c r="I10" i="26" s="1"/>
  <c r="G10" i="14"/>
  <c r="G10" i="15" s="1"/>
  <c r="F10" i="14"/>
  <c r="F10" i="15" s="1"/>
  <c r="F10" i="16" s="1"/>
  <c r="F10" i="19" s="1"/>
  <c r="F10" i="26" s="1"/>
  <c r="E10" i="14"/>
  <c r="E10" i="15" s="1"/>
  <c r="C10" i="14"/>
  <c r="C10" i="15" s="1"/>
  <c r="C10" i="16" s="1"/>
  <c r="C10" i="19" s="1"/>
  <c r="C10" i="26" s="1"/>
  <c r="B10" i="14"/>
  <c r="B10" i="15" s="1"/>
  <c r="A10" i="14"/>
  <c r="A10" i="15" s="1"/>
  <c r="A10" i="16" s="1"/>
  <c r="A10" i="19" s="1"/>
  <c r="A10" i="26" s="1"/>
  <c r="S9" i="14"/>
  <c r="S9" i="15" s="1"/>
  <c r="R9" i="14"/>
  <c r="T9" i="14" s="1"/>
  <c r="Q9" i="14"/>
  <c r="Q9" i="15" s="1"/>
  <c r="P9" i="14"/>
  <c r="O9" i="14"/>
  <c r="O9" i="15" s="1"/>
  <c r="N9" i="14"/>
  <c r="N9" i="15" s="1"/>
  <c r="N9" i="16" s="1"/>
  <c r="N9" i="19" s="1"/>
  <c r="N9" i="26" s="1"/>
  <c r="L9" i="14"/>
  <c r="L9" i="15" s="1"/>
  <c r="K9" i="14"/>
  <c r="K9" i="15" s="1"/>
  <c r="K9" i="16" s="1"/>
  <c r="K9" i="19" s="1"/>
  <c r="K9" i="26" s="1"/>
  <c r="J9" i="14"/>
  <c r="J9" i="15" s="1"/>
  <c r="I9" i="14"/>
  <c r="I9" i="15" s="1"/>
  <c r="I9" i="16" s="1"/>
  <c r="I9" i="19" s="1"/>
  <c r="I9" i="26" s="1"/>
  <c r="G9" i="14"/>
  <c r="G9" i="15" s="1"/>
  <c r="F9" i="14"/>
  <c r="F9" i="15" s="1"/>
  <c r="F9" i="16" s="1"/>
  <c r="E9" i="14"/>
  <c r="E9" i="15" s="1"/>
  <c r="C9" i="14"/>
  <c r="C9" i="15" s="1"/>
  <c r="C9" i="16" s="1"/>
  <c r="C9" i="19" s="1"/>
  <c r="C9" i="26" s="1"/>
  <c r="B9" i="14"/>
  <c r="B9" i="15" s="1"/>
  <c r="A9" i="14"/>
  <c r="A9" i="15" s="1"/>
  <c r="A9" i="16" s="1"/>
  <c r="A9" i="19" s="1"/>
  <c r="A9" i="26" s="1"/>
  <c r="S8" i="14"/>
  <c r="S8" i="15" s="1"/>
  <c r="R8" i="14"/>
  <c r="R8" i="15" s="1"/>
  <c r="R8" i="16" s="1"/>
  <c r="R8" i="19" s="1"/>
  <c r="R8" i="26" s="1"/>
  <c r="Q8" i="14"/>
  <c r="Q8" i="15" s="1"/>
  <c r="Q8" i="16" s="1"/>
  <c r="Q8" i="19" s="1"/>
  <c r="Q8" i="26" s="1"/>
  <c r="P8" i="14"/>
  <c r="O8" i="14"/>
  <c r="O8" i="15" s="1"/>
  <c r="O8" i="16" s="1"/>
  <c r="O8" i="19" s="1"/>
  <c r="O8" i="26" s="1"/>
  <c r="N8" i="14"/>
  <c r="N8" i="15" s="1"/>
  <c r="N8" i="16" s="1"/>
  <c r="N8" i="19" s="1"/>
  <c r="N8" i="26" s="1"/>
  <c r="L8" i="14"/>
  <c r="L8" i="15" s="1"/>
  <c r="L8" i="16" s="1"/>
  <c r="L8" i="19" s="1"/>
  <c r="L8" i="26" s="1"/>
  <c r="K8" i="14"/>
  <c r="K8" i="15" s="1"/>
  <c r="K8" i="16" s="1"/>
  <c r="K8" i="19" s="1"/>
  <c r="K8" i="26" s="1"/>
  <c r="J8" i="14"/>
  <c r="J8" i="15" s="1"/>
  <c r="J8" i="16" s="1"/>
  <c r="J8" i="19" s="1"/>
  <c r="J8" i="26" s="1"/>
  <c r="I8" i="14"/>
  <c r="I8" i="15" s="1"/>
  <c r="I8" i="16" s="1"/>
  <c r="I8" i="19" s="1"/>
  <c r="I8" i="26" s="1"/>
  <c r="G8" i="14"/>
  <c r="G8" i="15" s="1"/>
  <c r="G8" i="16" s="1"/>
  <c r="G8" i="19" s="1"/>
  <c r="G8" i="26" s="1"/>
  <c r="F8" i="14"/>
  <c r="F8" i="15" s="1"/>
  <c r="F8" i="16" s="1"/>
  <c r="F8" i="19" s="1"/>
  <c r="F8" i="26" s="1"/>
  <c r="E8" i="14"/>
  <c r="E8" i="15" s="1"/>
  <c r="E8" i="16" s="1"/>
  <c r="E8" i="19" s="1"/>
  <c r="E8" i="26" s="1"/>
  <c r="C8" i="14"/>
  <c r="C8" i="15" s="1"/>
  <c r="C8" i="16" s="1"/>
  <c r="C8" i="19" s="1"/>
  <c r="C8" i="26" s="1"/>
  <c r="B8" i="14"/>
  <c r="B8" i="15" s="1"/>
  <c r="B8" i="16" s="1"/>
  <c r="B8" i="19" s="1"/>
  <c r="B8" i="26" s="1"/>
  <c r="A8" i="14"/>
  <c r="A8" i="15" s="1"/>
  <c r="A8" i="16" s="1"/>
  <c r="A8" i="19" s="1"/>
  <c r="A8" i="26" s="1"/>
  <c r="S7" i="14"/>
  <c r="R7" i="14"/>
  <c r="R7" i="15" s="1"/>
  <c r="Q7" i="14"/>
  <c r="Q7" i="15" s="1"/>
  <c r="Q7" i="16" s="1"/>
  <c r="Q7" i="19" s="1"/>
  <c r="Q7" i="26" s="1"/>
  <c r="P7" i="14"/>
  <c r="O7" i="14"/>
  <c r="O7" i="15" s="1"/>
  <c r="O7" i="16" s="1"/>
  <c r="O7" i="19" s="1"/>
  <c r="O7" i="26" s="1"/>
  <c r="N7" i="14"/>
  <c r="N7" i="15" s="1"/>
  <c r="N7" i="16" s="1"/>
  <c r="N7" i="19" s="1"/>
  <c r="N7" i="26" s="1"/>
  <c r="L7" i="14"/>
  <c r="L7" i="15" s="1"/>
  <c r="L7" i="16" s="1"/>
  <c r="L7" i="19" s="1"/>
  <c r="L7" i="26" s="1"/>
  <c r="K7" i="14"/>
  <c r="K7" i="15" s="1"/>
  <c r="K7" i="16" s="1"/>
  <c r="K7" i="19" s="1"/>
  <c r="K7" i="26" s="1"/>
  <c r="J7" i="14"/>
  <c r="J7" i="15" s="1"/>
  <c r="J7" i="16" s="1"/>
  <c r="J7" i="19" s="1"/>
  <c r="J7" i="26" s="1"/>
  <c r="I7" i="14"/>
  <c r="I7" i="15" s="1"/>
  <c r="I7" i="16" s="1"/>
  <c r="I7" i="19" s="1"/>
  <c r="I7" i="26" s="1"/>
  <c r="G7" i="14"/>
  <c r="G7" i="15" s="1"/>
  <c r="G7" i="16" s="1"/>
  <c r="G7" i="19" s="1"/>
  <c r="G7" i="26" s="1"/>
  <c r="F7" i="14"/>
  <c r="F7" i="15" s="1"/>
  <c r="F7" i="16" s="1"/>
  <c r="F7" i="19" s="1"/>
  <c r="F7" i="26" s="1"/>
  <c r="E7" i="14"/>
  <c r="E7" i="15" s="1"/>
  <c r="E7" i="16" s="1"/>
  <c r="E7" i="19" s="1"/>
  <c r="E7" i="26" s="1"/>
  <c r="C7" i="14"/>
  <c r="C7" i="15" s="1"/>
  <c r="C7" i="16" s="1"/>
  <c r="C7" i="19" s="1"/>
  <c r="C7" i="26" s="1"/>
  <c r="B7" i="14"/>
  <c r="B7" i="15" s="1"/>
  <c r="B7" i="16" s="1"/>
  <c r="B7" i="19" s="1"/>
  <c r="B7" i="26" s="1"/>
  <c r="A7" i="14"/>
  <c r="A7" i="15" s="1"/>
  <c r="A7" i="16" s="1"/>
  <c r="A7" i="19" s="1"/>
  <c r="A7" i="26" s="1"/>
  <c r="U111" i="26"/>
  <c r="U111" i="19"/>
  <c r="U111" i="16"/>
  <c r="U111" i="15"/>
  <c r="S111" i="16"/>
  <c r="R111" i="16"/>
  <c r="Q111" i="16"/>
  <c r="L111" i="16"/>
  <c r="K111" i="16"/>
  <c r="J111" i="16"/>
  <c r="I111" i="16"/>
  <c r="G111" i="16"/>
  <c r="F111" i="16"/>
  <c r="E111" i="16"/>
  <c r="C111" i="16"/>
  <c r="B111" i="16"/>
  <c r="A111" i="16"/>
  <c r="S111" i="19"/>
  <c r="R111" i="19"/>
  <c r="Q111" i="19"/>
  <c r="L111" i="19"/>
  <c r="K111" i="19"/>
  <c r="J111" i="19"/>
  <c r="I111" i="19"/>
  <c r="G111" i="19"/>
  <c r="F111" i="19"/>
  <c r="E111" i="19"/>
  <c r="C111" i="19"/>
  <c r="B111" i="19"/>
  <c r="A111" i="19"/>
  <c r="S111" i="26"/>
  <c r="R111" i="26"/>
  <c r="Q111" i="26"/>
  <c r="L111" i="26"/>
  <c r="K111" i="26"/>
  <c r="J111" i="26"/>
  <c r="I111" i="26"/>
  <c r="G111" i="26"/>
  <c r="F111" i="26"/>
  <c r="E111" i="26"/>
  <c r="C111" i="26"/>
  <c r="B111" i="26"/>
  <c r="A111" i="26"/>
  <c r="S111" i="15"/>
  <c r="R111" i="15"/>
  <c r="Q111" i="15"/>
  <c r="L111" i="15"/>
  <c r="K111" i="15"/>
  <c r="J111" i="15"/>
  <c r="I111" i="15"/>
  <c r="G111" i="15"/>
  <c r="F111" i="15"/>
  <c r="E111" i="15"/>
  <c r="C111" i="15"/>
  <c r="B111" i="15"/>
  <c r="A111" i="15"/>
  <c r="T120" i="13"/>
  <c r="AC120" i="13"/>
  <c r="AC118" i="14"/>
  <c r="X118" i="14"/>
  <c r="W118" i="14"/>
  <c r="T118" i="14"/>
  <c r="AC117" i="14"/>
  <c r="X117" i="14"/>
  <c r="AA117" i="14" s="1"/>
  <c r="W117" i="14"/>
  <c r="T117" i="14"/>
  <c r="AC113" i="14"/>
  <c r="X113" i="14"/>
  <c r="AA113" i="14" s="1"/>
  <c r="AF113" i="14" s="1"/>
  <c r="W113" i="14"/>
  <c r="T113" i="14"/>
  <c r="U111" i="14"/>
  <c r="S111" i="14"/>
  <c r="R111" i="14"/>
  <c r="T111" i="14"/>
  <c r="Q111" i="14"/>
  <c r="X111" i="14"/>
  <c r="U103" i="14"/>
  <c r="U103" i="15" s="1"/>
  <c r="V103" i="15" s="1"/>
  <c r="U54" i="14"/>
  <c r="U54" i="15" s="1"/>
  <c r="U54" i="16" s="1"/>
  <c r="U54" i="19" s="1"/>
  <c r="U54" i="26" s="1"/>
  <c r="V54" i="26" s="1"/>
  <c r="U45" i="14"/>
  <c r="AE110" i="12"/>
  <c r="AH111" i="12"/>
  <c r="AD111" i="12"/>
  <c r="AE111" i="12"/>
  <c r="AF96" i="12"/>
  <c r="AD102" i="13"/>
  <c r="AM102" i="13"/>
  <c r="U102" i="14"/>
  <c r="U102" i="15" s="1"/>
  <c r="U102" i="16" s="1"/>
  <c r="U102" i="19" s="1"/>
  <c r="U102" i="26" s="1"/>
  <c r="V102" i="26" s="1"/>
  <c r="AF104" i="13"/>
  <c r="AE104" i="13"/>
  <c r="U98" i="14"/>
  <c r="AC127" i="19"/>
  <c r="AC127" i="15"/>
  <c r="AC123" i="15"/>
  <c r="AE125" i="12"/>
  <c r="AE127" i="12"/>
  <c r="AC123" i="13"/>
  <c r="AC129" i="19"/>
  <c r="AC129" i="26"/>
  <c r="AC129" i="15"/>
  <c r="AC123" i="19"/>
  <c r="AC123" i="14"/>
  <c r="AC129" i="16"/>
  <c r="AC129" i="13"/>
  <c r="AC127" i="26"/>
  <c r="AC129" i="14"/>
  <c r="W129" i="14"/>
  <c r="W107" i="26"/>
  <c r="AC115" i="14"/>
  <c r="AC123" i="16"/>
  <c r="AC127" i="16"/>
  <c r="X127" i="14"/>
  <c r="AA127" i="14" s="1"/>
  <c r="AM127" i="14" s="1"/>
  <c r="W127" i="14"/>
  <c r="X129" i="26"/>
  <c r="AA129" i="26"/>
  <c r="X129" i="15"/>
  <c r="AA129" i="15"/>
  <c r="AF129" i="15" s="1"/>
  <c r="AC127" i="13"/>
  <c r="AC127" i="14"/>
  <c r="AC123" i="26"/>
  <c r="W129" i="19"/>
  <c r="AE122" i="13"/>
  <c r="X129" i="19"/>
  <c r="AA129" i="19" s="1"/>
  <c r="X129" i="16"/>
  <c r="AA129" i="16"/>
  <c r="AH129" i="16" s="1"/>
  <c r="AC121" i="14"/>
  <c r="AC111" i="26"/>
  <c r="T55" i="14"/>
  <c r="S55" i="15"/>
  <c r="U124" i="15"/>
  <c r="V124" i="15" s="1"/>
  <c r="X123" i="26"/>
  <c r="AA123" i="26"/>
  <c r="X123" i="15"/>
  <c r="AA123" i="15" s="1"/>
  <c r="X123" i="14"/>
  <c r="AA123" i="14" s="1"/>
  <c r="X123" i="16"/>
  <c r="AA123" i="16"/>
  <c r="AD123" i="16" s="1"/>
  <c r="X123" i="19"/>
  <c r="AE123" i="19" s="1"/>
  <c r="W115" i="14"/>
  <c r="M7" i="16"/>
  <c r="M7" i="19" s="1"/>
  <c r="M7" i="26" s="1"/>
  <c r="B39" i="16"/>
  <c r="B39" i="19" s="1"/>
  <c r="B39" i="26" s="1"/>
  <c r="J125" i="16"/>
  <c r="B110" i="19"/>
  <c r="A125" i="26"/>
  <c r="Q55" i="16"/>
  <c r="Q55" i="19" s="1"/>
  <c r="Q55" i="26" s="1"/>
  <c r="J91" i="16"/>
  <c r="J91" i="19" s="1"/>
  <c r="J91" i="26" s="1"/>
  <c r="G125" i="26"/>
  <c r="G125" i="19"/>
  <c r="G125" i="16"/>
  <c r="W125" i="15"/>
  <c r="X125" i="15"/>
  <c r="AA125" i="15" s="1"/>
  <c r="AF125" i="15" s="1"/>
  <c r="W125" i="26"/>
  <c r="W125" i="19"/>
  <c r="I125" i="26"/>
  <c r="W121" i="15"/>
  <c r="X121" i="15"/>
  <c r="AE121" i="15" s="1"/>
  <c r="W121" i="26"/>
  <c r="W121" i="19"/>
  <c r="W121" i="16"/>
  <c r="N55" i="16"/>
  <c r="N55" i="19" s="1"/>
  <c r="N55" i="26" s="1"/>
  <c r="F110" i="26"/>
  <c r="AI110" i="26" s="1"/>
  <c r="AL110" i="26" s="1"/>
  <c r="AN110" i="26" s="1"/>
  <c r="E125" i="19"/>
  <c r="U124" i="19"/>
  <c r="V124" i="19" s="1"/>
  <c r="C93" i="16"/>
  <c r="C93" i="19" s="1"/>
  <c r="C93" i="26" s="1"/>
  <c r="C125" i="19"/>
  <c r="AC125" i="14"/>
  <c r="O55" i="16"/>
  <c r="O55" i="19" s="1"/>
  <c r="O55" i="26" s="1"/>
  <c r="W110" i="15"/>
  <c r="W110" i="26"/>
  <c r="W110" i="19"/>
  <c r="W110" i="16"/>
  <c r="R55" i="16"/>
  <c r="R55" i="19" s="1"/>
  <c r="R55" i="26" s="1"/>
  <c r="T55" i="26" s="1"/>
  <c r="U124" i="16"/>
  <c r="V124" i="16" s="1"/>
  <c r="U124" i="26"/>
  <c r="V124" i="26" s="1"/>
  <c r="C61" i="16"/>
  <c r="C61" i="19" s="1"/>
  <c r="C61" i="26" s="1"/>
  <c r="C110" i="19"/>
  <c r="R16" i="15"/>
  <c r="W115" i="26"/>
  <c r="W127" i="26"/>
  <c r="W115" i="19"/>
  <c r="W127" i="19"/>
  <c r="W115" i="16"/>
  <c r="W127" i="16"/>
  <c r="W115" i="15"/>
  <c r="W127" i="15"/>
  <c r="X115" i="14"/>
  <c r="X127" i="26"/>
  <c r="AA127" i="26"/>
  <c r="AD127" i="26"/>
  <c r="X127" i="19"/>
  <c r="AA127" i="19" s="1"/>
  <c r="X127" i="16"/>
  <c r="AA127" i="16" s="1"/>
  <c r="X127" i="15"/>
  <c r="AA127" i="15" s="1"/>
  <c r="W107" i="14"/>
  <c r="W110" i="14"/>
  <c r="W125" i="14"/>
  <c r="W121" i="14"/>
  <c r="X125" i="14"/>
  <c r="AA125" i="14" s="1"/>
  <c r="X121" i="14"/>
  <c r="AF117" i="14"/>
  <c r="AH117" i="14"/>
  <c r="AD117" i="14"/>
  <c r="AE117" i="14"/>
  <c r="AC111" i="14"/>
  <c r="W111" i="14"/>
  <c r="AE113" i="14"/>
  <c r="X121" i="26"/>
  <c r="AC121" i="26"/>
  <c r="AC121" i="15"/>
  <c r="W107" i="15"/>
  <c r="W107" i="19"/>
  <c r="W107" i="16"/>
  <c r="AE123" i="13"/>
  <c r="AE129" i="15"/>
  <c r="T55" i="15"/>
  <c r="W109" i="15"/>
  <c r="W125" i="16"/>
  <c r="X125" i="16"/>
  <c r="AD129" i="16"/>
  <c r="AH129" i="26"/>
  <c r="AM129" i="26"/>
  <c r="AF129" i="26"/>
  <c r="AD129" i="26"/>
  <c r="X125" i="19"/>
  <c r="AH129" i="15"/>
  <c r="AM129" i="15"/>
  <c r="AE129" i="16"/>
  <c r="AE129" i="26"/>
  <c r="AH123" i="14"/>
  <c r="AM123" i="14"/>
  <c r="AE123" i="15"/>
  <c r="AE123" i="16"/>
  <c r="AH123" i="26"/>
  <c r="AM123" i="26"/>
  <c r="AF123" i="26"/>
  <c r="AD123" i="26"/>
  <c r="AE123" i="26"/>
  <c r="X121" i="16"/>
  <c r="AE121" i="16" s="1"/>
  <c r="AE127" i="26"/>
  <c r="T121" i="26"/>
  <c r="T121" i="15"/>
  <c r="T121" i="19"/>
  <c r="T121" i="16"/>
  <c r="X125" i="26"/>
  <c r="AH127" i="26"/>
  <c r="AF127" i="26"/>
  <c r="AM127" i="26"/>
  <c r="AC125" i="15"/>
  <c r="AC125" i="26"/>
  <c r="AC125" i="19"/>
  <c r="AC125" i="16"/>
  <c r="AC121" i="16"/>
  <c r="X121" i="19"/>
  <c r="AA121" i="19" s="1"/>
  <c r="AC121" i="19"/>
  <c r="W109" i="19"/>
  <c r="W109" i="16"/>
  <c r="W109" i="26"/>
  <c r="T34" i="13"/>
  <c r="AC114" i="14"/>
  <c r="AC112" i="14"/>
  <c r="AC124" i="14"/>
  <c r="AC126" i="14"/>
  <c r="AC105" i="14"/>
  <c r="AC128" i="15"/>
  <c r="AC117" i="15"/>
  <c r="AC126" i="15"/>
  <c r="AC105" i="15"/>
  <c r="AC128" i="16"/>
  <c r="AC111" i="16"/>
  <c r="AC126" i="16"/>
  <c r="AC124" i="16"/>
  <c r="AC105" i="16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8" i="11"/>
  <c r="AC67" i="11"/>
  <c r="AC66" i="11"/>
  <c r="AC65" i="11"/>
  <c r="AC64" i="11"/>
  <c r="AC63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28" i="13"/>
  <c r="AC118" i="13"/>
  <c r="AC117" i="13"/>
  <c r="AC111" i="13"/>
  <c r="AC114" i="13"/>
  <c r="AC126" i="13"/>
  <c r="AC113" i="13"/>
  <c r="AC112" i="13"/>
  <c r="AC124" i="13"/>
  <c r="AC106" i="13"/>
  <c r="AC95" i="13"/>
  <c r="AC94" i="13"/>
  <c r="AC93" i="13"/>
  <c r="AC92" i="13"/>
  <c r="AC91" i="13"/>
  <c r="AC65" i="29" s="1"/>
  <c r="AC90" i="13"/>
  <c r="AC57" i="29" s="1"/>
  <c r="AC89" i="13"/>
  <c r="AC60" i="29" s="1"/>
  <c r="AC88" i="13"/>
  <c r="AC58" i="29" s="1"/>
  <c r="AC87" i="13"/>
  <c r="AC68" i="29" s="1"/>
  <c r="AC86" i="13"/>
  <c r="AC55" i="29" s="1"/>
  <c r="AC85" i="13"/>
  <c r="AC64" i="29" s="1"/>
  <c r="AC84" i="13"/>
  <c r="AC54" i="29" s="1"/>
  <c r="AC83" i="13"/>
  <c r="AC82" i="13"/>
  <c r="AC47" i="29" s="1"/>
  <c r="AC81" i="13"/>
  <c r="AC49" i="29" s="1"/>
  <c r="AC79" i="13"/>
  <c r="AC11" i="29" s="1"/>
  <c r="AC78" i="13"/>
  <c r="AC77" i="13"/>
  <c r="AC13" i="29" s="1"/>
  <c r="AC76" i="13"/>
  <c r="AC44" i="29" s="1"/>
  <c r="AC75" i="13"/>
  <c r="AC15" i="29" s="1"/>
  <c r="AC13" i="13"/>
  <c r="AC60" i="13"/>
  <c r="AC74" i="13"/>
  <c r="AC110" i="13"/>
  <c r="AC48" i="13"/>
  <c r="AC47" i="13"/>
  <c r="AC59" i="29" s="1"/>
  <c r="AC46" i="13"/>
  <c r="AC39" i="29" s="1"/>
  <c r="AC73" i="13"/>
  <c r="AC46" i="29" s="1"/>
  <c r="AC72" i="13"/>
  <c r="AC56" i="13"/>
  <c r="AC43" i="13"/>
  <c r="AC45" i="13"/>
  <c r="AC62" i="13"/>
  <c r="AC8" i="11"/>
  <c r="AC9" i="11"/>
  <c r="AC10" i="11"/>
  <c r="AC11" i="11"/>
  <c r="AC12" i="11"/>
  <c r="AC13" i="11"/>
  <c r="AC14" i="11"/>
  <c r="AC41" i="13"/>
  <c r="AC7" i="11"/>
  <c r="AC104" i="12"/>
  <c r="AC100" i="12"/>
  <c r="AC99" i="12"/>
  <c r="AC94" i="12"/>
  <c r="AC93" i="12"/>
  <c r="AC92" i="12"/>
  <c r="AC91" i="12"/>
  <c r="AC90" i="12"/>
  <c r="AC89" i="12"/>
  <c r="AC88" i="12"/>
  <c r="AC87" i="12"/>
  <c r="AC86" i="12"/>
  <c r="AC85" i="12"/>
  <c r="AC84" i="12"/>
  <c r="AL84" i="12" s="1"/>
  <c r="AN84" i="12" s="1"/>
  <c r="AC83" i="12"/>
  <c r="AC82" i="12"/>
  <c r="AC81" i="12"/>
  <c r="AC80" i="12"/>
  <c r="AC10" i="27" s="1"/>
  <c r="AC79" i="12"/>
  <c r="AC78" i="12"/>
  <c r="AC77" i="12"/>
  <c r="AC76" i="12"/>
  <c r="AC75" i="12"/>
  <c r="AC74" i="12"/>
  <c r="AD449" i="18" s="1"/>
  <c r="AC73" i="12"/>
  <c r="AC72" i="12"/>
  <c r="AC71" i="12"/>
  <c r="AC70" i="12"/>
  <c r="AC52" i="27" s="1"/>
  <c r="AC69" i="12"/>
  <c r="AC68" i="12"/>
  <c r="AC67" i="12"/>
  <c r="AC66" i="12"/>
  <c r="AC11" i="27" s="1"/>
  <c r="AC65" i="12"/>
  <c r="AC64" i="12"/>
  <c r="AC13" i="27" s="1"/>
  <c r="AC63" i="12"/>
  <c r="AC62" i="12"/>
  <c r="AC15" i="27" s="1"/>
  <c r="AC61" i="12"/>
  <c r="AC56" i="12"/>
  <c r="AC55" i="12"/>
  <c r="AC54" i="12"/>
  <c r="AC51" i="12"/>
  <c r="AC50" i="12"/>
  <c r="AC40" i="12"/>
  <c r="AC25" i="12"/>
  <c r="AC14" i="12"/>
  <c r="T20" i="13"/>
  <c r="J405" i="18"/>
  <c r="Z231" i="8"/>
  <c r="J129" i="18"/>
  <c r="O87" i="18"/>
  <c r="P87" i="18"/>
  <c r="Q87" i="18"/>
  <c r="R87" i="18"/>
  <c r="S87" i="18"/>
  <c r="S413" i="18"/>
  <c r="R413" i="18"/>
  <c r="Q413" i="18"/>
  <c r="P413" i="18"/>
  <c r="O413" i="18"/>
  <c r="S409" i="18"/>
  <c r="R409" i="18"/>
  <c r="Q409" i="18"/>
  <c r="P409" i="18"/>
  <c r="O409" i="18"/>
  <c r="S407" i="18"/>
  <c r="R407" i="18"/>
  <c r="Q407" i="18"/>
  <c r="P407" i="18"/>
  <c r="O407" i="18"/>
  <c r="S405" i="18"/>
  <c r="R405" i="18"/>
  <c r="Q405" i="18"/>
  <c r="P405" i="18"/>
  <c r="O405" i="18"/>
  <c r="S403" i="18"/>
  <c r="R403" i="18"/>
  <c r="Q403" i="18"/>
  <c r="P403" i="18"/>
  <c r="O403" i="18"/>
  <c r="S401" i="18"/>
  <c r="R401" i="18"/>
  <c r="Q401" i="18"/>
  <c r="O401" i="18"/>
  <c r="S399" i="18"/>
  <c r="R399" i="18"/>
  <c r="Q399" i="18"/>
  <c r="P399" i="18"/>
  <c r="O399" i="18"/>
  <c r="S398" i="18"/>
  <c r="R398" i="18"/>
  <c r="Q398" i="18"/>
  <c r="P398" i="18"/>
  <c r="O398" i="18"/>
  <c r="S396" i="18"/>
  <c r="R396" i="18"/>
  <c r="Q396" i="18"/>
  <c r="P396" i="18"/>
  <c r="O396" i="18"/>
  <c r="S393" i="18"/>
  <c r="R393" i="18"/>
  <c r="Q393" i="18"/>
  <c r="P393" i="18"/>
  <c r="O393" i="18"/>
  <c r="S391" i="18"/>
  <c r="R391" i="18"/>
  <c r="Q391" i="18"/>
  <c r="P391" i="18"/>
  <c r="O391" i="18"/>
  <c r="S389" i="18"/>
  <c r="R389" i="18"/>
  <c r="Q389" i="18"/>
  <c r="P389" i="18"/>
  <c r="O389" i="18"/>
  <c r="S387" i="18"/>
  <c r="R387" i="18"/>
  <c r="Q387" i="18"/>
  <c r="P387" i="18"/>
  <c r="O387" i="18"/>
  <c r="S386" i="18"/>
  <c r="R386" i="18"/>
  <c r="Q386" i="18"/>
  <c r="P386" i="18"/>
  <c r="O386" i="18"/>
  <c r="S385" i="18"/>
  <c r="R385" i="18"/>
  <c r="Q385" i="18"/>
  <c r="P385" i="18"/>
  <c r="O385" i="18"/>
  <c r="S384" i="18"/>
  <c r="R384" i="18"/>
  <c r="Q384" i="18"/>
  <c r="P384" i="18"/>
  <c r="O384" i="18"/>
  <c r="S382" i="18"/>
  <c r="R382" i="18"/>
  <c r="Q382" i="18"/>
  <c r="P382" i="18"/>
  <c r="O382" i="18"/>
  <c r="S380" i="18"/>
  <c r="R380" i="18"/>
  <c r="Q380" i="18"/>
  <c r="P380" i="18"/>
  <c r="O380" i="18"/>
  <c r="S378" i="18"/>
  <c r="R378" i="18"/>
  <c r="Q378" i="18"/>
  <c r="P378" i="18"/>
  <c r="O378" i="18"/>
  <c r="P163" i="18"/>
  <c r="Q163" i="18"/>
  <c r="R163" i="18"/>
  <c r="S163" i="18"/>
  <c r="P164" i="18"/>
  <c r="Q164" i="18"/>
  <c r="R164" i="18"/>
  <c r="S164" i="18"/>
  <c r="P165" i="18"/>
  <c r="Q165" i="18"/>
  <c r="R165" i="18"/>
  <c r="S165" i="18"/>
  <c r="P166" i="18"/>
  <c r="Q166" i="18"/>
  <c r="R166" i="18"/>
  <c r="S166" i="18"/>
  <c r="P167" i="18"/>
  <c r="Q167" i="18"/>
  <c r="R167" i="18"/>
  <c r="S167" i="18"/>
  <c r="P168" i="18"/>
  <c r="Q168" i="18"/>
  <c r="R168" i="18"/>
  <c r="S168" i="18"/>
  <c r="P169" i="18"/>
  <c r="Q169" i="18"/>
  <c r="R169" i="18"/>
  <c r="S169" i="18"/>
  <c r="P170" i="18"/>
  <c r="Q170" i="18"/>
  <c r="R170" i="18"/>
  <c r="S170" i="18"/>
  <c r="K401" i="8"/>
  <c r="P401" i="18" s="1"/>
  <c r="S264" i="18"/>
  <c r="R264" i="18"/>
  <c r="Q264" i="18"/>
  <c r="P264" i="18"/>
  <c r="O264" i="18"/>
  <c r="S263" i="18"/>
  <c r="R263" i="18"/>
  <c r="Q263" i="18"/>
  <c r="P263" i="18"/>
  <c r="O263" i="18"/>
  <c r="J263" i="18"/>
  <c r="J264" i="18"/>
  <c r="O193" i="18"/>
  <c r="P193" i="18"/>
  <c r="Q193" i="18"/>
  <c r="R193" i="18"/>
  <c r="J193" i="18"/>
  <c r="J660" i="18"/>
  <c r="T662" i="18"/>
  <c r="U662" i="18"/>
  <c r="V662" i="18"/>
  <c r="W662" i="18"/>
  <c r="X662" i="18"/>
  <c r="Y662" i="18"/>
  <c r="Z662" i="18"/>
  <c r="AA662" i="18"/>
  <c r="AB662" i="18"/>
  <c r="J621" i="18"/>
  <c r="U623" i="18"/>
  <c r="V623" i="18"/>
  <c r="W623" i="18"/>
  <c r="X623" i="18"/>
  <c r="Y623" i="18"/>
  <c r="Z623" i="18"/>
  <c r="AA623" i="18"/>
  <c r="AB623" i="18"/>
  <c r="T623" i="18"/>
  <c r="J582" i="18"/>
  <c r="J581" i="18"/>
  <c r="J580" i="18"/>
  <c r="J579" i="18"/>
  <c r="AC582" i="18"/>
  <c r="J578" i="18"/>
  <c r="AC578" i="18"/>
  <c r="T584" i="18"/>
  <c r="U584" i="18"/>
  <c r="V584" i="18"/>
  <c r="W584" i="18"/>
  <c r="X584" i="18"/>
  <c r="Y584" i="18"/>
  <c r="Z584" i="18"/>
  <c r="AA584" i="18"/>
  <c r="AB584" i="18"/>
  <c r="J539" i="18"/>
  <c r="J538" i="18"/>
  <c r="J537" i="18"/>
  <c r="T541" i="18"/>
  <c r="U541" i="18"/>
  <c r="V541" i="18"/>
  <c r="W541" i="18"/>
  <c r="X541" i="18"/>
  <c r="Y541" i="18"/>
  <c r="Z541" i="18"/>
  <c r="AA541" i="18"/>
  <c r="AB541" i="18"/>
  <c r="T500" i="18"/>
  <c r="U500" i="18"/>
  <c r="V500" i="18"/>
  <c r="W500" i="18"/>
  <c r="X500" i="18"/>
  <c r="Y500" i="18"/>
  <c r="Z500" i="18"/>
  <c r="AA500" i="18"/>
  <c r="AB500" i="18"/>
  <c r="J460" i="18"/>
  <c r="J459" i="18"/>
  <c r="J458" i="18"/>
  <c r="J457" i="18"/>
  <c r="J456" i="18"/>
  <c r="O399" i="9"/>
  <c r="P399" i="9" s="1"/>
  <c r="AD399" i="18"/>
  <c r="AA399" i="18"/>
  <c r="Z399" i="18"/>
  <c r="Y399" i="18"/>
  <c r="X399" i="18"/>
  <c r="W399" i="18"/>
  <c r="V399" i="18"/>
  <c r="U399" i="18"/>
  <c r="T399" i="18"/>
  <c r="J399" i="18"/>
  <c r="AB399" i="8"/>
  <c r="O387" i="9"/>
  <c r="AD387" i="18"/>
  <c r="AA387" i="18"/>
  <c r="Z387" i="18"/>
  <c r="Y387" i="18"/>
  <c r="X387" i="18"/>
  <c r="W387" i="18"/>
  <c r="V387" i="18"/>
  <c r="U387" i="18"/>
  <c r="T387" i="18"/>
  <c r="J387" i="18"/>
  <c r="AB387" i="8"/>
  <c r="O359" i="9"/>
  <c r="Q359" i="9" s="1"/>
  <c r="AD359" i="18"/>
  <c r="AA359" i="18"/>
  <c r="Z359" i="18"/>
  <c r="Y359" i="18"/>
  <c r="X359" i="18"/>
  <c r="W359" i="18"/>
  <c r="V359" i="18"/>
  <c r="U359" i="18"/>
  <c r="T359" i="18"/>
  <c r="J359" i="18"/>
  <c r="AB359" i="8"/>
  <c r="S359" i="18"/>
  <c r="R359" i="18"/>
  <c r="Q359" i="18"/>
  <c r="P359" i="18"/>
  <c r="O359" i="18"/>
  <c r="O351" i="9"/>
  <c r="P350" i="9"/>
  <c r="AD351" i="18"/>
  <c r="AA351" i="18"/>
  <c r="Z351" i="18"/>
  <c r="Y351" i="18"/>
  <c r="X351" i="18"/>
  <c r="W351" i="18"/>
  <c r="V351" i="18"/>
  <c r="U351" i="18"/>
  <c r="T351" i="18"/>
  <c r="J351" i="18"/>
  <c r="AD350" i="18"/>
  <c r="AB351" i="8"/>
  <c r="S351" i="18"/>
  <c r="R351" i="18"/>
  <c r="Q351" i="18"/>
  <c r="P351" i="18"/>
  <c r="O351" i="18"/>
  <c r="O349" i="9"/>
  <c r="P349" i="9" s="1"/>
  <c r="AD349" i="18"/>
  <c r="AA349" i="18"/>
  <c r="Z349" i="18"/>
  <c r="Y349" i="18"/>
  <c r="X349" i="18"/>
  <c r="W349" i="18"/>
  <c r="V349" i="18"/>
  <c r="U349" i="18"/>
  <c r="T349" i="18"/>
  <c r="J349" i="18"/>
  <c r="AB349" i="8"/>
  <c r="S349" i="18"/>
  <c r="R349" i="18"/>
  <c r="Q349" i="18"/>
  <c r="P349" i="18"/>
  <c r="O349" i="18"/>
  <c r="O345" i="9"/>
  <c r="P345" i="9" s="1"/>
  <c r="AD345" i="18"/>
  <c r="AA345" i="18"/>
  <c r="Z345" i="18"/>
  <c r="Y345" i="18"/>
  <c r="X345" i="18"/>
  <c r="W345" i="18"/>
  <c r="V345" i="18"/>
  <c r="U345" i="18"/>
  <c r="T345" i="18"/>
  <c r="J345" i="18"/>
  <c r="AB345" i="8"/>
  <c r="S345" i="18"/>
  <c r="R345" i="18"/>
  <c r="Q345" i="18"/>
  <c r="P345" i="18"/>
  <c r="O345" i="18"/>
  <c r="O325" i="9"/>
  <c r="AD325" i="18"/>
  <c r="AA325" i="18"/>
  <c r="Z325" i="18"/>
  <c r="Y325" i="18"/>
  <c r="X325" i="18"/>
  <c r="W325" i="18"/>
  <c r="V325" i="18"/>
  <c r="U325" i="18"/>
  <c r="T325" i="18"/>
  <c r="F325" i="18"/>
  <c r="D325" i="18"/>
  <c r="C325" i="18"/>
  <c r="AB325" i="8"/>
  <c r="S325" i="18"/>
  <c r="R325" i="18"/>
  <c r="Q325" i="18"/>
  <c r="P325" i="18"/>
  <c r="O325" i="18"/>
  <c r="O329" i="9"/>
  <c r="AD329" i="18"/>
  <c r="AA329" i="18"/>
  <c r="Z329" i="18"/>
  <c r="Y329" i="18"/>
  <c r="X329" i="18"/>
  <c r="W329" i="18"/>
  <c r="V329" i="18"/>
  <c r="U329" i="18"/>
  <c r="T329" i="18"/>
  <c r="J329" i="18"/>
  <c r="AB329" i="8"/>
  <c r="S329" i="18"/>
  <c r="R329" i="18"/>
  <c r="Q329" i="18"/>
  <c r="P329" i="18"/>
  <c r="O329" i="18"/>
  <c r="O324" i="9"/>
  <c r="P324" i="9" s="1"/>
  <c r="AD324" i="18"/>
  <c r="AA324" i="18"/>
  <c r="Z324" i="18"/>
  <c r="Y324" i="18"/>
  <c r="X324" i="18"/>
  <c r="W324" i="18"/>
  <c r="V324" i="18"/>
  <c r="U324" i="18"/>
  <c r="T324" i="18"/>
  <c r="J324" i="18"/>
  <c r="AB324" i="8"/>
  <c r="S324" i="18"/>
  <c r="R324" i="18"/>
  <c r="Q324" i="18"/>
  <c r="P324" i="18"/>
  <c r="O324" i="18"/>
  <c r="O305" i="9"/>
  <c r="AD305" i="18"/>
  <c r="AA305" i="18"/>
  <c r="Z305" i="18"/>
  <c r="Y305" i="18"/>
  <c r="X305" i="18"/>
  <c r="W305" i="18"/>
  <c r="V305" i="18"/>
  <c r="U305" i="18"/>
  <c r="T305" i="18"/>
  <c r="J305" i="18"/>
  <c r="AB305" i="8"/>
  <c r="S305" i="18"/>
  <c r="R305" i="18"/>
  <c r="Q305" i="18"/>
  <c r="P305" i="18"/>
  <c r="O305" i="18"/>
  <c r="O301" i="9"/>
  <c r="AD301" i="18"/>
  <c r="AA301" i="18"/>
  <c r="Z301" i="18"/>
  <c r="Y301" i="18"/>
  <c r="X301" i="18"/>
  <c r="W301" i="18"/>
  <c r="V301" i="18"/>
  <c r="U301" i="18"/>
  <c r="T301" i="18"/>
  <c r="J301" i="18"/>
  <c r="AB301" i="8"/>
  <c r="S301" i="18"/>
  <c r="R301" i="18"/>
  <c r="Q301" i="18"/>
  <c r="P301" i="18"/>
  <c r="O301" i="18"/>
  <c r="O294" i="9"/>
  <c r="O293" i="9"/>
  <c r="Q293" i="9" s="1"/>
  <c r="AD294" i="18"/>
  <c r="AA294" i="18"/>
  <c r="Z294" i="18"/>
  <c r="Y294" i="18"/>
  <c r="X294" i="18"/>
  <c r="W294" i="18"/>
  <c r="V294" i="18"/>
  <c r="U294" i="18"/>
  <c r="T294" i="18"/>
  <c r="J294" i="18"/>
  <c r="AD293" i="18"/>
  <c r="AA293" i="18"/>
  <c r="Z293" i="18"/>
  <c r="Y293" i="18"/>
  <c r="X293" i="18"/>
  <c r="W293" i="18"/>
  <c r="V293" i="18"/>
  <c r="U293" i="18"/>
  <c r="T293" i="18"/>
  <c r="J293" i="18"/>
  <c r="AB294" i="8"/>
  <c r="S294" i="18"/>
  <c r="R294" i="18"/>
  <c r="Q294" i="18"/>
  <c r="P294" i="18"/>
  <c r="O294" i="18"/>
  <c r="AB293" i="8"/>
  <c r="S293" i="18"/>
  <c r="R293" i="18"/>
  <c r="Q293" i="18"/>
  <c r="P293" i="18"/>
  <c r="O293" i="18"/>
  <c r="AB263" i="8"/>
  <c r="AB264" i="8"/>
  <c r="O398" i="9"/>
  <c r="P398" i="9" s="1"/>
  <c r="P397" i="9"/>
  <c r="AD398" i="18"/>
  <c r="AA398" i="18"/>
  <c r="Z398" i="18"/>
  <c r="Y398" i="18"/>
  <c r="X398" i="18"/>
  <c r="W398" i="18"/>
  <c r="V398" i="18"/>
  <c r="U398" i="18"/>
  <c r="T398" i="18"/>
  <c r="J398" i="18"/>
  <c r="AB398" i="8"/>
  <c r="P395" i="9"/>
  <c r="AB193" i="8"/>
  <c r="J171" i="8"/>
  <c r="K171" i="8"/>
  <c r="L171" i="8"/>
  <c r="M171" i="8"/>
  <c r="N171" i="8"/>
  <c r="AC579" i="18"/>
  <c r="AC581" i="18"/>
  <c r="AC580" i="18"/>
  <c r="S662" i="18"/>
  <c r="O662" i="18"/>
  <c r="P662" i="18"/>
  <c r="Q662" i="18"/>
  <c r="R662" i="18"/>
  <c r="R623" i="18"/>
  <c r="O623" i="18"/>
  <c r="S623" i="18"/>
  <c r="P623" i="18"/>
  <c r="Q623" i="18"/>
  <c r="P584" i="18"/>
  <c r="Q584" i="18"/>
  <c r="R584" i="18"/>
  <c r="O584" i="18"/>
  <c r="S584" i="18"/>
  <c r="O541" i="18"/>
  <c r="S541" i="18"/>
  <c r="P541" i="18"/>
  <c r="Q541" i="18"/>
  <c r="R541" i="18"/>
  <c r="R500" i="18"/>
  <c r="O500" i="18"/>
  <c r="S500" i="18"/>
  <c r="P500" i="18"/>
  <c r="Q500" i="18"/>
  <c r="K159" i="8"/>
  <c r="N159" i="8"/>
  <c r="J159" i="8"/>
  <c r="L159" i="8"/>
  <c r="M159" i="8"/>
  <c r="AD150" i="18"/>
  <c r="AA150" i="18"/>
  <c r="Z150" i="18"/>
  <c r="Y150" i="18"/>
  <c r="X150" i="18"/>
  <c r="W150" i="18"/>
  <c r="V150" i="18"/>
  <c r="U150" i="18"/>
  <c r="T150" i="18"/>
  <c r="J150" i="18"/>
  <c r="S150" i="18"/>
  <c r="R150" i="18"/>
  <c r="Q150" i="18"/>
  <c r="P150" i="18"/>
  <c r="O150" i="18"/>
  <c r="AD154" i="18"/>
  <c r="AA154" i="18"/>
  <c r="Z154" i="18"/>
  <c r="Y154" i="18"/>
  <c r="X154" i="18"/>
  <c r="W154" i="18"/>
  <c r="V154" i="18"/>
  <c r="U154" i="18"/>
  <c r="T154" i="18"/>
  <c r="J154" i="18"/>
  <c r="S154" i="18"/>
  <c r="R154" i="18"/>
  <c r="Q154" i="18"/>
  <c r="P154" i="18"/>
  <c r="O154" i="18"/>
  <c r="AD118" i="18"/>
  <c r="AA118" i="18"/>
  <c r="Z118" i="18"/>
  <c r="Y118" i="18"/>
  <c r="X118" i="18"/>
  <c r="W118" i="18"/>
  <c r="V118" i="18"/>
  <c r="U118" i="18"/>
  <c r="T118" i="18"/>
  <c r="J118" i="18"/>
  <c r="AD117" i="18"/>
  <c r="AA117" i="18"/>
  <c r="Z117" i="18"/>
  <c r="Y117" i="18"/>
  <c r="X117" i="18"/>
  <c r="W117" i="18"/>
  <c r="V117" i="18"/>
  <c r="U117" i="18"/>
  <c r="T117" i="18"/>
  <c r="J117" i="18"/>
  <c r="S118" i="18"/>
  <c r="R118" i="18"/>
  <c r="Q118" i="18"/>
  <c r="P118" i="18"/>
  <c r="O118" i="18"/>
  <c r="S117" i="18"/>
  <c r="R117" i="18"/>
  <c r="Q117" i="18"/>
  <c r="P117" i="18"/>
  <c r="O117" i="18"/>
  <c r="AD92" i="18"/>
  <c r="AA92" i="18"/>
  <c r="Z92" i="18"/>
  <c r="Y92" i="18"/>
  <c r="X92" i="18"/>
  <c r="W92" i="18"/>
  <c r="V92" i="18"/>
  <c r="U92" i="18"/>
  <c r="T92" i="18"/>
  <c r="J92" i="18"/>
  <c r="S92" i="18"/>
  <c r="R92" i="18"/>
  <c r="Q92" i="18"/>
  <c r="P92" i="18"/>
  <c r="O92" i="18"/>
  <c r="AD70" i="18"/>
  <c r="AA70" i="18"/>
  <c r="Z70" i="18"/>
  <c r="Y70" i="18"/>
  <c r="X70" i="18"/>
  <c r="W70" i="18"/>
  <c r="V70" i="18"/>
  <c r="U70" i="18"/>
  <c r="T70" i="18"/>
  <c r="J70" i="18"/>
  <c r="S70" i="18"/>
  <c r="R70" i="18"/>
  <c r="Q70" i="18"/>
  <c r="P70" i="18"/>
  <c r="O70" i="18"/>
  <c r="AD82" i="18"/>
  <c r="AA82" i="18"/>
  <c r="Z82" i="18"/>
  <c r="Y82" i="18"/>
  <c r="X82" i="18"/>
  <c r="W82" i="18"/>
  <c r="V82" i="18"/>
  <c r="U82" i="18"/>
  <c r="T82" i="18"/>
  <c r="J82" i="18"/>
  <c r="AD81" i="18"/>
  <c r="AA81" i="18"/>
  <c r="Z81" i="18"/>
  <c r="Y81" i="18"/>
  <c r="X81" i="18"/>
  <c r="W81" i="18"/>
  <c r="V81" i="18"/>
  <c r="U81" i="18"/>
  <c r="T81" i="18"/>
  <c r="J81" i="18"/>
  <c r="AD80" i="18"/>
  <c r="AA80" i="18"/>
  <c r="Z80" i="18"/>
  <c r="Y80" i="18"/>
  <c r="X80" i="18"/>
  <c r="W80" i="18"/>
  <c r="V80" i="18"/>
  <c r="U80" i="18"/>
  <c r="T80" i="18"/>
  <c r="J80" i="18"/>
  <c r="AD79" i="18"/>
  <c r="AA79" i="18"/>
  <c r="Z79" i="18"/>
  <c r="Y79" i="18"/>
  <c r="X79" i="18"/>
  <c r="W79" i="18"/>
  <c r="V79" i="18"/>
  <c r="U79" i="18"/>
  <c r="T79" i="18"/>
  <c r="J79" i="18"/>
  <c r="S82" i="18"/>
  <c r="R82" i="18"/>
  <c r="Q82" i="18"/>
  <c r="P82" i="18"/>
  <c r="O82" i="18"/>
  <c r="S81" i="18"/>
  <c r="R81" i="18"/>
  <c r="Q81" i="18"/>
  <c r="P81" i="18"/>
  <c r="O81" i="18"/>
  <c r="S80" i="18"/>
  <c r="R80" i="18"/>
  <c r="Q80" i="18"/>
  <c r="P80" i="18"/>
  <c r="O80" i="18"/>
  <c r="S79" i="18"/>
  <c r="R79" i="18"/>
  <c r="Q79" i="18"/>
  <c r="P79" i="18"/>
  <c r="O79" i="18"/>
  <c r="S120" i="18"/>
  <c r="R120" i="18"/>
  <c r="Q120" i="18"/>
  <c r="P133" i="18"/>
  <c r="P120" i="18"/>
  <c r="P462" i="18"/>
  <c r="Q462" i="18"/>
  <c r="R462" i="18"/>
  <c r="S462" i="18"/>
  <c r="T462" i="18"/>
  <c r="U462" i="18"/>
  <c r="V462" i="18"/>
  <c r="W462" i="18"/>
  <c r="X462" i="18"/>
  <c r="Y462" i="18"/>
  <c r="Z462" i="18"/>
  <c r="AA462" i="18"/>
  <c r="AB462" i="18"/>
  <c r="AC426" i="18"/>
  <c r="AC427" i="18"/>
  <c r="AC428" i="18"/>
  <c r="AC429" i="18"/>
  <c r="AC430" i="18"/>
  <c r="AC431" i="18"/>
  <c r="AC432" i="18"/>
  <c r="AC433" i="18"/>
  <c r="AC434" i="18"/>
  <c r="AC435" i="18"/>
  <c r="AC436" i="18"/>
  <c r="AC437" i="18"/>
  <c r="AC438" i="18"/>
  <c r="AC439" i="18"/>
  <c r="AC440" i="18"/>
  <c r="AC441" i="18"/>
  <c r="AC442" i="18"/>
  <c r="AC443" i="18"/>
  <c r="AC444" i="18"/>
  <c r="AC445" i="18"/>
  <c r="AC446" i="18"/>
  <c r="AC447" i="18"/>
  <c r="AC448" i="18"/>
  <c r="AC449" i="18"/>
  <c r="AC450" i="18"/>
  <c r="AC451" i="18"/>
  <c r="AC452" i="18"/>
  <c r="AC453" i="18"/>
  <c r="AC454" i="18"/>
  <c r="AC455" i="18"/>
  <c r="AD133" i="18"/>
  <c r="AA133" i="18"/>
  <c r="Z133" i="18"/>
  <c r="Y133" i="18"/>
  <c r="X133" i="18"/>
  <c r="W133" i="18"/>
  <c r="V133" i="18"/>
  <c r="U133" i="18"/>
  <c r="T133" i="18"/>
  <c r="S133" i="18"/>
  <c r="R133" i="18"/>
  <c r="Q133" i="18"/>
  <c r="J133" i="18"/>
  <c r="O133" i="18"/>
  <c r="AD120" i="18"/>
  <c r="AA120" i="18"/>
  <c r="Z120" i="18"/>
  <c r="Y120" i="18"/>
  <c r="X120" i="18"/>
  <c r="W120" i="18"/>
  <c r="V120" i="18"/>
  <c r="U120" i="18"/>
  <c r="T120" i="18"/>
  <c r="J120" i="18"/>
  <c r="O120" i="18"/>
  <c r="AD87" i="18"/>
  <c r="AD88" i="18"/>
  <c r="AD89" i="18"/>
  <c r="AA39" i="8"/>
  <c r="O39" i="9" s="1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D39" i="18"/>
  <c r="J39" i="18"/>
  <c r="O462" i="18"/>
  <c r="X150" i="8"/>
  <c r="Y150" i="8" s="1"/>
  <c r="X154" i="8"/>
  <c r="Y154" i="8" s="1"/>
  <c r="X117" i="8"/>
  <c r="Y117" i="8" s="1"/>
  <c r="L122" i="8"/>
  <c r="X118" i="8"/>
  <c r="Y118" i="8" s="1"/>
  <c r="K122" i="8"/>
  <c r="X92" i="8"/>
  <c r="Y92" i="8" s="1"/>
  <c r="X70" i="8"/>
  <c r="Y70" i="8" s="1"/>
  <c r="M122" i="8"/>
  <c r="X79" i="8"/>
  <c r="Y79" i="8" s="1"/>
  <c r="X81" i="8"/>
  <c r="Y81" i="8" s="1"/>
  <c r="X80" i="8"/>
  <c r="X82" i="8"/>
  <c r="Y82" i="8" s="1"/>
  <c r="N122" i="8"/>
  <c r="X133" i="8"/>
  <c r="Y133" i="8" s="1"/>
  <c r="X120" i="8"/>
  <c r="Y120" i="8" s="1"/>
  <c r="O69" i="8"/>
  <c r="O122" i="8" s="1"/>
  <c r="J122" i="8"/>
  <c r="AA14" i="8"/>
  <c r="AA15" i="8"/>
  <c r="AA16" i="8"/>
  <c r="AA17" i="8"/>
  <c r="X39" i="8"/>
  <c r="I11" i="7"/>
  <c r="AA11" i="8"/>
  <c r="AD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J13" i="18"/>
  <c r="AD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J12" i="18"/>
  <c r="AD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J11" i="18"/>
  <c r="X13" i="8"/>
  <c r="Y13" i="8" s="1"/>
  <c r="X12" i="8"/>
  <c r="Y12" i="8" s="1"/>
  <c r="X11" i="8"/>
  <c r="Y11" i="8" s="1"/>
  <c r="AB39" i="8"/>
  <c r="AC627" i="18"/>
  <c r="AC628" i="18"/>
  <c r="AC629" i="18"/>
  <c r="AC630" i="18"/>
  <c r="AC631" i="18"/>
  <c r="AC632" i="18"/>
  <c r="AC633" i="18"/>
  <c r="AC634" i="18"/>
  <c r="AC635" i="18"/>
  <c r="AC636" i="18"/>
  <c r="AC637" i="18"/>
  <c r="AC638" i="18"/>
  <c r="AC639" i="18"/>
  <c r="AC640" i="18"/>
  <c r="AC641" i="18"/>
  <c r="AC642" i="18"/>
  <c r="AC643" i="18"/>
  <c r="AC644" i="18"/>
  <c r="AC645" i="18"/>
  <c r="AC646" i="18"/>
  <c r="AC647" i="18"/>
  <c r="AC648" i="18"/>
  <c r="AC649" i="18"/>
  <c r="AC650" i="18"/>
  <c r="AC651" i="18"/>
  <c r="AC652" i="18"/>
  <c r="AC653" i="18"/>
  <c r="AC654" i="18"/>
  <c r="AC655" i="18"/>
  <c r="AC656" i="18"/>
  <c r="AC657" i="18"/>
  <c r="AC658" i="18"/>
  <c r="AC659" i="18"/>
  <c r="J659" i="18"/>
  <c r="J658" i="18"/>
  <c r="J657" i="18"/>
  <c r="J656" i="18"/>
  <c r="J655" i="18"/>
  <c r="J654" i="18"/>
  <c r="J653" i="18"/>
  <c r="J652" i="18"/>
  <c r="J651" i="18"/>
  <c r="J650" i="18"/>
  <c r="J649" i="18"/>
  <c r="J648" i="18"/>
  <c r="J647" i="18"/>
  <c r="J646" i="18"/>
  <c r="J645" i="18"/>
  <c r="J644" i="18"/>
  <c r="J643" i="18"/>
  <c r="J642" i="18"/>
  <c r="J641" i="18"/>
  <c r="J640" i="18"/>
  <c r="J639" i="18"/>
  <c r="J638" i="18"/>
  <c r="J637" i="18"/>
  <c r="J636" i="18"/>
  <c r="J635" i="18"/>
  <c r="J634" i="18"/>
  <c r="J633" i="18"/>
  <c r="J632" i="18"/>
  <c r="J631" i="18"/>
  <c r="J630" i="18"/>
  <c r="J629" i="18"/>
  <c r="J628" i="18"/>
  <c r="J627" i="18"/>
  <c r="J626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AC545" i="18"/>
  <c r="AC546" i="18"/>
  <c r="AC547" i="18"/>
  <c r="AC548" i="18"/>
  <c r="AC549" i="18"/>
  <c r="AC550" i="18"/>
  <c r="AC551" i="18"/>
  <c r="AC552" i="18"/>
  <c r="AC553" i="18"/>
  <c r="AC554" i="18"/>
  <c r="AC555" i="18"/>
  <c r="AC556" i="18"/>
  <c r="AC557" i="18"/>
  <c r="AC558" i="18"/>
  <c r="AC559" i="18"/>
  <c r="AC560" i="18"/>
  <c r="AC561" i="18"/>
  <c r="AC562" i="18"/>
  <c r="AC563" i="18"/>
  <c r="AC564" i="18"/>
  <c r="AC565" i="18"/>
  <c r="AC566" i="18"/>
  <c r="AC567" i="18"/>
  <c r="AC568" i="18"/>
  <c r="AC569" i="18"/>
  <c r="AC570" i="18"/>
  <c r="AC571" i="18"/>
  <c r="AC572" i="18"/>
  <c r="AC573" i="18"/>
  <c r="AC574" i="18"/>
  <c r="AC575" i="18"/>
  <c r="AC576" i="18"/>
  <c r="AC577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0" i="18"/>
  <c r="J429" i="18"/>
  <c r="J428" i="18"/>
  <c r="J436" i="18"/>
  <c r="J427" i="18"/>
  <c r="J426" i="18"/>
  <c r="AD413" i="18"/>
  <c r="AD409" i="18"/>
  <c r="AD407" i="18"/>
  <c r="AD405" i="18"/>
  <c r="AD401" i="18"/>
  <c r="AD396" i="18"/>
  <c r="AD393" i="18"/>
  <c r="AD391" i="18"/>
  <c r="AD389" i="18"/>
  <c r="AD386" i="18"/>
  <c r="AD385" i="18"/>
  <c r="AD384" i="18"/>
  <c r="AD382" i="18"/>
  <c r="AD380" i="18"/>
  <c r="AD41" i="18"/>
  <c r="AD42" i="18"/>
  <c r="AD43" i="18"/>
  <c r="AD44" i="18"/>
  <c r="AD45" i="18"/>
  <c r="AD46" i="18"/>
  <c r="AD47" i="18"/>
  <c r="AD48" i="18"/>
  <c r="AD49" i="18"/>
  <c r="AD50" i="18"/>
  <c r="AD51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10" i="18"/>
  <c r="AD14" i="18"/>
  <c r="AD15" i="18"/>
  <c r="AD16" i="18"/>
  <c r="AD17" i="18"/>
  <c r="N443" i="9"/>
  <c r="N34" i="10" s="1"/>
  <c r="N437" i="9"/>
  <c r="N28" i="10" s="1"/>
  <c r="P123" i="9"/>
  <c r="P54" i="9"/>
  <c r="N159" i="9"/>
  <c r="N122" i="9"/>
  <c r="N13" i="10" s="1"/>
  <c r="N53" i="9"/>
  <c r="N171" i="9"/>
  <c r="N21" i="10"/>
  <c r="O413" i="9"/>
  <c r="O409" i="9"/>
  <c r="P409" i="9" s="1"/>
  <c r="O407" i="9"/>
  <c r="O405" i="9"/>
  <c r="O403" i="9"/>
  <c r="P403" i="9" s="1"/>
  <c r="O401" i="9"/>
  <c r="P401" i="9" s="1"/>
  <c r="O396" i="9"/>
  <c r="O393" i="9"/>
  <c r="P393" i="9" s="1"/>
  <c r="O391" i="9"/>
  <c r="P391" i="9" s="1"/>
  <c r="O389" i="9"/>
  <c r="P389" i="9" s="1"/>
  <c r="O386" i="9"/>
  <c r="P386" i="9" s="1"/>
  <c r="O385" i="9"/>
  <c r="P385" i="9" s="1"/>
  <c r="O384" i="9"/>
  <c r="O382" i="9"/>
  <c r="P382" i="9" s="1"/>
  <c r="O380" i="9"/>
  <c r="P380" i="9" s="1"/>
  <c r="O378" i="9"/>
  <c r="P378" i="9" s="1"/>
  <c r="N19" i="10"/>
  <c r="N7" i="10"/>
  <c r="N4" i="10"/>
  <c r="N5" i="10"/>
  <c r="N6" i="10"/>
  <c r="N8" i="10"/>
  <c r="N9" i="10"/>
  <c r="N10" i="10"/>
  <c r="N11" i="10"/>
  <c r="N27" i="10"/>
  <c r="AB68" i="27"/>
  <c r="AG68" i="27"/>
  <c r="AJ68" i="27"/>
  <c r="AK68" i="27"/>
  <c r="AC6" i="27"/>
  <c r="U6" i="27"/>
  <c r="V6" i="27"/>
  <c r="S6" i="27"/>
  <c r="R6" i="27"/>
  <c r="T6" i="27"/>
  <c r="Q6" i="27"/>
  <c r="P6" i="27"/>
  <c r="O6" i="27"/>
  <c r="N6" i="27"/>
  <c r="M6" i="27"/>
  <c r="L6" i="27"/>
  <c r="K6" i="27"/>
  <c r="J6" i="27"/>
  <c r="I6" i="27"/>
  <c r="G6" i="27"/>
  <c r="F6" i="27"/>
  <c r="E6" i="27"/>
  <c r="C6" i="27"/>
  <c r="B6" i="27"/>
  <c r="A6" i="27"/>
  <c r="C2" i="27"/>
  <c r="AH1" i="27"/>
  <c r="AC1" i="27"/>
  <c r="A1" i="27"/>
  <c r="W44" i="9"/>
  <c r="V44" i="9"/>
  <c r="U44" i="9"/>
  <c r="T44" i="9"/>
  <c r="S44" i="9"/>
  <c r="W43" i="9"/>
  <c r="V43" i="9"/>
  <c r="U43" i="9"/>
  <c r="T43" i="9"/>
  <c r="S43" i="9"/>
  <c r="W42" i="9"/>
  <c r="V42" i="9"/>
  <c r="U42" i="9"/>
  <c r="T42" i="9"/>
  <c r="S42" i="9"/>
  <c r="W41" i="9"/>
  <c r="V41" i="9"/>
  <c r="U41" i="9"/>
  <c r="T41" i="9"/>
  <c r="S41" i="9"/>
  <c r="W40" i="9"/>
  <c r="V40" i="9"/>
  <c r="U40" i="9"/>
  <c r="T40" i="9"/>
  <c r="S40" i="9"/>
  <c r="W36" i="9"/>
  <c r="V36" i="9"/>
  <c r="U36" i="9"/>
  <c r="T36" i="9"/>
  <c r="S36" i="9"/>
  <c r="W35" i="9"/>
  <c r="V35" i="9"/>
  <c r="U35" i="9"/>
  <c r="T35" i="9"/>
  <c r="S35" i="9"/>
  <c r="W34" i="9"/>
  <c r="V34" i="9"/>
  <c r="U34" i="9"/>
  <c r="T34" i="9"/>
  <c r="S34" i="9"/>
  <c r="W33" i="9"/>
  <c r="V33" i="9"/>
  <c r="U33" i="9"/>
  <c r="T33" i="9"/>
  <c r="S33" i="9"/>
  <c r="W32" i="9"/>
  <c r="V32" i="9"/>
  <c r="U32" i="9"/>
  <c r="T32" i="9"/>
  <c r="S32" i="9"/>
  <c r="W31" i="9"/>
  <c r="V31" i="9"/>
  <c r="U31" i="9"/>
  <c r="T31" i="9"/>
  <c r="S31" i="9"/>
  <c r="W30" i="9"/>
  <c r="V30" i="9"/>
  <c r="U30" i="9"/>
  <c r="T30" i="9"/>
  <c r="S30" i="9"/>
  <c r="W29" i="9"/>
  <c r="V29" i="9"/>
  <c r="U29" i="9"/>
  <c r="T29" i="9"/>
  <c r="S29" i="9"/>
  <c r="W26" i="9"/>
  <c r="V26" i="9"/>
  <c r="U26" i="9"/>
  <c r="T26" i="9"/>
  <c r="S26" i="9"/>
  <c r="W25" i="9"/>
  <c r="V25" i="9"/>
  <c r="U25" i="9"/>
  <c r="T25" i="9"/>
  <c r="S25" i="9"/>
  <c r="W23" i="9"/>
  <c r="V23" i="9"/>
  <c r="U23" i="9"/>
  <c r="T23" i="9"/>
  <c r="S23" i="9"/>
  <c r="S21" i="9"/>
  <c r="W19" i="9"/>
  <c r="V19" i="9"/>
  <c r="U19" i="9"/>
  <c r="T19" i="9"/>
  <c r="S19" i="9"/>
  <c r="S7" i="10"/>
  <c r="S281" i="9"/>
  <c r="T281" i="9" s="1"/>
  <c r="U281" i="9" s="1"/>
  <c r="V281" i="9" s="1"/>
  <c r="W281" i="9" s="1"/>
  <c r="S268" i="9"/>
  <c r="T268" i="9" s="1"/>
  <c r="U268" i="9" s="1"/>
  <c r="V268" i="9" s="1"/>
  <c r="W268" i="9" s="1"/>
  <c r="S267" i="9"/>
  <c r="T267" i="9" s="1"/>
  <c r="U267" i="9" s="1"/>
  <c r="V267" i="9" s="1"/>
  <c r="W267" i="9" s="1"/>
  <c r="AK133" i="26"/>
  <c r="AJ133" i="26"/>
  <c r="AG133" i="26"/>
  <c r="AB133" i="26"/>
  <c r="Z133" i="26"/>
  <c r="Y133" i="26"/>
  <c r="AK131" i="26"/>
  <c r="W170" i="9"/>
  <c r="AJ131" i="26"/>
  <c r="W169" i="9"/>
  <c r="AG131" i="26"/>
  <c r="W166" i="9"/>
  <c r="Z131" i="26"/>
  <c r="Y131" i="26"/>
  <c r="T120" i="26"/>
  <c r="T128" i="26"/>
  <c r="T118" i="26"/>
  <c r="T117" i="26"/>
  <c r="T111" i="26"/>
  <c r="X111" i="26"/>
  <c r="AA111" i="26"/>
  <c r="AF111" i="26"/>
  <c r="T114" i="26"/>
  <c r="T126" i="26"/>
  <c r="X126" i="26"/>
  <c r="AA126" i="26"/>
  <c r="AF126" i="26"/>
  <c r="T113" i="26"/>
  <c r="T112" i="26"/>
  <c r="T124" i="26"/>
  <c r="T105" i="26"/>
  <c r="AI2" i="26"/>
  <c r="C2" i="26"/>
  <c r="AI1" i="26"/>
  <c r="AH1" i="26"/>
  <c r="A1" i="26"/>
  <c r="S437" i="9"/>
  <c r="S28" i="10" s="1"/>
  <c r="S433" i="9"/>
  <c r="S27" i="10" s="1"/>
  <c r="S8" i="9"/>
  <c r="S4" i="9"/>
  <c r="S4" i="10" s="1"/>
  <c r="Y133" i="19"/>
  <c r="Z133" i="19"/>
  <c r="AB133" i="19"/>
  <c r="AG133" i="19"/>
  <c r="AJ133" i="19"/>
  <c r="AK133" i="19"/>
  <c r="T120" i="19"/>
  <c r="W120" i="19"/>
  <c r="T128" i="19"/>
  <c r="W128" i="19"/>
  <c r="AC128" i="19"/>
  <c r="T118" i="19"/>
  <c r="W118" i="19"/>
  <c r="T117" i="19"/>
  <c r="W117" i="19"/>
  <c r="T111" i="19"/>
  <c r="W111" i="19"/>
  <c r="AC111" i="19"/>
  <c r="T114" i="19"/>
  <c r="W114" i="19"/>
  <c r="T126" i="19"/>
  <c r="W126" i="19"/>
  <c r="T113" i="19"/>
  <c r="W113" i="19"/>
  <c r="T112" i="19"/>
  <c r="W112" i="19"/>
  <c r="T124" i="19"/>
  <c r="W124" i="19"/>
  <c r="T105" i="19"/>
  <c r="W105" i="19"/>
  <c r="AA302" i="8"/>
  <c r="O302" i="9" s="1"/>
  <c r="M172" i="9"/>
  <c r="M415" i="9" s="1"/>
  <c r="M416" i="9" s="1"/>
  <c r="M21" i="10"/>
  <c r="Q51" i="9"/>
  <c r="R51" i="9" s="1"/>
  <c r="Q50" i="9"/>
  <c r="R50" i="9" s="1"/>
  <c r="Q49" i="9"/>
  <c r="R49" i="9" s="1"/>
  <c r="Q48" i="9"/>
  <c r="R48" i="9" s="1"/>
  <c r="Q47" i="9"/>
  <c r="R47" i="9" s="1"/>
  <c r="Q45" i="9"/>
  <c r="R45" i="9" s="1"/>
  <c r="Q44" i="9"/>
  <c r="R44" i="9" s="1"/>
  <c r="Q43" i="9"/>
  <c r="R43" i="9" s="1"/>
  <c r="Q42" i="9"/>
  <c r="R42" i="9" s="1"/>
  <c r="Q41" i="9"/>
  <c r="R41" i="9" s="1"/>
  <c r="Q40" i="9"/>
  <c r="R40" i="9" s="1"/>
  <c r="Q36" i="9"/>
  <c r="R36" i="9" s="1"/>
  <c r="Q35" i="9"/>
  <c r="R35" i="9" s="1"/>
  <c r="Q34" i="9"/>
  <c r="R34" i="9" s="1"/>
  <c r="Q33" i="9"/>
  <c r="R33" i="9" s="1"/>
  <c r="Q32" i="9"/>
  <c r="R32" i="9" s="1"/>
  <c r="Q31" i="9"/>
  <c r="R31" i="9" s="1"/>
  <c r="Q30" i="9"/>
  <c r="R30" i="9" s="1"/>
  <c r="Q29" i="9"/>
  <c r="R29" i="9" s="1"/>
  <c r="Q26" i="9"/>
  <c r="R26" i="9" s="1"/>
  <c r="Q25" i="9"/>
  <c r="R25" i="9" s="1"/>
  <c r="Q23" i="9"/>
  <c r="R23" i="9" s="1"/>
  <c r="Q21" i="9"/>
  <c r="R21" i="9" s="1"/>
  <c r="Q20" i="9"/>
  <c r="R20" i="9" s="1"/>
  <c r="Q19" i="9"/>
  <c r="R19" i="9" s="1"/>
  <c r="O366" i="9"/>
  <c r="P366" i="9" s="1"/>
  <c r="P365" i="9"/>
  <c r="AD366" i="18"/>
  <c r="AA366" i="18"/>
  <c r="Z366" i="18"/>
  <c r="Y366" i="18"/>
  <c r="X366" i="18"/>
  <c r="W366" i="18"/>
  <c r="V366" i="18"/>
  <c r="U366" i="18"/>
  <c r="T366" i="18"/>
  <c r="S366" i="18"/>
  <c r="R366" i="18"/>
  <c r="Q366" i="18"/>
  <c r="P366" i="18"/>
  <c r="O366" i="18"/>
  <c r="G366" i="18"/>
  <c r="F366" i="18"/>
  <c r="C366" i="18"/>
  <c r="AD365" i="18"/>
  <c r="AB366" i="8"/>
  <c r="R4" i="22"/>
  <c r="AI129" i="26"/>
  <c r="AL129" i="26"/>
  <c r="AN129" i="26"/>
  <c r="AI123" i="26"/>
  <c r="AL123" i="26"/>
  <c r="AN123" i="26"/>
  <c r="AI127" i="26"/>
  <c r="AL127" i="26"/>
  <c r="AN127" i="26"/>
  <c r="AC126" i="19"/>
  <c r="AC105" i="19"/>
  <c r="AC124" i="19"/>
  <c r="W6" i="27"/>
  <c r="X6" i="27"/>
  <c r="AE6" i="27" s="1"/>
  <c r="AE126" i="26"/>
  <c r="W113" i="26"/>
  <c r="W105" i="26"/>
  <c r="X105" i="26"/>
  <c r="W117" i="26"/>
  <c r="AH126" i="26"/>
  <c r="AM126" i="26"/>
  <c r="AE111" i="26"/>
  <c r="W124" i="26"/>
  <c r="X124" i="26"/>
  <c r="W114" i="26"/>
  <c r="W128" i="26"/>
  <c r="X128" i="26"/>
  <c r="AA128" i="26"/>
  <c r="AD128" i="26"/>
  <c r="AH111" i="26"/>
  <c r="AM111" i="26"/>
  <c r="W120" i="26"/>
  <c r="AI126" i="26"/>
  <c r="AI111" i="26"/>
  <c r="W112" i="26"/>
  <c r="AD126" i="26"/>
  <c r="W126" i="26"/>
  <c r="AD111" i="26"/>
  <c r="W111" i="26"/>
  <c r="W118" i="26"/>
  <c r="X105" i="19"/>
  <c r="X124" i="19"/>
  <c r="AE124" i="19" s="1"/>
  <c r="X126" i="19"/>
  <c r="AA126" i="19" s="1"/>
  <c r="X111" i="19"/>
  <c r="AA111" i="19" s="1"/>
  <c r="X128" i="19"/>
  <c r="AA128" i="19" s="1"/>
  <c r="AE128" i="26"/>
  <c r="AH128" i="26"/>
  <c r="AM128" i="26"/>
  <c r="AF128" i="26"/>
  <c r="AI128" i="26"/>
  <c r="U107" i="14"/>
  <c r="U107" i="15" s="1"/>
  <c r="U69" i="14"/>
  <c r="W60" i="12"/>
  <c r="X60" i="12"/>
  <c r="AE60" i="12" s="1"/>
  <c r="W59" i="12"/>
  <c r="X59" i="12"/>
  <c r="W58" i="12"/>
  <c r="X58" i="12"/>
  <c r="AE58" i="12" s="1"/>
  <c r="W57" i="12"/>
  <c r="X57" i="12"/>
  <c r="W56" i="12"/>
  <c r="X56" i="12"/>
  <c r="AA267" i="8"/>
  <c r="O267" i="9" s="1"/>
  <c r="P267" i="9" s="1"/>
  <c r="V66" i="12"/>
  <c r="V82" i="12"/>
  <c r="W82" i="12"/>
  <c r="X82" i="12"/>
  <c r="X51" i="12"/>
  <c r="AA51" i="12" s="1"/>
  <c r="W120" i="15"/>
  <c r="X128" i="15"/>
  <c r="AA128" i="15" s="1"/>
  <c r="W128" i="15"/>
  <c r="W118" i="15"/>
  <c r="X117" i="15"/>
  <c r="AE117" i="15" s="1"/>
  <c r="W117" i="15"/>
  <c r="W111" i="15"/>
  <c r="W114" i="15"/>
  <c r="X126" i="15"/>
  <c r="AE126" i="15" s="1"/>
  <c r="W126" i="15"/>
  <c r="W113" i="15"/>
  <c r="W112" i="15"/>
  <c r="W124" i="15"/>
  <c r="W106" i="14"/>
  <c r="X126" i="14"/>
  <c r="AA126" i="14" s="1"/>
  <c r="W126" i="14"/>
  <c r="W128" i="14"/>
  <c r="W116" i="14"/>
  <c r="J47" i="10"/>
  <c r="U99" i="14"/>
  <c r="U99" i="15" s="1"/>
  <c r="U96" i="14"/>
  <c r="U11" i="14"/>
  <c r="U11" i="15" s="1"/>
  <c r="U121" i="14"/>
  <c r="V121" i="14" s="1"/>
  <c r="U32" i="14"/>
  <c r="U32" i="15" s="1"/>
  <c r="U28" i="14"/>
  <c r="U28" i="15" s="1"/>
  <c r="U28" i="16" s="1"/>
  <c r="U80" i="14"/>
  <c r="U26" i="14"/>
  <c r="U9" i="14"/>
  <c r="V9" i="14" s="1"/>
  <c r="U21" i="14"/>
  <c r="U35" i="14"/>
  <c r="U95" i="14"/>
  <c r="U95" i="15" s="1"/>
  <c r="V95" i="15" s="1"/>
  <c r="U94" i="14"/>
  <c r="U94" i="15" s="1"/>
  <c r="U94" i="16" s="1"/>
  <c r="U93" i="14"/>
  <c r="U93" i="15" s="1"/>
  <c r="V93" i="15" s="1"/>
  <c r="T93" i="13"/>
  <c r="U92" i="14"/>
  <c r="V92" i="14" s="1"/>
  <c r="U91" i="14"/>
  <c r="U91" i="15" s="1"/>
  <c r="U91" i="16" s="1"/>
  <c r="U91" i="19" s="1"/>
  <c r="U90" i="14"/>
  <c r="U90" i="15" s="1"/>
  <c r="U90" i="16" s="1"/>
  <c r="U89" i="14"/>
  <c r="U88" i="14"/>
  <c r="V88" i="14" s="1"/>
  <c r="U87" i="14"/>
  <c r="U87" i="15" s="1"/>
  <c r="V87" i="15" s="1"/>
  <c r="U86" i="14"/>
  <c r="U86" i="15" s="1"/>
  <c r="U85" i="14"/>
  <c r="U85" i="15" s="1"/>
  <c r="V85" i="15" s="1"/>
  <c r="U84" i="14"/>
  <c r="U84" i="15" s="1"/>
  <c r="U84" i="16" s="1"/>
  <c r="U83" i="14"/>
  <c r="U83" i="15" s="1"/>
  <c r="U82" i="14"/>
  <c r="U82" i="15" s="1"/>
  <c r="U81" i="14"/>
  <c r="V81" i="14" s="1"/>
  <c r="U79" i="14"/>
  <c r="U79" i="15" s="1"/>
  <c r="U78" i="14"/>
  <c r="U78" i="15" s="1"/>
  <c r="U78" i="16" s="1"/>
  <c r="T78" i="13"/>
  <c r="U77" i="14"/>
  <c r="T77" i="13"/>
  <c r="U76" i="14"/>
  <c r="U76" i="15" s="1"/>
  <c r="U76" i="16" s="1"/>
  <c r="U75" i="14"/>
  <c r="U13" i="14"/>
  <c r="U72" i="14"/>
  <c r="U71" i="15" s="1"/>
  <c r="V71" i="15" s="1"/>
  <c r="U43" i="14"/>
  <c r="U40" i="14"/>
  <c r="U42" i="14"/>
  <c r="U42" i="15" s="1"/>
  <c r="V42" i="15" s="1"/>
  <c r="U19" i="14"/>
  <c r="U19" i="15" s="1"/>
  <c r="U39" i="14"/>
  <c r="U39" i="15" s="1"/>
  <c r="U39" i="16" s="1"/>
  <c r="U39" i="19" s="1"/>
  <c r="U25" i="14"/>
  <c r="U25" i="15" s="1"/>
  <c r="U18" i="14"/>
  <c r="U18" i="15" s="1"/>
  <c r="V18" i="15" s="1"/>
  <c r="U24" i="14"/>
  <c r="U24" i="15" s="1"/>
  <c r="V24" i="15" s="1"/>
  <c r="U38" i="14"/>
  <c r="V38" i="14" s="1"/>
  <c r="U17" i="14"/>
  <c r="U22" i="14"/>
  <c r="U22" i="15" s="1"/>
  <c r="U16" i="14"/>
  <c r="V16" i="14" s="1"/>
  <c r="U15" i="14"/>
  <c r="U15" i="15" s="1"/>
  <c r="U15" i="16" s="1"/>
  <c r="U14" i="14"/>
  <c r="U62" i="14"/>
  <c r="U62" i="15" s="1"/>
  <c r="U62" i="16" s="1"/>
  <c r="T62" i="13"/>
  <c r="U65" i="14"/>
  <c r="U65" i="15" s="1"/>
  <c r="U65" i="16" s="1"/>
  <c r="U64" i="14"/>
  <c r="U68" i="14"/>
  <c r="U68" i="15" s="1"/>
  <c r="U63" i="14"/>
  <c r="V63" i="14" s="1"/>
  <c r="U31" i="14"/>
  <c r="V31" i="14" s="1"/>
  <c r="U36" i="14"/>
  <c r="U36" i="15" s="1"/>
  <c r="U30" i="14"/>
  <c r="U30" i="15" s="1"/>
  <c r="V30" i="15" s="1"/>
  <c r="U57" i="14"/>
  <c r="U57" i="15" s="1"/>
  <c r="U57" i="16" s="1"/>
  <c r="U57" i="19" s="1"/>
  <c r="U59" i="14"/>
  <c r="U59" i="15" s="1"/>
  <c r="U59" i="16" s="1"/>
  <c r="U58" i="14"/>
  <c r="U58" i="15" s="1"/>
  <c r="U58" i="16" s="1"/>
  <c r="U41" i="14"/>
  <c r="T41" i="13"/>
  <c r="U8" i="14"/>
  <c r="U8" i="15" s="1"/>
  <c r="V8" i="15" s="1"/>
  <c r="U10" i="14"/>
  <c r="U10" i="15" s="1"/>
  <c r="U27" i="14"/>
  <c r="U27" i="15" s="1"/>
  <c r="U27" i="16" s="1"/>
  <c r="U44" i="14"/>
  <c r="V44" i="14" s="1"/>
  <c r="U29" i="14"/>
  <c r="U29" i="15" s="1"/>
  <c r="V29" i="15" s="1"/>
  <c r="U7" i="14"/>
  <c r="U33" i="14"/>
  <c r="AA60" i="12"/>
  <c r="AD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J148" i="18"/>
  <c r="X148" i="8"/>
  <c r="Y148" i="8" s="1"/>
  <c r="T60" i="12"/>
  <c r="T59" i="12"/>
  <c r="AE55" i="12"/>
  <c r="AA55" i="12"/>
  <c r="AD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J144" i="18"/>
  <c r="X144" i="8"/>
  <c r="Y144" i="8" s="1"/>
  <c r="AD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J149" i="18"/>
  <c r="X149" i="8"/>
  <c r="Y149" i="8" s="1"/>
  <c r="T54" i="12"/>
  <c r="U54" i="12" s="1"/>
  <c r="V54" i="12" s="1"/>
  <c r="X54" i="12" s="1"/>
  <c r="T125" i="13"/>
  <c r="W108" i="15"/>
  <c r="T105" i="13"/>
  <c r="AC35" i="13"/>
  <c r="AC80" i="13"/>
  <c r="AC32" i="13"/>
  <c r="AC11" i="13"/>
  <c r="AC99" i="13"/>
  <c r="AC116" i="13"/>
  <c r="AC105" i="13"/>
  <c r="AC125" i="13"/>
  <c r="AC21" i="13"/>
  <c r="AC26" i="13"/>
  <c r="AC28" i="13"/>
  <c r="AC121" i="13"/>
  <c r="AC96" i="13"/>
  <c r="AC108" i="13"/>
  <c r="T40" i="13"/>
  <c r="T116" i="15"/>
  <c r="W106" i="15"/>
  <c r="W116" i="15"/>
  <c r="X116" i="16"/>
  <c r="AE116" i="16" s="1"/>
  <c r="W116" i="16"/>
  <c r="T121" i="13"/>
  <c r="T30" i="13"/>
  <c r="T116" i="13"/>
  <c r="T59" i="13"/>
  <c r="T32" i="13"/>
  <c r="T58" i="13"/>
  <c r="T75" i="13"/>
  <c r="T76" i="13"/>
  <c r="T21" i="13"/>
  <c r="T79" i="13"/>
  <c r="T85" i="13"/>
  <c r="T89" i="13"/>
  <c r="T12" i="13"/>
  <c r="T28" i="13"/>
  <c r="T54" i="13"/>
  <c r="T108" i="13"/>
  <c r="T81" i="13"/>
  <c r="T84" i="13"/>
  <c r="T88" i="13"/>
  <c r="T92" i="13"/>
  <c r="T26" i="13"/>
  <c r="T16" i="13"/>
  <c r="T33" i="13"/>
  <c r="T7" i="13"/>
  <c r="T29" i="13"/>
  <c r="T44" i="13"/>
  <c r="T27" i="13"/>
  <c r="T10" i="13"/>
  <c r="T8" i="13"/>
  <c r="T42" i="13"/>
  <c r="T18" i="13"/>
  <c r="T47" i="13"/>
  <c r="T110" i="13"/>
  <c r="T57" i="13"/>
  <c r="T31" i="13"/>
  <c r="T63" i="13"/>
  <c r="T68" i="13"/>
  <c r="T64" i="13"/>
  <c r="T65" i="13"/>
  <c r="T22" i="13"/>
  <c r="T43" i="13"/>
  <c r="T51" i="13"/>
  <c r="T52" i="13"/>
  <c r="T53" i="13"/>
  <c r="T72" i="13"/>
  <c r="T82" i="13"/>
  <c r="T86" i="13"/>
  <c r="T90" i="13"/>
  <c r="T95" i="13"/>
  <c r="T35" i="13"/>
  <c r="T99" i="13"/>
  <c r="T17" i="13"/>
  <c r="T38" i="13"/>
  <c r="T25" i="13"/>
  <c r="T61" i="13"/>
  <c r="T73" i="13"/>
  <c r="AA110" i="13"/>
  <c r="AM110" i="13" s="1"/>
  <c r="T69" i="13"/>
  <c r="T13" i="13"/>
  <c r="T83" i="13"/>
  <c r="T87" i="13"/>
  <c r="T91" i="13"/>
  <c r="T80" i="13"/>
  <c r="T55" i="13"/>
  <c r="T11" i="13"/>
  <c r="T96" i="13"/>
  <c r="T66" i="13"/>
  <c r="AA108" i="13"/>
  <c r="AH108" i="13" s="1"/>
  <c r="T14" i="13"/>
  <c r="T15" i="13"/>
  <c r="T24" i="13"/>
  <c r="T39" i="13"/>
  <c r="T19" i="13"/>
  <c r="T49" i="13"/>
  <c r="T67" i="13"/>
  <c r="T50" i="13"/>
  <c r="T46" i="13"/>
  <c r="T94" i="13"/>
  <c r="X116" i="15"/>
  <c r="AA116" i="15" s="1"/>
  <c r="AA106" i="13"/>
  <c r="AH106" i="13" s="1"/>
  <c r="T36" i="13"/>
  <c r="AA83" i="13"/>
  <c r="AF83" i="13" s="1"/>
  <c r="AA125" i="13"/>
  <c r="AF55" i="12"/>
  <c r="AC116" i="15"/>
  <c r="W106" i="16"/>
  <c r="W106" i="19"/>
  <c r="T106" i="26"/>
  <c r="T106" i="19"/>
  <c r="T116" i="16"/>
  <c r="T106" i="15"/>
  <c r="W106" i="26"/>
  <c r="AE125" i="13"/>
  <c r="T108" i="15"/>
  <c r="W108" i="16"/>
  <c r="AE106" i="13"/>
  <c r="AC116" i="19"/>
  <c r="AC116" i="16"/>
  <c r="V116" i="15"/>
  <c r="T106" i="16"/>
  <c r="T108" i="16"/>
  <c r="T116" i="26"/>
  <c r="T116" i="19"/>
  <c r="V116" i="16"/>
  <c r="W108" i="19"/>
  <c r="W108" i="26"/>
  <c r="T108" i="26"/>
  <c r="T108" i="19"/>
  <c r="W116" i="19"/>
  <c r="X116" i="19"/>
  <c r="AA116" i="19" s="1"/>
  <c r="V116" i="26"/>
  <c r="V116" i="19"/>
  <c r="W116" i="26"/>
  <c r="X116" i="26"/>
  <c r="AA116" i="26"/>
  <c r="AI116" i="26"/>
  <c r="AH116" i="26"/>
  <c r="AF116" i="26"/>
  <c r="AM116" i="26"/>
  <c r="AD116" i="26"/>
  <c r="AE116" i="26"/>
  <c r="AL116" i="26"/>
  <c r="AN116" i="26"/>
  <c r="AD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J107" i="18"/>
  <c r="X107" i="8"/>
  <c r="Y107" i="8" s="1"/>
  <c r="M52" i="12"/>
  <c r="AC52" i="12" s="1"/>
  <c r="S53" i="12"/>
  <c r="T53" i="12"/>
  <c r="U53" i="12" s="1"/>
  <c r="V53" i="12" s="1"/>
  <c r="X53" i="12" s="1"/>
  <c r="U47" i="14"/>
  <c r="U47" i="15" s="1"/>
  <c r="M53" i="12"/>
  <c r="AC53" i="12" s="1"/>
  <c r="W53" i="12"/>
  <c r="AD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H67" i="18"/>
  <c r="J67" i="18" s="1"/>
  <c r="X67" i="8"/>
  <c r="Y67" i="8" s="1"/>
  <c r="AD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J100" i="18"/>
  <c r="X100" i="8"/>
  <c r="Y100" i="8" s="1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J88" i="18"/>
  <c r="X88" i="8"/>
  <c r="Y88" i="8" s="1"/>
  <c r="T42" i="12"/>
  <c r="U42" i="12"/>
  <c r="V42" i="12" s="1"/>
  <c r="W42" i="12" s="1"/>
  <c r="T43" i="12"/>
  <c r="U43" i="12" s="1"/>
  <c r="V43" i="12" s="1"/>
  <c r="W43" i="12" s="1"/>
  <c r="X43" i="12" s="1"/>
  <c r="T44" i="12"/>
  <c r="U44" i="12"/>
  <c r="V44" i="12" s="1"/>
  <c r="X44" i="12" s="1"/>
  <c r="T45" i="12"/>
  <c r="U45" i="12" s="1"/>
  <c r="V45" i="12" s="1"/>
  <c r="T46" i="12"/>
  <c r="U46" i="12" s="1"/>
  <c r="V46" i="12" s="1"/>
  <c r="W46" i="12" s="1"/>
  <c r="X46" i="12" s="1"/>
  <c r="T47" i="12"/>
  <c r="T48" i="12"/>
  <c r="T49" i="12"/>
  <c r="U49" i="12" s="1"/>
  <c r="T41" i="12"/>
  <c r="U41" i="12" s="1"/>
  <c r="V41" i="12" s="1"/>
  <c r="W18" i="12"/>
  <c r="U50" i="14"/>
  <c r="U50" i="15" s="1"/>
  <c r="V50" i="15" s="1"/>
  <c r="U67" i="14"/>
  <c r="V67" i="14" s="1"/>
  <c r="U66" i="14"/>
  <c r="U66" i="15" s="1"/>
  <c r="U66" i="16" s="1"/>
  <c r="U66" i="19" s="1"/>
  <c r="U66" i="26" s="1"/>
  <c r="V66" i="26" s="1"/>
  <c r="U61" i="14"/>
  <c r="U51" i="14"/>
  <c r="U51" i="15" s="1"/>
  <c r="U51" i="16" s="1"/>
  <c r="U51" i="19" s="1"/>
  <c r="U49" i="14"/>
  <c r="U49" i="15" s="1"/>
  <c r="T23" i="13"/>
  <c r="T37" i="13"/>
  <c r="T109" i="13"/>
  <c r="T70" i="13"/>
  <c r="T113" i="13"/>
  <c r="T126" i="13"/>
  <c r="T114" i="13"/>
  <c r="T111" i="13"/>
  <c r="T117" i="13"/>
  <c r="T118" i="13"/>
  <c r="T128" i="13"/>
  <c r="B39" i="3"/>
  <c r="AI104" i="12"/>
  <c r="AI107" i="12"/>
  <c r="AL107" i="12" s="1"/>
  <c r="AI25" i="12"/>
  <c r="AI14" i="12"/>
  <c r="AI40" i="12"/>
  <c r="AI85" i="12"/>
  <c r="AI84" i="12"/>
  <c r="AD282" i="18"/>
  <c r="AD281" i="18"/>
  <c r="AD280" i="18"/>
  <c r="AD279" i="18"/>
  <c r="AD278" i="18"/>
  <c r="AD277" i="18"/>
  <c r="AD276" i="18"/>
  <c r="AD275" i="18"/>
  <c r="AD274" i="18"/>
  <c r="AD273" i="18"/>
  <c r="AD272" i="18"/>
  <c r="AD271" i="18"/>
  <c r="AD270" i="18"/>
  <c r="AD269" i="18"/>
  <c r="AD268" i="18"/>
  <c r="AD267" i="18"/>
  <c r="AD266" i="18"/>
  <c r="AD265" i="18"/>
  <c r="AD262" i="18"/>
  <c r="AD261" i="18"/>
  <c r="AD260" i="18"/>
  <c r="AD259" i="18"/>
  <c r="AD258" i="18"/>
  <c r="AD257" i="18"/>
  <c r="AD256" i="18"/>
  <c r="AD255" i="18"/>
  <c r="AD254" i="18"/>
  <c r="AD253" i="18"/>
  <c r="AD252" i="18"/>
  <c r="AD251" i="18"/>
  <c r="AD250" i="18"/>
  <c r="AD249" i="18"/>
  <c r="AD248" i="18"/>
  <c r="AD247" i="18"/>
  <c r="AD246" i="18"/>
  <c r="AD245" i="18"/>
  <c r="AD244" i="18"/>
  <c r="AD243" i="18"/>
  <c r="AD242" i="18"/>
  <c r="AD241" i="18"/>
  <c r="AD240" i="18"/>
  <c r="AD239" i="18"/>
  <c r="AD238" i="18"/>
  <c r="AD237" i="18"/>
  <c r="AD236" i="18"/>
  <c r="AD235" i="18"/>
  <c r="AD234" i="18"/>
  <c r="AD233" i="18"/>
  <c r="AD232" i="18"/>
  <c r="AD230" i="18"/>
  <c r="AD229" i="18"/>
  <c r="AD228" i="18"/>
  <c r="AD227" i="18"/>
  <c r="AD226" i="18"/>
  <c r="AD225" i="18"/>
  <c r="AD224" i="18"/>
  <c r="AD223" i="18"/>
  <c r="AD222" i="18"/>
  <c r="AD221" i="18"/>
  <c r="AD220" i="18"/>
  <c r="AD219" i="18"/>
  <c r="AD218" i="18"/>
  <c r="AD217" i="18"/>
  <c r="AD216" i="18"/>
  <c r="AD215" i="18"/>
  <c r="AD214" i="18"/>
  <c r="AD213" i="18"/>
  <c r="AD211" i="18"/>
  <c r="AD210" i="18"/>
  <c r="AD209" i="18"/>
  <c r="AD208" i="18"/>
  <c r="AD207" i="18"/>
  <c r="AD206" i="18"/>
  <c r="AD205" i="18"/>
  <c r="AD204" i="18"/>
  <c r="AD203" i="18"/>
  <c r="AD202" i="18"/>
  <c r="AD201" i="18"/>
  <c r="AD200" i="18"/>
  <c r="AD199" i="18"/>
  <c r="AD198" i="18"/>
  <c r="AD197" i="18"/>
  <c r="AD196" i="18"/>
  <c r="AD195" i="18"/>
  <c r="AD194" i="18"/>
  <c r="AD192" i="18"/>
  <c r="AD191" i="18"/>
  <c r="AD190" i="18"/>
  <c r="AD189" i="18"/>
  <c r="AD188" i="18"/>
  <c r="AD187" i="18"/>
  <c r="AD186" i="18"/>
  <c r="AD185" i="18"/>
  <c r="AD184" i="18"/>
  <c r="AD183" i="18"/>
  <c r="AD182" i="18"/>
  <c r="AD181" i="18"/>
  <c r="AD180" i="18"/>
  <c r="AD179" i="18"/>
  <c r="AD177" i="18"/>
  <c r="AD176" i="18"/>
  <c r="AD175" i="18"/>
  <c r="AD368" i="18"/>
  <c r="AD367" i="18"/>
  <c r="AD364" i="18"/>
  <c r="AD363" i="18"/>
  <c r="AD362" i="18"/>
  <c r="AD361" i="18"/>
  <c r="AD360" i="18"/>
  <c r="AD358" i="18"/>
  <c r="AD357" i="18"/>
  <c r="AD356" i="18"/>
  <c r="AD355" i="18"/>
  <c r="AD354" i="18"/>
  <c r="AD353" i="18"/>
  <c r="AD352" i="18"/>
  <c r="AD348" i="18"/>
  <c r="AD347" i="18"/>
  <c r="AD346" i="18"/>
  <c r="AD344" i="18"/>
  <c r="AD343" i="18"/>
  <c r="AD342" i="18"/>
  <c r="AD341" i="18"/>
  <c r="AD340" i="18"/>
  <c r="AD337" i="18"/>
  <c r="AD336" i="18"/>
  <c r="AD335" i="18"/>
  <c r="AD334" i="18"/>
  <c r="AD333" i="18"/>
  <c r="AD332" i="18"/>
  <c r="AD331" i="18"/>
  <c r="AD330" i="18"/>
  <c r="AD328" i="18"/>
  <c r="AD327" i="18"/>
  <c r="AD326" i="18"/>
  <c r="AD323" i="18"/>
  <c r="AD322" i="18"/>
  <c r="AD321" i="18"/>
  <c r="AD320" i="18"/>
  <c r="AD319" i="18"/>
  <c r="AD318" i="18"/>
  <c r="AD317" i="18"/>
  <c r="AD316" i="18"/>
  <c r="AD315" i="18"/>
  <c r="AD314" i="18"/>
  <c r="AD313" i="18"/>
  <c r="AD312" i="18"/>
  <c r="AD311" i="18"/>
  <c r="AD310" i="18"/>
  <c r="AD309" i="18"/>
  <c r="AD308" i="18"/>
  <c r="AD307" i="18"/>
  <c r="AD306" i="18"/>
  <c r="AD304" i="18"/>
  <c r="AD303" i="18"/>
  <c r="AD302" i="18"/>
  <c r="AD300" i="18"/>
  <c r="AD299" i="18"/>
  <c r="AD298" i="18"/>
  <c r="AD297" i="18"/>
  <c r="AD296" i="18"/>
  <c r="AD295" i="18"/>
  <c r="AD292" i="18"/>
  <c r="AD291" i="18"/>
  <c r="AD290" i="18"/>
  <c r="AD289" i="18"/>
  <c r="AD288" i="18"/>
  <c r="AD287" i="18"/>
  <c r="AD286" i="18"/>
  <c r="AD285" i="18"/>
  <c r="AD372" i="18"/>
  <c r="AD371" i="18"/>
  <c r="AD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J103" i="18"/>
  <c r="X103" i="8"/>
  <c r="Y103" i="8" s="1"/>
  <c r="AB393" i="8"/>
  <c r="AA393" i="18"/>
  <c r="Z393" i="18"/>
  <c r="Y393" i="18"/>
  <c r="X393" i="18"/>
  <c r="W393" i="18"/>
  <c r="V393" i="18"/>
  <c r="U393" i="18"/>
  <c r="T393" i="18"/>
  <c r="J393" i="18"/>
  <c r="P392" i="9"/>
  <c r="O376" i="9"/>
  <c r="O368" i="9"/>
  <c r="P368" i="9" s="1"/>
  <c r="O364" i="9"/>
  <c r="P364" i="9" s="1"/>
  <c r="O362" i="9"/>
  <c r="P362" i="9" s="1"/>
  <c r="O361" i="9"/>
  <c r="P361" i="9" s="1"/>
  <c r="O360" i="9"/>
  <c r="O357" i="9"/>
  <c r="P357" i="9" s="1"/>
  <c r="O356" i="9"/>
  <c r="P356" i="9" s="1"/>
  <c r="O355" i="9"/>
  <c r="P355" i="9" s="1"/>
  <c r="O353" i="9"/>
  <c r="P353" i="9" s="1"/>
  <c r="O348" i="9"/>
  <c r="P348" i="9" s="1"/>
  <c r="O347" i="9"/>
  <c r="P347" i="9" s="1"/>
  <c r="O346" i="9"/>
  <c r="P346" i="9" s="1"/>
  <c r="O344" i="9"/>
  <c r="P344" i="9" s="1"/>
  <c r="O343" i="9"/>
  <c r="P343" i="9" s="1"/>
  <c r="O341" i="9"/>
  <c r="P341" i="9" s="1"/>
  <c r="O337" i="9"/>
  <c r="P337" i="9" s="1"/>
  <c r="O336" i="9"/>
  <c r="P336" i="9" s="1"/>
  <c r="O334" i="9"/>
  <c r="P334" i="9" s="1"/>
  <c r="O333" i="9"/>
  <c r="O332" i="9"/>
  <c r="P332" i="9" s="1"/>
  <c r="O330" i="9"/>
  <c r="P330" i="9" s="1"/>
  <c r="P14" i="22" s="1"/>
  <c r="O328" i="9"/>
  <c r="P328" i="9" s="1"/>
  <c r="O327" i="9"/>
  <c r="P327" i="9" s="1"/>
  <c r="O326" i="9"/>
  <c r="P326" i="9" s="1"/>
  <c r="O322" i="9"/>
  <c r="P322" i="9" s="1"/>
  <c r="O321" i="9"/>
  <c r="P321" i="9" s="1"/>
  <c r="O319" i="9"/>
  <c r="P319" i="9" s="1"/>
  <c r="O317" i="9"/>
  <c r="O316" i="9"/>
  <c r="O315" i="9"/>
  <c r="P315" i="9" s="1"/>
  <c r="O314" i="9"/>
  <c r="P314" i="9" s="1"/>
  <c r="O313" i="9"/>
  <c r="P313" i="9" s="1"/>
  <c r="O312" i="9"/>
  <c r="P312" i="9" s="1"/>
  <c r="O311" i="9"/>
  <c r="Q311" i="9" s="1"/>
  <c r="O309" i="9"/>
  <c r="P309" i="9" s="1"/>
  <c r="O308" i="9"/>
  <c r="P308" i="9" s="1"/>
  <c r="O307" i="9"/>
  <c r="P307" i="9" s="1"/>
  <c r="O306" i="9"/>
  <c r="P306" i="9" s="1"/>
  <c r="O303" i="9"/>
  <c r="P303" i="9" s="1"/>
  <c r="O299" i="9"/>
  <c r="P299" i="9" s="1"/>
  <c r="O297" i="9"/>
  <c r="P297" i="9" s="1"/>
  <c r="O296" i="9"/>
  <c r="P296" i="9" s="1"/>
  <c r="O292" i="9"/>
  <c r="P292" i="9" s="1"/>
  <c r="O290" i="9"/>
  <c r="P290" i="9" s="1"/>
  <c r="P13" i="22" s="1"/>
  <c r="O289" i="9"/>
  <c r="P289" i="9" s="1"/>
  <c r="P12" i="22" s="1"/>
  <c r="O288" i="9"/>
  <c r="P288" i="9" s="1"/>
  <c r="P11" i="22" s="1"/>
  <c r="O287" i="9"/>
  <c r="P287" i="9" s="1"/>
  <c r="P10" i="22" s="1"/>
  <c r="O286" i="9"/>
  <c r="P286" i="9" s="1"/>
  <c r="O285" i="9"/>
  <c r="O9" i="22" s="1"/>
  <c r="O282" i="9"/>
  <c r="P282" i="9" s="1"/>
  <c r="O281" i="9"/>
  <c r="P281" i="9" s="1"/>
  <c r="O280" i="9"/>
  <c r="P280" i="9" s="1"/>
  <c r="O279" i="9"/>
  <c r="P279" i="9" s="1"/>
  <c r="O277" i="9"/>
  <c r="P277" i="9" s="1"/>
  <c r="O275" i="9"/>
  <c r="P275" i="9" s="1"/>
  <c r="O274" i="9"/>
  <c r="O272" i="9"/>
  <c r="P272" i="9" s="1"/>
  <c r="O270" i="9"/>
  <c r="P270" i="9" s="1"/>
  <c r="O269" i="9"/>
  <c r="P269" i="9" s="1"/>
  <c r="O268" i="9"/>
  <c r="P268" i="9" s="1"/>
  <c r="O265" i="9"/>
  <c r="P265" i="9" s="1"/>
  <c r="O262" i="9"/>
  <c r="P262" i="9" s="1"/>
  <c r="O261" i="9"/>
  <c r="P261" i="9" s="1"/>
  <c r="O260" i="9"/>
  <c r="P260" i="9" s="1"/>
  <c r="O259" i="9"/>
  <c r="P259" i="9" s="1"/>
  <c r="O257" i="9"/>
  <c r="O256" i="9"/>
  <c r="O254" i="9"/>
  <c r="Q254" i="9" s="1"/>
  <c r="O253" i="9"/>
  <c r="P253" i="9" s="1"/>
  <c r="O252" i="9"/>
  <c r="P252" i="9" s="1"/>
  <c r="O250" i="9"/>
  <c r="P250" i="9" s="1"/>
  <c r="O249" i="9"/>
  <c r="P249" i="9" s="1"/>
  <c r="O247" i="9"/>
  <c r="O245" i="9"/>
  <c r="Q245" i="9" s="1"/>
  <c r="O246" i="9"/>
  <c r="Q246" i="9" s="1"/>
  <c r="O244" i="9"/>
  <c r="O242" i="9"/>
  <c r="P242" i="9" s="1"/>
  <c r="O240" i="9"/>
  <c r="P240" i="9" s="1"/>
  <c r="O238" i="9"/>
  <c r="O236" i="9"/>
  <c r="Q236" i="9" s="1"/>
  <c r="O235" i="9"/>
  <c r="Q235" i="9" s="1"/>
  <c r="O234" i="9"/>
  <c r="P234" i="9" s="1"/>
  <c r="O233" i="9"/>
  <c r="O232" i="9"/>
  <c r="P232" i="9" s="1"/>
  <c r="O231" i="9"/>
  <c r="Q231" i="9" s="1"/>
  <c r="O230" i="9"/>
  <c r="O229" i="9"/>
  <c r="P229" i="9" s="1"/>
  <c r="O228" i="9"/>
  <c r="P228" i="9" s="1"/>
  <c r="O226" i="9"/>
  <c r="O225" i="9"/>
  <c r="P225" i="9" s="1"/>
  <c r="O223" i="9"/>
  <c r="O221" i="9"/>
  <c r="P221" i="9" s="1"/>
  <c r="O219" i="9"/>
  <c r="P219" i="9" s="1"/>
  <c r="O217" i="9"/>
  <c r="Q217" i="9" s="1"/>
  <c r="R217" i="9" s="1"/>
  <c r="O216" i="9"/>
  <c r="P216" i="9" s="1"/>
  <c r="O215" i="9"/>
  <c r="O214" i="9"/>
  <c r="O213" i="9"/>
  <c r="Q213" i="9" s="1"/>
  <c r="O211" i="9"/>
  <c r="Q211" i="9" s="1"/>
  <c r="O210" i="9"/>
  <c r="O209" i="9"/>
  <c r="O208" i="9"/>
  <c r="O207" i="9"/>
  <c r="P207" i="9" s="1"/>
  <c r="O205" i="9"/>
  <c r="P205" i="9" s="1"/>
  <c r="O204" i="9"/>
  <c r="Q204" i="9" s="1"/>
  <c r="O203" i="9"/>
  <c r="O202" i="9"/>
  <c r="P202" i="9" s="1"/>
  <c r="O201" i="9"/>
  <c r="P201" i="9" s="1"/>
  <c r="O200" i="9"/>
  <c r="Q200" i="9" s="1"/>
  <c r="O199" i="9"/>
  <c r="O198" i="9"/>
  <c r="P198" i="9" s="1"/>
  <c r="O197" i="9"/>
  <c r="P197" i="9" s="1"/>
  <c r="O196" i="9"/>
  <c r="P196" i="9" s="1"/>
  <c r="O195" i="9"/>
  <c r="P195" i="9" s="1"/>
  <c r="O194" i="9"/>
  <c r="O192" i="9"/>
  <c r="P192" i="9" s="1"/>
  <c r="O191" i="9"/>
  <c r="O190" i="9"/>
  <c r="P190" i="9" s="1"/>
  <c r="O189" i="9"/>
  <c r="P189" i="9" s="1"/>
  <c r="O187" i="9"/>
  <c r="P187" i="9" s="1"/>
  <c r="O186" i="9"/>
  <c r="P186" i="9" s="1"/>
  <c r="O183" i="9"/>
  <c r="P183" i="9" s="1"/>
  <c r="O182" i="9"/>
  <c r="P182" i="9" s="1"/>
  <c r="O181" i="9"/>
  <c r="P181" i="9" s="1"/>
  <c r="O179" i="9"/>
  <c r="P179" i="9" s="1"/>
  <c r="O177" i="9"/>
  <c r="P177" i="9" s="1"/>
  <c r="O175" i="9"/>
  <c r="P175" i="9" s="1"/>
  <c r="O174" i="9"/>
  <c r="P174" i="9" s="1"/>
  <c r="AC626" i="18"/>
  <c r="AC662" i="18" s="1"/>
  <c r="AC610" i="18"/>
  <c r="AC609" i="18"/>
  <c r="AC607" i="18"/>
  <c r="AC606" i="18"/>
  <c r="AC604" i="18"/>
  <c r="AC603" i="18"/>
  <c r="AC602" i="18"/>
  <c r="AC601" i="18"/>
  <c r="AC599" i="18"/>
  <c r="AC598" i="18"/>
  <c r="AC597" i="18"/>
  <c r="AC595" i="18"/>
  <c r="AC594" i="18"/>
  <c r="AC593" i="18"/>
  <c r="AC592" i="18"/>
  <c r="AC591" i="18"/>
  <c r="AC590" i="18"/>
  <c r="AC589" i="18"/>
  <c r="AC588" i="18"/>
  <c r="AC587" i="18"/>
  <c r="AC623" i="18" s="1"/>
  <c r="AC544" i="18"/>
  <c r="AC524" i="18"/>
  <c r="AC523" i="18"/>
  <c r="AC521" i="18"/>
  <c r="AC519" i="18"/>
  <c r="AC518" i="18"/>
  <c r="AC517" i="18"/>
  <c r="AC515" i="18"/>
  <c r="AC514" i="18"/>
  <c r="AC513" i="18"/>
  <c r="AC511" i="18"/>
  <c r="AC510" i="18"/>
  <c r="AC509" i="18"/>
  <c r="AC508" i="18"/>
  <c r="AC507" i="18"/>
  <c r="AC506" i="18"/>
  <c r="AC505" i="18"/>
  <c r="AC504" i="18"/>
  <c r="AC503" i="18"/>
  <c r="AC498" i="18"/>
  <c r="AC497" i="18"/>
  <c r="AC496" i="18"/>
  <c r="AC495" i="18"/>
  <c r="AC494" i="18"/>
  <c r="AC492" i="18"/>
  <c r="AC491" i="18"/>
  <c r="AC490" i="18"/>
  <c r="AC489" i="18"/>
  <c r="AC488" i="18"/>
  <c r="AC487" i="18"/>
  <c r="AC485" i="18"/>
  <c r="AC484" i="18"/>
  <c r="AC483" i="18"/>
  <c r="AC482" i="18"/>
  <c r="AC480" i="18"/>
  <c r="AC478" i="18"/>
  <c r="AC476" i="18"/>
  <c r="AC475" i="18"/>
  <c r="AC474" i="18"/>
  <c r="AC473" i="18"/>
  <c r="AC472" i="18"/>
  <c r="AC471" i="18"/>
  <c r="AC470" i="18"/>
  <c r="AC469" i="18"/>
  <c r="AC468" i="18"/>
  <c r="AC467" i="18"/>
  <c r="AC466" i="18"/>
  <c r="AC465" i="18"/>
  <c r="J465" i="18"/>
  <c r="AK79" i="23"/>
  <c r="AJ79" i="23"/>
  <c r="AG79" i="23"/>
  <c r="AK77" i="23"/>
  <c r="AJ77" i="23"/>
  <c r="AG77" i="23"/>
  <c r="Z77" i="23"/>
  <c r="Y77" i="23"/>
  <c r="AC79" i="23"/>
  <c r="V76" i="23"/>
  <c r="T76" i="23"/>
  <c r="AM75" i="23"/>
  <c r="AL75" i="23"/>
  <c r="AM74" i="23"/>
  <c r="AL74" i="23"/>
  <c r="AM73" i="23"/>
  <c r="AL73" i="23"/>
  <c r="AM72" i="23"/>
  <c r="AL72" i="23"/>
  <c r="AM71" i="23"/>
  <c r="AL71" i="23"/>
  <c r="AM70" i="23"/>
  <c r="AL70" i="23"/>
  <c r="AN70" i="23"/>
  <c r="AM69" i="23"/>
  <c r="AL69" i="23"/>
  <c r="AM68" i="23"/>
  <c r="AL68" i="23"/>
  <c r="AM67" i="23"/>
  <c r="AL67" i="23"/>
  <c r="AM66" i="23"/>
  <c r="AL66" i="23"/>
  <c r="AM65" i="23"/>
  <c r="AL65" i="23"/>
  <c r="AM64" i="23"/>
  <c r="AL64" i="23"/>
  <c r="AM63" i="23"/>
  <c r="AL63" i="23"/>
  <c r="AM62" i="23"/>
  <c r="AL62" i="23"/>
  <c r="AM61" i="23"/>
  <c r="AL61" i="23"/>
  <c r="AM60" i="23"/>
  <c r="AL60" i="23"/>
  <c r="AM59" i="23"/>
  <c r="AL59" i="23"/>
  <c r="AM58" i="23"/>
  <c r="AL58" i="23"/>
  <c r="AM57" i="23"/>
  <c r="AL57" i="23"/>
  <c r="AM56" i="23"/>
  <c r="AL56" i="23"/>
  <c r="AM55" i="23"/>
  <c r="AL55" i="23"/>
  <c r="AM54" i="23"/>
  <c r="AL54" i="23"/>
  <c r="AM53" i="23"/>
  <c r="AL53" i="23"/>
  <c r="AM52" i="23"/>
  <c r="AL52" i="23"/>
  <c r="AM51" i="23"/>
  <c r="AL51" i="23"/>
  <c r="AM50" i="23"/>
  <c r="AL50" i="23"/>
  <c r="AM49" i="23"/>
  <c r="AL49" i="23"/>
  <c r="AM48" i="23"/>
  <c r="AL48" i="23"/>
  <c r="AM47" i="23"/>
  <c r="AL47" i="23"/>
  <c r="AM46" i="23"/>
  <c r="AL46" i="23"/>
  <c r="AM45" i="23"/>
  <c r="AL45" i="23"/>
  <c r="AM44" i="23"/>
  <c r="AL44" i="23"/>
  <c r="AM43" i="23"/>
  <c r="AL43" i="23"/>
  <c r="AM42" i="23"/>
  <c r="AL42" i="23"/>
  <c r="AM41" i="23"/>
  <c r="AL41" i="23"/>
  <c r="AM40" i="23"/>
  <c r="AL40" i="23"/>
  <c r="AM39" i="23"/>
  <c r="AL39" i="23"/>
  <c r="AM38" i="23"/>
  <c r="AL38" i="23"/>
  <c r="AM37" i="23"/>
  <c r="AL37" i="23"/>
  <c r="AM36" i="23"/>
  <c r="AL36" i="23"/>
  <c r="AM35" i="23"/>
  <c r="AL35" i="23"/>
  <c r="AM34" i="23"/>
  <c r="AL34" i="23"/>
  <c r="AM33" i="23"/>
  <c r="AL33" i="23"/>
  <c r="AM32" i="23"/>
  <c r="AL32" i="23"/>
  <c r="AM31" i="23"/>
  <c r="AL31" i="23"/>
  <c r="AM30" i="23"/>
  <c r="AL30" i="23"/>
  <c r="AM29" i="23"/>
  <c r="AL29" i="23"/>
  <c r="AM28" i="23"/>
  <c r="AL28" i="23"/>
  <c r="AM27" i="23"/>
  <c r="AL27" i="23"/>
  <c r="AM26" i="23"/>
  <c r="AL26" i="23"/>
  <c r="AM25" i="23"/>
  <c r="AL25" i="23"/>
  <c r="AM24" i="23"/>
  <c r="AL24" i="23"/>
  <c r="AM23" i="23"/>
  <c r="AL23" i="23"/>
  <c r="AM22" i="23"/>
  <c r="AL22" i="23"/>
  <c r="AM21" i="23"/>
  <c r="AL21" i="23"/>
  <c r="AM20" i="23"/>
  <c r="AL20" i="23"/>
  <c r="AM19" i="23"/>
  <c r="AL19" i="23"/>
  <c r="AM18" i="23"/>
  <c r="AL18" i="23"/>
  <c r="AM17" i="23"/>
  <c r="AL17" i="23"/>
  <c r="AM16" i="23"/>
  <c r="AL16" i="23"/>
  <c r="AM15" i="23"/>
  <c r="AL15" i="23"/>
  <c r="AM14" i="23"/>
  <c r="AL14" i="23"/>
  <c r="AM13" i="23"/>
  <c r="AL13" i="23"/>
  <c r="AM12" i="23"/>
  <c r="AL12" i="23"/>
  <c r="AM11" i="23"/>
  <c r="AL11" i="23"/>
  <c r="AM10" i="23"/>
  <c r="AL10" i="23"/>
  <c r="AM9" i="23"/>
  <c r="AL9" i="23"/>
  <c r="AM8" i="23"/>
  <c r="AL8" i="23"/>
  <c r="AM7" i="23"/>
  <c r="AL7" i="23"/>
  <c r="AM6" i="23"/>
  <c r="AL6" i="23"/>
  <c r="V6" i="23"/>
  <c r="T6" i="23"/>
  <c r="X6" i="23"/>
  <c r="AD660" i="18"/>
  <c r="AD661" i="18"/>
  <c r="AD540" i="18"/>
  <c r="S182" i="9"/>
  <c r="T182" i="9" s="1"/>
  <c r="U182" i="9" s="1"/>
  <c r="V182" i="9" s="1"/>
  <c r="W182" i="9" s="1"/>
  <c r="AN9" i="23"/>
  <c r="AN21" i="23"/>
  <c r="AN55" i="23"/>
  <c r="AN57" i="23"/>
  <c r="AN67" i="23"/>
  <c r="AN69" i="23"/>
  <c r="AN74" i="23"/>
  <c r="M77" i="23"/>
  <c r="AN28" i="23"/>
  <c r="AN30" i="23"/>
  <c r="AN32" i="23"/>
  <c r="AN34" i="23"/>
  <c r="AN38" i="23"/>
  <c r="AN44" i="23"/>
  <c r="AN46" i="23"/>
  <c r="AN48" i="23"/>
  <c r="AN50" i="23"/>
  <c r="AN54" i="23"/>
  <c r="AN6" i="23"/>
  <c r="AN27" i="23"/>
  <c r="AN31" i="23"/>
  <c r="AN43" i="23"/>
  <c r="AN71" i="23"/>
  <c r="AN73" i="23"/>
  <c r="AN10" i="23"/>
  <c r="AN22" i="23"/>
  <c r="AN58" i="23"/>
  <c r="AN26" i="23"/>
  <c r="AN11" i="23"/>
  <c r="AN15" i="23"/>
  <c r="AN25" i="23"/>
  <c r="AN37" i="23"/>
  <c r="AN42" i="23"/>
  <c r="AN60" i="23"/>
  <c r="AN62" i="23"/>
  <c r="AN64" i="23"/>
  <c r="AN66" i="23"/>
  <c r="AN12" i="23"/>
  <c r="AN14" i="23"/>
  <c r="AN16" i="23"/>
  <c r="AN18" i="23"/>
  <c r="AN41" i="23"/>
  <c r="AN51" i="23"/>
  <c r="AN53" i="23"/>
  <c r="W6" i="23"/>
  <c r="AN19" i="23"/>
  <c r="AN35" i="23"/>
  <c r="AN7" i="23"/>
  <c r="AN13" i="23"/>
  <c r="AN20" i="23"/>
  <c r="AN23" i="23"/>
  <c r="AN29" i="23"/>
  <c r="AN36" i="23"/>
  <c r="AN39" i="23"/>
  <c r="AN45" i="23"/>
  <c r="AN52" i="23"/>
  <c r="AN59" i="23"/>
  <c r="AN61" i="23"/>
  <c r="AN68" i="23"/>
  <c r="AN75" i="23"/>
  <c r="AN8" i="23"/>
  <c r="AN17" i="23"/>
  <c r="AN24" i="23"/>
  <c r="AN33" i="23"/>
  <c r="AN40" i="23"/>
  <c r="AN47" i="23"/>
  <c r="AN49" i="23"/>
  <c r="AN56" i="23"/>
  <c r="AN63" i="23"/>
  <c r="AN65" i="23"/>
  <c r="AN72" i="23"/>
  <c r="W76" i="23"/>
  <c r="AC77" i="23"/>
  <c r="X76" i="23"/>
  <c r="AA76" i="23"/>
  <c r="AD76" i="23"/>
  <c r="AE76" i="23"/>
  <c r="AE77" i="23"/>
  <c r="AM76" i="23"/>
  <c r="AF76" i="23"/>
  <c r="AH76" i="23"/>
  <c r="AA77" i="23"/>
  <c r="AA79" i="23"/>
  <c r="AI76" i="23"/>
  <c r="AD79" i="23"/>
  <c r="AD77" i="23"/>
  <c r="AE79" i="23"/>
  <c r="AI77" i="23"/>
  <c r="AI79" i="23"/>
  <c r="AF79" i="23"/>
  <c r="AF77" i="23"/>
  <c r="AL76" i="23"/>
  <c r="AM79" i="23"/>
  <c r="AM77" i="23"/>
  <c r="AH79" i="23"/>
  <c r="AH77" i="23"/>
  <c r="AN76" i="23"/>
  <c r="AL79" i="23"/>
  <c r="AL77" i="23"/>
  <c r="AN79" i="23"/>
  <c r="AN77" i="23"/>
  <c r="AC425" i="18"/>
  <c r="AC424" i="18"/>
  <c r="AC423" i="18"/>
  <c r="AC422" i="18"/>
  <c r="J425" i="18"/>
  <c r="J424" i="18"/>
  <c r="J433" i="18"/>
  <c r="J431" i="18"/>
  <c r="J435" i="18"/>
  <c r="J432" i="18"/>
  <c r="J434" i="18"/>
  <c r="J423" i="18"/>
  <c r="J422" i="18"/>
  <c r="N6" i="22"/>
  <c r="N19" i="22" s="1"/>
  <c r="M6" i="22"/>
  <c r="M19" i="22" s="1"/>
  <c r="K4" i="22"/>
  <c r="M4" i="22"/>
  <c r="N4" i="22"/>
  <c r="K5" i="22"/>
  <c r="M5" i="22"/>
  <c r="N5" i="22"/>
  <c r="K6" i="22"/>
  <c r="K19" i="22" s="1"/>
  <c r="K8" i="22"/>
  <c r="L8" i="22"/>
  <c r="M8" i="22"/>
  <c r="N8" i="22"/>
  <c r="K9" i="22"/>
  <c r="M9" i="22"/>
  <c r="N9" i="22"/>
  <c r="K10" i="22"/>
  <c r="M10" i="22"/>
  <c r="N10" i="22"/>
  <c r="K11" i="22"/>
  <c r="M11" i="22"/>
  <c r="N11" i="22"/>
  <c r="K12" i="22"/>
  <c r="M12" i="22"/>
  <c r="N12" i="22"/>
  <c r="K13" i="22"/>
  <c r="M13" i="22"/>
  <c r="N13" i="22"/>
  <c r="K14" i="22"/>
  <c r="M14" i="22"/>
  <c r="N14" i="22"/>
  <c r="AD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J127" i="18"/>
  <c r="X127" i="8"/>
  <c r="Y127" i="8" s="1"/>
  <c r="AD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J93" i="18"/>
  <c r="X93" i="8"/>
  <c r="Y93" i="8" s="1"/>
  <c r="AM84" i="12"/>
  <c r="AM85" i="12"/>
  <c r="AL40" i="12"/>
  <c r="AM40" i="12"/>
  <c r="AM14" i="12"/>
  <c r="AL25" i="12"/>
  <c r="AM25" i="12"/>
  <c r="AM107" i="12"/>
  <c r="AM104" i="12"/>
  <c r="J87" i="18"/>
  <c r="AD174" i="18"/>
  <c r="AD163" i="18"/>
  <c r="AD164" i="18"/>
  <c r="AD165" i="18"/>
  <c r="AD166" i="18"/>
  <c r="AD167" i="18"/>
  <c r="AD168" i="18"/>
  <c r="AD169" i="18"/>
  <c r="AD170" i="18"/>
  <c r="AD162" i="18"/>
  <c r="AD125" i="18"/>
  <c r="AD126" i="18"/>
  <c r="AD129" i="18"/>
  <c r="AD132" i="18"/>
  <c r="AD134" i="18"/>
  <c r="AD136" i="18"/>
  <c r="AD137" i="18"/>
  <c r="AD138" i="18"/>
  <c r="AD141" i="18"/>
  <c r="AD142" i="18"/>
  <c r="AD143" i="18"/>
  <c r="AD145" i="18"/>
  <c r="AD146" i="18"/>
  <c r="AD147" i="18"/>
  <c r="AD151" i="18"/>
  <c r="AD152" i="18"/>
  <c r="AD155" i="18"/>
  <c r="AD156" i="18"/>
  <c r="AD157" i="18"/>
  <c r="AD158" i="18"/>
  <c r="AD121" i="18"/>
  <c r="AD119" i="18"/>
  <c r="AD116" i="18"/>
  <c r="AD115" i="18"/>
  <c r="AD114" i="18"/>
  <c r="AD113" i="18"/>
  <c r="AD112" i="18"/>
  <c r="AD110" i="18"/>
  <c r="AD109" i="18"/>
  <c r="AD108" i="18"/>
  <c r="AD106" i="18"/>
  <c r="AD105" i="18"/>
  <c r="AD104" i="18"/>
  <c r="AD102" i="18"/>
  <c r="AD101" i="18"/>
  <c r="AD99" i="18"/>
  <c r="AD98" i="18"/>
  <c r="AD97" i="18"/>
  <c r="AD94" i="18"/>
  <c r="AD91" i="18"/>
  <c r="AD85" i="18"/>
  <c r="AD83" i="18"/>
  <c r="AD78" i="18"/>
  <c r="AD77" i="18"/>
  <c r="AD76" i="18"/>
  <c r="AD75" i="18"/>
  <c r="AD74" i="18"/>
  <c r="AD73" i="18"/>
  <c r="AD72" i="18"/>
  <c r="AD71" i="18"/>
  <c r="AD68" i="18"/>
  <c r="AD66" i="18"/>
  <c r="AD65" i="18"/>
  <c r="AD64" i="18"/>
  <c r="AD63" i="18"/>
  <c r="AD62" i="18"/>
  <c r="AD61" i="18"/>
  <c r="AD60" i="18"/>
  <c r="AD59" i="18"/>
  <c r="AD58" i="18"/>
  <c r="AD57" i="18"/>
  <c r="AD56" i="18"/>
  <c r="AD55" i="18"/>
  <c r="AA413" i="18"/>
  <c r="Z413" i="18"/>
  <c r="Y413" i="18"/>
  <c r="X413" i="18"/>
  <c r="W413" i="18"/>
  <c r="V413" i="18"/>
  <c r="U413" i="18"/>
  <c r="T413" i="18"/>
  <c r="AA409" i="18"/>
  <c r="Z409" i="18"/>
  <c r="Y409" i="18"/>
  <c r="X409" i="18"/>
  <c r="W409" i="18"/>
  <c r="V409" i="18"/>
  <c r="U409" i="18"/>
  <c r="T409" i="18"/>
  <c r="AA407" i="18"/>
  <c r="Z407" i="18"/>
  <c r="Y407" i="18"/>
  <c r="X407" i="18"/>
  <c r="W407" i="18"/>
  <c r="V407" i="18"/>
  <c r="U407" i="18"/>
  <c r="T407" i="18"/>
  <c r="AA405" i="18"/>
  <c r="Z405" i="18"/>
  <c r="Y405" i="18"/>
  <c r="X405" i="18"/>
  <c r="W405" i="18"/>
  <c r="V405" i="18"/>
  <c r="U405" i="18"/>
  <c r="T405" i="18"/>
  <c r="AA403" i="18"/>
  <c r="Z403" i="18"/>
  <c r="Y403" i="18"/>
  <c r="X403" i="18"/>
  <c r="W403" i="18"/>
  <c r="V403" i="18"/>
  <c r="U403" i="18"/>
  <c r="T403" i="18"/>
  <c r="AA401" i="18"/>
  <c r="Z401" i="18"/>
  <c r="Y401" i="18"/>
  <c r="X401" i="18"/>
  <c r="W401" i="18"/>
  <c r="V401" i="18"/>
  <c r="U401" i="18"/>
  <c r="T401" i="18"/>
  <c r="AA396" i="18"/>
  <c r="Z396" i="18"/>
  <c r="Y396" i="18"/>
  <c r="X396" i="18"/>
  <c r="W396" i="18"/>
  <c r="V396" i="18"/>
  <c r="U396" i="18"/>
  <c r="T396" i="18"/>
  <c r="AA391" i="18"/>
  <c r="Z391" i="18"/>
  <c r="Y391" i="18"/>
  <c r="X391" i="18"/>
  <c r="W391" i="18"/>
  <c r="V391" i="18"/>
  <c r="U391" i="18"/>
  <c r="T391" i="18"/>
  <c r="AA389" i="18"/>
  <c r="Z389" i="18"/>
  <c r="Y389" i="18"/>
  <c r="X389" i="18"/>
  <c r="W389" i="18"/>
  <c r="V389" i="18"/>
  <c r="U389" i="18"/>
  <c r="T389" i="18"/>
  <c r="AA386" i="18"/>
  <c r="Z386" i="18"/>
  <c r="Y386" i="18"/>
  <c r="X386" i="18"/>
  <c r="W386" i="18"/>
  <c r="V386" i="18"/>
  <c r="U386" i="18"/>
  <c r="T386" i="18"/>
  <c r="AA385" i="18"/>
  <c r="Z385" i="18"/>
  <c r="Y385" i="18"/>
  <c r="X385" i="18"/>
  <c r="W385" i="18"/>
  <c r="V385" i="18"/>
  <c r="U385" i="18"/>
  <c r="T385" i="18"/>
  <c r="AA384" i="18"/>
  <c r="Z384" i="18"/>
  <c r="Y384" i="18"/>
  <c r="X384" i="18"/>
  <c r="W384" i="18"/>
  <c r="V384" i="18"/>
  <c r="U384" i="18"/>
  <c r="T384" i="18"/>
  <c r="AA382" i="18"/>
  <c r="Z382" i="18"/>
  <c r="Y382" i="18"/>
  <c r="X382" i="18"/>
  <c r="W382" i="18"/>
  <c r="V382" i="18"/>
  <c r="U382" i="18"/>
  <c r="T382" i="18"/>
  <c r="AA380" i="18"/>
  <c r="Z380" i="18"/>
  <c r="Y380" i="18"/>
  <c r="X380" i="18"/>
  <c r="W380" i="18"/>
  <c r="V380" i="18"/>
  <c r="U380" i="18"/>
  <c r="T380" i="18"/>
  <c r="AA378" i="18"/>
  <c r="Z378" i="18"/>
  <c r="Y378" i="18"/>
  <c r="X378" i="18"/>
  <c r="W378" i="18"/>
  <c r="V378" i="18"/>
  <c r="U378" i="18"/>
  <c r="T378" i="18"/>
  <c r="AA376" i="18"/>
  <c r="Z376" i="18"/>
  <c r="Y376" i="18"/>
  <c r="X376" i="18"/>
  <c r="W376" i="18"/>
  <c r="V376" i="18"/>
  <c r="U376" i="18"/>
  <c r="T376" i="18"/>
  <c r="S376" i="18"/>
  <c r="R376" i="18"/>
  <c r="Q376" i="18"/>
  <c r="P376" i="18"/>
  <c r="O376" i="18"/>
  <c r="AA372" i="18"/>
  <c r="Z372" i="18"/>
  <c r="Y372" i="18"/>
  <c r="X372" i="18"/>
  <c r="W372" i="18"/>
  <c r="V372" i="18"/>
  <c r="U372" i="18"/>
  <c r="T372" i="18"/>
  <c r="S372" i="18"/>
  <c r="R372" i="18"/>
  <c r="Q372" i="18"/>
  <c r="P372" i="18"/>
  <c r="O372" i="18"/>
  <c r="AA371" i="18"/>
  <c r="Z371" i="18"/>
  <c r="Y371" i="18"/>
  <c r="X371" i="18"/>
  <c r="W371" i="18"/>
  <c r="V371" i="18"/>
  <c r="U371" i="18"/>
  <c r="T371" i="18"/>
  <c r="S371" i="18"/>
  <c r="R371" i="18"/>
  <c r="Q371" i="18"/>
  <c r="P371" i="18"/>
  <c r="O371" i="18"/>
  <c r="AA368" i="18"/>
  <c r="Z368" i="18"/>
  <c r="Y368" i="18"/>
  <c r="X368" i="18"/>
  <c r="W368" i="18"/>
  <c r="V368" i="18"/>
  <c r="U368" i="18"/>
  <c r="T368" i="18"/>
  <c r="S368" i="18"/>
  <c r="R368" i="18"/>
  <c r="Q368" i="18"/>
  <c r="P368" i="18"/>
  <c r="O368" i="18"/>
  <c r="AA364" i="18"/>
  <c r="Z364" i="18"/>
  <c r="Y364" i="18"/>
  <c r="X364" i="18"/>
  <c r="W364" i="18"/>
  <c r="V364" i="18"/>
  <c r="U364" i="18"/>
  <c r="T364" i="18"/>
  <c r="S364" i="18"/>
  <c r="R364" i="18"/>
  <c r="Q364" i="18"/>
  <c r="P364" i="18"/>
  <c r="O364" i="18"/>
  <c r="AA362" i="18"/>
  <c r="Z362" i="18"/>
  <c r="Y362" i="18"/>
  <c r="X362" i="18"/>
  <c r="W362" i="18"/>
  <c r="V362" i="18"/>
  <c r="U362" i="18"/>
  <c r="T362" i="18"/>
  <c r="S362" i="18"/>
  <c r="R362" i="18"/>
  <c r="Q362" i="18"/>
  <c r="P362" i="18"/>
  <c r="O362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AA360" i="18"/>
  <c r="Z360" i="18"/>
  <c r="Y360" i="18"/>
  <c r="X360" i="18"/>
  <c r="W360" i="18"/>
  <c r="V360" i="18"/>
  <c r="U360" i="18"/>
  <c r="T360" i="18"/>
  <c r="S360" i="18"/>
  <c r="R360" i="18"/>
  <c r="Q360" i="18"/>
  <c r="P360" i="18"/>
  <c r="O360" i="18"/>
  <c r="AA357" i="18"/>
  <c r="Z357" i="18"/>
  <c r="Y357" i="18"/>
  <c r="X357" i="18"/>
  <c r="W357" i="18"/>
  <c r="V357" i="18"/>
  <c r="U357" i="18"/>
  <c r="T357" i="18"/>
  <c r="S357" i="18"/>
  <c r="R357" i="18"/>
  <c r="Q357" i="18"/>
  <c r="P357" i="18"/>
  <c r="O357" i="18"/>
  <c r="AA356" i="18"/>
  <c r="Z356" i="18"/>
  <c r="Y356" i="18"/>
  <c r="X356" i="18"/>
  <c r="W356" i="18"/>
  <c r="V356" i="18"/>
  <c r="U356" i="18"/>
  <c r="T356" i="18"/>
  <c r="S356" i="18"/>
  <c r="R356" i="18"/>
  <c r="Q356" i="18"/>
  <c r="P356" i="18"/>
  <c r="O356" i="18"/>
  <c r="AA355" i="18"/>
  <c r="Z355" i="18"/>
  <c r="Y355" i="18"/>
  <c r="X355" i="18"/>
  <c r="W355" i="18"/>
  <c r="V355" i="18"/>
  <c r="U355" i="18"/>
  <c r="T355" i="18"/>
  <c r="S355" i="18"/>
  <c r="R355" i="18"/>
  <c r="Q355" i="18"/>
  <c r="P355" i="18"/>
  <c r="O355" i="18"/>
  <c r="AA353" i="18"/>
  <c r="Z353" i="18"/>
  <c r="Y353" i="18"/>
  <c r="X353" i="18"/>
  <c r="W353" i="18"/>
  <c r="V353" i="18"/>
  <c r="U353" i="18"/>
  <c r="T353" i="18"/>
  <c r="S353" i="18"/>
  <c r="R353" i="18"/>
  <c r="Q353" i="18"/>
  <c r="P353" i="18"/>
  <c r="O353" i="18"/>
  <c r="AA348" i="18"/>
  <c r="Z348" i="18"/>
  <c r="Y348" i="18"/>
  <c r="X348" i="18"/>
  <c r="W348" i="18"/>
  <c r="V348" i="18"/>
  <c r="U348" i="18"/>
  <c r="T348" i="18"/>
  <c r="S348" i="18"/>
  <c r="R348" i="18"/>
  <c r="Q348" i="18"/>
  <c r="P348" i="18"/>
  <c r="O348" i="18"/>
  <c r="AA347" i="18"/>
  <c r="Z347" i="18"/>
  <c r="Y347" i="18"/>
  <c r="X347" i="18"/>
  <c r="W347" i="18"/>
  <c r="V347" i="18"/>
  <c r="U347" i="18"/>
  <c r="T347" i="18"/>
  <c r="S347" i="18"/>
  <c r="R347" i="18"/>
  <c r="Q347" i="18"/>
  <c r="P347" i="18"/>
  <c r="O347" i="18"/>
  <c r="AA346" i="18"/>
  <c r="Z346" i="18"/>
  <c r="Y346" i="18"/>
  <c r="X346" i="18"/>
  <c r="W346" i="18"/>
  <c r="V346" i="18"/>
  <c r="U346" i="18"/>
  <c r="T346" i="18"/>
  <c r="S346" i="18"/>
  <c r="R346" i="18"/>
  <c r="Q346" i="18"/>
  <c r="P346" i="18"/>
  <c r="O346" i="18"/>
  <c r="AA344" i="18"/>
  <c r="Z344" i="18"/>
  <c r="Y344" i="18"/>
  <c r="X344" i="18"/>
  <c r="W344" i="18"/>
  <c r="V344" i="18"/>
  <c r="U344" i="18"/>
  <c r="T344" i="18"/>
  <c r="S344" i="18"/>
  <c r="R344" i="18"/>
  <c r="Q344" i="18"/>
  <c r="P344" i="18"/>
  <c r="O344" i="18"/>
  <c r="AA343" i="18"/>
  <c r="Z343" i="18"/>
  <c r="Y343" i="18"/>
  <c r="X343" i="18"/>
  <c r="W343" i="18"/>
  <c r="V343" i="18"/>
  <c r="U343" i="18"/>
  <c r="T343" i="18"/>
  <c r="S343" i="18"/>
  <c r="R343" i="18"/>
  <c r="Q343" i="18"/>
  <c r="P343" i="18"/>
  <c r="O343" i="18"/>
  <c r="AA341" i="18"/>
  <c r="Z341" i="18"/>
  <c r="Y341" i="18"/>
  <c r="X341" i="18"/>
  <c r="W341" i="18"/>
  <c r="V341" i="18"/>
  <c r="U341" i="18"/>
  <c r="T341" i="18"/>
  <c r="S341" i="18"/>
  <c r="R341" i="18"/>
  <c r="Q341" i="18"/>
  <c r="P341" i="18"/>
  <c r="O341" i="18"/>
  <c r="AA337" i="18"/>
  <c r="Z337" i="18"/>
  <c r="Y337" i="18"/>
  <c r="X337" i="18"/>
  <c r="W337" i="18"/>
  <c r="V337" i="18"/>
  <c r="U337" i="18"/>
  <c r="T337" i="18"/>
  <c r="S337" i="18"/>
  <c r="R337" i="18"/>
  <c r="Q337" i="18"/>
  <c r="P337" i="18"/>
  <c r="O337" i="18"/>
  <c r="AA336" i="18"/>
  <c r="Z336" i="18"/>
  <c r="Y336" i="18"/>
  <c r="X336" i="18"/>
  <c r="W336" i="18"/>
  <c r="V336" i="18"/>
  <c r="U336" i="18"/>
  <c r="T336" i="18"/>
  <c r="S336" i="18"/>
  <c r="R336" i="18"/>
  <c r="Q336" i="18"/>
  <c r="P336" i="18"/>
  <c r="O336" i="18"/>
  <c r="AA334" i="18"/>
  <c r="Z334" i="18"/>
  <c r="Y334" i="18"/>
  <c r="X334" i="18"/>
  <c r="W334" i="18"/>
  <c r="V334" i="18"/>
  <c r="U334" i="18"/>
  <c r="T334" i="18"/>
  <c r="S334" i="18"/>
  <c r="R334" i="18"/>
  <c r="Q334" i="18"/>
  <c r="P334" i="18"/>
  <c r="O334" i="18"/>
  <c r="AA333" i="18"/>
  <c r="Z333" i="18"/>
  <c r="Y333" i="18"/>
  <c r="X333" i="18"/>
  <c r="W333" i="18"/>
  <c r="V333" i="18"/>
  <c r="U333" i="18"/>
  <c r="T333" i="18"/>
  <c r="S333" i="18"/>
  <c r="R333" i="18"/>
  <c r="Q333" i="18"/>
  <c r="P333" i="18"/>
  <c r="O333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AA330" i="18"/>
  <c r="Z330" i="18"/>
  <c r="Y330" i="18"/>
  <c r="X330" i="18"/>
  <c r="W330" i="18"/>
  <c r="V330" i="18"/>
  <c r="U330" i="18"/>
  <c r="T330" i="18"/>
  <c r="S330" i="18"/>
  <c r="R330" i="18"/>
  <c r="Q330" i="18"/>
  <c r="P330" i="18"/>
  <c r="O330" i="18"/>
  <c r="AA328" i="18"/>
  <c r="Z328" i="18"/>
  <c r="Y328" i="18"/>
  <c r="X328" i="18"/>
  <c r="W328" i="18"/>
  <c r="V328" i="18"/>
  <c r="U328" i="18"/>
  <c r="T328" i="18"/>
  <c r="S328" i="18"/>
  <c r="R328" i="18"/>
  <c r="Q328" i="18"/>
  <c r="P328" i="18"/>
  <c r="O328" i="18"/>
  <c r="AA327" i="18"/>
  <c r="Z327" i="18"/>
  <c r="Y327" i="18"/>
  <c r="X327" i="18"/>
  <c r="W327" i="18"/>
  <c r="V327" i="18"/>
  <c r="U327" i="18"/>
  <c r="T327" i="18"/>
  <c r="S327" i="18"/>
  <c r="R327" i="18"/>
  <c r="Q327" i="18"/>
  <c r="P327" i="18"/>
  <c r="O327" i="18"/>
  <c r="AA326" i="18"/>
  <c r="Z326" i="18"/>
  <c r="Y326" i="18"/>
  <c r="X326" i="18"/>
  <c r="W326" i="18"/>
  <c r="V326" i="18"/>
  <c r="U326" i="18"/>
  <c r="T326" i="18"/>
  <c r="S326" i="18"/>
  <c r="R326" i="18"/>
  <c r="Q326" i="18"/>
  <c r="P326" i="18"/>
  <c r="O326" i="18"/>
  <c r="AA322" i="18"/>
  <c r="Z322" i="18"/>
  <c r="Y322" i="18"/>
  <c r="X322" i="18"/>
  <c r="W322" i="18"/>
  <c r="V322" i="18"/>
  <c r="U322" i="18"/>
  <c r="T322" i="18"/>
  <c r="S322" i="18"/>
  <c r="R322" i="18"/>
  <c r="Q322" i="18"/>
  <c r="P322" i="18"/>
  <c r="O322" i="18"/>
  <c r="AA321" i="18"/>
  <c r="Z321" i="18"/>
  <c r="Y321" i="18"/>
  <c r="X321" i="18"/>
  <c r="W321" i="18"/>
  <c r="V321" i="18"/>
  <c r="U321" i="18"/>
  <c r="T321" i="18"/>
  <c r="S321" i="18"/>
  <c r="R321" i="18"/>
  <c r="Q321" i="18"/>
  <c r="P321" i="18"/>
  <c r="O321" i="18"/>
  <c r="AA319" i="18"/>
  <c r="Z319" i="18"/>
  <c r="Y319" i="18"/>
  <c r="X319" i="18"/>
  <c r="W319" i="18"/>
  <c r="V319" i="18"/>
  <c r="U319" i="18"/>
  <c r="T319" i="18"/>
  <c r="S319" i="18"/>
  <c r="R319" i="18"/>
  <c r="Q319" i="18"/>
  <c r="P319" i="18"/>
  <c r="O319" i="18"/>
  <c r="AA317" i="18"/>
  <c r="Z317" i="18"/>
  <c r="Y317" i="18"/>
  <c r="X317" i="18"/>
  <c r="W317" i="18"/>
  <c r="V317" i="18"/>
  <c r="U317" i="18"/>
  <c r="T317" i="18"/>
  <c r="S317" i="18"/>
  <c r="R317" i="18"/>
  <c r="Q317" i="18"/>
  <c r="P317" i="18"/>
  <c r="O317" i="18"/>
  <c r="AA316" i="18"/>
  <c r="Z316" i="18"/>
  <c r="Y316" i="18"/>
  <c r="X316" i="18"/>
  <c r="W316" i="18"/>
  <c r="V316" i="18"/>
  <c r="U316" i="18"/>
  <c r="T316" i="18"/>
  <c r="S316" i="18"/>
  <c r="R316" i="18"/>
  <c r="Q316" i="18"/>
  <c r="P316" i="18"/>
  <c r="O316" i="18"/>
  <c r="AA315" i="18"/>
  <c r="Z315" i="18"/>
  <c r="Y315" i="18"/>
  <c r="X315" i="18"/>
  <c r="W315" i="18"/>
  <c r="V315" i="18"/>
  <c r="U315" i="18"/>
  <c r="T315" i="18"/>
  <c r="S315" i="18"/>
  <c r="R315" i="18"/>
  <c r="Q315" i="18"/>
  <c r="P315" i="18"/>
  <c r="O315" i="18"/>
  <c r="AA314" i="18"/>
  <c r="Z314" i="18"/>
  <c r="Y314" i="18"/>
  <c r="X314" i="18"/>
  <c r="W314" i="18"/>
  <c r="V314" i="18"/>
  <c r="U314" i="18"/>
  <c r="T314" i="18"/>
  <c r="S314" i="18"/>
  <c r="R314" i="18"/>
  <c r="Q314" i="18"/>
  <c r="P314" i="18"/>
  <c r="O314" i="18"/>
  <c r="AA313" i="18"/>
  <c r="Z313" i="18"/>
  <c r="Y313" i="18"/>
  <c r="X313" i="18"/>
  <c r="W313" i="18"/>
  <c r="V313" i="18"/>
  <c r="U313" i="18"/>
  <c r="T313" i="18"/>
  <c r="S313" i="18"/>
  <c r="R313" i="18"/>
  <c r="Q313" i="18"/>
  <c r="P313" i="18"/>
  <c r="O313" i="18"/>
  <c r="AA312" i="18"/>
  <c r="Z312" i="18"/>
  <c r="Y312" i="18"/>
  <c r="X312" i="18"/>
  <c r="W312" i="18"/>
  <c r="V312" i="18"/>
  <c r="U312" i="18"/>
  <c r="T312" i="18"/>
  <c r="S312" i="18"/>
  <c r="R312" i="18"/>
  <c r="Q312" i="18"/>
  <c r="P312" i="18"/>
  <c r="O312" i="18"/>
  <c r="AA311" i="18"/>
  <c r="Z311" i="18"/>
  <c r="Y311" i="18"/>
  <c r="X311" i="18"/>
  <c r="W311" i="18"/>
  <c r="V311" i="18"/>
  <c r="U311" i="18"/>
  <c r="T311" i="18"/>
  <c r="S311" i="18"/>
  <c r="R311" i="18"/>
  <c r="Q311" i="18"/>
  <c r="P311" i="18"/>
  <c r="O311" i="18"/>
  <c r="AA309" i="18"/>
  <c r="Z309" i="18"/>
  <c r="Y309" i="18"/>
  <c r="X309" i="18"/>
  <c r="W309" i="18"/>
  <c r="V309" i="18"/>
  <c r="U309" i="18"/>
  <c r="T309" i="18"/>
  <c r="S309" i="18"/>
  <c r="R309" i="18"/>
  <c r="Q309" i="18"/>
  <c r="P309" i="18"/>
  <c r="O309" i="18"/>
  <c r="AA308" i="18"/>
  <c r="Z308" i="18"/>
  <c r="Y308" i="18"/>
  <c r="X308" i="18"/>
  <c r="W308" i="18"/>
  <c r="V308" i="18"/>
  <c r="U308" i="18"/>
  <c r="T308" i="18"/>
  <c r="S308" i="18"/>
  <c r="R308" i="18"/>
  <c r="Q308" i="18"/>
  <c r="P308" i="18"/>
  <c r="O308" i="18"/>
  <c r="AA307" i="18"/>
  <c r="Z307" i="18"/>
  <c r="Y307" i="18"/>
  <c r="X307" i="18"/>
  <c r="W307" i="18"/>
  <c r="V307" i="18"/>
  <c r="U307" i="18"/>
  <c r="T307" i="18"/>
  <c r="S307" i="18"/>
  <c r="R307" i="18"/>
  <c r="Q307" i="18"/>
  <c r="P307" i="18"/>
  <c r="O307" i="18"/>
  <c r="AA306" i="18"/>
  <c r="Z306" i="18"/>
  <c r="Y306" i="18"/>
  <c r="X306" i="18"/>
  <c r="W306" i="18"/>
  <c r="V306" i="18"/>
  <c r="U306" i="18"/>
  <c r="T306" i="18"/>
  <c r="S306" i="18"/>
  <c r="R306" i="18"/>
  <c r="Q306" i="18"/>
  <c r="P306" i="18"/>
  <c r="O306" i="18"/>
  <c r="AA303" i="18"/>
  <c r="Z303" i="18"/>
  <c r="Y303" i="18"/>
  <c r="X303" i="18"/>
  <c r="W303" i="18"/>
  <c r="V303" i="18"/>
  <c r="U303" i="18"/>
  <c r="T303" i="18"/>
  <c r="S303" i="18"/>
  <c r="R303" i="18"/>
  <c r="Q303" i="18"/>
  <c r="P303" i="18"/>
  <c r="O303" i="18"/>
  <c r="AA302" i="18"/>
  <c r="Z302" i="18"/>
  <c r="Y302" i="18"/>
  <c r="X302" i="18"/>
  <c r="W302" i="18"/>
  <c r="V302" i="18"/>
  <c r="U302" i="18"/>
  <c r="T302" i="18"/>
  <c r="S302" i="18"/>
  <c r="R302" i="18"/>
  <c r="Q302" i="18"/>
  <c r="P302" i="18"/>
  <c r="O302" i="18"/>
  <c r="AA299" i="18"/>
  <c r="Z299" i="18"/>
  <c r="Y299" i="18"/>
  <c r="X299" i="18"/>
  <c r="W299" i="18"/>
  <c r="V299" i="18"/>
  <c r="U299" i="18"/>
  <c r="T299" i="18"/>
  <c r="S299" i="18"/>
  <c r="R299" i="18"/>
  <c r="Q299" i="18"/>
  <c r="P299" i="18"/>
  <c r="O299" i="18"/>
  <c r="AA297" i="18"/>
  <c r="Z297" i="18"/>
  <c r="Y297" i="18"/>
  <c r="X297" i="18"/>
  <c r="W297" i="18"/>
  <c r="V297" i="18"/>
  <c r="U297" i="18"/>
  <c r="T297" i="18"/>
  <c r="S297" i="18"/>
  <c r="R297" i="18"/>
  <c r="Q297" i="18"/>
  <c r="P297" i="18"/>
  <c r="O297" i="18"/>
  <c r="AA296" i="18"/>
  <c r="Z296" i="18"/>
  <c r="Y296" i="18"/>
  <c r="X296" i="18"/>
  <c r="W296" i="18"/>
  <c r="V296" i="18"/>
  <c r="U296" i="18"/>
  <c r="T296" i="18"/>
  <c r="S296" i="18"/>
  <c r="R296" i="18"/>
  <c r="Q296" i="18"/>
  <c r="P296" i="18"/>
  <c r="O296" i="18"/>
  <c r="AA292" i="18"/>
  <c r="Z292" i="18"/>
  <c r="Y292" i="18"/>
  <c r="X292" i="18"/>
  <c r="W292" i="18"/>
  <c r="V292" i="18"/>
  <c r="U292" i="18"/>
  <c r="T292" i="18"/>
  <c r="S292" i="18"/>
  <c r="R292" i="18"/>
  <c r="Q292" i="18"/>
  <c r="P292" i="18"/>
  <c r="O292" i="18"/>
  <c r="AA290" i="18"/>
  <c r="Z290" i="18"/>
  <c r="Y290" i="18"/>
  <c r="X290" i="18"/>
  <c r="W290" i="18"/>
  <c r="V290" i="18"/>
  <c r="U290" i="18"/>
  <c r="T290" i="18"/>
  <c r="S290" i="18"/>
  <c r="R290" i="18"/>
  <c r="Q290" i="18"/>
  <c r="P290" i="18"/>
  <c r="O290" i="18"/>
  <c r="AA289" i="18"/>
  <c r="Z289" i="18"/>
  <c r="Y289" i="18"/>
  <c r="X289" i="18"/>
  <c r="W289" i="18"/>
  <c r="V289" i="18"/>
  <c r="U289" i="18"/>
  <c r="T289" i="18"/>
  <c r="S289" i="18"/>
  <c r="R289" i="18"/>
  <c r="Q289" i="18"/>
  <c r="P289" i="18"/>
  <c r="O289" i="18"/>
  <c r="AA288" i="18"/>
  <c r="Z288" i="18"/>
  <c r="Y288" i="18"/>
  <c r="X288" i="18"/>
  <c r="W288" i="18"/>
  <c r="V288" i="18"/>
  <c r="U288" i="18"/>
  <c r="T288" i="18"/>
  <c r="S288" i="18"/>
  <c r="R288" i="18"/>
  <c r="Q288" i="18"/>
  <c r="P288" i="18"/>
  <c r="O288" i="18"/>
  <c r="AA287" i="18"/>
  <c r="Z287" i="18"/>
  <c r="Y287" i="18"/>
  <c r="X287" i="18"/>
  <c r="W287" i="18"/>
  <c r="V287" i="18"/>
  <c r="U287" i="18"/>
  <c r="T287" i="18"/>
  <c r="S287" i="18"/>
  <c r="R287" i="18"/>
  <c r="Q287" i="18"/>
  <c r="P287" i="18"/>
  <c r="O287" i="18"/>
  <c r="AA286" i="18"/>
  <c r="Z286" i="18"/>
  <c r="Y286" i="18"/>
  <c r="X286" i="18"/>
  <c r="W286" i="18"/>
  <c r="V286" i="18"/>
  <c r="U286" i="18"/>
  <c r="T286" i="18"/>
  <c r="S286" i="18"/>
  <c r="R286" i="18"/>
  <c r="Q286" i="18"/>
  <c r="P286" i="18"/>
  <c r="O286" i="18"/>
  <c r="AA285" i="18"/>
  <c r="Z285" i="18"/>
  <c r="Y285" i="18"/>
  <c r="X285" i="18"/>
  <c r="W285" i="18"/>
  <c r="V285" i="18"/>
  <c r="U285" i="18"/>
  <c r="T285" i="18"/>
  <c r="S285" i="18"/>
  <c r="R285" i="18"/>
  <c r="Q285" i="18"/>
  <c r="P285" i="18"/>
  <c r="O285" i="18"/>
  <c r="AA282" i="18"/>
  <c r="Z282" i="18"/>
  <c r="Y282" i="18"/>
  <c r="X282" i="18"/>
  <c r="W282" i="18"/>
  <c r="V282" i="18"/>
  <c r="U282" i="18"/>
  <c r="T282" i="18"/>
  <c r="S282" i="18"/>
  <c r="R282" i="18"/>
  <c r="Q282" i="18"/>
  <c r="P282" i="18"/>
  <c r="O282" i="18"/>
  <c r="AA281" i="18"/>
  <c r="Z281" i="18"/>
  <c r="Y281" i="18"/>
  <c r="X281" i="18"/>
  <c r="W281" i="18"/>
  <c r="V281" i="18"/>
  <c r="U281" i="18"/>
  <c r="T281" i="18"/>
  <c r="S281" i="18"/>
  <c r="R281" i="18"/>
  <c r="Q281" i="18"/>
  <c r="P281" i="18"/>
  <c r="O281" i="18"/>
  <c r="AA280" i="18"/>
  <c r="Z280" i="18"/>
  <c r="Y280" i="18"/>
  <c r="X280" i="18"/>
  <c r="W280" i="18"/>
  <c r="V280" i="18"/>
  <c r="U280" i="18"/>
  <c r="T280" i="18"/>
  <c r="S280" i="18"/>
  <c r="R280" i="18"/>
  <c r="Q280" i="18"/>
  <c r="P280" i="18"/>
  <c r="O280" i="18"/>
  <c r="AA279" i="18"/>
  <c r="Z279" i="18"/>
  <c r="Y279" i="18"/>
  <c r="X279" i="18"/>
  <c r="W279" i="18"/>
  <c r="V279" i="18"/>
  <c r="U279" i="18"/>
  <c r="T279" i="18"/>
  <c r="S279" i="18"/>
  <c r="R279" i="18"/>
  <c r="Q279" i="18"/>
  <c r="P279" i="18"/>
  <c r="O279" i="18"/>
  <c r="AA277" i="18"/>
  <c r="Z277" i="18"/>
  <c r="Y277" i="18"/>
  <c r="X277" i="18"/>
  <c r="W277" i="18"/>
  <c r="V277" i="18"/>
  <c r="U277" i="18"/>
  <c r="T277" i="18"/>
  <c r="S277" i="18"/>
  <c r="R277" i="18"/>
  <c r="Q277" i="18"/>
  <c r="P277" i="18"/>
  <c r="O277" i="18"/>
  <c r="AA275" i="18"/>
  <c r="Z275" i="18"/>
  <c r="Y275" i="18"/>
  <c r="X275" i="18"/>
  <c r="W275" i="18"/>
  <c r="V275" i="18"/>
  <c r="U275" i="18"/>
  <c r="T275" i="18"/>
  <c r="S275" i="18"/>
  <c r="R275" i="18"/>
  <c r="Q275" i="18"/>
  <c r="P275" i="18"/>
  <c r="O275" i="18"/>
  <c r="AA274" i="18"/>
  <c r="Z274" i="18"/>
  <c r="Y274" i="18"/>
  <c r="X274" i="18"/>
  <c r="W274" i="18"/>
  <c r="V274" i="18"/>
  <c r="U274" i="18"/>
  <c r="T274" i="18"/>
  <c r="S274" i="18"/>
  <c r="R274" i="18"/>
  <c r="Q274" i="18"/>
  <c r="P274" i="18"/>
  <c r="O274" i="18"/>
  <c r="AA272" i="18"/>
  <c r="Z272" i="18"/>
  <c r="Y272" i="18"/>
  <c r="X272" i="18"/>
  <c r="W272" i="18"/>
  <c r="V272" i="18"/>
  <c r="U272" i="18"/>
  <c r="T272" i="18"/>
  <c r="S272" i="18"/>
  <c r="R272" i="18"/>
  <c r="Q272" i="18"/>
  <c r="P272" i="18"/>
  <c r="O272" i="18"/>
  <c r="AA270" i="18"/>
  <c r="Z270" i="18"/>
  <c r="Y270" i="18"/>
  <c r="X270" i="18"/>
  <c r="W270" i="18"/>
  <c r="V270" i="18"/>
  <c r="U270" i="18"/>
  <c r="T270" i="18"/>
  <c r="S270" i="18"/>
  <c r="R270" i="18"/>
  <c r="Q270" i="18"/>
  <c r="P270" i="18"/>
  <c r="O270" i="18"/>
  <c r="AA269" i="18"/>
  <c r="Z269" i="18"/>
  <c r="Y269" i="18"/>
  <c r="X269" i="18"/>
  <c r="W269" i="18"/>
  <c r="V269" i="18"/>
  <c r="U269" i="18"/>
  <c r="T269" i="18"/>
  <c r="S269" i="18"/>
  <c r="R269" i="18"/>
  <c r="Q269" i="18"/>
  <c r="P269" i="18"/>
  <c r="O269" i="18"/>
  <c r="AA268" i="18"/>
  <c r="Z268" i="18"/>
  <c r="Y268" i="18"/>
  <c r="X268" i="18"/>
  <c r="W268" i="18"/>
  <c r="V268" i="18"/>
  <c r="U268" i="18"/>
  <c r="T268" i="18"/>
  <c r="S268" i="18"/>
  <c r="R268" i="18"/>
  <c r="Q268" i="18"/>
  <c r="P268" i="18"/>
  <c r="O268" i="18"/>
  <c r="AA267" i="18"/>
  <c r="Z267" i="18"/>
  <c r="Y267" i="18"/>
  <c r="X267" i="18"/>
  <c r="W267" i="18"/>
  <c r="V267" i="18"/>
  <c r="U267" i="18"/>
  <c r="T267" i="18"/>
  <c r="S267" i="18"/>
  <c r="R267" i="18"/>
  <c r="Q267" i="18"/>
  <c r="P267" i="18"/>
  <c r="O267" i="18"/>
  <c r="AA265" i="18"/>
  <c r="Z265" i="18"/>
  <c r="Y265" i="18"/>
  <c r="X265" i="18"/>
  <c r="W265" i="18"/>
  <c r="V265" i="18"/>
  <c r="U265" i="18"/>
  <c r="T265" i="18"/>
  <c r="S265" i="18"/>
  <c r="R265" i="18"/>
  <c r="Q265" i="18"/>
  <c r="P265" i="18"/>
  <c r="O265" i="18"/>
  <c r="AA262" i="18"/>
  <c r="Z262" i="18"/>
  <c r="Y262" i="18"/>
  <c r="X262" i="18"/>
  <c r="W262" i="18"/>
  <c r="V262" i="18"/>
  <c r="U262" i="18"/>
  <c r="T262" i="18"/>
  <c r="S262" i="18"/>
  <c r="R262" i="18"/>
  <c r="Q262" i="18"/>
  <c r="P262" i="18"/>
  <c r="O262" i="18"/>
  <c r="AA261" i="18"/>
  <c r="Z261" i="18"/>
  <c r="Y261" i="18"/>
  <c r="X261" i="18"/>
  <c r="W261" i="18"/>
  <c r="V261" i="18"/>
  <c r="U261" i="18"/>
  <c r="T261" i="18"/>
  <c r="S261" i="18"/>
  <c r="R261" i="18"/>
  <c r="Q261" i="18"/>
  <c r="P261" i="18"/>
  <c r="O261" i="18"/>
  <c r="AA260" i="18"/>
  <c r="Z260" i="18"/>
  <c r="Y260" i="18"/>
  <c r="X260" i="18"/>
  <c r="W260" i="18"/>
  <c r="V260" i="18"/>
  <c r="U260" i="18"/>
  <c r="T260" i="18"/>
  <c r="S260" i="18"/>
  <c r="R260" i="18"/>
  <c r="Q260" i="18"/>
  <c r="P260" i="18"/>
  <c r="O260" i="18"/>
  <c r="AA259" i="18"/>
  <c r="Z259" i="18"/>
  <c r="Y259" i="18"/>
  <c r="X259" i="18"/>
  <c r="W259" i="18"/>
  <c r="V259" i="18"/>
  <c r="U259" i="18"/>
  <c r="T259" i="18"/>
  <c r="S259" i="18"/>
  <c r="R259" i="18"/>
  <c r="Q259" i="18"/>
  <c r="P259" i="18"/>
  <c r="O259" i="18"/>
  <c r="AA257" i="18"/>
  <c r="Z257" i="18"/>
  <c r="Y257" i="18"/>
  <c r="X257" i="18"/>
  <c r="W257" i="18"/>
  <c r="V257" i="18"/>
  <c r="U257" i="18"/>
  <c r="T257" i="18"/>
  <c r="S257" i="18"/>
  <c r="R257" i="18"/>
  <c r="Q257" i="18"/>
  <c r="P257" i="18"/>
  <c r="O257" i="18"/>
  <c r="J257" i="18"/>
  <c r="AA256" i="18"/>
  <c r="Z256" i="18"/>
  <c r="Y256" i="18"/>
  <c r="X256" i="18"/>
  <c r="W256" i="18"/>
  <c r="V256" i="18"/>
  <c r="U256" i="18"/>
  <c r="T256" i="18"/>
  <c r="S256" i="18"/>
  <c r="R256" i="18"/>
  <c r="Q256" i="18"/>
  <c r="P256" i="18"/>
  <c r="O256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AA253" i="18"/>
  <c r="Z253" i="18"/>
  <c r="Y253" i="18"/>
  <c r="X253" i="18"/>
  <c r="W253" i="18"/>
  <c r="V253" i="18"/>
  <c r="U253" i="18"/>
  <c r="T253" i="18"/>
  <c r="S253" i="18"/>
  <c r="R253" i="18"/>
  <c r="Q253" i="18"/>
  <c r="P253" i="18"/>
  <c r="O253" i="18"/>
  <c r="AA252" i="18"/>
  <c r="Z252" i="18"/>
  <c r="Y252" i="18"/>
  <c r="X252" i="18"/>
  <c r="W252" i="18"/>
  <c r="V252" i="18"/>
  <c r="U252" i="18"/>
  <c r="T252" i="18"/>
  <c r="S252" i="18"/>
  <c r="R252" i="18"/>
  <c r="Q252" i="18"/>
  <c r="P252" i="18"/>
  <c r="O252" i="18"/>
  <c r="AA250" i="18"/>
  <c r="Z250" i="18"/>
  <c r="Y250" i="18"/>
  <c r="X250" i="18"/>
  <c r="W250" i="18"/>
  <c r="V250" i="18"/>
  <c r="U250" i="18"/>
  <c r="T250" i="18"/>
  <c r="S250" i="18"/>
  <c r="R250" i="18"/>
  <c r="Q250" i="18"/>
  <c r="P250" i="18"/>
  <c r="O250" i="18"/>
  <c r="AA249" i="18"/>
  <c r="Z249" i="18"/>
  <c r="Y249" i="18"/>
  <c r="X249" i="18"/>
  <c r="W249" i="18"/>
  <c r="V249" i="18"/>
  <c r="U249" i="18"/>
  <c r="T249" i="18"/>
  <c r="S249" i="18"/>
  <c r="R249" i="18"/>
  <c r="Q249" i="18"/>
  <c r="P249" i="18"/>
  <c r="O249" i="18"/>
  <c r="AA247" i="18"/>
  <c r="Z247" i="18"/>
  <c r="Y247" i="18"/>
  <c r="X247" i="18"/>
  <c r="W247" i="18"/>
  <c r="V247" i="18"/>
  <c r="U247" i="18"/>
  <c r="T247" i="18"/>
  <c r="S247" i="18"/>
  <c r="R247" i="18"/>
  <c r="Q247" i="18"/>
  <c r="P247" i="18"/>
  <c r="O247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AA246" i="18"/>
  <c r="Z246" i="18"/>
  <c r="Y246" i="18"/>
  <c r="X246" i="18"/>
  <c r="W246" i="18"/>
  <c r="V246" i="18"/>
  <c r="U246" i="18"/>
  <c r="T246" i="18"/>
  <c r="S246" i="18"/>
  <c r="R246" i="18"/>
  <c r="Q246" i="18"/>
  <c r="P246" i="18"/>
  <c r="O246" i="18"/>
  <c r="AA244" i="18"/>
  <c r="Z244" i="18"/>
  <c r="Y244" i="18"/>
  <c r="X244" i="18"/>
  <c r="W244" i="18"/>
  <c r="V244" i="18"/>
  <c r="U244" i="18"/>
  <c r="T244" i="18"/>
  <c r="S244" i="18"/>
  <c r="R244" i="18"/>
  <c r="Q244" i="18"/>
  <c r="P244" i="18"/>
  <c r="O244" i="18"/>
  <c r="AA242" i="18"/>
  <c r="Z242" i="18"/>
  <c r="Y242" i="18"/>
  <c r="X242" i="18"/>
  <c r="W242" i="18"/>
  <c r="V242" i="18"/>
  <c r="U242" i="18"/>
  <c r="T242" i="18"/>
  <c r="S242" i="18"/>
  <c r="R242" i="18"/>
  <c r="Q242" i="18"/>
  <c r="P242" i="18"/>
  <c r="O242" i="18"/>
  <c r="AA240" i="18"/>
  <c r="Z240" i="18"/>
  <c r="Y240" i="18"/>
  <c r="X240" i="18"/>
  <c r="W240" i="18"/>
  <c r="V240" i="18"/>
  <c r="U240" i="18"/>
  <c r="T240" i="18"/>
  <c r="S240" i="18"/>
  <c r="R240" i="18"/>
  <c r="Q240" i="18"/>
  <c r="P240" i="18"/>
  <c r="O240" i="18"/>
  <c r="AA238" i="18"/>
  <c r="Z238" i="18"/>
  <c r="Y238" i="18"/>
  <c r="X238" i="18"/>
  <c r="W238" i="18"/>
  <c r="V238" i="18"/>
  <c r="U238" i="18"/>
  <c r="T238" i="18"/>
  <c r="S238" i="18"/>
  <c r="R238" i="18"/>
  <c r="Q238" i="18"/>
  <c r="P238" i="18"/>
  <c r="O238" i="18"/>
  <c r="AA236" i="18"/>
  <c r="Z236" i="18"/>
  <c r="Y236" i="18"/>
  <c r="X236" i="18"/>
  <c r="W236" i="18"/>
  <c r="V236" i="18"/>
  <c r="U236" i="18"/>
  <c r="T236" i="18"/>
  <c r="S236" i="18"/>
  <c r="R236" i="18"/>
  <c r="Q236" i="18"/>
  <c r="P236" i="18"/>
  <c r="O236" i="18"/>
  <c r="AA235" i="18"/>
  <c r="Z235" i="18"/>
  <c r="Y235" i="18"/>
  <c r="X235" i="18"/>
  <c r="W235" i="18"/>
  <c r="V235" i="18"/>
  <c r="U235" i="18"/>
  <c r="T235" i="18"/>
  <c r="S235" i="18"/>
  <c r="R235" i="18"/>
  <c r="Q235" i="18"/>
  <c r="P235" i="18"/>
  <c r="O235" i="18"/>
  <c r="AA234" i="18"/>
  <c r="Z234" i="18"/>
  <c r="Y234" i="18"/>
  <c r="X234" i="18"/>
  <c r="W234" i="18"/>
  <c r="V234" i="18"/>
  <c r="U234" i="18"/>
  <c r="T234" i="18"/>
  <c r="S234" i="18"/>
  <c r="R234" i="18"/>
  <c r="Q234" i="18"/>
  <c r="P234" i="18"/>
  <c r="O234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AA232" i="18"/>
  <c r="Z232" i="18"/>
  <c r="Y232" i="18"/>
  <c r="X232" i="18"/>
  <c r="W232" i="18"/>
  <c r="V232" i="18"/>
  <c r="U232" i="18"/>
  <c r="T232" i="18"/>
  <c r="S232" i="18"/>
  <c r="R232" i="18"/>
  <c r="Q232" i="18"/>
  <c r="P232" i="18"/>
  <c r="O232" i="18"/>
  <c r="AA231" i="18"/>
  <c r="Z231" i="18"/>
  <c r="Y231" i="18"/>
  <c r="X231" i="18"/>
  <c r="W231" i="18"/>
  <c r="V231" i="18"/>
  <c r="U231" i="18"/>
  <c r="T231" i="18"/>
  <c r="S231" i="18"/>
  <c r="R231" i="18"/>
  <c r="Q231" i="18"/>
  <c r="P231" i="18"/>
  <c r="O231" i="18"/>
  <c r="AA230" i="18"/>
  <c r="Z230" i="18"/>
  <c r="Y230" i="18"/>
  <c r="X230" i="18"/>
  <c r="W230" i="18"/>
  <c r="V230" i="18"/>
  <c r="U230" i="18"/>
  <c r="T230" i="18"/>
  <c r="S230" i="18"/>
  <c r="R230" i="18"/>
  <c r="Q230" i="18"/>
  <c r="P230" i="18"/>
  <c r="O230" i="18"/>
  <c r="AA229" i="18"/>
  <c r="Z229" i="18"/>
  <c r="Y229" i="18"/>
  <c r="X229" i="18"/>
  <c r="W229" i="18"/>
  <c r="V229" i="18"/>
  <c r="U229" i="18"/>
  <c r="T229" i="18"/>
  <c r="S229" i="18"/>
  <c r="R229" i="18"/>
  <c r="Q229" i="18"/>
  <c r="P229" i="18"/>
  <c r="O229" i="18"/>
  <c r="AA228" i="18"/>
  <c r="Z228" i="18"/>
  <c r="Y228" i="18"/>
  <c r="X228" i="18"/>
  <c r="W228" i="18"/>
  <c r="V228" i="18"/>
  <c r="U228" i="18"/>
  <c r="T228" i="18"/>
  <c r="S228" i="18"/>
  <c r="R228" i="18"/>
  <c r="Q228" i="18"/>
  <c r="P228" i="18"/>
  <c r="O228" i="18"/>
  <c r="AA226" i="18"/>
  <c r="Z226" i="18"/>
  <c r="Y226" i="18"/>
  <c r="X226" i="18"/>
  <c r="W226" i="18"/>
  <c r="V226" i="18"/>
  <c r="U226" i="18"/>
  <c r="T226" i="18"/>
  <c r="S226" i="18"/>
  <c r="R226" i="18"/>
  <c r="Q226" i="18"/>
  <c r="P226" i="18"/>
  <c r="O226" i="18"/>
  <c r="AA225" i="18"/>
  <c r="Z225" i="18"/>
  <c r="Y225" i="18"/>
  <c r="X225" i="18"/>
  <c r="W225" i="18"/>
  <c r="V225" i="18"/>
  <c r="U225" i="18"/>
  <c r="T225" i="18"/>
  <c r="S225" i="18"/>
  <c r="R225" i="18"/>
  <c r="Q225" i="18"/>
  <c r="P225" i="18"/>
  <c r="O225" i="18"/>
  <c r="AA223" i="18"/>
  <c r="Z223" i="18"/>
  <c r="Y223" i="18"/>
  <c r="X223" i="18"/>
  <c r="W223" i="18"/>
  <c r="V223" i="18"/>
  <c r="U223" i="18"/>
  <c r="T223" i="18"/>
  <c r="S223" i="18"/>
  <c r="R223" i="18"/>
  <c r="Q223" i="18"/>
  <c r="P223" i="18"/>
  <c r="O223" i="18"/>
  <c r="AA221" i="18"/>
  <c r="Z221" i="18"/>
  <c r="Y221" i="18"/>
  <c r="X221" i="18"/>
  <c r="W221" i="18"/>
  <c r="V221" i="18"/>
  <c r="U221" i="18"/>
  <c r="T221" i="18"/>
  <c r="S221" i="18"/>
  <c r="R221" i="18"/>
  <c r="Q221" i="18"/>
  <c r="P221" i="18"/>
  <c r="O221" i="18"/>
  <c r="AA219" i="18"/>
  <c r="Z219" i="18"/>
  <c r="Y219" i="18"/>
  <c r="X219" i="18"/>
  <c r="W219" i="18"/>
  <c r="V219" i="18"/>
  <c r="U219" i="18"/>
  <c r="T219" i="18"/>
  <c r="S219" i="18"/>
  <c r="R219" i="18"/>
  <c r="Q219" i="18"/>
  <c r="P219" i="18"/>
  <c r="O219" i="18"/>
  <c r="AA217" i="18"/>
  <c r="Z217" i="18"/>
  <c r="Y217" i="18"/>
  <c r="X217" i="18"/>
  <c r="W217" i="18"/>
  <c r="V217" i="18"/>
  <c r="U217" i="18"/>
  <c r="T217" i="18"/>
  <c r="S217" i="18"/>
  <c r="R217" i="18"/>
  <c r="Q217" i="18"/>
  <c r="P217" i="18"/>
  <c r="O217" i="18"/>
  <c r="AA216" i="18"/>
  <c r="Z216" i="18"/>
  <c r="Y216" i="18"/>
  <c r="X216" i="18"/>
  <c r="W216" i="18"/>
  <c r="V216" i="18"/>
  <c r="U216" i="18"/>
  <c r="T216" i="18"/>
  <c r="S216" i="18"/>
  <c r="R216" i="18"/>
  <c r="Q216" i="18"/>
  <c r="P216" i="18"/>
  <c r="O216" i="18"/>
  <c r="AA215" i="18"/>
  <c r="Z215" i="18"/>
  <c r="Y215" i="18"/>
  <c r="X215" i="18"/>
  <c r="W215" i="18"/>
  <c r="V215" i="18"/>
  <c r="U215" i="18"/>
  <c r="T215" i="18"/>
  <c r="S215" i="18"/>
  <c r="R215" i="18"/>
  <c r="Q215" i="18"/>
  <c r="P215" i="18"/>
  <c r="O215" i="18"/>
  <c r="AA214" i="18"/>
  <c r="Z214" i="18"/>
  <c r="Y214" i="18"/>
  <c r="X214" i="18"/>
  <c r="W214" i="18"/>
  <c r="V214" i="18"/>
  <c r="U214" i="18"/>
  <c r="T214" i="18"/>
  <c r="S214" i="18"/>
  <c r="R214" i="18"/>
  <c r="Q214" i="18"/>
  <c r="P214" i="18"/>
  <c r="O214" i="18"/>
  <c r="AA213" i="18"/>
  <c r="Z213" i="18"/>
  <c r="Y213" i="18"/>
  <c r="X213" i="18"/>
  <c r="W213" i="18"/>
  <c r="V213" i="18"/>
  <c r="U213" i="18"/>
  <c r="T213" i="18"/>
  <c r="S213" i="18"/>
  <c r="R213" i="18"/>
  <c r="Q213" i="18"/>
  <c r="P213" i="18"/>
  <c r="O213" i="18"/>
  <c r="AA211" i="18"/>
  <c r="Z211" i="18"/>
  <c r="Y211" i="18"/>
  <c r="X211" i="18"/>
  <c r="W211" i="18"/>
  <c r="V211" i="18"/>
  <c r="U211" i="18"/>
  <c r="T211" i="18"/>
  <c r="S211" i="18"/>
  <c r="R211" i="18"/>
  <c r="Q211" i="18"/>
  <c r="P211" i="18"/>
  <c r="O211" i="18"/>
  <c r="AA210" i="18"/>
  <c r="Z210" i="18"/>
  <c r="Y210" i="18"/>
  <c r="X210" i="18"/>
  <c r="W210" i="18"/>
  <c r="V210" i="18"/>
  <c r="U210" i="18"/>
  <c r="T210" i="18"/>
  <c r="S210" i="18"/>
  <c r="R210" i="18"/>
  <c r="Q210" i="18"/>
  <c r="P210" i="18"/>
  <c r="O210" i="18"/>
  <c r="AA209" i="18"/>
  <c r="Z209" i="18"/>
  <c r="Y209" i="18"/>
  <c r="X209" i="18"/>
  <c r="W209" i="18"/>
  <c r="V209" i="18"/>
  <c r="U209" i="18"/>
  <c r="T209" i="18"/>
  <c r="S209" i="18"/>
  <c r="R209" i="18"/>
  <c r="Q209" i="18"/>
  <c r="P209" i="18"/>
  <c r="O209" i="18"/>
  <c r="AA208" i="18"/>
  <c r="Z208" i="18"/>
  <c r="Y208" i="18"/>
  <c r="X208" i="18"/>
  <c r="W208" i="18"/>
  <c r="V208" i="18"/>
  <c r="U208" i="18"/>
  <c r="T208" i="18"/>
  <c r="S208" i="18"/>
  <c r="R208" i="18"/>
  <c r="Q208" i="18"/>
  <c r="P208" i="18"/>
  <c r="O208" i="18"/>
  <c r="AA207" i="18"/>
  <c r="Z207" i="18"/>
  <c r="Y207" i="18"/>
  <c r="X207" i="18"/>
  <c r="W207" i="18"/>
  <c r="V207" i="18"/>
  <c r="U207" i="18"/>
  <c r="T207" i="18"/>
  <c r="S207" i="18"/>
  <c r="R207" i="18"/>
  <c r="Q207" i="18"/>
  <c r="P207" i="18"/>
  <c r="O207" i="18"/>
  <c r="AA205" i="18"/>
  <c r="Z205" i="18"/>
  <c r="Y205" i="18"/>
  <c r="X205" i="18"/>
  <c r="W205" i="18"/>
  <c r="V205" i="18"/>
  <c r="U205" i="18"/>
  <c r="T205" i="18"/>
  <c r="S205" i="18"/>
  <c r="R205" i="18"/>
  <c r="Q205" i="18"/>
  <c r="P205" i="18"/>
  <c r="O205" i="18"/>
  <c r="AA204" i="18"/>
  <c r="Z204" i="18"/>
  <c r="Y204" i="18"/>
  <c r="X204" i="18"/>
  <c r="W204" i="18"/>
  <c r="V204" i="18"/>
  <c r="U204" i="18"/>
  <c r="T204" i="18"/>
  <c r="S204" i="18"/>
  <c r="R204" i="18"/>
  <c r="Q204" i="18"/>
  <c r="P204" i="18"/>
  <c r="O204" i="18"/>
  <c r="AA203" i="18"/>
  <c r="Z203" i="18"/>
  <c r="Y203" i="18"/>
  <c r="X203" i="18"/>
  <c r="W203" i="18"/>
  <c r="V203" i="18"/>
  <c r="U203" i="18"/>
  <c r="T203" i="18"/>
  <c r="S203" i="18"/>
  <c r="R203" i="18"/>
  <c r="Q203" i="18"/>
  <c r="P203" i="18"/>
  <c r="O203" i="18"/>
  <c r="AA202" i="18"/>
  <c r="Z202" i="18"/>
  <c r="Y202" i="18"/>
  <c r="X202" i="18"/>
  <c r="W202" i="18"/>
  <c r="V202" i="18"/>
  <c r="U202" i="18"/>
  <c r="T202" i="18"/>
  <c r="S202" i="18"/>
  <c r="R202" i="18"/>
  <c r="Q202" i="18"/>
  <c r="P202" i="18"/>
  <c r="O202" i="18"/>
  <c r="AA201" i="18"/>
  <c r="Z201" i="18"/>
  <c r="Y201" i="18"/>
  <c r="X201" i="18"/>
  <c r="W201" i="18"/>
  <c r="V201" i="18"/>
  <c r="U201" i="18"/>
  <c r="T201" i="18"/>
  <c r="S201" i="18"/>
  <c r="R201" i="18"/>
  <c r="Q201" i="18"/>
  <c r="P201" i="18"/>
  <c r="O201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AA199" i="18"/>
  <c r="Z199" i="18"/>
  <c r="Y199" i="18"/>
  <c r="X199" i="18"/>
  <c r="W199" i="18"/>
  <c r="V199" i="18"/>
  <c r="U199" i="18"/>
  <c r="T199" i="18"/>
  <c r="S199" i="18"/>
  <c r="R199" i="18"/>
  <c r="Q199" i="18"/>
  <c r="P199" i="18"/>
  <c r="O199" i="18"/>
  <c r="AA198" i="18"/>
  <c r="Z198" i="18"/>
  <c r="Y198" i="18"/>
  <c r="X198" i="18"/>
  <c r="W198" i="18"/>
  <c r="V198" i="18"/>
  <c r="U198" i="18"/>
  <c r="T198" i="18"/>
  <c r="S198" i="18"/>
  <c r="R198" i="18"/>
  <c r="Q198" i="18"/>
  <c r="P198" i="18"/>
  <c r="O198" i="18"/>
  <c r="AA197" i="18"/>
  <c r="Z197" i="18"/>
  <c r="Y197" i="18"/>
  <c r="X197" i="18"/>
  <c r="W197" i="18"/>
  <c r="V197" i="18"/>
  <c r="U197" i="18"/>
  <c r="T197" i="18"/>
  <c r="S197" i="18"/>
  <c r="R197" i="18"/>
  <c r="Q197" i="18"/>
  <c r="P197" i="18"/>
  <c r="O197" i="18"/>
  <c r="AA196" i="18"/>
  <c r="Z196" i="18"/>
  <c r="Y196" i="18"/>
  <c r="X196" i="18"/>
  <c r="W196" i="18"/>
  <c r="V196" i="18"/>
  <c r="U196" i="18"/>
  <c r="T196" i="18"/>
  <c r="S196" i="18"/>
  <c r="R196" i="18"/>
  <c r="Q196" i="18"/>
  <c r="P196" i="18"/>
  <c r="O196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AA194" i="18"/>
  <c r="Z194" i="18"/>
  <c r="Y194" i="18"/>
  <c r="X194" i="18"/>
  <c r="W194" i="18"/>
  <c r="V194" i="18"/>
  <c r="U194" i="18"/>
  <c r="T194" i="18"/>
  <c r="S194" i="18"/>
  <c r="R194" i="18"/>
  <c r="Q194" i="18"/>
  <c r="P194" i="18"/>
  <c r="O194" i="18"/>
  <c r="AA192" i="18"/>
  <c r="Z192" i="18"/>
  <c r="Y192" i="18"/>
  <c r="X192" i="18"/>
  <c r="W192" i="18"/>
  <c r="V192" i="18"/>
  <c r="U192" i="18"/>
  <c r="T192" i="18"/>
  <c r="S192" i="18"/>
  <c r="R192" i="18"/>
  <c r="Q192" i="18"/>
  <c r="P192" i="18"/>
  <c r="O192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AA190" i="18"/>
  <c r="Z190" i="18"/>
  <c r="Y190" i="18"/>
  <c r="X190" i="18"/>
  <c r="W190" i="18"/>
  <c r="V190" i="18"/>
  <c r="U190" i="18"/>
  <c r="T190" i="18"/>
  <c r="S190" i="18"/>
  <c r="R190" i="18"/>
  <c r="Q190" i="18"/>
  <c r="P190" i="18"/>
  <c r="O190" i="18"/>
  <c r="AA189" i="18"/>
  <c r="Z189" i="18"/>
  <c r="Y189" i="18"/>
  <c r="X189" i="18"/>
  <c r="W189" i="18"/>
  <c r="V189" i="18"/>
  <c r="U189" i="18"/>
  <c r="T189" i="18"/>
  <c r="S189" i="18"/>
  <c r="R189" i="18"/>
  <c r="Q189" i="18"/>
  <c r="P189" i="18"/>
  <c r="O189" i="18"/>
  <c r="AA187" i="18"/>
  <c r="Z187" i="18"/>
  <c r="Y187" i="18"/>
  <c r="X187" i="18"/>
  <c r="W187" i="18"/>
  <c r="V187" i="18"/>
  <c r="U187" i="18"/>
  <c r="T187" i="18"/>
  <c r="S187" i="18"/>
  <c r="R187" i="18"/>
  <c r="Q187" i="18"/>
  <c r="P187" i="18"/>
  <c r="O187" i="18"/>
  <c r="AA186" i="18"/>
  <c r="Z186" i="18"/>
  <c r="Y186" i="18"/>
  <c r="X186" i="18"/>
  <c r="W186" i="18"/>
  <c r="V186" i="18"/>
  <c r="U186" i="18"/>
  <c r="T186" i="18"/>
  <c r="S186" i="18"/>
  <c r="R186" i="18"/>
  <c r="Q186" i="18"/>
  <c r="P186" i="18"/>
  <c r="O186" i="18"/>
  <c r="AA184" i="18"/>
  <c r="Z184" i="18"/>
  <c r="Y184" i="18"/>
  <c r="X184" i="18"/>
  <c r="W184" i="18"/>
  <c r="V184" i="18"/>
  <c r="U184" i="18"/>
  <c r="T184" i="18"/>
  <c r="S184" i="18"/>
  <c r="R184" i="18"/>
  <c r="Q184" i="18"/>
  <c r="P184" i="18"/>
  <c r="O184" i="18"/>
  <c r="AA183" i="18"/>
  <c r="Z183" i="18"/>
  <c r="Y183" i="18"/>
  <c r="X183" i="18"/>
  <c r="W183" i="18"/>
  <c r="V183" i="18"/>
  <c r="U183" i="18"/>
  <c r="T183" i="18"/>
  <c r="S183" i="18"/>
  <c r="R183" i="18"/>
  <c r="Q183" i="18"/>
  <c r="P183" i="18"/>
  <c r="O183" i="18"/>
  <c r="AA182" i="18"/>
  <c r="Z182" i="18"/>
  <c r="Y182" i="18"/>
  <c r="X182" i="18"/>
  <c r="W182" i="18"/>
  <c r="V182" i="18"/>
  <c r="U182" i="18"/>
  <c r="T182" i="18"/>
  <c r="S182" i="18"/>
  <c r="R182" i="18"/>
  <c r="Q182" i="18"/>
  <c r="P182" i="18"/>
  <c r="O182" i="18"/>
  <c r="AA181" i="18"/>
  <c r="Z181" i="18"/>
  <c r="Y181" i="18"/>
  <c r="X181" i="18"/>
  <c r="W181" i="18"/>
  <c r="V181" i="18"/>
  <c r="U181" i="18"/>
  <c r="T181" i="18"/>
  <c r="S181" i="18"/>
  <c r="R181" i="18"/>
  <c r="Q181" i="18"/>
  <c r="P181" i="18"/>
  <c r="O181" i="18"/>
  <c r="AA179" i="18"/>
  <c r="Z179" i="18"/>
  <c r="Y179" i="18"/>
  <c r="X179" i="18"/>
  <c r="W179" i="18"/>
  <c r="V179" i="18"/>
  <c r="U179" i="18"/>
  <c r="T179" i="18"/>
  <c r="S179" i="18"/>
  <c r="R179" i="18"/>
  <c r="Q179" i="18"/>
  <c r="P179" i="18"/>
  <c r="O179" i="18"/>
  <c r="AA177" i="18"/>
  <c r="Z177" i="18"/>
  <c r="Y177" i="18"/>
  <c r="X177" i="18"/>
  <c r="W177" i="18"/>
  <c r="V177" i="18"/>
  <c r="U177" i="18"/>
  <c r="T177" i="18"/>
  <c r="S177" i="18"/>
  <c r="R177" i="18"/>
  <c r="Q177" i="18"/>
  <c r="P177" i="18"/>
  <c r="O177" i="18"/>
  <c r="AA175" i="18"/>
  <c r="Z175" i="18"/>
  <c r="Y175" i="18"/>
  <c r="X175" i="18"/>
  <c r="W175" i="18"/>
  <c r="V175" i="18"/>
  <c r="U175" i="18"/>
  <c r="T175" i="18"/>
  <c r="S175" i="18"/>
  <c r="R175" i="18"/>
  <c r="Q175" i="18"/>
  <c r="P175" i="18"/>
  <c r="O175" i="18"/>
  <c r="AA174" i="18"/>
  <c r="Z174" i="18"/>
  <c r="Y174" i="18"/>
  <c r="X174" i="18"/>
  <c r="W174" i="18"/>
  <c r="V174" i="18"/>
  <c r="U174" i="18"/>
  <c r="T174" i="18"/>
  <c r="S174" i="18"/>
  <c r="R174" i="18"/>
  <c r="Q174" i="18"/>
  <c r="P174" i="18"/>
  <c r="O174" i="18"/>
  <c r="AA170" i="18"/>
  <c r="Z170" i="18"/>
  <c r="Y170" i="18"/>
  <c r="X170" i="18"/>
  <c r="W170" i="18"/>
  <c r="V170" i="18"/>
  <c r="U170" i="18"/>
  <c r="T170" i="18"/>
  <c r="O170" i="18"/>
  <c r="AA169" i="18"/>
  <c r="Z169" i="18"/>
  <c r="Y169" i="18"/>
  <c r="X169" i="18"/>
  <c r="W169" i="18"/>
  <c r="V169" i="18"/>
  <c r="U169" i="18"/>
  <c r="T169" i="18"/>
  <c r="O169" i="18"/>
  <c r="AA168" i="18"/>
  <c r="Z168" i="18"/>
  <c r="Y168" i="18"/>
  <c r="X168" i="18"/>
  <c r="W168" i="18"/>
  <c r="V168" i="18"/>
  <c r="U168" i="18"/>
  <c r="T168" i="18"/>
  <c r="O168" i="18"/>
  <c r="AA167" i="18"/>
  <c r="Z167" i="18"/>
  <c r="Y167" i="18"/>
  <c r="X167" i="18"/>
  <c r="W167" i="18"/>
  <c r="V167" i="18"/>
  <c r="U167" i="18"/>
  <c r="T167" i="18"/>
  <c r="O167" i="18"/>
  <c r="AA166" i="18"/>
  <c r="Z166" i="18"/>
  <c r="Y166" i="18"/>
  <c r="X166" i="18"/>
  <c r="W166" i="18"/>
  <c r="V166" i="18"/>
  <c r="U166" i="18"/>
  <c r="T166" i="18"/>
  <c r="O166" i="18"/>
  <c r="AA165" i="18"/>
  <c r="Z165" i="18"/>
  <c r="Y165" i="18"/>
  <c r="X165" i="18"/>
  <c r="W165" i="18"/>
  <c r="V165" i="18"/>
  <c r="U165" i="18"/>
  <c r="T165" i="18"/>
  <c r="O165" i="18"/>
  <c r="AA164" i="18"/>
  <c r="Z164" i="18"/>
  <c r="Y164" i="18"/>
  <c r="X164" i="18"/>
  <c r="W164" i="18"/>
  <c r="V164" i="18"/>
  <c r="U164" i="18"/>
  <c r="T164" i="18"/>
  <c r="O164" i="18"/>
  <c r="AA163" i="18"/>
  <c r="Z163" i="18"/>
  <c r="Y163" i="18"/>
  <c r="X163" i="18"/>
  <c r="W163" i="18"/>
  <c r="V163" i="18"/>
  <c r="U163" i="18"/>
  <c r="T163" i="18"/>
  <c r="O163" i="18"/>
  <c r="AA162" i="18"/>
  <c r="Z162" i="18"/>
  <c r="Y162" i="18"/>
  <c r="X162" i="18"/>
  <c r="W162" i="18"/>
  <c r="V162" i="18"/>
  <c r="U162" i="18"/>
  <c r="T162" i="18"/>
  <c r="S162" i="18"/>
  <c r="S171" i="18" s="1"/>
  <c r="R162" i="18"/>
  <c r="R171" i="18" s="1"/>
  <c r="Q162" i="18"/>
  <c r="P162" i="18"/>
  <c r="O162" i="18"/>
  <c r="AA158" i="18"/>
  <c r="Z158" i="18"/>
  <c r="Y158" i="18"/>
  <c r="X158" i="18"/>
  <c r="W158" i="18"/>
  <c r="V158" i="18"/>
  <c r="U158" i="18"/>
  <c r="T158" i="18"/>
  <c r="S158" i="18"/>
  <c r="R158" i="18"/>
  <c r="Q158" i="18"/>
  <c r="P158" i="18"/>
  <c r="O158" i="18"/>
  <c r="AA157" i="18"/>
  <c r="Z157" i="18"/>
  <c r="Y157" i="18"/>
  <c r="X157" i="18"/>
  <c r="W157" i="18"/>
  <c r="V157" i="18"/>
  <c r="U157" i="18"/>
  <c r="T157" i="18"/>
  <c r="S157" i="18"/>
  <c r="R157" i="18"/>
  <c r="Q157" i="18"/>
  <c r="P157" i="18"/>
  <c r="O157" i="18"/>
  <c r="AA156" i="18"/>
  <c r="Z156" i="18"/>
  <c r="Y156" i="18"/>
  <c r="X156" i="18"/>
  <c r="W156" i="18"/>
  <c r="V156" i="18"/>
  <c r="U156" i="18"/>
  <c r="T156" i="18"/>
  <c r="S156" i="18"/>
  <c r="R156" i="18"/>
  <c r="Q156" i="18"/>
  <c r="P156" i="18"/>
  <c r="O156" i="18"/>
  <c r="AA155" i="18"/>
  <c r="Z155" i="18"/>
  <c r="Y155" i="18"/>
  <c r="X155" i="18"/>
  <c r="W155" i="18"/>
  <c r="V155" i="18"/>
  <c r="U155" i="18"/>
  <c r="T155" i="18"/>
  <c r="S155" i="18"/>
  <c r="R155" i="18"/>
  <c r="Q155" i="18"/>
  <c r="P155" i="18"/>
  <c r="O155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J386" i="18"/>
  <c r="J385" i="18"/>
  <c r="J322" i="18"/>
  <c r="J307" i="18"/>
  <c r="J303" i="18"/>
  <c r="J282" i="18"/>
  <c r="J281" i="18"/>
  <c r="J280" i="18"/>
  <c r="J245" i="18"/>
  <c r="J246" i="18"/>
  <c r="J205" i="18"/>
  <c r="J204" i="18"/>
  <c r="J203" i="18"/>
  <c r="J202" i="18"/>
  <c r="J201" i="18"/>
  <c r="J192" i="18"/>
  <c r="J191" i="18"/>
  <c r="J158" i="18"/>
  <c r="J157" i="18"/>
  <c r="J156" i="18"/>
  <c r="J155" i="18"/>
  <c r="J152" i="18"/>
  <c r="J151" i="18"/>
  <c r="J147" i="18"/>
  <c r="J146" i="18"/>
  <c r="J145" i="18"/>
  <c r="J143" i="18"/>
  <c r="J142" i="18"/>
  <c r="J125" i="18"/>
  <c r="J126" i="18"/>
  <c r="J132" i="18"/>
  <c r="J134" i="18"/>
  <c r="J136" i="18"/>
  <c r="J137" i="18"/>
  <c r="J138" i="18"/>
  <c r="J141" i="18"/>
  <c r="J124" i="18"/>
  <c r="AD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J121" i="18"/>
  <c r="J119" i="18"/>
  <c r="J116" i="18"/>
  <c r="J115" i="18"/>
  <c r="J114" i="18"/>
  <c r="J113" i="18"/>
  <c r="J112" i="18"/>
  <c r="J110" i="18"/>
  <c r="J98" i="18"/>
  <c r="J97" i="18"/>
  <c r="J94" i="18"/>
  <c r="J91" i="18"/>
  <c r="J89" i="18"/>
  <c r="J78" i="18"/>
  <c r="J77" i="18"/>
  <c r="J76" i="18"/>
  <c r="J75" i="18"/>
  <c r="J74" i="18"/>
  <c r="J73" i="18"/>
  <c r="J72" i="18"/>
  <c r="J71" i="18"/>
  <c r="J59" i="18"/>
  <c r="J61" i="18"/>
  <c r="J62" i="18"/>
  <c r="J63" i="18"/>
  <c r="J64" i="18"/>
  <c r="J65" i="18"/>
  <c r="J66" i="18"/>
  <c r="I6" i="2"/>
  <c r="H6" i="2"/>
  <c r="G6" i="2"/>
  <c r="F6" i="2"/>
  <c r="E6" i="2"/>
  <c r="D6" i="2"/>
  <c r="C6" i="2"/>
  <c r="D3" i="2"/>
  <c r="Q8" i="9"/>
  <c r="Q8" i="10" s="1"/>
  <c r="J41" i="18"/>
  <c r="J42" i="18"/>
  <c r="J43" i="18"/>
  <c r="J46" i="18"/>
  <c r="J47" i="18"/>
  <c r="J50" i="18"/>
  <c r="J51" i="18"/>
  <c r="J25" i="18"/>
  <c r="J26" i="18"/>
  <c r="J28" i="18"/>
  <c r="J29" i="18"/>
  <c r="J30" i="18"/>
  <c r="J31" i="18"/>
  <c r="J32" i="18"/>
  <c r="J33" i="18"/>
  <c r="J34" i="18"/>
  <c r="J35" i="18"/>
  <c r="J36" i="18"/>
  <c r="J37" i="18"/>
  <c r="P412" i="9"/>
  <c r="P408" i="9"/>
  <c r="P406" i="9"/>
  <c r="P404" i="9"/>
  <c r="P402" i="9"/>
  <c r="P400" i="9"/>
  <c r="P390" i="9"/>
  <c r="P388" i="9"/>
  <c r="P383" i="9"/>
  <c r="P381" i="9"/>
  <c r="P379" i="9"/>
  <c r="P377" i="9"/>
  <c r="P375" i="9"/>
  <c r="P370" i="9"/>
  <c r="P367" i="9"/>
  <c r="P363" i="9"/>
  <c r="P358" i="9"/>
  <c r="P354" i="9"/>
  <c r="P352" i="9"/>
  <c r="P342" i="9"/>
  <c r="P340" i="9"/>
  <c r="P335" i="9"/>
  <c r="P331" i="9"/>
  <c r="P323" i="9"/>
  <c r="P320" i="9"/>
  <c r="P318" i="9"/>
  <c r="P310" i="9"/>
  <c r="P304" i="9"/>
  <c r="P300" i="9"/>
  <c r="P298" i="9"/>
  <c r="P295" i="9"/>
  <c r="P291" i="9"/>
  <c r="P284" i="9"/>
  <c r="P278" i="9"/>
  <c r="P276" i="9"/>
  <c r="P273" i="9"/>
  <c r="P271" i="9"/>
  <c r="P266" i="9"/>
  <c r="P258" i="9"/>
  <c r="P255" i="9"/>
  <c r="P251" i="9"/>
  <c r="P248" i="9"/>
  <c r="P243" i="9"/>
  <c r="P241" i="9"/>
  <c r="P239" i="9"/>
  <c r="P237" i="9"/>
  <c r="P227" i="9"/>
  <c r="P224" i="9"/>
  <c r="P222" i="9"/>
  <c r="P220" i="9"/>
  <c r="P218" i="9"/>
  <c r="P206" i="9"/>
  <c r="P188" i="9"/>
  <c r="P185" i="9"/>
  <c r="P180" i="9"/>
  <c r="P176" i="9"/>
  <c r="P173" i="9"/>
  <c r="P161" i="9"/>
  <c r="K50" i="7"/>
  <c r="J37" i="7"/>
  <c r="B32" i="3"/>
  <c r="C32" i="3"/>
  <c r="D32" i="3"/>
  <c r="E32" i="3"/>
  <c r="F32" i="3"/>
  <c r="G32" i="3"/>
  <c r="H32" i="3"/>
  <c r="B30" i="3"/>
  <c r="I12" i="7"/>
  <c r="AA12" i="8"/>
  <c r="AB12" i="8" s="1"/>
  <c r="C30" i="3"/>
  <c r="J12" i="7"/>
  <c r="Q12" i="9"/>
  <c r="R12" i="9" s="1"/>
  <c r="B31" i="3"/>
  <c r="C65" i="2"/>
  <c r="B34" i="3"/>
  <c r="I13" i="7"/>
  <c r="AA13" i="8"/>
  <c r="AB13" i="8" s="1"/>
  <c r="J13" i="7"/>
  <c r="Q13" i="9"/>
  <c r="R13" i="9" s="1"/>
  <c r="Q27" i="9"/>
  <c r="R27" i="9" s="1"/>
  <c r="Q28" i="9"/>
  <c r="R28" i="9" s="1"/>
  <c r="Q24" i="9"/>
  <c r="R24" i="9" s="1"/>
  <c r="K37" i="7"/>
  <c r="Q37" i="9"/>
  <c r="L50" i="7"/>
  <c r="S50" i="9"/>
  <c r="K433" i="8"/>
  <c r="L433" i="8"/>
  <c r="M433" i="8"/>
  <c r="N433" i="8"/>
  <c r="O433" i="8"/>
  <c r="V433" i="8"/>
  <c r="K437" i="8"/>
  <c r="L437" i="8"/>
  <c r="M437" i="8"/>
  <c r="N437" i="8"/>
  <c r="O437" i="8"/>
  <c r="V437" i="8"/>
  <c r="L37" i="7"/>
  <c r="S37" i="9"/>
  <c r="S240" i="9" s="1"/>
  <c r="S28" i="9"/>
  <c r="M50" i="7"/>
  <c r="T50" i="9"/>
  <c r="S24" i="9"/>
  <c r="S27" i="9"/>
  <c r="M7" i="10"/>
  <c r="M4" i="10"/>
  <c r="M5" i="10"/>
  <c r="M6" i="10"/>
  <c r="M8" i="10"/>
  <c r="M9" i="10"/>
  <c r="M10" i="10"/>
  <c r="M11" i="10"/>
  <c r="M13" i="10"/>
  <c r="M14" i="10"/>
  <c r="M16" i="10"/>
  <c r="M18" i="10"/>
  <c r="M19" i="10"/>
  <c r="M26" i="10"/>
  <c r="M27" i="10"/>
  <c r="M28" i="10"/>
  <c r="M33" i="10"/>
  <c r="M34" i="10"/>
  <c r="M35" i="10"/>
  <c r="M36" i="10"/>
  <c r="N50" i="7"/>
  <c r="U50" i="9"/>
  <c r="M37" i="7"/>
  <c r="T37" i="9"/>
  <c r="T240" i="9" s="1"/>
  <c r="O50" i="7"/>
  <c r="W50" i="9"/>
  <c r="V50" i="9"/>
  <c r="N37" i="7"/>
  <c r="U37" i="9"/>
  <c r="U240" i="9" s="1"/>
  <c r="V20" i="12"/>
  <c r="X158" i="8"/>
  <c r="Y158" i="8" s="1"/>
  <c r="X157" i="8"/>
  <c r="Y157" i="8" s="1"/>
  <c r="X156" i="8"/>
  <c r="X155" i="8"/>
  <c r="Y155" i="8" s="1"/>
  <c r="X152" i="8"/>
  <c r="Y152" i="8" s="1"/>
  <c r="X151" i="8"/>
  <c r="Y151" i="8" s="1"/>
  <c r="X147" i="8"/>
  <c r="Y147" i="8" s="1"/>
  <c r="X146" i="8"/>
  <c r="Y146" i="8" s="1"/>
  <c r="X145" i="8"/>
  <c r="Y145" i="8" s="1"/>
  <c r="X143" i="8"/>
  <c r="X142" i="8"/>
  <c r="Y142" i="8" s="1"/>
  <c r="X141" i="8"/>
  <c r="Y141" i="8" s="1"/>
  <c r="X140" i="8"/>
  <c r="X138" i="8"/>
  <c r="Y138" i="8" s="1"/>
  <c r="X137" i="8"/>
  <c r="Y137" i="8" s="1"/>
  <c r="X136" i="8"/>
  <c r="Y136" i="8" s="1"/>
  <c r="X134" i="8"/>
  <c r="Y134" i="8" s="1"/>
  <c r="X132" i="8"/>
  <c r="Y132" i="8" s="1"/>
  <c r="X131" i="8"/>
  <c r="X129" i="8"/>
  <c r="X126" i="8"/>
  <c r="Y126" i="8" s="1"/>
  <c r="X125" i="8"/>
  <c r="Y125" i="8" s="1"/>
  <c r="X124" i="8"/>
  <c r="X47" i="8"/>
  <c r="AC47" i="8" s="1"/>
  <c r="X51" i="8"/>
  <c r="Y51" i="8" s="1"/>
  <c r="X50" i="8"/>
  <c r="AC50" i="8" s="1"/>
  <c r="X49" i="8"/>
  <c r="AC49" i="8" s="1"/>
  <c r="X48" i="8"/>
  <c r="AC48" i="8" s="1"/>
  <c r="X46" i="8"/>
  <c r="AC46" i="8" s="1"/>
  <c r="X45" i="8"/>
  <c r="AC45" i="8" s="1"/>
  <c r="X44" i="8"/>
  <c r="Y44" i="8" s="1"/>
  <c r="X43" i="8"/>
  <c r="Y43" i="8" s="1"/>
  <c r="X42" i="8"/>
  <c r="Y42" i="8" s="1"/>
  <c r="X41" i="8"/>
  <c r="AC41" i="8" s="1"/>
  <c r="X40" i="8"/>
  <c r="Y40" i="8" s="1"/>
  <c r="X37" i="8"/>
  <c r="X36" i="8"/>
  <c r="X35" i="8"/>
  <c r="Y35" i="8" s="1"/>
  <c r="X34" i="8"/>
  <c r="Y34" i="8" s="1"/>
  <c r="X33" i="8"/>
  <c r="Y33" i="8" s="1"/>
  <c r="X32" i="8"/>
  <c r="Y32" i="8" s="1"/>
  <c r="X31" i="8"/>
  <c r="Y31" i="8" s="1"/>
  <c r="X30" i="8"/>
  <c r="Y30" i="8" s="1"/>
  <c r="X29" i="8"/>
  <c r="Y29" i="8" s="1"/>
  <c r="X28" i="8"/>
  <c r="X27" i="8"/>
  <c r="Y27" i="8" s="1"/>
  <c r="X26" i="8"/>
  <c r="X25" i="8"/>
  <c r="Y25" i="8" s="1"/>
  <c r="X24" i="8"/>
  <c r="Y24" i="8" s="1"/>
  <c r="X23" i="8"/>
  <c r="Y23" i="8" s="1"/>
  <c r="X22" i="8"/>
  <c r="X21" i="8"/>
  <c r="Y21" i="8" s="1"/>
  <c r="X20" i="8"/>
  <c r="Y20" i="8" s="1"/>
  <c r="X19" i="8"/>
  <c r="Y19" i="8" s="1"/>
  <c r="X17" i="8"/>
  <c r="X16" i="8"/>
  <c r="AC16" i="8" s="1"/>
  <c r="X15" i="8"/>
  <c r="Y15" i="8" s="1"/>
  <c r="X14" i="8"/>
  <c r="AC14" i="8" s="1"/>
  <c r="X10" i="8"/>
  <c r="X9" i="8"/>
  <c r="Y9" i="8" s="1"/>
  <c r="O37" i="7"/>
  <c r="W37" i="9"/>
  <c r="W240" i="9" s="1"/>
  <c r="V37" i="9"/>
  <c r="V240" i="9" s="1"/>
  <c r="AB308" i="8"/>
  <c r="J83" i="18"/>
  <c r="X83" i="8"/>
  <c r="Y83" i="8" s="1"/>
  <c r="X114" i="8"/>
  <c r="Y114" i="8" s="1"/>
  <c r="X71" i="8"/>
  <c r="Y71" i="8" s="1"/>
  <c r="X59" i="8"/>
  <c r="Y59" i="8" s="1"/>
  <c r="X121" i="8"/>
  <c r="Y121" i="8" s="1"/>
  <c r="X116" i="8"/>
  <c r="Y116" i="8" s="1"/>
  <c r="X113" i="8"/>
  <c r="Y113" i="8" s="1"/>
  <c r="X119" i="8"/>
  <c r="X115" i="8"/>
  <c r="Y115" i="8" s="1"/>
  <c r="X112" i="8"/>
  <c r="Y112" i="8" s="1"/>
  <c r="X110" i="8"/>
  <c r="Y110" i="8" s="1"/>
  <c r="X109" i="8"/>
  <c r="Y109" i="8" s="1"/>
  <c r="X108" i="8"/>
  <c r="Y108" i="8" s="1"/>
  <c r="X105" i="8"/>
  <c r="Y105" i="8" s="1"/>
  <c r="X104" i="8"/>
  <c r="X102" i="8"/>
  <c r="Y102" i="8" s="1"/>
  <c r="X101" i="8"/>
  <c r="Y101" i="8" s="1"/>
  <c r="X99" i="8"/>
  <c r="Y99" i="8" s="1"/>
  <c r="X98" i="8"/>
  <c r="X97" i="8"/>
  <c r="Y97" i="8" s="1"/>
  <c r="X96" i="8"/>
  <c r="Y96" i="8" s="1"/>
  <c r="X94" i="8"/>
  <c r="Y94" i="8" s="1"/>
  <c r="X91" i="8"/>
  <c r="Y91" i="8" s="1"/>
  <c r="X89" i="8"/>
  <c r="Y89" i="8" s="1"/>
  <c r="X87" i="8"/>
  <c r="Y87" i="8" s="1"/>
  <c r="X85" i="8"/>
  <c r="Y85" i="8" s="1"/>
  <c r="X66" i="8"/>
  <c r="Y66" i="8" s="1"/>
  <c r="X68" i="8"/>
  <c r="Y68" i="8" s="1"/>
  <c r="X65" i="8"/>
  <c r="Y65" i="8" s="1"/>
  <c r="X78" i="8"/>
  <c r="Y78" i="8" s="1"/>
  <c r="X77" i="8"/>
  <c r="Y77" i="8" s="1"/>
  <c r="X76" i="8"/>
  <c r="Y76" i="8" s="1"/>
  <c r="X75" i="8"/>
  <c r="Y75" i="8" s="1"/>
  <c r="X74" i="8"/>
  <c r="Y74" i="8" s="1"/>
  <c r="X73" i="8"/>
  <c r="Y73" i="8" s="1"/>
  <c r="X72" i="8"/>
  <c r="Y72" i="8" s="1"/>
  <c r="X64" i="8"/>
  <c r="Y64" i="8" s="1"/>
  <c r="X63" i="8"/>
  <c r="Y63" i="8" s="1"/>
  <c r="X61" i="8"/>
  <c r="X60" i="8"/>
  <c r="Y60" i="8" s="1"/>
  <c r="X58" i="8"/>
  <c r="X57" i="8"/>
  <c r="Y57" i="8" s="1"/>
  <c r="X56" i="8"/>
  <c r="Y56" i="8" s="1"/>
  <c r="B50" i="9"/>
  <c r="B51" i="9"/>
  <c r="AB50" i="8"/>
  <c r="AA26" i="8"/>
  <c r="AB203" i="8"/>
  <c r="AB204" i="8"/>
  <c r="AB205" i="8"/>
  <c r="Y104" i="8"/>
  <c r="K414" i="8"/>
  <c r="J409" i="18"/>
  <c r="AB409" i="8"/>
  <c r="AB403" i="8"/>
  <c r="J403" i="18"/>
  <c r="AB386" i="8"/>
  <c r="AB385" i="8"/>
  <c r="AB371" i="8"/>
  <c r="AB364" i="8"/>
  <c r="J364" i="18"/>
  <c r="AB322" i="8"/>
  <c r="AB306" i="8"/>
  <c r="AB303" i="8"/>
  <c r="AB280" i="8"/>
  <c r="AB281" i="8"/>
  <c r="AB282" i="8"/>
  <c r="AB277" i="8"/>
  <c r="J277" i="18"/>
  <c r="AC276" i="8"/>
  <c r="J262" i="18"/>
  <c r="AB261" i="8"/>
  <c r="AB226" i="8"/>
  <c r="AB223" i="8"/>
  <c r="AC222" i="8"/>
  <c r="AB190" i="8"/>
  <c r="AB191" i="8"/>
  <c r="J372" i="18"/>
  <c r="O41" i="9"/>
  <c r="P41" i="9" s="1"/>
  <c r="O42" i="9"/>
  <c r="P42" i="9" s="1"/>
  <c r="AA31" i="8"/>
  <c r="AA32" i="8"/>
  <c r="O32" i="9" s="1"/>
  <c r="P32" i="9" s="1"/>
  <c r="AA33" i="8"/>
  <c r="AA34" i="8"/>
  <c r="AB34" i="8" s="1"/>
  <c r="AA35" i="8"/>
  <c r="AB33" i="8"/>
  <c r="O33" i="9"/>
  <c r="P33" i="9" s="1"/>
  <c r="AB42" i="8"/>
  <c r="AB32" i="8"/>
  <c r="AB41" i="8"/>
  <c r="P8" i="22"/>
  <c r="O8" i="22"/>
  <c r="V7" i="22"/>
  <c r="U7" i="22"/>
  <c r="T7" i="22"/>
  <c r="S7" i="22"/>
  <c r="Q7" i="22"/>
  <c r="P6" i="22"/>
  <c r="P19" i="22" s="1"/>
  <c r="P5" i="22"/>
  <c r="B1" i="22"/>
  <c r="X68" i="12"/>
  <c r="L30" i="10"/>
  <c r="T7" i="10"/>
  <c r="U7" i="10"/>
  <c r="V7" i="10"/>
  <c r="W7" i="10"/>
  <c r="Q7" i="10"/>
  <c r="P8" i="10"/>
  <c r="O8" i="10"/>
  <c r="L5" i="10"/>
  <c r="L7" i="10"/>
  <c r="L8" i="10"/>
  <c r="L4" i="10"/>
  <c r="L6" i="10"/>
  <c r="L9" i="10"/>
  <c r="L10" i="10"/>
  <c r="L11" i="10"/>
  <c r="L13" i="10"/>
  <c r="L14" i="10"/>
  <c r="L16" i="10"/>
  <c r="L18" i="10"/>
  <c r="L19" i="10"/>
  <c r="L21" i="10"/>
  <c r="L26" i="10"/>
  <c r="L27" i="10"/>
  <c r="L28" i="10"/>
  <c r="L33" i="10"/>
  <c r="L34" i="10"/>
  <c r="L35" i="10"/>
  <c r="L36" i="10"/>
  <c r="V24" i="12"/>
  <c r="T22" i="12"/>
  <c r="X106" i="8"/>
  <c r="Y106" i="8" s="1"/>
  <c r="X55" i="8"/>
  <c r="AB246" i="8"/>
  <c r="AB245" i="8"/>
  <c r="AB202" i="8"/>
  <c r="H391" i="18"/>
  <c r="F391" i="18"/>
  <c r="D391" i="18"/>
  <c r="C391" i="18"/>
  <c r="AB391" i="8"/>
  <c r="AB257" i="8"/>
  <c r="AB182" i="8"/>
  <c r="F182" i="18"/>
  <c r="D182" i="18"/>
  <c r="C182" i="18"/>
  <c r="S391" i="9"/>
  <c r="T391" i="9" s="1"/>
  <c r="U391" i="9" s="1"/>
  <c r="V391" i="9" s="1"/>
  <c r="W391" i="9" s="1"/>
  <c r="V63" i="12"/>
  <c r="X63" i="12" s="1"/>
  <c r="V64" i="12"/>
  <c r="X64" i="12" s="1"/>
  <c r="V65" i="12"/>
  <c r="V67" i="12"/>
  <c r="X67" i="12" s="1"/>
  <c r="AE67" i="12" s="1"/>
  <c r="AD526" i="18" s="1"/>
  <c r="V69" i="12"/>
  <c r="V71" i="12"/>
  <c r="X71" i="12"/>
  <c r="V72" i="12"/>
  <c r="X72" i="12" s="1"/>
  <c r="V74" i="12"/>
  <c r="X74" i="12" s="1"/>
  <c r="V75" i="12"/>
  <c r="X75" i="12" s="1"/>
  <c r="V76" i="12"/>
  <c r="X76" i="12"/>
  <c r="V77" i="12"/>
  <c r="X77" i="12" s="1"/>
  <c r="AE77" i="12" s="1"/>
  <c r="V78" i="12"/>
  <c r="X61" i="12"/>
  <c r="X65" i="12"/>
  <c r="X66" i="12"/>
  <c r="AA66" i="12" s="1"/>
  <c r="AI66" i="12" s="1"/>
  <c r="X69" i="12"/>
  <c r="AE69" i="12" s="1"/>
  <c r="X70" i="12"/>
  <c r="AE70" i="12" s="1"/>
  <c r="AE52" i="27" s="1"/>
  <c r="X73" i="12"/>
  <c r="AE73" i="12" s="1"/>
  <c r="AE66" i="27" s="1"/>
  <c r="X78" i="12"/>
  <c r="X81" i="12"/>
  <c r="AA81" i="12"/>
  <c r="T36" i="12"/>
  <c r="T37" i="12"/>
  <c r="T38" i="12"/>
  <c r="T28" i="12"/>
  <c r="T27" i="12"/>
  <c r="W20" i="12"/>
  <c r="X20" i="12"/>
  <c r="AE20" i="12" s="1"/>
  <c r="AA20" i="12"/>
  <c r="T20" i="12"/>
  <c r="T58" i="12"/>
  <c r="T18" i="12"/>
  <c r="T33" i="12"/>
  <c r="T29" i="12"/>
  <c r="T24" i="12"/>
  <c r="T19" i="12"/>
  <c r="U48" i="12"/>
  <c r="V48" i="12" s="1"/>
  <c r="W48" i="12" s="1"/>
  <c r="U47" i="12"/>
  <c r="V47" i="12" s="1"/>
  <c r="W47" i="12" s="1"/>
  <c r="X47" i="12" s="1"/>
  <c r="T39" i="12"/>
  <c r="T57" i="12"/>
  <c r="T13" i="12"/>
  <c r="T34" i="12"/>
  <c r="T11" i="12"/>
  <c r="T10" i="12"/>
  <c r="T35" i="12"/>
  <c r="T52" i="12"/>
  <c r="U52" i="12" s="1"/>
  <c r="V52" i="12" s="1"/>
  <c r="X52" i="12" s="1"/>
  <c r="U46" i="14"/>
  <c r="T9" i="12"/>
  <c r="T32" i="12"/>
  <c r="T31" i="12"/>
  <c r="T21" i="12"/>
  <c r="T30" i="12"/>
  <c r="T23" i="12"/>
  <c r="T8" i="12"/>
  <c r="T17" i="12"/>
  <c r="T16" i="12"/>
  <c r="T7" i="12"/>
  <c r="T26" i="12"/>
  <c r="T15" i="12"/>
  <c r="S20" i="9"/>
  <c r="U52" i="14"/>
  <c r="U52" i="15" s="1"/>
  <c r="V49" i="12"/>
  <c r="W49" i="12" s="1"/>
  <c r="X49" i="12" s="1"/>
  <c r="U53" i="14"/>
  <c r="U53" i="15" s="1"/>
  <c r="AA25" i="8"/>
  <c r="J265" i="18"/>
  <c r="AB265" i="8"/>
  <c r="J260" i="18"/>
  <c r="AB262" i="8"/>
  <c r="J346" i="18"/>
  <c r="AB346" i="8"/>
  <c r="J348" i="18"/>
  <c r="AB348" i="8"/>
  <c r="J344" i="18"/>
  <c r="AB344" i="8"/>
  <c r="AB347" i="8"/>
  <c r="AB260" i="8"/>
  <c r="J259" i="18"/>
  <c r="AB343" i="8"/>
  <c r="J261" i="18"/>
  <c r="AB259" i="8"/>
  <c r="AC258" i="8"/>
  <c r="J347" i="18"/>
  <c r="J343" i="18"/>
  <c r="W80" i="12"/>
  <c r="X80" i="12"/>
  <c r="AA80" i="12" s="1"/>
  <c r="X105" i="12"/>
  <c r="W105" i="12"/>
  <c r="X94" i="12"/>
  <c r="AE94" i="12" s="1"/>
  <c r="W94" i="12"/>
  <c r="V94" i="12"/>
  <c r="X93" i="12"/>
  <c r="W93" i="12"/>
  <c r="V93" i="12"/>
  <c r="X92" i="12"/>
  <c r="W92" i="12"/>
  <c r="V92" i="12"/>
  <c r="X91" i="12"/>
  <c r="AE91" i="12" s="1"/>
  <c r="W91" i="12"/>
  <c r="V91" i="12"/>
  <c r="X90" i="12"/>
  <c r="W90" i="12"/>
  <c r="V90" i="12"/>
  <c r="X89" i="12"/>
  <c r="W89" i="12"/>
  <c r="V89" i="12"/>
  <c r="X88" i="12"/>
  <c r="W88" i="12"/>
  <c r="V88" i="12"/>
  <c r="X87" i="12"/>
  <c r="W87" i="12"/>
  <c r="V87" i="12"/>
  <c r="X86" i="12"/>
  <c r="AE86" i="12" s="1"/>
  <c r="W86" i="12"/>
  <c r="V86" i="12"/>
  <c r="X122" i="12"/>
  <c r="AE122" i="12" s="1"/>
  <c r="W122" i="12"/>
  <c r="X121" i="12"/>
  <c r="W121" i="12"/>
  <c r="W61" i="12"/>
  <c r="V61" i="12"/>
  <c r="AA91" i="12"/>
  <c r="AD91" i="12" s="1"/>
  <c r="AA122" i="12"/>
  <c r="W36" i="12"/>
  <c r="W38" i="12"/>
  <c r="T56" i="11"/>
  <c r="U56" i="11"/>
  <c r="V56" i="11"/>
  <c r="X56" i="11"/>
  <c r="T55" i="11"/>
  <c r="U55" i="11"/>
  <c r="V55" i="11"/>
  <c r="X55" i="11"/>
  <c r="AA55" i="11"/>
  <c r="W56" i="11"/>
  <c r="W55" i="11"/>
  <c r="W78" i="12"/>
  <c r="W69" i="12"/>
  <c r="W65" i="12"/>
  <c r="X106" i="12"/>
  <c r="AA106" i="12" s="1"/>
  <c r="AE106" i="12"/>
  <c r="W106" i="12"/>
  <c r="W77" i="12"/>
  <c r="W76" i="12"/>
  <c r="W75" i="12"/>
  <c r="W73" i="12"/>
  <c r="W72" i="12"/>
  <c r="W71" i="12"/>
  <c r="AA70" i="12"/>
  <c r="AH70" i="12" s="1"/>
  <c r="AH52" i="27" s="1"/>
  <c r="W68" i="12"/>
  <c r="W67" i="12"/>
  <c r="W64" i="12"/>
  <c r="W63" i="12"/>
  <c r="W39" i="12"/>
  <c r="W34" i="12"/>
  <c r="W37" i="12"/>
  <c r="W83" i="12"/>
  <c r="W10" i="12"/>
  <c r="W52" i="12"/>
  <c r="W9" i="12"/>
  <c r="W30" i="12"/>
  <c r="W8" i="12"/>
  <c r="W16" i="12"/>
  <c r="X79" i="12"/>
  <c r="AA79" i="12"/>
  <c r="AI79" i="12" s="1"/>
  <c r="W79" i="12"/>
  <c r="T79" i="12"/>
  <c r="AA23" i="8"/>
  <c r="AA36" i="8"/>
  <c r="O36" i="9" s="1"/>
  <c r="P36" i="9" s="1"/>
  <c r="X106" i="20"/>
  <c r="AE106" i="20"/>
  <c r="W106" i="20"/>
  <c r="AY96" i="20"/>
  <c r="AP96" i="20"/>
  <c r="AU96" i="20"/>
  <c r="AX96" i="20"/>
  <c r="AM122" i="12"/>
  <c r="AE56" i="11"/>
  <c r="AA56" i="11"/>
  <c r="AF56" i="11"/>
  <c r="AE55" i="11"/>
  <c r="AM55" i="11"/>
  <c r="AH55" i="11"/>
  <c r="AF55" i="11"/>
  <c r="AA69" i="12"/>
  <c r="AF69" i="12" s="1"/>
  <c r="W31" i="12"/>
  <c r="W13" i="12"/>
  <c r="AA68" i="12"/>
  <c r="W70" i="12"/>
  <c r="AA67" i="12"/>
  <c r="W32" i="12"/>
  <c r="W35" i="12"/>
  <c r="W62" i="12"/>
  <c r="W66" i="12"/>
  <c r="W74" i="12"/>
  <c r="AA106" i="20"/>
  <c r="AF106" i="12"/>
  <c r="AM106" i="12"/>
  <c r="AM56" i="11"/>
  <c r="AH56" i="11"/>
  <c r="AL56" i="11"/>
  <c r="AN56" i="11"/>
  <c r="AL55" i="11"/>
  <c r="AN55" i="11"/>
  <c r="AE68" i="12"/>
  <c r="AD524" i="18" s="1"/>
  <c r="AE524" i="18" s="1"/>
  <c r="AA77" i="12"/>
  <c r="AF68" i="12"/>
  <c r="AM106" i="20"/>
  <c r="AD106" i="20"/>
  <c r="AF106" i="20"/>
  <c r="W104" i="20"/>
  <c r="W96" i="20"/>
  <c r="W95" i="20"/>
  <c r="W102" i="20"/>
  <c r="W100" i="20"/>
  <c r="X96" i="20"/>
  <c r="AA96" i="20"/>
  <c r="X104" i="20"/>
  <c r="AA104" i="20"/>
  <c r="X95" i="20"/>
  <c r="X102" i="20"/>
  <c r="AA102" i="20"/>
  <c r="X100" i="20"/>
  <c r="AA100" i="20"/>
  <c r="AK134" i="20"/>
  <c r="AJ134" i="20"/>
  <c r="AG134" i="20"/>
  <c r="AK132" i="20"/>
  <c r="AJ132" i="20"/>
  <c r="AG132" i="20"/>
  <c r="Z132" i="20"/>
  <c r="Y132" i="20"/>
  <c r="U131" i="20"/>
  <c r="V131" i="20"/>
  <c r="S131" i="20"/>
  <c r="R131" i="20"/>
  <c r="T131" i="20"/>
  <c r="Q131" i="20"/>
  <c r="P131" i="20"/>
  <c r="X131" i="20"/>
  <c r="AA131" i="20"/>
  <c r="O131" i="20"/>
  <c r="N131" i="20"/>
  <c r="M131" i="20"/>
  <c r="L131" i="20"/>
  <c r="K131" i="20"/>
  <c r="J131" i="20"/>
  <c r="I131" i="20"/>
  <c r="G131" i="20"/>
  <c r="F131" i="20"/>
  <c r="E131" i="20"/>
  <c r="C131" i="20"/>
  <c r="B131" i="20"/>
  <c r="A131" i="20"/>
  <c r="X130" i="20"/>
  <c r="AA130" i="20"/>
  <c r="W130" i="20"/>
  <c r="X129" i="20"/>
  <c r="AE129" i="20"/>
  <c r="W129" i="20"/>
  <c r="X128" i="20"/>
  <c r="AE128" i="20"/>
  <c r="W128" i="20"/>
  <c r="X127" i="20"/>
  <c r="AA127" i="20"/>
  <c r="W127" i="20"/>
  <c r="AC126" i="20"/>
  <c r="X126" i="20"/>
  <c r="AA126" i="20"/>
  <c r="W126" i="20"/>
  <c r="AC125" i="20"/>
  <c r="X125" i="20"/>
  <c r="AE125" i="20"/>
  <c r="W125" i="20"/>
  <c r="AC124" i="20"/>
  <c r="X124" i="20"/>
  <c r="AE124" i="20"/>
  <c r="W124" i="20"/>
  <c r="AC123" i="20"/>
  <c r="X123" i="20"/>
  <c r="AA123" i="20"/>
  <c r="W123" i="20"/>
  <c r="AC122" i="20"/>
  <c r="X122" i="20"/>
  <c r="AA122" i="20"/>
  <c r="W122" i="20"/>
  <c r="AC121" i="20"/>
  <c r="X121" i="20"/>
  <c r="AE121" i="20"/>
  <c r="W121" i="20"/>
  <c r="AC120" i="20"/>
  <c r="X120" i="20"/>
  <c r="AE120" i="20"/>
  <c r="W120" i="20"/>
  <c r="AC119" i="20"/>
  <c r="X119" i="20"/>
  <c r="AA119" i="20"/>
  <c r="AD119" i="20"/>
  <c r="W119" i="20"/>
  <c r="AC118" i="20"/>
  <c r="X118" i="20"/>
  <c r="AA118" i="20"/>
  <c r="W118" i="20"/>
  <c r="AC117" i="20"/>
  <c r="X117" i="20"/>
  <c r="AE117" i="20"/>
  <c r="W117" i="20"/>
  <c r="AC116" i="20"/>
  <c r="X116" i="20"/>
  <c r="AE116" i="20"/>
  <c r="W116" i="20"/>
  <c r="AC115" i="20"/>
  <c r="X115" i="20"/>
  <c r="AA115" i="20"/>
  <c r="AD115" i="20"/>
  <c r="W115" i="20"/>
  <c r="AC114" i="20"/>
  <c r="X114" i="20"/>
  <c r="AA114" i="20"/>
  <c r="W114" i="20"/>
  <c r="AC113" i="20"/>
  <c r="X113" i="20"/>
  <c r="AE113" i="20"/>
  <c r="W113" i="20"/>
  <c r="AC112" i="20"/>
  <c r="X112" i="20"/>
  <c r="AE112" i="20"/>
  <c r="W112" i="20"/>
  <c r="AC111" i="20"/>
  <c r="X111" i="20"/>
  <c r="AA111" i="20"/>
  <c r="W111" i="20"/>
  <c r="AC110" i="20"/>
  <c r="X110" i="20"/>
  <c r="AA110" i="20"/>
  <c r="W110" i="20"/>
  <c r="V110" i="20"/>
  <c r="W93" i="20"/>
  <c r="W82" i="20"/>
  <c r="W81" i="20"/>
  <c r="W80" i="20"/>
  <c r="X79" i="20"/>
  <c r="W79" i="20"/>
  <c r="V79" i="20"/>
  <c r="W78" i="20"/>
  <c r="W77" i="20"/>
  <c r="W76" i="20"/>
  <c r="W64" i="20"/>
  <c r="X62" i="20"/>
  <c r="AA62" i="20"/>
  <c r="W62" i="20"/>
  <c r="AC60" i="20"/>
  <c r="U60" i="20"/>
  <c r="V60" i="20"/>
  <c r="S60" i="20"/>
  <c r="R60" i="20"/>
  <c r="T60" i="20"/>
  <c r="Q60" i="20"/>
  <c r="P60" i="20"/>
  <c r="W60" i="20"/>
  <c r="O60" i="20"/>
  <c r="N60" i="20"/>
  <c r="M60" i="20"/>
  <c r="L60" i="20"/>
  <c r="K60" i="20"/>
  <c r="J60" i="20"/>
  <c r="I60" i="20"/>
  <c r="G60" i="20"/>
  <c r="F60" i="20"/>
  <c r="E60" i="20"/>
  <c r="C60" i="20"/>
  <c r="B60" i="20"/>
  <c r="A60" i="20"/>
  <c r="AC59" i="20"/>
  <c r="U59" i="20"/>
  <c r="V59" i="20"/>
  <c r="S59" i="20"/>
  <c r="R59" i="20"/>
  <c r="T59" i="20"/>
  <c r="Q59" i="20"/>
  <c r="P59" i="20"/>
  <c r="W59" i="20"/>
  <c r="O59" i="20"/>
  <c r="N59" i="20"/>
  <c r="M59" i="20"/>
  <c r="L59" i="20"/>
  <c r="K59" i="20"/>
  <c r="J59" i="20"/>
  <c r="I59" i="20"/>
  <c r="G59" i="20"/>
  <c r="F59" i="20"/>
  <c r="E59" i="20"/>
  <c r="C59" i="20"/>
  <c r="B59" i="20"/>
  <c r="A59" i="20"/>
  <c r="AC58" i="20"/>
  <c r="U58" i="20"/>
  <c r="V58" i="20"/>
  <c r="S58" i="20"/>
  <c r="R58" i="20"/>
  <c r="T58" i="20"/>
  <c r="Q58" i="20"/>
  <c r="P58" i="20"/>
  <c r="W58" i="20"/>
  <c r="O58" i="20"/>
  <c r="N58" i="20"/>
  <c r="M58" i="20"/>
  <c r="L58" i="20"/>
  <c r="K58" i="20"/>
  <c r="J58" i="20"/>
  <c r="I58" i="20"/>
  <c r="G58" i="20"/>
  <c r="F58" i="20"/>
  <c r="E58" i="20"/>
  <c r="C58" i="20"/>
  <c r="B58" i="20"/>
  <c r="A58" i="20"/>
  <c r="AC57" i="20"/>
  <c r="U57" i="20"/>
  <c r="S57" i="20"/>
  <c r="R57" i="20"/>
  <c r="T57" i="20"/>
  <c r="Q57" i="20"/>
  <c r="P57" i="20"/>
  <c r="W57" i="20"/>
  <c r="O57" i="20"/>
  <c r="N57" i="20"/>
  <c r="L57" i="20"/>
  <c r="K57" i="20"/>
  <c r="J57" i="20"/>
  <c r="I57" i="20"/>
  <c r="G57" i="20"/>
  <c r="F57" i="20"/>
  <c r="E57" i="20"/>
  <c r="C57" i="20"/>
  <c r="B57" i="20"/>
  <c r="A57" i="20"/>
  <c r="AC55" i="20"/>
  <c r="S55" i="20"/>
  <c r="R55" i="20"/>
  <c r="Q55" i="20"/>
  <c r="P55" i="20"/>
  <c r="W55" i="20"/>
  <c r="O55" i="20"/>
  <c r="N55" i="20"/>
  <c r="L55" i="20"/>
  <c r="K55" i="20"/>
  <c r="J55" i="20"/>
  <c r="I55" i="20"/>
  <c r="G55" i="20"/>
  <c r="F55" i="20"/>
  <c r="E55" i="20"/>
  <c r="C55" i="20"/>
  <c r="B55" i="20"/>
  <c r="A55" i="20"/>
  <c r="AC53" i="20"/>
  <c r="S53" i="20"/>
  <c r="R53" i="20"/>
  <c r="T53" i="20"/>
  <c r="Q53" i="20"/>
  <c r="P53" i="20"/>
  <c r="W53" i="20"/>
  <c r="O53" i="20"/>
  <c r="N53" i="20"/>
  <c r="M53" i="20"/>
  <c r="L53" i="20"/>
  <c r="K53" i="20"/>
  <c r="J53" i="20"/>
  <c r="I53" i="20"/>
  <c r="G53" i="20"/>
  <c r="F53" i="20"/>
  <c r="E53" i="20"/>
  <c r="C53" i="20"/>
  <c r="B53" i="20"/>
  <c r="A53" i="20"/>
  <c r="AC51" i="20"/>
  <c r="U51" i="20"/>
  <c r="V51" i="20"/>
  <c r="S51" i="20"/>
  <c r="R51" i="20"/>
  <c r="T51" i="20"/>
  <c r="Q51" i="20"/>
  <c r="P51" i="20"/>
  <c r="W51" i="20"/>
  <c r="O51" i="20"/>
  <c r="N51" i="20"/>
  <c r="M51" i="20"/>
  <c r="L51" i="20"/>
  <c r="K51" i="20"/>
  <c r="J51" i="20"/>
  <c r="I51" i="20"/>
  <c r="G51" i="20"/>
  <c r="F51" i="20"/>
  <c r="E51" i="20"/>
  <c r="C51" i="20"/>
  <c r="B51" i="20"/>
  <c r="A51" i="20"/>
  <c r="AC50" i="20"/>
  <c r="U50" i="20"/>
  <c r="V50" i="20"/>
  <c r="S50" i="20"/>
  <c r="R50" i="20"/>
  <c r="T50" i="20"/>
  <c r="Q50" i="20"/>
  <c r="P50" i="20"/>
  <c r="W50" i="20"/>
  <c r="O50" i="20"/>
  <c r="N50" i="20"/>
  <c r="M50" i="20"/>
  <c r="L50" i="20"/>
  <c r="K50" i="20"/>
  <c r="J50" i="20"/>
  <c r="I50" i="20"/>
  <c r="G50" i="20"/>
  <c r="F50" i="20"/>
  <c r="E50" i="20"/>
  <c r="C50" i="20"/>
  <c r="B50" i="20"/>
  <c r="A50" i="20"/>
  <c r="AC49" i="20"/>
  <c r="S49" i="20"/>
  <c r="R49" i="20"/>
  <c r="T49" i="20"/>
  <c r="Q49" i="20"/>
  <c r="P49" i="20"/>
  <c r="W49" i="20"/>
  <c r="O49" i="20"/>
  <c r="N49" i="20"/>
  <c r="M49" i="20"/>
  <c r="L49" i="20"/>
  <c r="K49" i="20"/>
  <c r="J49" i="20"/>
  <c r="I49" i="20"/>
  <c r="G49" i="20"/>
  <c r="F49" i="20"/>
  <c r="E49" i="20"/>
  <c r="C49" i="20"/>
  <c r="B49" i="20"/>
  <c r="A49" i="20"/>
  <c r="AC48" i="20"/>
  <c r="U48" i="20"/>
  <c r="V48" i="20"/>
  <c r="S48" i="20"/>
  <c r="R48" i="20"/>
  <c r="T48" i="20"/>
  <c r="Q48" i="20"/>
  <c r="P48" i="20"/>
  <c r="W48" i="20"/>
  <c r="O48" i="20"/>
  <c r="N48" i="20"/>
  <c r="M48" i="20"/>
  <c r="L48" i="20"/>
  <c r="K48" i="20"/>
  <c r="J48" i="20"/>
  <c r="I48" i="20"/>
  <c r="G48" i="20"/>
  <c r="F48" i="20"/>
  <c r="E48" i="20"/>
  <c r="C48" i="20"/>
  <c r="B48" i="20"/>
  <c r="A48" i="20"/>
  <c r="AC47" i="20"/>
  <c r="U47" i="20"/>
  <c r="V47" i="20"/>
  <c r="S47" i="20"/>
  <c r="R47" i="20"/>
  <c r="T47" i="20"/>
  <c r="Q47" i="20"/>
  <c r="P47" i="20"/>
  <c r="W47" i="20"/>
  <c r="O47" i="20"/>
  <c r="N47" i="20"/>
  <c r="M47" i="20"/>
  <c r="L47" i="20"/>
  <c r="K47" i="20"/>
  <c r="J47" i="20"/>
  <c r="I47" i="20"/>
  <c r="G47" i="20"/>
  <c r="F47" i="20"/>
  <c r="E47" i="20"/>
  <c r="C47" i="20"/>
  <c r="B47" i="20"/>
  <c r="A47" i="20"/>
  <c r="AC46" i="20"/>
  <c r="U46" i="20"/>
  <c r="V46" i="20"/>
  <c r="S46" i="20"/>
  <c r="R46" i="20"/>
  <c r="T46" i="20"/>
  <c r="Q46" i="20"/>
  <c r="P46" i="20"/>
  <c r="W46" i="20"/>
  <c r="O46" i="20"/>
  <c r="N46" i="20"/>
  <c r="M46" i="20"/>
  <c r="L46" i="20"/>
  <c r="K46" i="20"/>
  <c r="J46" i="20"/>
  <c r="I46" i="20"/>
  <c r="G46" i="20"/>
  <c r="F46" i="20"/>
  <c r="E46" i="20"/>
  <c r="C46" i="20"/>
  <c r="B46" i="20"/>
  <c r="A46" i="20"/>
  <c r="AC45" i="20"/>
  <c r="U45" i="20"/>
  <c r="V45" i="20"/>
  <c r="S45" i="20"/>
  <c r="R45" i="20"/>
  <c r="T45" i="20"/>
  <c r="Q45" i="20"/>
  <c r="P45" i="20"/>
  <c r="O45" i="20"/>
  <c r="N45" i="20"/>
  <c r="M45" i="20"/>
  <c r="L45" i="20"/>
  <c r="K45" i="20"/>
  <c r="J45" i="20"/>
  <c r="I45" i="20"/>
  <c r="G45" i="20"/>
  <c r="F45" i="20"/>
  <c r="E45" i="20"/>
  <c r="C45" i="20"/>
  <c r="B45" i="20"/>
  <c r="A45" i="20"/>
  <c r="AC44" i="20"/>
  <c r="U44" i="20"/>
  <c r="V44" i="20"/>
  <c r="S44" i="20"/>
  <c r="R44" i="20"/>
  <c r="T44" i="20"/>
  <c r="Q44" i="20"/>
  <c r="P44" i="20"/>
  <c r="W44" i="20"/>
  <c r="O44" i="20"/>
  <c r="N44" i="20"/>
  <c r="M44" i="20"/>
  <c r="L44" i="20"/>
  <c r="K44" i="20"/>
  <c r="J44" i="20"/>
  <c r="I44" i="20"/>
  <c r="G44" i="20"/>
  <c r="F44" i="20"/>
  <c r="E44" i="20"/>
  <c r="C44" i="20"/>
  <c r="B44" i="20"/>
  <c r="A44" i="20"/>
  <c r="U43" i="20"/>
  <c r="V43" i="20"/>
  <c r="S43" i="20"/>
  <c r="R43" i="20"/>
  <c r="T43" i="20"/>
  <c r="Q43" i="20"/>
  <c r="P43" i="20"/>
  <c r="W43" i="20"/>
  <c r="O43" i="20"/>
  <c r="N43" i="20"/>
  <c r="M43" i="20"/>
  <c r="L43" i="20"/>
  <c r="K43" i="20"/>
  <c r="J43" i="20"/>
  <c r="I43" i="20"/>
  <c r="G43" i="20"/>
  <c r="F43" i="20"/>
  <c r="E43" i="20"/>
  <c r="C43" i="20"/>
  <c r="B43" i="20"/>
  <c r="A43" i="20"/>
  <c r="AE42" i="20"/>
  <c r="AA42" i="20"/>
  <c r="AH42" i="20"/>
  <c r="AE41" i="20"/>
  <c r="AA41" i="20"/>
  <c r="S40" i="20"/>
  <c r="R40" i="20"/>
  <c r="Q40" i="20"/>
  <c r="P40" i="20"/>
  <c r="W40" i="20"/>
  <c r="O40" i="20"/>
  <c r="N40" i="20"/>
  <c r="M40" i="20"/>
  <c r="L40" i="20"/>
  <c r="K40" i="20"/>
  <c r="J40" i="20"/>
  <c r="I40" i="20"/>
  <c r="G40" i="20"/>
  <c r="F40" i="20"/>
  <c r="E40" i="20"/>
  <c r="C40" i="20"/>
  <c r="B40" i="20"/>
  <c r="A40" i="20"/>
  <c r="U39" i="20"/>
  <c r="V39" i="20"/>
  <c r="S39" i="20"/>
  <c r="R39" i="20"/>
  <c r="T39" i="20"/>
  <c r="Q39" i="20"/>
  <c r="P39" i="20"/>
  <c r="W39" i="20"/>
  <c r="O39" i="20"/>
  <c r="N39" i="20"/>
  <c r="M39" i="20"/>
  <c r="L39" i="20"/>
  <c r="K39" i="20"/>
  <c r="J39" i="20"/>
  <c r="I39" i="20"/>
  <c r="G39" i="20"/>
  <c r="F39" i="20"/>
  <c r="E39" i="20"/>
  <c r="C39" i="20"/>
  <c r="B39" i="20"/>
  <c r="A39" i="20"/>
  <c r="U38" i="20"/>
  <c r="S38" i="20"/>
  <c r="R38" i="20"/>
  <c r="T38" i="20"/>
  <c r="Q38" i="20"/>
  <c r="P38" i="20"/>
  <c r="W38" i="20"/>
  <c r="O38" i="20"/>
  <c r="N38" i="20"/>
  <c r="M38" i="20"/>
  <c r="L38" i="20"/>
  <c r="K38" i="20"/>
  <c r="J38" i="20"/>
  <c r="I38" i="20"/>
  <c r="G38" i="20"/>
  <c r="F38" i="20"/>
  <c r="E38" i="20"/>
  <c r="C38" i="20"/>
  <c r="B38" i="20"/>
  <c r="A38" i="20"/>
  <c r="U37" i="20"/>
  <c r="V37" i="20"/>
  <c r="S37" i="20"/>
  <c r="R37" i="20"/>
  <c r="T37" i="20"/>
  <c r="Q37" i="20"/>
  <c r="P37" i="20"/>
  <c r="W37" i="20"/>
  <c r="O37" i="20"/>
  <c r="N37" i="20"/>
  <c r="M37" i="20"/>
  <c r="L37" i="20"/>
  <c r="K37" i="20"/>
  <c r="J37" i="20"/>
  <c r="I37" i="20"/>
  <c r="G37" i="20"/>
  <c r="F37" i="20"/>
  <c r="E37" i="20"/>
  <c r="C37" i="20"/>
  <c r="B37" i="20"/>
  <c r="A37" i="20"/>
  <c r="U36" i="20"/>
  <c r="V36" i="20"/>
  <c r="S36" i="20"/>
  <c r="R36" i="20"/>
  <c r="T36" i="20"/>
  <c r="Q36" i="20"/>
  <c r="P36" i="20"/>
  <c r="W36" i="20"/>
  <c r="O36" i="20"/>
  <c r="N36" i="20"/>
  <c r="M36" i="20"/>
  <c r="L36" i="20"/>
  <c r="K36" i="20"/>
  <c r="J36" i="20"/>
  <c r="I36" i="20"/>
  <c r="G36" i="20"/>
  <c r="F36" i="20"/>
  <c r="E36" i="20"/>
  <c r="C36" i="20"/>
  <c r="B36" i="20"/>
  <c r="A36" i="20"/>
  <c r="U35" i="20"/>
  <c r="V35" i="20"/>
  <c r="S35" i="20"/>
  <c r="R35" i="20"/>
  <c r="T35" i="20"/>
  <c r="Q35" i="20"/>
  <c r="P35" i="20"/>
  <c r="W35" i="20"/>
  <c r="O35" i="20"/>
  <c r="N35" i="20"/>
  <c r="M35" i="20"/>
  <c r="L35" i="20"/>
  <c r="K35" i="20"/>
  <c r="J35" i="20"/>
  <c r="I35" i="20"/>
  <c r="G35" i="20"/>
  <c r="F35" i="20"/>
  <c r="E35" i="20"/>
  <c r="C35" i="20"/>
  <c r="B35" i="20"/>
  <c r="A35" i="20"/>
  <c r="U34" i="20"/>
  <c r="S34" i="20"/>
  <c r="R34" i="20"/>
  <c r="Q34" i="20"/>
  <c r="P34" i="20"/>
  <c r="W34" i="20"/>
  <c r="O34" i="20"/>
  <c r="N34" i="20"/>
  <c r="M34" i="20"/>
  <c r="L34" i="20"/>
  <c r="K34" i="20"/>
  <c r="J34" i="20"/>
  <c r="I34" i="20"/>
  <c r="G34" i="20"/>
  <c r="F34" i="20"/>
  <c r="E34" i="20"/>
  <c r="C34" i="20"/>
  <c r="B34" i="20"/>
  <c r="A34" i="20"/>
  <c r="U33" i="20"/>
  <c r="S33" i="20"/>
  <c r="R33" i="20"/>
  <c r="Q33" i="20"/>
  <c r="P33" i="20"/>
  <c r="W33" i="20"/>
  <c r="O33" i="20"/>
  <c r="N33" i="20"/>
  <c r="M33" i="20"/>
  <c r="L33" i="20"/>
  <c r="K33" i="20"/>
  <c r="J33" i="20"/>
  <c r="I33" i="20"/>
  <c r="G33" i="20"/>
  <c r="F33" i="20"/>
  <c r="E33" i="20"/>
  <c r="C33" i="20"/>
  <c r="B33" i="20"/>
  <c r="A33" i="20"/>
  <c r="U32" i="20"/>
  <c r="S32" i="20"/>
  <c r="R32" i="20"/>
  <c r="Q32" i="20"/>
  <c r="P32" i="20"/>
  <c r="O32" i="20"/>
  <c r="N32" i="20"/>
  <c r="M32" i="20"/>
  <c r="L32" i="20"/>
  <c r="K32" i="20"/>
  <c r="J32" i="20"/>
  <c r="I32" i="20"/>
  <c r="G32" i="20"/>
  <c r="F32" i="20"/>
  <c r="E32" i="20"/>
  <c r="C32" i="20"/>
  <c r="B32" i="20"/>
  <c r="A32" i="20"/>
  <c r="U31" i="20"/>
  <c r="S31" i="20"/>
  <c r="R31" i="20"/>
  <c r="Q31" i="20"/>
  <c r="P31" i="20"/>
  <c r="O31" i="20"/>
  <c r="N31" i="20"/>
  <c r="M31" i="20"/>
  <c r="L31" i="20"/>
  <c r="K31" i="20"/>
  <c r="J31" i="20"/>
  <c r="I31" i="20"/>
  <c r="G31" i="20"/>
  <c r="F31" i="20"/>
  <c r="E31" i="20"/>
  <c r="C31" i="20"/>
  <c r="B31" i="20"/>
  <c r="A31" i="20"/>
  <c r="U30" i="20"/>
  <c r="S30" i="20"/>
  <c r="R30" i="20"/>
  <c r="Q30" i="20"/>
  <c r="P30" i="20"/>
  <c r="O30" i="20"/>
  <c r="N30" i="20"/>
  <c r="M30" i="20"/>
  <c r="L30" i="20"/>
  <c r="K30" i="20"/>
  <c r="J30" i="20"/>
  <c r="I30" i="20"/>
  <c r="G30" i="20"/>
  <c r="F30" i="20"/>
  <c r="E30" i="20"/>
  <c r="C30" i="20"/>
  <c r="B30" i="20"/>
  <c r="A30" i="20"/>
  <c r="U29" i="20"/>
  <c r="S29" i="20"/>
  <c r="R29" i="20"/>
  <c r="Q29" i="20"/>
  <c r="P29" i="20"/>
  <c r="W29" i="20"/>
  <c r="O29" i="20"/>
  <c r="N29" i="20"/>
  <c r="M29" i="20"/>
  <c r="L29" i="20"/>
  <c r="K29" i="20"/>
  <c r="J29" i="20"/>
  <c r="I29" i="20"/>
  <c r="G29" i="20"/>
  <c r="F29" i="20"/>
  <c r="E29" i="20"/>
  <c r="C29" i="20"/>
  <c r="B29" i="20"/>
  <c r="A29" i="20"/>
  <c r="U28" i="20"/>
  <c r="S28" i="20"/>
  <c r="R28" i="20"/>
  <c r="Q28" i="20"/>
  <c r="P28" i="20"/>
  <c r="O28" i="20"/>
  <c r="N28" i="20"/>
  <c r="M28" i="20"/>
  <c r="L28" i="20"/>
  <c r="K28" i="20"/>
  <c r="J28" i="20"/>
  <c r="I28" i="20"/>
  <c r="G28" i="20"/>
  <c r="F28" i="20"/>
  <c r="E28" i="20"/>
  <c r="C28" i="20"/>
  <c r="B28" i="20"/>
  <c r="A28" i="20"/>
  <c r="U27" i="20"/>
  <c r="S27" i="20"/>
  <c r="R27" i="20"/>
  <c r="Q27" i="20"/>
  <c r="P27" i="20"/>
  <c r="O27" i="20"/>
  <c r="N27" i="20"/>
  <c r="M27" i="20"/>
  <c r="L27" i="20"/>
  <c r="K27" i="20"/>
  <c r="J27" i="20"/>
  <c r="I27" i="20"/>
  <c r="G27" i="20"/>
  <c r="F27" i="20"/>
  <c r="E27" i="20"/>
  <c r="C27" i="20"/>
  <c r="B27" i="20"/>
  <c r="A27" i="20"/>
  <c r="AC26" i="20"/>
  <c r="U26" i="20"/>
  <c r="S26" i="20"/>
  <c r="R26" i="20"/>
  <c r="Q26" i="20"/>
  <c r="P26" i="20"/>
  <c r="O26" i="20"/>
  <c r="N26" i="20"/>
  <c r="L26" i="20"/>
  <c r="K26" i="20"/>
  <c r="J26" i="20"/>
  <c r="I26" i="20"/>
  <c r="G26" i="20"/>
  <c r="F26" i="20"/>
  <c r="E26" i="20"/>
  <c r="C26" i="20"/>
  <c r="B26" i="20"/>
  <c r="A26" i="20"/>
  <c r="S25" i="20"/>
  <c r="R25" i="20"/>
  <c r="Q25" i="20"/>
  <c r="P25" i="20"/>
  <c r="W25" i="20"/>
  <c r="O25" i="20"/>
  <c r="N25" i="20"/>
  <c r="L25" i="20"/>
  <c r="K25" i="20"/>
  <c r="J25" i="20"/>
  <c r="I25" i="20"/>
  <c r="G25" i="20"/>
  <c r="F25" i="20"/>
  <c r="E25" i="20"/>
  <c r="C25" i="20"/>
  <c r="B25" i="20"/>
  <c r="A25" i="20"/>
  <c r="U24" i="20"/>
  <c r="S24" i="20"/>
  <c r="R24" i="20"/>
  <c r="Q24" i="20"/>
  <c r="P24" i="20"/>
  <c r="O24" i="20"/>
  <c r="N24" i="20"/>
  <c r="M24" i="20"/>
  <c r="L24" i="20"/>
  <c r="K24" i="20"/>
  <c r="J24" i="20"/>
  <c r="I24" i="20"/>
  <c r="G24" i="20"/>
  <c r="F24" i="20"/>
  <c r="E24" i="20"/>
  <c r="C24" i="20"/>
  <c r="B24" i="20"/>
  <c r="A24" i="20"/>
  <c r="U23" i="20"/>
  <c r="S23" i="20"/>
  <c r="R23" i="20"/>
  <c r="Q23" i="20"/>
  <c r="P23" i="20"/>
  <c r="O23" i="20"/>
  <c r="N23" i="20"/>
  <c r="M23" i="20"/>
  <c r="L23" i="20"/>
  <c r="K23" i="20"/>
  <c r="J23" i="20"/>
  <c r="I23" i="20"/>
  <c r="G23" i="20"/>
  <c r="F23" i="20"/>
  <c r="E23" i="20"/>
  <c r="C23" i="20"/>
  <c r="B23" i="20"/>
  <c r="A23" i="20"/>
  <c r="S22" i="20"/>
  <c r="R22" i="20"/>
  <c r="T22" i="20"/>
  <c r="Q22" i="20"/>
  <c r="P22" i="20"/>
  <c r="W22" i="20"/>
  <c r="O22" i="20"/>
  <c r="N22" i="20"/>
  <c r="L22" i="20"/>
  <c r="K22" i="20"/>
  <c r="J22" i="20"/>
  <c r="I22" i="20"/>
  <c r="G22" i="20"/>
  <c r="F22" i="20"/>
  <c r="E22" i="20"/>
  <c r="C22" i="20"/>
  <c r="B22" i="20"/>
  <c r="A22" i="20"/>
  <c r="U21" i="20"/>
  <c r="S21" i="20"/>
  <c r="R21" i="20"/>
  <c r="Q21" i="20"/>
  <c r="P21" i="20"/>
  <c r="W21" i="20"/>
  <c r="O21" i="20"/>
  <c r="N21" i="20"/>
  <c r="M21" i="20"/>
  <c r="L21" i="20"/>
  <c r="K21" i="20"/>
  <c r="J21" i="20"/>
  <c r="I21" i="20"/>
  <c r="G21" i="20"/>
  <c r="F21" i="20"/>
  <c r="E21" i="20"/>
  <c r="C21" i="20"/>
  <c r="B21" i="20"/>
  <c r="A21" i="20"/>
  <c r="U20" i="20"/>
  <c r="S20" i="20"/>
  <c r="R20" i="20"/>
  <c r="T20" i="20"/>
  <c r="Q20" i="20"/>
  <c r="P20" i="20"/>
  <c r="W20" i="20"/>
  <c r="O20" i="20"/>
  <c r="N20" i="20"/>
  <c r="M20" i="20"/>
  <c r="L20" i="20"/>
  <c r="K20" i="20"/>
  <c r="J20" i="20"/>
  <c r="I20" i="20"/>
  <c r="G20" i="20"/>
  <c r="F20" i="20"/>
  <c r="E20" i="20"/>
  <c r="C20" i="20"/>
  <c r="B20" i="20"/>
  <c r="A20" i="20"/>
  <c r="U19" i="20"/>
  <c r="S19" i="20"/>
  <c r="R19" i="20"/>
  <c r="Q19" i="20"/>
  <c r="P19" i="20"/>
  <c r="W19" i="20"/>
  <c r="O19" i="20"/>
  <c r="N19" i="20"/>
  <c r="M19" i="20"/>
  <c r="L19" i="20"/>
  <c r="K19" i="20"/>
  <c r="J19" i="20"/>
  <c r="I19" i="20"/>
  <c r="G19" i="20"/>
  <c r="F19" i="20"/>
  <c r="E19" i="20"/>
  <c r="C19" i="20"/>
  <c r="B19" i="20"/>
  <c r="A19" i="20"/>
  <c r="U18" i="20"/>
  <c r="S18" i="20"/>
  <c r="R18" i="20"/>
  <c r="Q18" i="20"/>
  <c r="P18" i="20"/>
  <c r="W18" i="20"/>
  <c r="O18" i="20"/>
  <c r="N18" i="20"/>
  <c r="M18" i="20"/>
  <c r="L18" i="20"/>
  <c r="K18" i="20"/>
  <c r="J18" i="20"/>
  <c r="I18" i="20"/>
  <c r="G18" i="20"/>
  <c r="F18" i="20"/>
  <c r="E18" i="20"/>
  <c r="C18" i="20"/>
  <c r="B18" i="20"/>
  <c r="A18" i="20"/>
  <c r="U17" i="20"/>
  <c r="S17" i="20"/>
  <c r="R17" i="20"/>
  <c r="Q17" i="20"/>
  <c r="P17" i="20"/>
  <c r="W17" i="20"/>
  <c r="O17" i="20"/>
  <c r="N17" i="20"/>
  <c r="L17" i="20"/>
  <c r="K17" i="20"/>
  <c r="J17" i="20"/>
  <c r="I17" i="20"/>
  <c r="G17" i="20"/>
  <c r="F17" i="20"/>
  <c r="E17" i="20"/>
  <c r="C17" i="20"/>
  <c r="B17" i="20"/>
  <c r="A17" i="20"/>
  <c r="U16" i="20"/>
  <c r="S16" i="20"/>
  <c r="R16" i="20"/>
  <c r="Q16" i="20"/>
  <c r="P16" i="20"/>
  <c r="O16" i="20"/>
  <c r="N16" i="20"/>
  <c r="M16" i="20"/>
  <c r="L16" i="20"/>
  <c r="K16" i="20"/>
  <c r="J16" i="20"/>
  <c r="I16" i="20"/>
  <c r="G16" i="20"/>
  <c r="F16" i="20"/>
  <c r="E16" i="20"/>
  <c r="C16" i="20"/>
  <c r="B16" i="20"/>
  <c r="A16" i="20"/>
  <c r="U15" i="20"/>
  <c r="S15" i="20"/>
  <c r="R15" i="20"/>
  <c r="Q15" i="20"/>
  <c r="P15" i="20"/>
  <c r="W15" i="20"/>
  <c r="O15" i="20"/>
  <c r="N15" i="20"/>
  <c r="M15" i="20"/>
  <c r="L15" i="20"/>
  <c r="K15" i="20"/>
  <c r="J15" i="20"/>
  <c r="I15" i="20"/>
  <c r="G15" i="20"/>
  <c r="F15" i="20"/>
  <c r="E15" i="20"/>
  <c r="C15" i="20"/>
  <c r="B15" i="20"/>
  <c r="A15" i="20"/>
  <c r="U14" i="20"/>
  <c r="S14" i="20"/>
  <c r="R14" i="20"/>
  <c r="Q14" i="20"/>
  <c r="P14" i="20"/>
  <c r="O14" i="20"/>
  <c r="N14" i="20"/>
  <c r="M14" i="20"/>
  <c r="L14" i="20"/>
  <c r="K14" i="20"/>
  <c r="J14" i="20"/>
  <c r="I14" i="20"/>
  <c r="G14" i="20"/>
  <c r="F14" i="20"/>
  <c r="E14" i="20"/>
  <c r="C14" i="20"/>
  <c r="B14" i="20"/>
  <c r="A14" i="20"/>
  <c r="U13" i="20"/>
  <c r="S13" i="20"/>
  <c r="R13" i="20"/>
  <c r="Q13" i="20"/>
  <c r="P13" i="20"/>
  <c r="W13" i="20"/>
  <c r="O13" i="20"/>
  <c r="N13" i="20"/>
  <c r="M13" i="20"/>
  <c r="L13" i="20"/>
  <c r="K13" i="20"/>
  <c r="J13" i="20"/>
  <c r="I13" i="20"/>
  <c r="G13" i="20"/>
  <c r="F13" i="20"/>
  <c r="E13" i="20"/>
  <c r="C13" i="20"/>
  <c r="B13" i="20"/>
  <c r="A13" i="20"/>
  <c r="U12" i="20"/>
  <c r="S12" i="20"/>
  <c r="R12" i="20"/>
  <c r="Q12" i="20"/>
  <c r="P12" i="20"/>
  <c r="O12" i="20"/>
  <c r="N12" i="20"/>
  <c r="M12" i="20"/>
  <c r="L12" i="20"/>
  <c r="K12" i="20"/>
  <c r="J12" i="20"/>
  <c r="I12" i="20"/>
  <c r="G12" i="20"/>
  <c r="F12" i="20"/>
  <c r="E12" i="20"/>
  <c r="C12" i="20"/>
  <c r="B12" i="20"/>
  <c r="A12" i="20"/>
  <c r="U11" i="20"/>
  <c r="S11" i="20"/>
  <c r="R11" i="20"/>
  <c r="Q11" i="20"/>
  <c r="P11" i="20"/>
  <c r="W11" i="20"/>
  <c r="O11" i="20"/>
  <c r="N11" i="20"/>
  <c r="M11" i="20"/>
  <c r="L11" i="20"/>
  <c r="K11" i="20"/>
  <c r="J11" i="20"/>
  <c r="I11" i="20"/>
  <c r="G11" i="20"/>
  <c r="F11" i="20"/>
  <c r="E11" i="20"/>
  <c r="C11" i="20"/>
  <c r="B11" i="20"/>
  <c r="A11" i="20"/>
  <c r="U10" i="20"/>
  <c r="S10" i="20"/>
  <c r="R10" i="20"/>
  <c r="Q10" i="20"/>
  <c r="P10" i="20"/>
  <c r="W10" i="20"/>
  <c r="O10" i="20"/>
  <c r="N10" i="20"/>
  <c r="M10" i="20"/>
  <c r="L10" i="20"/>
  <c r="K10" i="20"/>
  <c r="J10" i="20"/>
  <c r="I10" i="20"/>
  <c r="G10" i="20"/>
  <c r="F10" i="20"/>
  <c r="E10" i="20"/>
  <c r="C10" i="20"/>
  <c r="B10" i="20"/>
  <c r="A10" i="20"/>
  <c r="U9" i="20"/>
  <c r="S9" i="20"/>
  <c r="R9" i="20"/>
  <c r="Q9" i="20"/>
  <c r="P9" i="20"/>
  <c r="O9" i="20"/>
  <c r="N9" i="20"/>
  <c r="M9" i="20"/>
  <c r="L9" i="20"/>
  <c r="K9" i="20"/>
  <c r="J9" i="20"/>
  <c r="I9" i="20"/>
  <c r="G9" i="20"/>
  <c r="F9" i="20"/>
  <c r="E9" i="20"/>
  <c r="C9" i="20"/>
  <c r="B9" i="20"/>
  <c r="A9" i="20"/>
  <c r="U8" i="20"/>
  <c r="S8" i="20"/>
  <c r="R8" i="20"/>
  <c r="Q8" i="20"/>
  <c r="P8" i="20"/>
  <c r="O8" i="20"/>
  <c r="N8" i="20"/>
  <c r="M8" i="20"/>
  <c r="L8" i="20"/>
  <c r="K8" i="20"/>
  <c r="J8" i="20"/>
  <c r="I8" i="20"/>
  <c r="G8" i="20"/>
  <c r="F8" i="20"/>
  <c r="E8" i="20"/>
  <c r="C8" i="20"/>
  <c r="B8" i="20"/>
  <c r="A8" i="20"/>
  <c r="U7" i="20"/>
  <c r="S7" i="20"/>
  <c r="R7" i="20"/>
  <c r="Q7" i="20"/>
  <c r="P7" i="20"/>
  <c r="W7" i="20"/>
  <c r="O7" i="20"/>
  <c r="N7" i="20"/>
  <c r="M7" i="20"/>
  <c r="L7" i="20"/>
  <c r="K7" i="20"/>
  <c r="J7" i="20"/>
  <c r="I7" i="20"/>
  <c r="G7" i="20"/>
  <c r="F7" i="20"/>
  <c r="E7" i="20"/>
  <c r="C7" i="20"/>
  <c r="B7" i="20"/>
  <c r="A7" i="20"/>
  <c r="U6" i="20"/>
  <c r="V6" i="20"/>
  <c r="S6" i="20"/>
  <c r="R6" i="20"/>
  <c r="T6" i="20"/>
  <c r="Q6" i="20"/>
  <c r="P6" i="20"/>
  <c r="W6" i="20"/>
  <c r="O6" i="20"/>
  <c r="N6" i="20"/>
  <c r="M6" i="20"/>
  <c r="L6" i="20"/>
  <c r="K6" i="20"/>
  <c r="J6" i="20"/>
  <c r="I6" i="20"/>
  <c r="G6" i="20"/>
  <c r="F6" i="20"/>
  <c r="E6" i="20"/>
  <c r="C6" i="20"/>
  <c r="B6" i="20"/>
  <c r="A6" i="20"/>
  <c r="AI2" i="20"/>
  <c r="AI1" i="20"/>
  <c r="AH1" i="20"/>
  <c r="W1" i="20"/>
  <c r="W98" i="20"/>
  <c r="X98" i="20"/>
  <c r="AA98" i="20"/>
  <c r="V1" i="20"/>
  <c r="A1" i="20"/>
  <c r="J214" i="18"/>
  <c r="AH62" i="20"/>
  <c r="AI106" i="20"/>
  <c r="AH106" i="20"/>
  <c r="AA95" i="20"/>
  <c r="AO96" i="20"/>
  <c r="AE95" i="20"/>
  <c r="T7" i="20"/>
  <c r="T27" i="20"/>
  <c r="T23" i="20"/>
  <c r="T32" i="20"/>
  <c r="T9" i="20"/>
  <c r="T29" i="20"/>
  <c r="T8" i="20"/>
  <c r="T21" i="20"/>
  <c r="T33" i="20"/>
  <c r="T31" i="20"/>
  <c r="AA112" i="20"/>
  <c r="AM112" i="20"/>
  <c r="AA113" i="20"/>
  <c r="AF113" i="20"/>
  <c r="AI42" i="20"/>
  <c r="T16" i="20"/>
  <c r="T40" i="20"/>
  <c r="AD42" i="20"/>
  <c r="T15" i="20"/>
  <c r="T19" i="20"/>
  <c r="AA124" i="20"/>
  <c r="AM124" i="20"/>
  <c r="T18" i="20"/>
  <c r="T30" i="20"/>
  <c r="AI96" i="20"/>
  <c r="T11" i="20"/>
  <c r="T12" i="20"/>
  <c r="T17" i="20"/>
  <c r="T28" i="20"/>
  <c r="T25" i="20"/>
  <c r="AA128" i="20"/>
  <c r="AM128" i="20"/>
  <c r="AE96" i="20"/>
  <c r="AM98" i="20"/>
  <c r="AF98" i="20"/>
  <c r="AI98" i="20"/>
  <c r="AD98" i="20"/>
  <c r="AH98" i="20"/>
  <c r="AM104" i="20"/>
  <c r="AH102" i="20"/>
  <c r="AM102" i="20"/>
  <c r="AF102" i="20"/>
  <c r="AI102" i="20"/>
  <c r="AD102" i="20"/>
  <c r="AM100" i="20"/>
  <c r="AF100" i="20"/>
  <c r="AI100" i="20"/>
  <c r="AD100" i="20"/>
  <c r="AH100" i="20"/>
  <c r="AF96" i="20"/>
  <c r="AM96" i="20"/>
  <c r="AE102" i="20"/>
  <c r="AH96" i="20"/>
  <c r="AE100" i="20"/>
  <c r="AD96" i="20"/>
  <c r="AE98" i="20"/>
  <c r="T13" i="20"/>
  <c r="T14" i="20"/>
  <c r="T24" i="20"/>
  <c r="T26" i="20"/>
  <c r="AE110" i="20"/>
  <c r="AA116" i="20"/>
  <c r="AA120" i="20"/>
  <c r="AI120" i="20"/>
  <c r="AA125" i="20"/>
  <c r="AF125" i="20"/>
  <c r="AA129" i="20"/>
  <c r="T10" i="20"/>
  <c r="T34" i="20"/>
  <c r="AM113" i="20"/>
  <c r="AE114" i="20"/>
  <c r="AA117" i="20"/>
  <c r="AM117" i="20"/>
  <c r="AA121" i="20"/>
  <c r="AM121" i="20"/>
  <c r="T55" i="20"/>
  <c r="V127" i="20"/>
  <c r="V123" i="20"/>
  <c r="V119" i="20"/>
  <c r="V115" i="20"/>
  <c r="V111" i="20"/>
  <c r="V81" i="20"/>
  <c r="X81" i="20"/>
  <c r="V130" i="20"/>
  <c r="V126" i="20"/>
  <c r="V122" i="20"/>
  <c r="V118" i="20"/>
  <c r="V114" i="20"/>
  <c r="V80" i="20"/>
  <c r="X80" i="20"/>
  <c r="V129" i="20"/>
  <c r="V125" i="20"/>
  <c r="V121" i="20"/>
  <c r="V117" i="20"/>
  <c r="V113" i="20"/>
  <c r="V93" i="20"/>
  <c r="X93" i="20"/>
  <c r="V78" i="20"/>
  <c r="X78" i="20"/>
  <c r="V124" i="20"/>
  <c r="V77" i="20"/>
  <c r="X77" i="20"/>
  <c r="V64" i="20"/>
  <c r="X64" i="20"/>
  <c r="V128" i="20"/>
  <c r="V112" i="20"/>
  <c r="V116" i="20"/>
  <c r="V120" i="20"/>
  <c r="V76" i="20"/>
  <c r="X76" i="20"/>
  <c r="V57" i="20"/>
  <c r="X57" i="20"/>
  <c r="AA57" i="20"/>
  <c r="AI57" i="20"/>
  <c r="V38" i="20"/>
  <c r="X38" i="20"/>
  <c r="AA38" i="20"/>
  <c r="V34" i="20"/>
  <c r="X34" i="20"/>
  <c r="AA34" i="20"/>
  <c r="V33" i="20"/>
  <c r="X33" i="20"/>
  <c r="AA33" i="20"/>
  <c r="AI33" i="20"/>
  <c r="V32" i="20"/>
  <c r="X32" i="20"/>
  <c r="AA32" i="20"/>
  <c r="AI32" i="20"/>
  <c r="V31" i="20"/>
  <c r="W31" i="20"/>
  <c r="X31" i="20"/>
  <c r="V30" i="20"/>
  <c r="X30" i="20"/>
  <c r="AA30" i="20"/>
  <c r="AI30" i="20"/>
  <c r="V29" i="20"/>
  <c r="V28" i="20"/>
  <c r="X28" i="20"/>
  <c r="AA28" i="20"/>
  <c r="AD28" i="20"/>
  <c r="V27" i="20"/>
  <c r="W27" i="20"/>
  <c r="X27" i="20"/>
  <c r="V26" i="20"/>
  <c r="W26" i="20"/>
  <c r="X26" i="20"/>
  <c r="AA26" i="20"/>
  <c r="AD26" i="20"/>
  <c r="V24" i="20"/>
  <c r="X24" i="20"/>
  <c r="AA24" i="20"/>
  <c r="V23" i="20"/>
  <c r="W23" i="20"/>
  <c r="X23" i="20"/>
  <c r="V82" i="20"/>
  <c r="X82" i="20"/>
  <c r="V49" i="20"/>
  <c r="V21" i="20"/>
  <c r="X21" i="20"/>
  <c r="AA21" i="20"/>
  <c r="V20" i="20"/>
  <c r="X20" i="20"/>
  <c r="AA20" i="20"/>
  <c r="V19" i="20"/>
  <c r="X19" i="20"/>
  <c r="V18" i="20"/>
  <c r="X18" i="20"/>
  <c r="AA18" i="20"/>
  <c r="V17" i="20"/>
  <c r="X17" i="20"/>
  <c r="AA17" i="20"/>
  <c r="V16" i="20"/>
  <c r="W16" i="20"/>
  <c r="X16" i="20"/>
  <c r="AA16" i="20"/>
  <c r="V15" i="20"/>
  <c r="X15" i="20"/>
  <c r="AA15" i="20"/>
  <c r="V14" i="20"/>
  <c r="W14" i="20"/>
  <c r="X14" i="20"/>
  <c r="AA14" i="20"/>
  <c r="V13" i="20"/>
  <c r="X13" i="20"/>
  <c r="AA13" i="20"/>
  <c r="V12" i="20"/>
  <c r="W12" i="20"/>
  <c r="X12" i="20"/>
  <c r="AA12" i="20"/>
  <c r="V11" i="20"/>
  <c r="X11" i="20"/>
  <c r="V10" i="20"/>
  <c r="X10" i="20"/>
  <c r="V9" i="20"/>
  <c r="W9" i="20"/>
  <c r="X9" i="20"/>
  <c r="V8" i="20"/>
  <c r="W8" i="20"/>
  <c r="X8" i="20"/>
  <c r="V7" i="20"/>
  <c r="X7" i="20"/>
  <c r="X6" i="20"/>
  <c r="X29" i="20"/>
  <c r="AE32" i="20"/>
  <c r="AI41" i="20"/>
  <c r="W24" i="20"/>
  <c r="W28" i="20"/>
  <c r="W30" i="20"/>
  <c r="W32" i="20"/>
  <c r="AF41" i="20"/>
  <c r="AM41" i="20"/>
  <c r="AI115" i="20"/>
  <c r="AI123" i="20"/>
  <c r="AI127" i="20"/>
  <c r="AH131" i="20"/>
  <c r="AM131" i="20"/>
  <c r="AF131" i="20"/>
  <c r="X35" i="20"/>
  <c r="AA35" i="20"/>
  <c r="X36" i="20"/>
  <c r="AA36" i="20"/>
  <c r="X37" i="20"/>
  <c r="AA37" i="20"/>
  <c r="X39" i="20"/>
  <c r="AA39" i="20"/>
  <c r="AH41" i="20"/>
  <c r="X43" i="20"/>
  <c r="AA43" i="20"/>
  <c r="X44" i="20"/>
  <c r="AA44" i="20"/>
  <c r="X45" i="20"/>
  <c r="AA45" i="20"/>
  <c r="AD45" i="20"/>
  <c r="AD41" i="20"/>
  <c r="AF42" i="20"/>
  <c r="AM42" i="20"/>
  <c r="AI62" i="20"/>
  <c r="AD62" i="20"/>
  <c r="AM62" i="20"/>
  <c r="AF62" i="20"/>
  <c r="W45" i="20"/>
  <c r="AH111" i="20"/>
  <c r="AM111" i="20"/>
  <c r="AF111" i="20"/>
  <c r="AI111" i="20"/>
  <c r="AD111" i="20"/>
  <c r="X46" i="20"/>
  <c r="AA46" i="20"/>
  <c r="X47" i="20"/>
  <c r="AA47" i="20"/>
  <c r="AI47" i="20"/>
  <c r="X48" i="20"/>
  <c r="AA48" i="20"/>
  <c r="AI48" i="20"/>
  <c r="X49" i="20"/>
  <c r="AA49" i="20"/>
  <c r="X50" i="20"/>
  <c r="AA50" i="20"/>
  <c r="X51" i="20"/>
  <c r="AA51" i="20"/>
  <c r="X58" i="20"/>
  <c r="AA58" i="20"/>
  <c r="X59" i="20"/>
  <c r="AA59" i="20"/>
  <c r="AI59" i="20"/>
  <c r="X60" i="20"/>
  <c r="AA60" i="20"/>
  <c r="AE62" i="20"/>
  <c r="AE79" i="20"/>
  <c r="AA79" i="20"/>
  <c r="AI114" i="20"/>
  <c r="AD114" i="20"/>
  <c r="AH114" i="20"/>
  <c r="AM114" i="20"/>
  <c r="AF114" i="20"/>
  <c r="AF117" i="20"/>
  <c r="AH119" i="20"/>
  <c r="AM119" i="20"/>
  <c r="AF119" i="20"/>
  <c r="AE122" i="20"/>
  <c r="AD127" i="20"/>
  <c r="AI130" i="20"/>
  <c r="AD130" i="20"/>
  <c r="AH130" i="20"/>
  <c r="AM130" i="20"/>
  <c r="AF130" i="20"/>
  <c r="AI131" i="20"/>
  <c r="AI110" i="20"/>
  <c r="AD110" i="20"/>
  <c r="AH110" i="20"/>
  <c r="AM110" i="20"/>
  <c r="AF110" i="20"/>
  <c r="AH115" i="20"/>
  <c r="AM115" i="20"/>
  <c r="AF115" i="20"/>
  <c r="AE118" i="20"/>
  <c r="AD123" i="20"/>
  <c r="AI126" i="20"/>
  <c r="AD126" i="20"/>
  <c r="AH126" i="20"/>
  <c r="AM126" i="20"/>
  <c r="AF126" i="20"/>
  <c r="AD131" i="20"/>
  <c r="W131" i="20"/>
  <c r="AI122" i="20"/>
  <c r="AD122" i="20"/>
  <c r="AH122" i="20"/>
  <c r="AM122" i="20"/>
  <c r="AF122" i="20"/>
  <c r="AH127" i="20"/>
  <c r="AM127" i="20"/>
  <c r="AF127" i="20"/>
  <c r="AE130" i="20"/>
  <c r="AE131" i="20"/>
  <c r="AI118" i="20"/>
  <c r="AD118" i="20"/>
  <c r="AH118" i="20"/>
  <c r="AM118" i="20"/>
  <c r="AF118" i="20"/>
  <c r="AI119" i="20"/>
  <c r="AH123" i="20"/>
  <c r="AM123" i="20"/>
  <c r="AF123" i="20"/>
  <c r="AE126" i="20"/>
  <c r="AI129" i="20"/>
  <c r="AD129" i="20"/>
  <c r="AE111" i="20"/>
  <c r="AE115" i="20"/>
  <c r="AI116" i="20"/>
  <c r="AE119" i="20"/>
  <c r="AE123" i="20"/>
  <c r="AE127" i="20"/>
  <c r="J106" i="18"/>
  <c r="J105" i="18"/>
  <c r="J102" i="18"/>
  <c r="J23" i="18"/>
  <c r="AF121" i="20"/>
  <c r="AD120" i="20"/>
  <c r="AD117" i="20"/>
  <c r="AF124" i="20"/>
  <c r="AH121" i="20"/>
  <c r="AD113" i="20"/>
  <c r="AH128" i="20"/>
  <c r="AF128" i="20"/>
  <c r="AM125" i="20"/>
  <c r="AH125" i="20"/>
  <c r="AD128" i="20"/>
  <c r="AD125" i="20"/>
  <c r="AF120" i="20"/>
  <c r="AD121" i="20"/>
  <c r="AI125" i="20"/>
  <c r="AI113" i="20"/>
  <c r="AL113" i="20"/>
  <c r="AN113" i="20"/>
  <c r="AI128" i="20"/>
  <c r="AH113" i="20"/>
  <c r="AI121" i="20"/>
  <c r="AH112" i="20"/>
  <c r="AI117" i="20"/>
  <c r="AF112" i="20"/>
  <c r="AI124" i="20"/>
  <c r="AI112" i="20"/>
  <c r="AD124" i="20"/>
  <c r="AD112" i="20"/>
  <c r="AD95" i="20"/>
  <c r="AE28" i="20"/>
  <c r="AH124" i="20"/>
  <c r="AF95" i="20"/>
  <c r="AT96" i="20"/>
  <c r="AI95" i="20"/>
  <c r="AW96" i="20"/>
  <c r="AM95" i="20"/>
  <c r="AH95" i="20"/>
  <c r="AV96" i="20"/>
  <c r="AS96" i="20"/>
  <c r="AE30" i="20"/>
  <c r="AL110" i="20"/>
  <c r="AN110" i="20"/>
  <c r="AE47" i="20"/>
  <c r="AL119" i="20"/>
  <c r="AN119" i="20"/>
  <c r="AL104" i="20"/>
  <c r="AN104" i="20"/>
  <c r="AA10" i="20"/>
  <c r="AM10" i="20"/>
  <c r="AE10" i="20"/>
  <c r="AL123" i="20"/>
  <c r="AN123" i="20"/>
  <c r="AM116" i="20"/>
  <c r="AH116" i="20"/>
  <c r="AD116" i="20"/>
  <c r="AE33" i="20"/>
  <c r="AF116" i="20"/>
  <c r="AL111" i="20"/>
  <c r="AN111" i="20"/>
  <c r="AE45" i="20"/>
  <c r="AI45" i="20"/>
  <c r="AD30" i="20"/>
  <c r="AM129" i="20"/>
  <c r="AF129" i="20"/>
  <c r="AL115" i="20"/>
  <c r="AN115" i="20"/>
  <c r="AH129" i="20"/>
  <c r="AH117" i="20"/>
  <c r="AE51" i="20"/>
  <c r="AE15" i="20"/>
  <c r="AM120" i="20"/>
  <c r="AH120" i="20"/>
  <c r="AA11" i="20"/>
  <c r="AE11" i="20"/>
  <c r="AA8" i="20"/>
  <c r="AE8" i="20"/>
  <c r="AA19" i="20"/>
  <c r="AE19" i="20"/>
  <c r="AA31" i="20"/>
  <c r="AE31" i="20"/>
  <c r="AA9" i="20"/>
  <c r="AE9" i="20"/>
  <c r="AA7" i="20"/>
  <c r="AE7" i="20"/>
  <c r="AA23" i="20"/>
  <c r="AE23" i="20"/>
  <c r="AD60" i="20"/>
  <c r="AM60" i="20"/>
  <c r="AF60" i="20"/>
  <c r="AH60" i="20"/>
  <c r="AD49" i="20"/>
  <c r="AM49" i="20"/>
  <c r="AF49" i="20"/>
  <c r="AH49" i="20"/>
  <c r="AE49" i="20"/>
  <c r="AI49" i="20"/>
  <c r="AH44" i="20"/>
  <c r="AM44" i="20"/>
  <c r="AF44" i="20"/>
  <c r="AD44" i="20"/>
  <c r="AH39" i="20"/>
  <c r="AM39" i="20"/>
  <c r="AF39" i="20"/>
  <c r="AD39" i="20"/>
  <c r="AH35" i="20"/>
  <c r="AM35" i="20"/>
  <c r="AF35" i="20"/>
  <c r="AD35" i="20"/>
  <c r="AI35" i="20"/>
  <c r="AE44" i="20"/>
  <c r="AH14" i="20"/>
  <c r="AM14" i="20"/>
  <c r="AF14" i="20"/>
  <c r="AD14" i="20"/>
  <c r="AI14" i="20"/>
  <c r="AE35" i="20"/>
  <c r="AH12" i="20"/>
  <c r="AM12" i="20"/>
  <c r="AF12" i="20"/>
  <c r="AD12" i="20"/>
  <c r="AI12" i="20"/>
  <c r="AH21" i="20"/>
  <c r="AM21" i="20"/>
  <c r="AF21" i="20"/>
  <c r="AD21" i="20"/>
  <c r="AH17" i="20"/>
  <c r="AM17" i="20"/>
  <c r="AF17" i="20"/>
  <c r="AI17" i="20"/>
  <c r="AD17" i="20"/>
  <c r="AE17" i="20"/>
  <c r="AE12" i="20"/>
  <c r="AE21" i="20"/>
  <c r="AE64" i="20"/>
  <c r="AA64" i="20"/>
  <c r="AE93" i="20"/>
  <c r="AA93" i="20"/>
  <c r="AA81" i="20"/>
  <c r="AE81" i="20"/>
  <c r="AH10" i="20"/>
  <c r="AH43" i="20"/>
  <c r="AM43" i="20"/>
  <c r="AF43" i="20"/>
  <c r="AD43" i="20"/>
  <c r="AH38" i="20"/>
  <c r="AM38" i="20"/>
  <c r="AF38" i="20"/>
  <c r="AD38" i="20"/>
  <c r="AH34" i="20"/>
  <c r="AM34" i="20"/>
  <c r="AF34" i="20"/>
  <c r="AD34" i="20"/>
  <c r="AI34" i="20"/>
  <c r="AE59" i="20"/>
  <c r="AI44" i="20"/>
  <c r="AE38" i="20"/>
  <c r="AI43" i="20"/>
  <c r="AH20" i="20"/>
  <c r="AM20" i="20"/>
  <c r="AF20" i="20"/>
  <c r="AD20" i="20"/>
  <c r="AH16" i="20"/>
  <c r="AM16" i="20"/>
  <c r="AF16" i="20"/>
  <c r="AI16" i="20"/>
  <c r="AD16" i="20"/>
  <c r="AI39" i="20"/>
  <c r="AE16" i="20"/>
  <c r="AA27" i="20"/>
  <c r="AE27" i="20"/>
  <c r="AE34" i="20"/>
  <c r="AH24" i="20"/>
  <c r="AM24" i="20"/>
  <c r="AF24" i="20"/>
  <c r="AH28" i="20"/>
  <c r="AM28" i="20"/>
  <c r="AF28" i="20"/>
  <c r="AH32" i="20"/>
  <c r="AM32" i="20"/>
  <c r="AF32" i="20"/>
  <c r="AE77" i="20"/>
  <c r="AA77" i="20"/>
  <c r="AI20" i="20"/>
  <c r="AL122" i="20"/>
  <c r="AN122" i="20"/>
  <c r="AL126" i="20"/>
  <c r="AN126" i="20"/>
  <c r="AD59" i="20"/>
  <c r="AM59" i="20"/>
  <c r="AF59" i="20"/>
  <c r="AH59" i="20"/>
  <c r="AL118" i="20"/>
  <c r="AN118" i="20"/>
  <c r="AD58" i="20"/>
  <c r="AM58" i="20"/>
  <c r="AF58" i="20"/>
  <c r="AH58" i="20"/>
  <c r="AD51" i="20"/>
  <c r="AM51" i="20"/>
  <c r="AF51" i="20"/>
  <c r="AH51" i="20"/>
  <c r="AM47" i="20"/>
  <c r="AF47" i="20"/>
  <c r="AD47" i="20"/>
  <c r="AH47" i="20"/>
  <c r="AE60" i="20"/>
  <c r="AI60" i="20"/>
  <c r="AE50" i="20"/>
  <c r="AE46" i="20"/>
  <c r="AE58" i="20"/>
  <c r="AM45" i="20"/>
  <c r="AF45" i="20"/>
  <c r="AH45" i="20"/>
  <c r="AH37" i="20"/>
  <c r="AM37" i="20"/>
  <c r="AF37" i="20"/>
  <c r="AD37" i="20"/>
  <c r="AI37" i="20"/>
  <c r="AH33" i="20"/>
  <c r="AM33" i="20"/>
  <c r="AF33" i="20"/>
  <c r="AD33" i="20"/>
  <c r="AI51" i="20"/>
  <c r="AE43" i="20"/>
  <c r="AE37" i="20"/>
  <c r="AD32" i="20"/>
  <c r="AD24" i="20"/>
  <c r="AE39" i="20"/>
  <c r="AI38" i="20"/>
  <c r="AE13" i="20"/>
  <c r="AE14" i="20"/>
  <c r="AA29" i="20"/>
  <c r="AE29" i="20"/>
  <c r="AA82" i="20"/>
  <c r="AE82" i="20"/>
  <c r="AA80" i="20"/>
  <c r="AE80" i="20"/>
  <c r="AE20" i="20"/>
  <c r="AI28" i="20"/>
  <c r="AI79" i="20"/>
  <c r="AD79" i="20"/>
  <c r="AH79" i="20"/>
  <c r="AF79" i="20"/>
  <c r="AM79" i="20"/>
  <c r="AD48" i="20"/>
  <c r="AM48" i="20"/>
  <c r="AF48" i="20"/>
  <c r="AH48" i="20"/>
  <c r="AL114" i="20"/>
  <c r="AN114" i="20"/>
  <c r="AD57" i="20"/>
  <c r="AM57" i="20"/>
  <c r="AF57" i="20"/>
  <c r="AH57" i="20"/>
  <c r="AD50" i="20"/>
  <c r="AM50" i="20"/>
  <c r="AF50" i="20"/>
  <c r="AH50" i="20"/>
  <c r="AM46" i="20"/>
  <c r="AF46" i="20"/>
  <c r="AH46" i="20"/>
  <c r="AD46" i="20"/>
  <c r="AI46" i="20"/>
  <c r="AE57" i="20"/>
  <c r="AI50" i="20"/>
  <c r="AH36" i="20"/>
  <c r="AM36" i="20"/>
  <c r="AF36" i="20"/>
  <c r="AD36" i="20"/>
  <c r="AI36" i="20"/>
  <c r="AI58" i="20"/>
  <c r="AE48" i="20"/>
  <c r="AH26" i="20"/>
  <c r="AM26" i="20"/>
  <c r="AF26" i="20"/>
  <c r="AH15" i="20"/>
  <c r="AM15" i="20"/>
  <c r="AF15" i="20"/>
  <c r="AI15" i="20"/>
  <c r="AD15" i="20"/>
  <c r="AE36" i="20"/>
  <c r="AH13" i="20"/>
  <c r="AM13" i="20"/>
  <c r="AF13" i="20"/>
  <c r="AI13" i="20"/>
  <c r="AD13" i="20"/>
  <c r="AH18" i="20"/>
  <c r="AM18" i="20"/>
  <c r="AF18" i="20"/>
  <c r="AI18" i="20"/>
  <c r="AD18" i="20"/>
  <c r="AE24" i="20"/>
  <c r="AE26" i="20"/>
  <c r="AA6" i="20"/>
  <c r="AE6" i="20"/>
  <c r="AH30" i="20"/>
  <c r="AM30" i="20"/>
  <c r="AF30" i="20"/>
  <c r="AE76" i="20"/>
  <c r="AA76" i="20"/>
  <c r="AE78" i="20"/>
  <c r="AA78" i="20"/>
  <c r="AE18" i="20"/>
  <c r="AI21" i="20"/>
  <c r="AI24" i="20"/>
  <c r="AI26" i="20"/>
  <c r="AK133" i="16"/>
  <c r="AJ133" i="16"/>
  <c r="AG133" i="16"/>
  <c r="AB133" i="16"/>
  <c r="Z133" i="16"/>
  <c r="Y133" i="16"/>
  <c r="AK133" i="15"/>
  <c r="AJ133" i="15"/>
  <c r="AG133" i="15"/>
  <c r="AB133" i="15"/>
  <c r="Z133" i="15"/>
  <c r="Y133" i="15"/>
  <c r="AK133" i="14"/>
  <c r="AJ133" i="14"/>
  <c r="AG133" i="14"/>
  <c r="AB133" i="14"/>
  <c r="Z133" i="14"/>
  <c r="Y133" i="14"/>
  <c r="Y133" i="13"/>
  <c r="Z133" i="13"/>
  <c r="AB133" i="13"/>
  <c r="AG133" i="13"/>
  <c r="AJ133" i="13"/>
  <c r="AK133" i="13"/>
  <c r="Q12" i="12"/>
  <c r="J443" i="9"/>
  <c r="J34" i="10" s="1"/>
  <c r="AG132" i="12"/>
  <c r="AJ132" i="12"/>
  <c r="AK132" i="12"/>
  <c r="L14" i="22"/>
  <c r="L13" i="22"/>
  <c r="L12" i="22"/>
  <c r="L11" i="22"/>
  <c r="L10" i="22"/>
  <c r="M22" i="11"/>
  <c r="AC1" i="11"/>
  <c r="AC1" i="20"/>
  <c r="J101" i="18"/>
  <c r="AE44" i="11"/>
  <c r="AE43" i="11"/>
  <c r="AA43" i="11"/>
  <c r="AA44" i="11"/>
  <c r="AB268" i="8"/>
  <c r="H68" i="18"/>
  <c r="J68" i="18" s="1"/>
  <c r="X42" i="11"/>
  <c r="AA42" i="11"/>
  <c r="AL59" i="11"/>
  <c r="W59" i="11"/>
  <c r="V59" i="11"/>
  <c r="X59" i="11"/>
  <c r="AE58" i="11"/>
  <c r="AA58" i="11"/>
  <c r="AD58" i="11"/>
  <c r="X57" i="11"/>
  <c r="AA57" i="11"/>
  <c r="AM57" i="11"/>
  <c r="V27" i="11"/>
  <c r="X27" i="11"/>
  <c r="T27" i="11"/>
  <c r="U27" i="11"/>
  <c r="J108" i="18"/>
  <c r="AE54" i="11"/>
  <c r="AA54" i="11"/>
  <c r="X23" i="11"/>
  <c r="Y23" i="11"/>
  <c r="W23" i="11"/>
  <c r="U23" i="11"/>
  <c r="U53" i="20"/>
  <c r="V53" i="20"/>
  <c r="X53" i="20"/>
  <c r="AA53" i="20"/>
  <c r="AF53" i="20"/>
  <c r="T23" i="11"/>
  <c r="H60" i="18"/>
  <c r="J60" i="18" s="1"/>
  <c r="J109" i="18"/>
  <c r="J104" i="18"/>
  <c r="J99" i="18"/>
  <c r="Z48" i="11"/>
  <c r="AA48" i="11"/>
  <c r="AH48" i="11"/>
  <c r="Z53" i="11"/>
  <c r="AA53" i="11"/>
  <c r="AF53" i="11"/>
  <c r="Z17" i="11"/>
  <c r="Z47" i="11"/>
  <c r="AA52" i="11"/>
  <c r="AD52" i="11"/>
  <c r="Z49" i="11"/>
  <c r="AA49" i="11"/>
  <c r="AD49" i="11"/>
  <c r="Z50" i="11"/>
  <c r="AA50" i="11"/>
  <c r="Z51" i="11"/>
  <c r="AA51" i="11"/>
  <c r="AH51" i="11"/>
  <c r="Z11" i="11"/>
  <c r="V26" i="11"/>
  <c r="U22" i="11"/>
  <c r="W7" i="11"/>
  <c r="AC278" i="8"/>
  <c r="AC273" i="8"/>
  <c r="AC266" i="8"/>
  <c r="AC271" i="8"/>
  <c r="AC255" i="8"/>
  <c r="AC251" i="8"/>
  <c r="AC248" i="8"/>
  <c r="AC243" i="8"/>
  <c r="AC241" i="8"/>
  <c r="AC239" i="8"/>
  <c r="AC237" i="8"/>
  <c r="AC227" i="8"/>
  <c r="AC224" i="8"/>
  <c r="AC220" i="8"/>
  <c r="AC218" i="8"/>
  <c r="AC206" i="8"/>
  <c r="AC188" i="8"/>
  <c r="AC185" i="8"/>
  <c r="AC180" i="8"/>
  <c r="AC176" i="8"/>
  <c r="X62" i="11"/>
  <c r="AA62" i="11"/>
  <c r="AM62" i="11"/>
  <c r="AB396" i="8"/>
  <c r="J238" i="18"/>
  <c r="AB238" i="8"/>
  <c r="V283" i="8"/>
  <c r="F362" i="18"/>
  <c r="C362" i="18"/>
  <c r="F361" i="18"/>
  <c r="C361" i="18"/>
  <c r="AA30" i="8"/>
  <c r="AB361" i="8"/>
  <c r="AB362" i="8"/>
  <c r="S55" i="18"/>
  <c r="T55" i="18"/>
  <c r="U55" i="18"/>
  <c r="V55" i="18"/>
  <c r="W55" i="18"/>
  <c r="X55" i="18"/>
  <c r="Y55" i="18"/>
  <c r="Z55" i="18"/>
  <c r="AA55" i="18"/>
  <c r="H341" i="18"/>
  <c r="G341" i="18"/>
  <c r="C341" i="18"/>
  <c r="AB341" i="8"/>
  <c r="AB225" i="8"/>
  <c r="AB211" i="8"/>
  <c r="AB213" i="8"/>
  <c r="AB214" i="8"/>
  <c r="D213" i="18"/>
  <c r="C213" i="18"/>
  <c r="D211" i="18"/>
  <c r="C211" i="18"/>
  <c r="J56" i="18"/>
  <c r="O55" i="18"/>
  <c r="P55" i="18"/>
  <c r="Q55" i="18"/>
  <c r="R55" i="18"/>
  <c r="J275" i="18"/>
  <c r="J274" i="18"/>
  <c r="AB275" i="8"/>
  <c r="AB274" i="8"/>
  <c r="AB407" i="8"/>
  <c r="AA19" i="8"/>
  <c r="O19" i="9" s="1"/>
  <c r="P19" i="9" s="1"/>
  <c r="AA28" i="8"/>
  <c r="AB28" i="8" s="1"/>
  <c r="K51" i="7"/>
  <c r="AB254" i="8"/>
  <c r="D254" i="18"/>
  <c r="C254" i="18"/>
  <c r="AH38" i="11"/>
  <c r="AH39" i="11"/>
  <c r="AF38" i="11"/>
  <c r="AF39" i="11"/>
  <c r="AD38" i="11"/>
  <c r="AE39" i="11"/>
  <c r="AE38" i="11"/>
  <c r="X38" i="11"/>
  <c r="AA38" i="11"/>
  <c r="X39" i="11"/>
  <c r="AA39" i="11"/>
  <c r="Z159" i="8"/>
  <c r="K4" i="9"/>
  <c r="L4" i="22" s="1"/>
  <c r="Q4" i="9"/>
  <c r="Q4" i="10" s="1"/>
  <c r="T4" i="9"/>
  <c r="T4" i="10" s="1"/>
  <c r="U4" i="9"/>
  <c r="U4" i="10" s="1"/>
  <c r="V4" i="9"/>
  <c r="V4" i="10" s="1"/>
  <c r="W4" i="9"/>
  <c r="W4" i="10" s="1"/>
  <c r="AA4" i="8"/>
  <c r="K4" i="7"/>
  <c r="L4" i="7"/>
  <c r="M4" i="7"/>
  <c r="N4" i="7"/>
  <c r="O4" i="7"/>
  <c r="I4" i="7"/>
  <c r="X439" i="8"/>
  <c r="Y439" i="8" s="1"/>
  <c r="K30" i="10"/>
  <c r="J6" i="10"/>
  <c r="J52" i="9"/>
  <c r="J11" i="10" s="1"/>
  <c r="J38" i="9"/>
  <c r="J10" i="10" s="1"/>
  <c r="AB413" i="8"/>
  <c r="J413" i="18"/>
  <c r="X37" i="11"/>
  <c r="AA37" i="11"/>
  <c r="AD37" i="11"/>
  <c r="AE61" i="11"/>
  <c r="X45" i="11"/>
  <c r="AA45" i="11"/>
  <c r="AM45" i="11"/>
  <c r="X40" i="11"/>
  <c r="AE40" i="11"/>
  <c r="X41" i="11"/>
  <c r="AA41" i="11"/>
  <c r="Z171" i="8"/>
  <c r="J58" i="18"/>
  <c r="J57" i="18"/>
  <c r="J55" i="18"/>
  <c r="P122" i="8"/>
  <c r="Q122" i="8"/>
  <c r="R122" i="8"/>
  <c r="S122" i="8"/>
  <c r="T122" i="8"/>
  <c r="U122" i="8"/>
  <c r="V122" i="8"/>
  <c r="AB99" i="11"/>
  <c r="AG99" i="11"/>
  <c r="AJ99" i="11"/>
  <c r="AK99" i="11"/>
  <c r="C357" i="18"/>
  <c r="J357" i="18" s="1"/>
  <c r="G356" i="18"/>
  <c r="C356" i="18"/>
  <c r="AB357" i="8"/>
  <c r="AB356" i="8"/>
  <c r="J334" i="18"/>
  <c r="J333" i="18"/>
  <c r="AB334" i="8"/>
  <c r="F242" i="18"/>
  <c r="C242" i="18"/>
  <c r="AB242" i="8"/>
  <c r="W60" i="11"/>
  <c r="U60" i="11"/>
  <c r="U40" i="20"/>
  <c r="V40" i="20"/>
  <c r="X40" i="20"/>
  <c r="AA40" i="20"/>
  <c r="AI40" i="20"/>
  <c r="AA29" i="8"/>
  <c r="O29" i="9" s="1"/>
  <c r="P29" i="9" s="1"/>
  <c r="AB283" i="18"/>
  <c r="AB369" i="18"/>
  <c r="J401" i="18"/>
  <c r="J396" i="18"/>
  <c r="AD376" i="18"/>
  <c r="J337" i="18"/>
  <c r="J336" i="18"/>
  <c r="J332" i="18"/>
  <c r="J330" i="18"/>
  <c r="J327" i="18"/>
  <c r="J326" i="18"/>
  <c r="J321" i="18"/>
  <c r="J308" i="18"/>
  <c r="J279" i="18"/>
  <c r="J250" i="18"/>
  <c r="J249" i="18"/>
  <c r="J247" i="18"/>
  <c r="J244" i="18"/>
  <c r="J177" i="18"/>
  <c r="AD40" i="18"/>
  <c r="AD19" i="18"/>
  <c r="J24" i="18"/>
  <c r="J19" i="18"/>
  <c r="J15" i="18"/>
  <c r="J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L9" i="22"/>
  <c r="J414" i="9"/>
  <c r="J21" i="10" s="1"/>
  <c r="H8" i="5"/>
  <c r="H17" i="5" s="1"/>
  <c r="AB405" i="8"/>
  <c r="G360" i="18"/>
  <c r="F360" i="18"/>
  <c r="C360" i="18"/>
  <c r="AB355" i="8"/>
  <c r="H353" i="18"/>
  <c r="G353" i="18"/>
  <c r="F353" i="18"/>
  <c r="D353" i="18"/>
  <c r="C353" i="18"/>
  <c r="AB353" i="8"/>
  <c r="AB336" i="8"/>
  <c r="AB332" i="8"/>
  <c r="AB330" i="8"/>
  <c r="AB327" i="8"/>
  <c r="AB326" i="8"/>
  <c r="F312" i="18"/>
  <c r="D312" i="18"/>
  <c r="C312" i="18"/>
  <c r="AB312" i="8"/>
  <c r="F315" i="18"/>
  <c r="D315" i="18"/>
  <c r="C315" i="18"/>
  <c r="F314" i="18"/>
  <c r="D314" i="18"/>
  <c r="C314" i="18"/>
  <c r="F313" i="18"/>
  <c r="D313" i="18"/>
  <c r="C313" i="18"/>
  <c r="AB315" i="8"/>
  <c r="AB314" i="8"/>
  <c r="AB313" i="8"/>
  <c r="F297" i="18"/>
  <c r="D297" i="18"/>
  <c r="C297" i="18"/>
  <c r="AB297" i="8"/>
  <c r="L283" i="8"/>
  <c r="L369" i="8"/>
  <c r="AB270" i="8"/>
  <c r="AB269" i="8"/>
  <c r="J272" i="18"/>
  <c r="AB272" i="8"/>
  <c r="C256" i="18"/>
  <c r="J256" i="18" s="1"/>
  <c r="AB256" i="8"/>
  <c r="C240" i="18"/>
  <c r="AB228" i="8"/>
  <c r="F221" i="18"/>
  <c r="D221" i="18"/>
  <c r="C221" i="18"/>
  <c r="AB221" i="8"/>
  <c r="J355" i="18"/>
  <c r="AB181" i="8"/>
  <c r="F181" i="18"/>
  <c r="D181" i="18"/>
  <c r="C181" i="18"/>
  <c r="AB177" i="8"/>
  <c r="AB175" i="8"/>
  <c r="G175" i="18"/>
  <c r="F175" i="18"/>
  <c r="D175" i="18"/>
  <c r="C175" i="18"/>
  <c r="G174" i="18"/>
  <c r="F174" i="18"/>
  <c r="D174" i="18"/>
  <c r="C174" i="18"/>
  <c r="AB337" i="8"/>
  <c r="AB321" i="8"/>
  <c r="AI2" i="19"/>
  <c r="AI1" i="19"/>
  <c r="AH1" i="19"/>
  <c r="AI2" i="16"/>
  <c r="AI1" i="16"/>
  <c r="AH1" i="16"/>
  <c r="AI2" i="15"/>
  <c r="AI1" i="15"/>
  <c r="AH1" i="15"/>
  <c r="AI2" i="14"/>
  <c r="AI1" i="14"/>
  <c r="AH1" i="14"/>
  <c r="AI2" i="13"/>
  <c r="AI1" i="13"/>
  <c r="AH1" i="13"/>
  <c r="AH1" i="12"/>
  <c r="T6" i="11"/>
  <c r="W27" i="12"/>
  <c r="W28" i="12"/>
  <c r="W108" i="12"/>
  <c r="X108" i="12"/>
  <c r="AA108" i="12" s="1"/>
  <c r="AH108" i="12" s="1"/>
  <c r="W112" i="12"/>
  <c r="X112" i="12"/>
  <c r="AA112" i="12" s="1"/>
  <c r="AI112" i="12" s="1"/>
  <c r="W113" i="12"/>
  <c r="X113" i="12"/>
  <c r="W114" i="12"/>
  <c r="X114" i="12"/>
  <c r="AE114" i="12" s="1"/>
  <c r="W115" i="12"/>
  <c r="X115" i="12"/>
  <c r="AA115" i="12" s="1"/>
  <c r="W116" i="12"/>
  <c r="X116" i="12"/>
  <c r="AA116" i="12" s="1"/>
  <c r="W100" i="12"/>
  <c r="W117" i="12"/>
  <c r="X117" i="12"/>
  <c r="AA117" i="12"/>
  <c r="AI117" i="12" s="1"/>
  <c r="W41" i="12"/>
  <c r="W118" i="12"/>
  <c r="X118" i="12"/>
  <c r="AA118" i="12"/>
  <c r="W119" i="12"/>
  <c r="X119" i="12"/>
  <c r="AA119" i="12"/>
  <c r="W120" i="12"/>
  <c r="X120" i="12"/>
  <c r="AA120" i="12" s="1"/>
  <c r="W117" i="16"/>
  <c r="T117" i="16"/>
  <c r="W118" i="16"/>
  <c r="T118" i="16"/>
  <c r="W128" i="16"/>
  <c r="T128" i="16"/>
  <c r="W120" i="16"/>
  <c r="T120" i="16"/>
  <c r="U105" i="16"/>
  <c r="U105" i="19" s="1"/>
  <c r="V105" i="19" s="1"/>
  <c r="W124" i="16"/>
  <c r="T124" i="15"/>
  <c r="T112" i="15"/>
  <c r="T113" i="16"/>
  <c r="X118" i="15"/>
  <c r="AA118" i="15" s="1"/>
  <c r="AM118" i="15" s="1"/>
  <c r="W105" i="14"/>
  <c r="W22" i="12"/>
  <c r="X22" i="12" s="1"/>
  <c r="AE22" i="12" s="1"/>
  <c r="W33" i="12"/>
  <c r="W29" i="12"/>
  <c r="V50" i="12"/>
  <c r="W50" i="12"/>
  <c r="X50" i="12"/>
  <c r="AE50" i="12"/>
  <c r="W54" i="12"/>
  <c r="W24" i="12"/>
  <c r="T124" i="14"/>
  <c r="U124" i="14"/>
  <c r="AA117" i="13"/>
  <c r="AI117" i="13" s="1"/>
  <c r="T112" i="14"/>
  <c r="B129" i="12"/>
  <c r="B130" i="13"/>
  <c r="B130" i="14" s="1"/>
  <c r="B130" i="15" s="1"/>
  <c r="C129" i="12"/>
  <c r="C130" i="13"/>
  <c r="C130" i="14"/>
  <c r="C130" i="15" s="1"/>
  <c r="E129" i="12"/>
  <c r="E130" i="13"/>
  <c r="E130" i="14" s="1"/>
  <c r="E130" i="15" s="1"/>
  <c r="F129" i="12"/>
  <c r="F130" i="13"/>
  <c r="F130" i="14" s="1"/>
  <c r="F130" i="15" s="1"/>
  <c r="G129" i="12"/>
  <c r="G130" i="13"/>
  <c r="G130" i="14" s="1"/>
  <c r="G130" i="15" s="1"/>
  <c r="G130" i="16" s="1"/>
  <c r="I129" i="12"/>
  <c r="I130" i="13"/>
  <c r="I130" i="14"/>
  <c r="I130" i="15" s="1"/>
  <c r="J129" i="12"/>
  <c r="J130" i="13"/>
  <c r="J130" i="14" s="1"/>
  <c r="J130" i="15" s="1"/>
  <c r="K129" i="12"/>
  <c r="K130" i="13"/>
  <c r="K130" i="14" s="1"/>
  <c r="K130" i="15" s="1"/>
  <c r="L129" i="12"/>
  <c r="L130" i="13"/>
  <c r="L130" i="14"/>
  <c r="L130" i="15" s="1"/>
  <c r="M129" i="12"/>
  <c r="N129" i="12"/>
  <c r="N130" i="13"/>
  <c r="N130" i="14"/>
  <c r="N130" i="15" s="1"/>
  <c r="O129" i="12"/>
  <c r="O130" i="13"/>
  <c r="O130" i="14" s="1"/>
  <c r="O130" i="15" s="1"/>
  <c r="O130" i="19" s="1"/>
  <c r="P129" i="12"/>
  <c r="Q129" i="12"/>
  <c r="Q130" i="13"/>
  <c r="Q130" i="14" s="1"/>
  <c r="Q130" i="15" s="1"/>
  <c r="R129" i="12"/>
  <c r="S129" i="12"/>
  <c r="S130" i="13"/>
  <c r="S130" i="14" s="1"/>
  <c r="S130" i="15" s="1"/>
  <c r="V129" i="12"/>
  <c r="J8" i="10"/>
  <c r="AB232" i="8"/>
  <c r="AB230" i="8"/>
  <c r="AB229" i="8"/>
  <c r="F216" i="18"/>
  <c r="D216" i="18"/>
  <c r="C216" i="18"/>
  <c r="O17" i="9"/>
  <c r="P17" i="9" s="1"/>
  <c r="T114" i="15"/>
  <c r="W112" i="16"/>
  <c r="T114" i="16"/>
  <c r="AC131" i="20"/>
  <c r="AL131" i="20"/>
  <c r="AN131" i="20"/>
  <c r="X94" i="11"/>
  <c r="AE94" i="11"/>
  <c r="X95" i="11"/>
  <c r="AE95" i="11"/>
  <c r="X96" i="11"/>
  <c r="X6" i="11"/>
  <c r="AA6" i="11"/>
  <c r="W10" i="11"/>
  <c r="W11" i="11"/>
  <c r="W13" i="11"/>
  <c r="W15" i="11"/>
  <c r="W17" i="11"/>
  <c r="W18" i="11"/>
  <c r="W19" i="11"/>
  <c r="W21" i="11"/>
  <c r="W22" i="11"/>
  <c r="W92" i="11"/>
  <c r="W25" i="11"/>
  <c r="W26" i="11"/>
  <c r="W30" i="11"/>
  <c r="W31" i="11"/>
  <c r="W34" i="11"/>
  <c r="W32" i="11"/>
  <c r="W35" i="11"/>
  <c r="W36" i="11"/>
  <c r="W20" i="11"/>
  <c r="W94" i="11"/>
  <c r="W95" i="11"/>
  <c r="W6" i="11"/>
  <c r="V7" i="11"/>
  <c r="X7" i="11"/>
  <c r="V8" i="11"/>
  <c r="W8" i="11"/>
  <c r="V9" i="11"/>
  <c r="W9" i="11"/>
  <c r="X9" i="11"/>
  <c r="AE9" i="11"/>
  <c r="V10" i="11"/>
  <c r="X10" i="11"/>
  <c r="AE10" i="11"/>
  <c r="V11" i="11"/>
  <c r="X11" i="11"/>
  <c r="V12" i="11"/>
  <c r="W12" i="11"/>
  <c r="X12" i="11"/>
  <c r="AE12" i="11"/>
  <c r="V13" i="11"/>
  <c r="X13" i="11"/>
  <c r="V14" i="11"/>
  <c r="W14" i="11"/>
  <c r="X14" i="11"/>
  <c r="AA14" i="11"/>
  <c r="V15" i="11"/>
  <c r="X15" i="11"/>
  <c r="AA15" i="11"/>
  <c r="AF15" i="11"/>
  <c r="V16" i="11"/>
  <c r="W16" i="11"/>
  <c r="X16" i="11"/>
  <c r="V17" i="11"/>
  <c r="X17" i="11"/>
  <c r="AE17" i="11"/>
  <c r="V18" i="11"/>
  <c r="X18" i="11"/>
  <c r="AE18" i="11"/>
  <c r="V19" i="11"/>
  <c r="X19" i="11"/>
  <c r="AE19" i="11"/>
  <c r="V37" i="11"/>
  <c r="W37" i="11"/>
  <c r="V21" i="11"/>
  <c r="X21" i="11"/>
  <c r="AE21" i="11"/>
  <c r="V61" i="11"/>
  <c r="W61" i="11"/>
  <c r="X22" i="11"/>
  <c r="AA22" i="11"/>
  <c r="AM22" i="11"/>
  <c r="V24" i="11"/>
  <c r="W24" i="11"/>
  <c r="X24" i="11"/>
  <c r="V92" i="11"/>
  <c r="X92" i="11"/>
  <c r="AE92" i="11"/>
  <c r="V25" i="11"/>
  <c r="X25" i="11"/>
  <c r="AA25" i="11"/>
  <c r="X26" i="11"/>
  <c r="AE26" i="11"/>
  <c r="V93" i="11"/>
  <c r="W93" i="11"/>
  <c r="X93" i="11"/>
  <c r="AA93" i="11"/>
  <c r="AF93" i="11"/>
  <c r="V28" i="11"/>
  <c r="W28" i="11"/>
  <c r="X28" i="11"/>
  <c r="V29" i="11"/>
  <c r="W29" i="11"/>
  <c r="X29" i="11"/>
  <c r="V30" i="11"/>
  <c r="X30" i="11"/>
  <c r="AE30" i="11"/>
  <c r="V31" i="11"/>
  <c r="X31" i="11"/>
  <c r="AA31" i="11"/>
  <c r="V34" i="11"/>
  <c r="X34" i="11"/>
  <c r="V32" i="11"/>
  <c r="X32" i="11"/>
  <c r="V33" i="11"/>
  <c r="W33" i="11"/>
  <c r="X33" i="11"/>
  <c r="V35" i="11"/>
  <c r="X35" i="11"/>
  <c r="AA35" i="11"/>
  <c r="V36" i="11"/>
  <c r="X36" i="11"/>
  <c r="V20" i="11"/>
  <c r="X20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1" i="11"/>
  <c r="T22" i="11"/>
  <c r="T24" i="11"/>
  <c r="T25" i="11"/>
  <c r="T26" i="11"/>
  <c r="U26" i="11"/>
  <c r="X83" i="12"/>
  <c r="AE83" i="12" s="1"/>
  <c r="T28" i="11"/>
  <c r="T29" i="11"/>
  <c r="T30" i="11"/>
  <c r="T31" i="11"/>
  <c r="T34" i="11"/>
  <c r="T32" i="11"/>
  <c r="T33" i="11"/>
  <c r="T35" i="11"/>
  <c r="T36" i="11"/>
  <c r="T20" i="11"/>
  <c r="AK131" i="19"/>
  <c r="V170" i="9" s="1"/>
  <c r="AJ131" i="19"/>
  <c r="V169" i="9" s="1"/>
  <c r="AG131" i="19"/>
  <c r="V166" i="9" s="1"/>
  <c r="Z131" i="19"/>
  <c r="Y131" i="19"/>
  <c r="A1" i="19"/>
  <c r="W433" i="9"/>
  <c r="W27" i="10" s="1"/>
  <c r="AA24" i="8"/>
  <c r="AA27" i="8"/>
  <c r="O27" i="9" s="1"/>
  <c r="P27" i="9" s="1"/>
  <c r="K47" i="7"/>
  <c r="J46" i="7"/>
  <c r="Q46" i="9"/>
  <c r="K45" i="7"/>
  <c r="K48" i="7"/>
  <c r="S48" i="9"/>
  <c r="K49" i="7"/>
  <c r="S49" i="9"/>
  <c r="AA61" i="11"/>
  <c r="AB3" i="4"/>
  <c r="AA3" i="4"/>
  <c r="AC2" i="4"/>
  <c r="H40" i="3"/>
  <c r="I65" i="2"/>
  <c r="E8" i="2"/>
  <c r="E27" i="2" s="1"/>
  <c r="F8" i="2"/>
  <c r="G8" i="2"/>
  <c r="G27" i="2" s="1"/>
  <c r="H8" i="2"/>
  <c r="H27" i="2" s="1"/>
  <c r="I8" i="2"/>
  <c r="I27" i="2" s="1"/>
  <c r="E9" i="2"/>
  <c r="F9" i="2"/>
  <c r="G9" i="2"/>
  <c r="H9" i="2"/>
  <c r="I9" i="2"/>
  <c r="E10" i="2"/>
  <c r="F10" i="2"/>
  <c r="G10" i="2"/>
  <c r="H10" i="2"/>
  <c r="I10" i="2"/>
  <c r="E11" i="2"/>
  <c r="F11" i="2"/>
  <c r="G11" i="2"/>
  <c r="H11" i="2"/>
  <c r="I11" i="2"/>
  <c r="E12" i="2"/>
  <c r="F12" i="2"/>
  <c r="G12" i="2"/>
  <c r="H12" i="2"/>
  <c r="I12" i="2"/>
  <c r="E13" i="2"/>
  <c r="F13" i="2"/>
  <c r="G13" i="2"/>
  <c r="H13" i="2"/>
  <c r="I13" i="2"/>
  <c r="E14" i="2"/>
  <c r="F14" i="2"/>
  <c r="G14" i="2"/>
  <c r="H14" i="2"/>
  <c r="I14" i="2"/>
  <c r="E15" i="2"/>
  <c r="F15" i="2"/>
  <c r="G15" i="2"/>
  <c r="H15" i="2"/>
  <c r="I15" i="2"/>
  <c r="I7" i="2"/>
  <c r="I26" i="2" s="1"/>
  <c r="H7" i="2"/>
  <c r="H26" i="2" s="1"/>
  <c r="G7" i="2"/>
  <c r="G26" i="2" s="1"/>
  <c r="F7" i="2"/>
  <c r="F26" i="2" s="1"/>
  <c r="E7" i="2"/>
  <c r="E47" i="2"/>
  <c r="F47" i="2"/>
  <c r="G47" i="2"/>
  <c r="H47" i="2"/>
  <c r="I47" i="2"/>
  <c r="C47" i="2"/>
  <c r="C8" i="2"/>
  <c r="C27" i="2" s="1"/>
  <c r="D8" i="2"/>
  <c r="D27" i="2" s="1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H38" i="3"/>
  <c r="C7" i="2"/>
  <c r="C26" i="2" s="1"/>
  <c r="D7" i="2"/>
  <c r="F382" i="18"/>
  <c r="D382" i="18"/>
  <c r="C382" i="18"/>
  <c r="H389" i="18"/>
  <c r="F389" i="18"/>
  <c r="D389" i="18"/>
  <c r="C389" i="18"/>
  <c r="H380" i="18"/>
  <c r="F380" i="18"/>
  <c r="D380" i="18"/>
  <c r="C380" i="18"/>
  <c r="H378" i="18"/>
  <c r="F378" i="18"/>
  <c r="D378" i="18"/>
  <c r="C378" i="18"/>
  <c r="H376" i="18"/>
  <c r="G376" i="18"/>
  <c r="F376" i="18"/>
  <c r="D376" i="18"/>
  <c r="C376" i="18"/>
  <c r="AF374" i="18"/>
  <c r="J368" i="18"/>
  <c r="H328" i="18"/>
  <c r="G328" i="18"/>
  <c r="F328" i="18"/>
  <c r="D328" i="18"/>
  <c r="C328" i="18"/>
  <c r="H319" i="18"/>
  <c r="G319" i="18"/>
  <c r="F319" i="18"/>
  <c r="D319" i="18"/>
  <c r="C319" i="18"/>
  <c r="F317" i="18"/>
  <c r="D317" i="18"/>
  <c r="C317" i="18"/>
  <c r="F316" i="18"/>
  <c r="D316" i="18"/>
  <c r="C316" i="18"/>
  <c r="H311" i="18"/>
  <c r="F311" i="18"/>
  <c r="D311" i="18"/>
  <c r="C311" i="18"/>
  <c r="H299" i="18"/>
  <c r="F299" i="18"/>
  <c r="D299" i="18"/>
  <c r="C299" i="18"/>
  <c r="H296" i="18"/>
  <c r="F296" i="18"/>
  <c r="D296" i="18"/>
  <c r="C296" i="18"/>
  <c r="H292" i="18"/>
  <c r="F292" i="18"/>
  <c r="D292" i="18"/>
  <c r="C292" i="18"/>
  <c r="H290" i="18"/>
  <c r="G290" i="18"/>
  <c r="F290" i="18"/>
  <c r="D290" i="18"/>
  <c r="C290" i="18"/>
  <c r="H289" i="18"/>
  <c r="G289" i="18"/>
  <c r="F289" i="18"/>
  <c r="D289" i="18"/>
  <c r="C289" i="18"/>
  <c r="H288" i="18"/>
  <c r="G288" i="18"/>
  <c r="F288" i="18"/>
  <c r="D288" i="18"/>
  <c r="C288" i="18"/>
  <c r="H287" i="18"/>
  <c r="G287" i="18"/>
  <c r="F287" i="18"/>
  <c r="D287" i="18"/>
  <c r="C287" i="18"/>
  <c r="H286" i="18"/>
  <c r="G286" i="18"/>
  <c r="F286" i="18"/>
  <c r="D286" i="18"/>
  <c r="C286" i="18"/>
  <c r="H285" i="18"/>
  <c r="G285" i="18"/>
  <c r="F285" i="18"/>
  <c r="D285" i="18"/>
  <c r="C285" i="18"/>
  <c r="F253" i="18"/>
  <c r="D253" i="18"/>
  <c r="C253" i="18"/>
  <c r="F252" i="18"/>
  <c r="D252" i="18"/>
  <c r="C252" i="18"/>
  <c r="H219" i="18"/>
  <c r="G219" i="18"/>
  <c r="F219" i="18"/>
  <c r="D219" i="18"/>
  <c r="C219" i="18"/>
  <c r="H217" i="18"/>
  <c r="F217" i="18"/>
  <c r="D217" i="18"/>
  <c r="C217" i="18"/>
  <c r="H215" i="18"/>
  <c r="F215" i="18"/>
  <c r="D215" i="18"/>
  <c r="C215" i="18"/>
  <c r="F210" i="18"/>
  <c r="D210" i="18"/>
  <c r="C210" i="18"/>
  <c r="F209" i="18"/>
  <c r="D209" i="18"/>
  <c r="C209" i="18"/>
  <c r="H208" i="18"/>
  <c r="F208" i="18"/>
  <c r="D208" i="18"/>
  <c r="C208" i="18"/>
  <c r="H207" i="18"/>
  <c r="F207" i="18"/>
  <c r="D207" i="18"/>
  <c r="C207" i="18"/>
  <c r="H187" i="18"/>
  <c r="F187" i="18"/>
  <c r="D187" i="18"/>
  <c r="C187" i="18"/>
  <c r="H186" i="18"/>
  <c r="F186" i="18"/>
  <c r="D186" i="18"/>
  <c r="C186" i="18"/>
  <c r="H184" i="18"/>
  <c r="F184" i="18"/>
  <c r="D184" i="18"/>
  <c r="C184" i="18"/>
  <c r="H183" i="18"/>
  <c r="F183" i="18"/>
  <c r="D183" i="18"/>
  <c r="C183" i="18"/>
  <c r="H179" i="18"/>
  <c r="F179" i="18"/>
  <c r="D179" i="18"/>
  <c r="C179" i="18"/>
  <c r="H170" i="18"/>
  <c r="J170" i="18" s="1"/>
  <c r="H169" i="18"/>
  <c r="J169" i="18" s="1"/>
  <c r="H168" i="18"/>
  <c r="J168" i="18" s="1"/>
  <c r="H167" i="18"/>
  <c r="J167" i="18" s="1"/>
  <c r="H166" i="18"/>
  <c r="J166" i="18" s="1"/>
  <c r="H165" i="18"/>
  <c r="J165" i="18" s="1"/>
  <c r="H164" i="18"/>
  <c r="J164" i="18" s="1"/>
  <c r="H163" i="18"/>
  <c r="J163" i="18" s="1"/>
  <c r="H162" i="18"/>
  <c r="J162" i="18" s="1"/>
  <c r="H85" i="18"/>
  <c r="J85" i="18" s="1"/>
  <c r="AD9" i="18"/>
  <c r="P9" i="18"/>
  <c r="Q9" i="18"/>
  <c r="R9" i="18"/>
  <c r="S9" i="18"/>
  <c r="T9" i="18"/>
  <c r="U9" i="18"/>
  <c r="V9" i="18"/>
  <c r="W9" i="18"/>
  <c r="X9" i="18"/>
  <c r="Y9" i="18"/>
  <c r="Z9" i="18"/>
  <c r="AA9" i="18"/>
  <c r="O9" i="18"/>
  <c r="AD6" i="18"/>
  <c r="C2" i="11"/>
  <c r="AB376" i="8"/>
  <c r="AA439" i="8"/>
  <c r="AB439" i="8" s="1"/>
  <c r="N414" i="8"/>
  <c r="O171" i="8"/>
  <c r="P171" i="8"/>
  <c r="Q171" i="8"/>
  <c r="R171" i="8"/>
  <c r="S171" i="8"/>
  <c r="T171" i="8"/>
  <c r="U171" i="8"/>
  <c r="V171" i="8"/>
  <c r="AB372" i="8"/>
  <c r="AB374" i="8" s="1"/>
  <c r="AA21" i="8"/>
  <c r="AB21" i="8" s="1"/>
  <c r="AA20" i="8"/>
  <c r="O20" i="9" s="1"/>
  <c r="P20" i="9" s="1"/>
  <c r="O16" i="9"/>
  <c r="P16" i="9" s="1"/>
  <c r="O14" i="9"/>
  <c r="P14" i="9" s="1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B287" i="8"/>
  <c r="AB288" i="8"/>
  <c r="AB289" i="8"/>
  <c r="AB290" i="8"/>
  <c r="AB292" i="8"/>
  <c r="AB296" i="8"/>
  <c r="AB299" i="8"/>
  <c r="AB307" i="8"/>
  <c r="AB309" i="8"/>
  <c r="AB311" i="8"/>
  <c r="AB317" i="8"/>
  <c r="AB319" i="8"/>
  <c r="AB328" i="8"/>
  <c r="AB368" i="8"/>
  <c r="AB285" i="8"/>
  <c r="AB286" i="8"/>
  <c r="AB384" i="8"/>
  <c r="AB382" i="8"/>
  <c r="AB380" i="8"/>
  <c r="AB401" i="8"/>
  <c r="AB389" i="8"/>
  <c r="AB378" i="8"/>
  <c r="AB183" i="8"/>
  <c r="AB252" i="8"/>
  <c r="AB219" i="8"/>
  <c r="AB199" i="8"/>
  <c r="AB244" i="8"/>
  <c r="AB209" i="8"/>
  <c r="AB279" i="8"/>
  <c r="AB249" i="8"/>
  <c r="AB208" i="8"/>
  <c r="AB194" i="8"/>
  <c r="AB186" i="8"/>
  <c r="AB179" i="8"/>
  <c r="AB247" i="8"/>
  <c r="AB210" i="8"/>
  <c r="AB195" i="8"/>
  <c r="AB250" i="8"/>
  <c r="AB217" i="8"/>
  <c r="AB187" i="8"/>
  <c r="AB253" i="8"/>
  <c r="AB207" i="8"/>
  <c r="AB192" i="8"/>
  <c r="W429" i="8"/>
  <c r="J433" i="8"/>
  <c r="W433" i="8"/>
  <c r="Z433" i="8"/>
  <c r="J433" i="9"/>
  <c r="J27" i="10" s="1"/>
  <c r="AB434" i="8"/>
  <c r="W437" i="9"/>
  <c r="W28" i="10" s="1"/>
  <c r="J437" i="8"/>
  <c r="W437" i="8"/>
  <c r="Z437" i="8"/>
  <c r="J437" i="9"/>
  <c r="J28" i="10" s="1"/>
  <c r="AF416" i="18"/>
  <c r="AF415" i="18"/>
  <c r="AF414" i="18"/>
  <c r="AF369" i="18"/>
  <c r="AF283" i="18"/>
  <c r="AF172" i="18"/>
  <c r="AF171" i="18"/>
  <c r="E49" i="18"/>
  <c r="D49" i="18"/>
  <c r="C49" i="18"/>
  <c r="E48" i="18"/>
  <c r="D48" i="18"/>
  <c r="C48" i="18"/>
  <c r="B48" i="18"/>
  <c r="E45" i="18"/>
  <c r="D45" i="18"/>
  <c r="C45" i="18"/>
  <c r="B45" i="18"/>
  <c r="E44" i="18"/>
  <c r="D44" i="18"/>
  <c r="C44" i="18"/>
  <c r="J44" i="18" s="1"/>
  <c r="B44" i="18"/>
  <c r="E40" i="18"/>
  <c r="D40" i="18"/>
  <c r="C40" i="18"/>
  <c r="B40" i="18"/>
  <c r="E27" i="18"/>
  <c r="D27" i="18"/>
  <c r="C27" i="18"/>
  <c r="J27" i="18" s="1"/>
  <c r="B27" i="18"/>
  <c r="E22" i="18"/>
  <c r="D22" i="18"/>
  <c r="C22" i="18"/>
  <c r="B22" i="18"/>
  <c r="E21" i="18"/>
  <c r="D21" i="18"/>
  <c r="C21" i="18"/>
  <c r="J21" i="18" s="1"/>
  <c r="B21" i="18"/>
  <c r="E20" i="18"/>
  <c r="D20" i="18"/>
  <c r="C20" i="18"/>
  <c r="B20" i="18"/>
  <c r="E16" i="18"/>
  <c r="D16" i="18"/>
  <c r="C16" i="18"/>
  <c r="J16" i="18" s="1"/>
  <c r="B16" i="18"/>
  <c r="E14" i="18"/>
  <c r="D14" i="18"/>
  <c r="C14" i="18"/>
  <c r="B14" i="18"/>
  <c r="D10" i="18"/>
  <c r="C10" i="18"/>
  <c r="B10" i="18"/>
  <c r="E9" i="18"/>
  <c r="D9" i="18"/>
  <c r="C9" i="18"/>
  <c r="B9" i="18"/>
  <c r="B1" i="18"/>
  <c r="A129" i="12"/>
  <c r="A130" i="13"/>
  <c r="A130" i="14" s="1"/>
  <c r="A130" i="15" s="1"/>
  <c r="A130" i="19" s="1"/>
  <c r="U6" i="12"/>
  <c r="V6" i="12"/>
  <c r="S6" i="12"/>
  <c r="S6" i="13"/>
  <c r="S6" i="14"/>
  <c r="S6" i="15" s="1"/>
  <c r="S6" i="16" s="1"/>
  <c r="R6" i="12"/>
  <c r="R6" i="13"/>
  <c r="Q6" i="12"/>
  <c r="Q6" i="13"/>
  <c r="Q6" i="14"/>
  <c r="Q6" i="15" s="1"/>
  <c r="Q6" i="19" s="1"/>
  <c r="Q6" i="26" s="1"/>
  <c r="P6" i="12"/>
  <c r="W6" i="12"/>
  <c r="O6" i="12"/>
  <c r="O6" i="13"/>
  <c r="O6" i="14" s="1"/>
  <c r="O6" i="15" s="1"/>
  <c r="O6" i="16" s="1"/>
  <c r="N6" i="12"/>
  <c r="N6" i="13"/>
  <c r="M6" i="12"/>
  <c r="L6" i="12"/>
  <c r="L6" i="13"/>
  <c r="L6" i="14"/>
  <c r="L6" i="15" s="1"/>
  <c r="K6" i="12"/>
  <c r="K6" i="13"/>
  <c r="K6" i="14" s="1"/>
  <c r="K6" i="15" s="1"/>
  <c r="J6" i="12"/>
  <c r="J6" i="13"/>
  <c r="J6" i="14"/>
  <c r="J6" i="15" s="1"/>
  <c r="J6" i="16" s="1"/>
  <c r="I6" i="12"/>
  <c r="I6" i="13"/>
  <c r="I6" i="14"/>
  <c r="I6" i="15" s="1"/>
  <c r="G6" i="12"/>
  <c r="G6" i="13"/>
  <c r="G6" i="14"/>
  <c r="G6" i="15" s="1"/>
  <c r="F6" i="12"/>
  <c r="F6" i="13"/>
  <c r="F6" i="14" s="1"/>
  <c r="E6" i="12"/>
  <c r="E6" i="13"/>
  <c r="E6" i="14" s="1"/>
  <c r="E6" i="15" s="1"/>
  <c r="C6" i="12"/>
  <c r="C6" i="13"/>
  <c r="C6" i="14" s="1"/>
  <c r="C6" i="15" s="1"/>
  <c r="C6" i="19" s="1"/>
  <c r="C6" i="26" s="1"/>
  <c r="B6" i="12"/>
  <c r="A6" i="12"/>
  <c r="A6" i="13"/>
  <c r="A6" i="14" s="1"/>
  <c r="A6" i="15" s="1"/>
  <c r="A6" i="19" s="1"/>
  <c r="A6" i="26" s="1"/>
  <c r="W1" i="13"/>
  <c r="W1" i="14"/>
  <c r="A1" i="12"/>
  <c r="A1" i="13"/>
  <c r="A1" i="14"/>
  <c r="A1" i="15"/>
  <c r="A1" i="16"/>
  <c r="A1" i="11"/>
  <c r="AK131" i="16"/>
  <c r="U170" i="9" s="1"/>
  <c r="AJ131" i="16"/>
  <c r="U169" i="9" s="1"/>
  <c r="AG131" i="16"/>
  <c r="U166" i="9" s="1"/>
  <c r="Z131" i="16"/>
  <c r="Y131" i="16"/>
  <c r="AK131" i="15"/>
  <c r="T170" i="9" s="1"/>
  <c r="AJ131" i="15"/>
  <c r="T169" i="9" s="1"/>
  <c r="AG131" i="15"/>
  <c r="T166" i="9" s="1"/>
  <c r="Z131" i="15"/>
  <c r="Y131" i="15"/>
  <c r="AK131" i="14"/>
  <c r="S170" i="9" s="1"/>
  <c r="AJ131" i="14"/>
  <c r="S169" i="9" s="1"/>
  <c r="AG131" i="14"/>
  <c r="S166" i="9" s="1"/>
  <c r="Z131" i="14"/>
  <c r="Y131" i="14"/>
  <c r="AK131" i="13"/>
  <c r="AJ131" i="13"/>
  <c r="AG131" i="13"/>
  <c r="Z131" i="13"/>
  <c r="Y131" i="13"/>
  <c r="V96" i="11"/>
  <c r="W96" i="11"/>
  <c r="T96" i="11"/>
  <c r="AK130" i="12"/>
  <c r="AJ130" i="12"/>
  <c r="AG130" i="12"/>
  <c r="Z130" i="12"/>
  <c r="Y130" i="12"/>
  <c r="AG97" i="11"/>
  <c r="AJ97" i="11"/>
  <c r="AK97" i="11"/>
  <c r="V6" i="11"/>
  <c r="AC6" i="11"/>
  <c r="B1" i="10"/>
  <c r="Q433" i="9"/>
  <c r="Q27" i="10" s="1"/>
  <c r="T433" i="9"/>
  <c r="T27" i="10" s="1"/>
  <c r="U433" i="9"/>
  <c r="U27" i="10" s="1"/>
  <c r="V433" i="9"/>
  <c r="V27" i="10" s="1"/>
  <c r="Q28" i="10"/>
  <c r="T437" i="9"/>
  <c r="T28" i="10" s="1"/>
  <c r="U437" i="9"/>
  <c r="U28" i="10" s="1"/>
  <c r="V437" i="9"/>
  <c r="V28" i="10" s="1"/>
  <c r="E49" i="9"/>
  <c r="C49" i="9"/>
  <c r="E48" i="9"/>
  <c r="C48" i="9"/>
  <c r="B48" i="9"/>
  <c r="E45" i="9"/>
  <c r="C45" i="9"/>
  <c r="B45" i="9"/>
  <c r="E44" i="9"/>
  <c r="C44" i="9"/>
  <c r="B44" i="9"/>
  <c r="E40" i="9"/>
  <c r="C40" i="9"/>
  <c r="B40" i="9"/>
  <c r="E27" i="9"/>
  <c r="C27" i="9"/>
  <c r="B27" i="9"/>
  <c r="E22" i="9"/>
  <c r="C22" i="9"/>
  <c r="B22" i="9"/>
  <c r="E21" i="9"/>
  <c r="C21" i="9"/>
  <c r="B21" i="9"/>
  <c r="E20" i="9"/>
  <c r="C20" i="9"/>
  <c r="B20" i="9"/>
  <c r="E16" i="9"/>
  <c r="C16" i="9"/>
  <c r="B16" i="9"/>
  <c r="E14" i="9"/>
  <c r="C14" i="9"/>
  <c r="B14" i="9"/>
  <c r="C10" i="9"/>
  <c r="B10" i="9"/>
  <c r="E9" i="9"/>
  <c r="C9" i="9"/>
  <c r="B9" i="9"/>
  <c r="B1" i="9"/>
  <c r="Z414" i="8"/>
  <c r="L414" i="8"/>
  <c r="M414" i="8"/>
  <c r="O414" i="8"/>
  <c r="P414" i="8"/>
  <c r="Q414" i="8"/>
  <c r="R414" i="8"/>
  <c r="S414" i="8"/>
  <c r="T414" i="8"/>
  <c r="U414" i="8"/>
  <c r="V414" i="8"/>
  <c r="J414" i="8"/>
  <c r="Z369" i="8"/>
  <c r="N369" i="8"/>
  <c r="O369" i="8"/>
  <c r="P369" i="8"/>
  <c r="Q369" i="8"/>
  <c r="R369" i="8"/>
  <c r="S369" i="8"/>
  <c r="T369" i="8"/>
  <c r="U369" i="8"/>
  <c r="J369" i="8"/>
  <c r="U159" i="8"/>
  <c r="T159" i="8"/>
  <c r="S159" i="8"/>
  <c r="R159" i="8"/>
  <c r="Q159" i="8"/>
  <c r="P159" i="8"/>
  <c r="O159" i="8"/>
  <c r="K283" i="8"/>
  <c r="K369" i="8"/>
  <c r="M283" i="8"/>
  <c r="M369" i="8"/>
  <c r="N283" i="8"/>
  <c r="O283" i="8"/>
  <c r="P283" i="8"/>
  <c r="Q283" i="8"/>
  <c r="R283" i="8"/>
  <c r="S283" i="8"/>
  <c r="T283" i="8"/>
  <c r="U283" i="8"/>
  <c r="V369" i="8"/>
  <c r="J283" i="8"/>
  <c r="C9" i="8"/>
  <c r="B9" i="8"/>
  <c r="Z18" i="8"/>
  <c r="Z38" i="8"/>
  <c r="Z52" i="8"/>
  <c r="R18" i="8"/>
  <c r="P18" i="8"/>
  <c r="Q18" i="8"/>
  <c r="S18" i="8"/>
  <c r="T18" i="8"/>
  <c r="U18" i="8"/>
  <c r="V18" i="8"/>
  <c r="P38" i="8"/>
  <c r="Q38" i="8"/>
  <c r="R38" i="8"/>
  <c r="S38" i="8"/>
  <c r="T38" i="8"/>
  <c r="U38" i="8"/>
  <c r="V38" i="8"/>
  <c r="P52" i="8"/>
  <c r="Q52" i="8"/>
  <c r="R52" i="8"/>
  <c r="S52" i="8"/>
  <c r="T52" i="8"/>
  <c r="U52" i="8"/>
  <c r="V52" i="8"/>
  <c r="O52" i="8"/>
  <c r="N52" i="8"/>
  <c r="M52" i="8"/>
  <c r="L52" i="8"/>
  <c r="K52" i="8"/>
  <c r="J52" i="8"/>
  <c r="M38" i="8"/>
  <c r="L38" i="8"/>
  <c r="O38" i="8"/>
  <c r="N38" i="8"/>
  <c r="K38" i="8"/>
  <c r="J38" i="8"/>
  <c r="O18" i="8"/>
  <c r="N18" i="8"/>
  <c r="M18" i="8"/>
  <c r="L18" i="8"/>
  <c r="K18" i="8"/>
  <c r="J18" i="8"/>
  <c r="B1" i="8"/>
  <c r="I52" i="7"/>
  <c r="B1" i="7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2" i="6"/>
  <c r="I3" i="6"/>
  <c r="G17" i="5"/>
  <c r="U6" i="8"/>
  <c r="F17" i="5"/>
  <c r="R6" i="8"/>
  <c r="E17" i="5"/>
  <c r="O6" i="8"/>
  <c r="D17" i="5"/>
  <c r="L6" i="8"/>
  <c r="H11" i="5"/>
  <c r="H10" i="5"/>
  <c r="H9" i="5"/>
  <c r="I3" i="5"/>
  <c r="B3" i="5"/>
  <c r="B6" i="5"/>
  <c r="I2" i="5"/>
  <c r="I1" i="5"/>
  <c r="A1" i="5"/>
  <c r="C40" i="3"/>
  <c r="D40" i="3"/>
  <c r="E40" i="3"/>
  <c r="F40" i="3"/>
  <c r="G40" i="3"/>
  <c r="B40" i="3"/>
  <c r="B52" i="3"/>
  <c r="C41" i="3"/>
  <c r="G41" i="3"/>
  <c r="J18" i="9"/>
  <c r="J9" i="10" s="1"/>
  <c r="J122" i="9"/>
  <c r="J171" i="9"/>
  <c r="J16" i="10" s="1"/>
  <c r="J159" i="9"/>
  <c r="J14" i="10" s="1"/>
  <c r="C10" i="3"/>
  <c r="J5" i="7" s="1"/>
  <c r="B10" i="3"/>
  <c r="X18" i="4"/>
  <c r="X17" i="4"/>
  <c r="X16" i="4"/>
  <c r="S16" i="4"/>
  <c r="R16" i="4"/>
  <c r="Q16" i="4"/>
  <c r="O16" i="4"/>
  <c r="N16" i="4"/>
  <c r="M16" i="4"/>
  <c r="L16" i="4"/>
  <c r="K16" i="4"/>
  <c r="J16" i="4"/>
  <c r="X15" i="4"/>
  <c r="X14" i="4"/>
  <c r="P14" i="4"/>
  <c r="P16" i="4"/>
  <c r="X13" i="4"/>
  <c r="X12" i="4"/>
  <c r="X11" i="4"/>
  <c r="X10" i="4"/>
  <c r="X9" i="4"/>
  <c r="X8" i="4"/>
  <c r="X7" i="4"/>
  <c r="X6" i="4"/>
  <c r="X5" i="4"/>
  <c r="X4" i="4"/>
  <c r="X3" i="4"/>
  <c r="X2" i="4"/>
  <c r="I2" i="3"/>
  <c r="I3" i="3"/>
  <c r="I1" i="3"/>
  <c r="B3" i="3"/>
  <c r="A1" i="3"/>
  <c r="C2" i="19"/>
  <c r="C2" i="15"/>
  <c r="C2" i="20"/>
  <c r="C2" i="14"/>
  <c r="L8" i="7"/>
  <c r="T8" i="9"/>
  <c r="T8" i="10" s="1"/>
  <c r="E38" i="3"/>
  <c r="E6" i="3"/>
  <c r="E15" i="3"/>
  <c r="B6" i="3"/>
  <c r="B15" i="3" s="1"/>
  <c r="F38" i="3"/>
  <c r="C2" i="13"/>
  <c r="K8" i="7"/>
  <c r="D38" i="3"/>
  <c r="D6" i="3"/>
  <c r="D15" i="3"/>
  <c r="C2" i="12"/>
  <c r="J8" i="7"/>
  <c r="C38" i="3"/>
  <c r="C6" i="3"/>
  <c r="C15" i="3" s="1"/>
  <c r="C2" i="16"/>
  <c r="V8" i="9"/>
  <c r="U8" i="22" s="1"/>
  <c r="N8" i="7"/>
  <c r="G38" i="3"/>
  <c r="G6" i="3"/>
  <c r="G15" i="3"/>
  <c r="J369" i="9"/>
  <c r="J19" i="10" s="1"/>
  <c r="H41" i="3"/>
  <c r="Q5" i="9"/>
  <c r="Q5" i="22" s="1"/>
  <c r="K5" i="9"/>
  <c r="L5" i="22" s="1"/>
  <c r="O5" i="9"/>
  <c r="O5" i="10" s="1"/>
  <c r="AA5" i="8"/>
  <c r="I5" i="7"/>
  <c r="D41" i="3"/>
  <c r="O49" i="9"/>
  <c r="P49" i="9" s="1"/>
  <c r="T129" i="12"/>
  <c r="R130" i="13"/>
  <c r="R130" i="14" s="1"/>
  <c r="AD578" i="18"/>
  <c r="AD582" i="18"/>
  <c r="AD579" i="18"/>
  <c r="AD580" i="18"/>
  <c r="AD581" i="18"/>
  <c r="AD456" i="18"/>
  <c r="AD538" i="18"/>
  <c r="AE538" i="18" s="1"/>
  <c r="AF538" i="18" s="1"/>
  <c r="AD459" i="18"/>
  <c r="AD457" i="18"/>
  <c r="AD458" i="18"/>
  <c r="AD621" i="18"/>
  <c r="AE621" i="18" s="1"/>
  <c r="AF621" i="18" s="1"/>
  <c r="AD539" i="18"/>
  <c r="AE539" i="18" s="1"/>
  <c r="AF539" i="18" s="1"/>
  <c r="AD537" i="18"/>
  <c r="AE537" i="18" s="1"/>
  <c r="AF537" i="18" s="1"/>
  <c r="AD460" i="18"/>
  <c r="AA150" i="8"/>
  <c r="O117" i="9"/>
  <c r="P117" i="9" s="1"/>
  <c r="AA92" i="8"/>
  <c r="AB92" i="8" s="1"/>
  <c r="O81" i="9"/>
  <c r="P81" i="9" s="1"/>
  <c r="AA154" i="8"/>
  <c r="AB154" i="8" s="1"/>
  <c r="AA118" i="8"/>
  <c r="AB118" i="8" s="1"/>
  <c r="O92" i="9"/>
  <c r="P92" i="9" s="1"/>
  <c r="AA70" i="8"/>
  <c r="AA81" i="8"/>
  <c r="O150" i="9"/>
  <c r="P150" i="9" s="1"/>
  <c r="O154" i="9"/>
  <c r="P154" i="9" s="1"/>
  <c r="O70" i="9"/>
  <c r="P70" i="9" s="1"/>
  <c r="O79" i="9"/>
  <c r="P79" i="9" s="1"/>
  <c r="AA120" i="8"/>
  <c r="AB120" i="8" s="1"/>
  <c r="AA82" i="8"/>
  <c r="AB82" i="8" s="1"/>
  <c r="AA80" i="8"/>
  <c r="AB80" i="8" s="1"/>
  <c r="O120" i="9"/>
  <c r="P120" i="9" s="1"/>
  <c r="O80" i="9"/>
  <c r="P80" i="9" s="1"/>
  <c r="AA133" i="8"/>
  <c r="AB133" i="8" s="1"/>
  <c r="O118" i="9"/>
  <c r="P118" i="9" s="1"/>
  <c r="AA117" i="8"/>
  <c r="AB117" i="8" s="1"/>
  <c r="O82" i="9"/>
  <c r="P82" i="9" s="1"/>
  <c r="O133" i="9"/>
  <c r="P133" i="9" s="1"/>
  <c r="AA79" i="8"/>
  <c r="AB79" i="8" s="1"/>
  <c r="AD622" i="18"/>
  <c r="AE622" i="18" s="1"/>
  <c r="AF622" i="18" s="1"/>
  <c r="AD499" i="18"/>
  <c r="AD461" i="18"/>
  <c r="AD432" i="18"/>
  <c r="AE432" i="18" s="1"/>
  <c r="AF432" i="18" s="1"/>
  <c r="O146" i="9"/>
  <c r="P146" i="9" s="1"/>
  <c r="O139" i="9"/>
  <c r="P139" i="9" s="1"/>
  <c r="O135" i="9"/>
  <c r="P135" i="9" s="1"/>
  <c r="O126" i="9"/>
  <c r="P126" i="9" s="1"/>
  <c r="O125" i="9"/>
  <c r="P125" i="9" s="1"/>
  <c r="AD487" i="18"/>
  <c r="AE487" i="18" s="1"/>
  <c r="AF487" i="18" s="1"/>
  <c r="AD451" i="18"/>
  <c r="AE451" i="18" s="1"/>
  <c r="AF451" i="18" s="1"/>
  <c r="O158" i="9"/>
  <c r="P158" i="9" s="1"/>
  <c r="O142" i="9"/>
  <c r="P142" i="9" s="1"/>
  <c r="O138" i="9"/>
  <c r="P138" i="9" s="1"/>
  <c r="O131" i="9"/>
  <c r="P131" i="9" s="1"/>
  <c r="AD486" i="18"/>
  <c r="AD442" i="18"/>
  <c r="AE442" i="18" s="1"/>
  <c r="AF442" i="18" s="1"/>
  <c r="O156" i="9"/>
  <c r="P156" i="9" s="1"/>
  <c r="P141" i="9"/>
  <c r="O137" i="9"/>
  <c r="P137" i="9" s="1"/>
  <c r="O130" i="9"/>
  <c r="P130" i="9" s="1"/>
  <c r="AD525" i="18"/>
  <c r="AE525" i="18" s="1"/>
  <c r="AF525" i="18" s="1"/>
  <c r="AD467" i="18"/>
  <c r="AE467" i="18" s="1"/>
  <c r="AF467" i="18" s="1"/>
  <c r="AD445" i="18"/>
  <c r="AE445" i="18" s="1"/>
  <c r="AF445" i="18" s="1"/>
  <c r="AD433" i="18"/>
  <c r="AE433" i="18" s="1"/>
  <c r="AF433" i="18" s="1"/>
  <c r="O153" i="9"/>
  <c r="P153" i="9" s="1"/>
  <c r="O140" i="9"/>
  <c r="P140" i="9" s="1"/>
  <c r="O136" i="9"/>
  <c r="P136" i="9" s="1"/>
  <c r="O128" i="9"/>
  <c r="P128" i="9" s="1"/>
  <c r="AA22" i="27"/>
  <c r="AM22" i="27" s="1"/>
  <c r="AE10" i="27"/>
  <c r="AC12" i="27"/>
  <c r="AH12" i="27"/>
  <c r="AC14" i="27"/>
  <c r="AH14" i="27"/>
  <c r="AC16" i="27"/>
  <c r="AH16" i="27"/>
  <c r="AD22" i="27"/>
  <c r="AI22" i="27"/>
  <c r="AD24" i="27"/>
  <c r="AI24" i="27"/>
  <c r="AD26" i="27"/>
  <c r="AI26" i="27"/>
  <c r="AC29" i="27"/>
  <c r="AH29" i="27"/>
  <c r="AE33" i="27"/>
  <c r="AD36" i="27"/>
  <c r="AI36" i="27"/>
  <c r="AC39" i="27"/>
  <c r="AH39" i="27"/>
  <c r="AC41" i="27"/>
  <c r="AH41" i="27"/>
  <c r="AC43" i="27"/>
  <c r="AH43" i="27"/>
  <c r="AE44" i="27"/>
  <c r="AC46" i="27"/>
  <c r="AH46" i="27"/>
  <c r="AC48" i="27"/>
  <c r="AH48" i="27"/>
  <c r="AA54" i="27"/>
  <c r="AM54" i="27" s="1"/>
  <c r="AF54" i="27"/>
  <c r="AC56" i="27"/>
  <c r="AC59" i="27"/>
  <c r="AH59" i="27"/>
  <c r="AC62" i="27"/>
  <c r="AD64" i="27"/>
  <c r="AI64" i="27"/>
  <c r="AA67" i="27"/>
  <c r="AM67" i="27" s="1"/>
  <c r="AF67" i="27"/>
  <c r="AC67" i="27"/>
  <c r="AA64" i="27"/>
  <c r="AM64" i="27" s="1"/>
  <c r="AD12" i="27"/>
  <c r="AI12" i="27"/>
  <c r="AD14" i="27"/>
  <c r="AI14" i="27"/>
  <c r="AD16" i="27"/>
  <c r="AI16" i="27"/>
  <c r="AE22" i="27"/>
  <c r="AE24" i="27"/>
  <c r="AE26" i="27"/>
  <c r="AD29" i="27"/>
  <c r="AI29" i="27"/>
  <c r="AA33" i="27"/>
  <c r="AM33" i="27" s="1"/>
  <c r="AF33" i="27"/>
  <c r="AE36" i="27"/>
  <c r="AD39" i="27"/>
  <c r="AI39" i="27"/>
  <c r="AD41" i="27"/>
  <c r="AI41" i="27"/>
  <c r="AD43" i="27"/>
  <c r="AI43" i="27"/>
  <c r="AD46" i="27"/>
  <c r="AI46" i="27"/>
  <c r="AD48" i="27"/>
  <c r="AI48" i="27"/>
  <c r="AC54" i="27"/>
  <c r="AH54" i="27"/>
  <c r="AD59" i="27"/>
  <c r="AI59" i="27"/>
  <c r="AE64" i="27"/>
  <c r="AH67" i="27"/>
  <c r="AF64" i="27"/>
  <c r="AD67" i="27"/>
  <c r="AD11" i="27"/>
  <c r="AE12" i="27"/>
  <c r="AE14" i="27"/>
  <c r="AE16" i="27"/>
  <c r="AF22" i="27"/>
  <c r="AA24" i="27"/>
  <c r="AM24" i="27" s="1"/>
  <c r="AF24" i="27"/>
  <c r="AA26" i="27"/>
  <c r="AM26" i="27" s="1"/>
  <c r="AF26" i="27"/>
  <c r="AE29" i="27"/>
  <c r="AC33" i="27"/>
  <c r="AH33" i="27"/>
  <c r="AA36" i="27"/>
  <c r="AM36" i="27" s="1"/>
  <c r="AF36" i="27"/>
  <c r="AE39" i="27"/>
  <c r="AE41" i="27"/>
  <c r="AC42" i="27"/>
  <c r="AE43" i="27"/>
  <c r="AD45" i="27"/>
  <c r="AE46" i="27"/>
  <c r="AC47" i="27"/>
  <c r="AE48" i="27"/>
  <c r="AC49" i="27"/>
  <c r="AD52" i="27"/>
  <c r="AD54" i="27"/>
  <c r="AI54" i="27"/>
  <c r="AC58" i="27"/>
  <c r="AE59" i="27"/>
  <c r="AI67" i="27"/>
  <c r="AD10" i="27"/>
  <c r="AA12" i="27"/>
  <c r="AM12" i="27" s="1"/>
  <c r="AF12" i="27"/>
  <c r="AA14" i="27"/>
  <c r="AM14" i="27" s="1"/>
  <c r="AF14" i="27"/>
  <c r="AA16" i="27"/>
  <c r="AM16" i="27" s="1"/>
  <c r="AF16" i="27"/>
  <c r="AC22" i="27"/>
  <c r="AH22" i="27"/>
  <c r="AC24" i="27"/>
  <c r="AH24" i="27"/>
  <c r="AC26" i="27"/>
  <c r="AH26" i="27"/>
  <c r="AA29" i="27"/>
  <c r="AM29" i="27" s="1"/>
  <c r="AF29" i="27"/>
  <c r="AD33" i="27"/>
  <c r="AI33" i="27"/>
  <c r="AC36" i="27"/>
  <c r="AH36" i="27"/>
  <c r="AA39" i="27"/>
  <c r="AM39" i="27" s="1"/>
  <c r="AF39" i="27"/>
  <c r="AA41" i="27"/>
  <c r="AM41" i="27" s="1"/>
  <c r="AF41" i="27"/>
  <c r="AA43" i="27"/>
  <c r="AM43" i="27" s="1"/>
  <c r="AF43" i="27"/>
  <c r="AD44" i="27"/>
  <c r="AA46" i="27"/>
  <c r="AM46" i="27" s="1"/>
  <c r="AF46" i="27"/>
  <c r="AA48" i="27"/>
  <c r="AM48" i="27" s="1"/>
  <c r="AF48" i="27"/>
  <c r="AE54" i="27"/>
  <c r="AA59" i="27"/>
  <c r="AM59" i="27" s="1"/>
  <c r="AF59" i="27"/>
  <c r="AC64" i="27"/>
  <c r="AH64" i="27"/>
  <c r="AD66" i="27"/>
  <c r="AE67" i="27"/>
  <c r="AA11" i="27"/>
  <c r="AM11" i="27" s="1"/>
  <c r="AE526" i="18"/>
  <c r="AF526" i="18" s="1"/>
  <c r="AA47" i="27"/>
  <c r="AM47" i="27" s="1"/>
  <c r="AI11" i="27"/>
  <c r="AE47" i="27"/>
  <c r="AD628" i="18"/>
  <c r="AE628" i="18" s="1"/>
  <c r="AF628" i="18" s="1"/>
  <c r="AD535" i="18"/>
  <c r="AE535" i="18" s="1"/>
  <c r="AF535" i="18" s="1"/>
  <c r="AF524" i="18"/>
  <c r="O157" i="9"/>
  <c r="P157" i="9" s="1"/>
  <c r="AE63" i="27"/>
  <c r="AE45" i="27"/>
  <c r="M130" i="13"/>
  <c r="M130" i="14"/>
  <c r="W129" i="12"/>
  <c r="P130" i="13"/>
  <c r="AI129" i="15"/>
  <c r="AI123" i="14"/>
  <c r="AI113" i="14"/>
  <c r="M130" i="16"/>
  <c r="L47" i="7"/>
  <c r="T47" i="9"/>
  <c r="S47" i="9"/>
  <c r="L45" i="7"/>
  <c r="T45" i="9"/>
  <c r="S45" i="9"/>
  <c r="L51" i="7"/>
  <c r="S51" i="9"/>
  <c r="V126" i="19"/>
  <c r="V126" i="26"/>
  <c r="O88" i="9"/>
  <c r="O100" i="9"/>
  <c r="P100" i="9" s="1"/>
  <c r="AA100" i="8"/>
  <c r="AB100" i="8" s="1"/>
  <c r="AA88" i="8"/>
  <c r="W105" i="16"/>
  <c r="T112" i="16"/>
  <c r="M6" i="13"/>
  <c r="M6" i="14" s="1"/>
  <c r="M6" i="15" s="1"/>
  <c r="M6" i="19" s="1"/>
  <c r="M6" i="26" s="1"/>
  <c r="M132" i="12"/>
  <c r="AA116" i="8"/>
  <c r="AA112" i="8"/>
  <c r="AB112" i="8" s="1"/>
  <c r="AA98" i="8"/>
  <c r="AA77" i="8"/>
  <c r="AB77" i="8" s="1"/>
  <c r="AA158" i="8"/>
  <c r="AB158" i="8" s="1"/>
  <c r="AA136" i="8"/>
  <c r="AB136" i="8" s="1"/>
  <c r="AA83" i="8"/>
  <c r="AB83" i="8" s="1"/>
  <c r="AA94" i="8"/>
  <c r="AB94" i="8" s="1"/>
  <c r="AA66" i="8"/>
  <c r="AB66" i="8" s="1"/>
  <c r="AA110" i="8"/>
  <c r="AB110" i="8" s="1"/>
  <c r="AA96" i="8"/>
  <c r="AB96" i="8" s="1"/>
  <c r="AA72" i="8"/>
  <c r="AB72" i="8" s="1"/>
  <c r="AA125" i="8"/>
  <c r="AA114" i="8"/>
  <c r="AB114" i="8" s="1"/>
  <c r="AA59" i="8"/>
  <c r="AB59" i="8" s="1"/>
  <c r="AA99" i="8"/>
  <c r="AB99" i="8" s="1"/>
  <c r="AA57" i="8"/>
  <c r="AB57" i="8" s="1"/>
  <c r="AA121" i="8"/>
  <c r="AB121" i="8" s="1"/>
  <c r="AA75" i="8"/>
  <c r="AB75" i="8" s="1"/>
  <c r="AA71" i="8"/>
  <c r="AC71" i="8" s="1"/>
  <c r="AA156" i="8"/>
  <c r="AB156" i="8" s="1"/>
  <c r="AA138" i="8"/>
  <c r="AB138" i="8" s="1"/>
  <c r="AA78" i="8"/>
  <c r="AA113" i="8"/>
  <c r="AB113" i="8" s="1"/>
  <c r="AA137" i="8"/>
  <c r="AB137" i="8" s="1"/>
  <c r="AA60" i="8"/>
  <c r="AB60" i="8" s="1"/>
  <c r="AA68" i="8"/>
  <c r="AB68" i="8" s="1"/>
  <c r="AA105" i="8"/>
  <c r="AB105" i="8" s="1"/>
  <c r="AA142" i="8"/>
  <c r="AB142" i="8" s="1"/>
  <c r="AA91" i="8"/>
  <c r="AB91" i="8" s="1"/>
  <c r="AA109" i="8"/>
  <c r="AB109" i="8" s="1"/>
  <c r="AA126" i="8"/>
  <c r="AA146" i="8"/>
  <c r="AB146" i="8" s="1"/>
  <c r="L48" i="7"/>
  <c r="AB24" i="8"/>
  <c r="O24" i="9"/>
  <c r="P24" i="9" s="1"/>
  <c r="AB46" i="8"/>
  <c r="P46" i="9"/>
  <c r="AB48" i="8"/>
  <c r="O15" i="9"/>
  <c r="P15" i="9" s="1"/>
  <c r="AB30" i="8"/>
  <c r="O30" i="9"/>
  <c r="P30" i="9" s="1"/>
  <c r="AH112" i="12"/>
  <c r="AM112" i="12"/>
  <c r="O166" i="9"/>
  <c r="P166" i="9" s="1"/>
  <c r="AA166" i="8"/>
  <c r="AB166" i="8" s="1"/>
  <c r="O170" i="9"/>
  <c r="P170" i="9" s="1"/>
  <c r="AA170" i="8"/>
  <c r="AB170" i="8" s="1"/>
  <c r="AD117" i="12"/>
  <c r="AM117" i="12"/>
  <c r="AM118" i="12"/>
  <c r="J49" i="18"/>
  <c r="J45" i="18"/>
  <c r="B41" i="3"/>
  <c r="E41" i="3"/>
  <c r="F41" i="3"/>
  <c r="C29" i="2"/>
  <c r="G29" i="2"/>
  <c r="M8" i="7"/>
  <c r="U8" i="9"/>
  <c r="T8" i="22" s="1"/>
  <c r="I8" i="7"/>
  <c r="H6" i="3"/>
  <c r="H15" i="3" s="1"/>
  <c r="O8" i="7"/>
  <c r="W8" i="9"/>
  <c r="W8" i="10" s="1"/>
  <c r="F6" i="3"/>
  <c r="F15" i="3" s="1"/>
  <c r="O121" i="9"/>
  <c r="P121" i="9" s="1"/>
  <c r="O114" i="9"/>
  <c r="P114" i="9" s="1"/>
  <c r="O110" i="9"/>
  <c r="P110" i="9" s="1"/>
  <c r="O105" i="9"/>
  <c r="P105" i="9" s="1"/>
  <c r="O99" i="9"/>
  <c r="P99" i="9" s="1"/>
  <c r="O95" i="9"/>
  <c r="P95" i="9" s="1"/>
  <c r="O90" i="9"/>
  <c r="P90" i="9" s="1"/>
  <c r="O83" i="9"/>
  <c r="P83" i="9" s="1"/>
  <c r="O75" i="9"/>
  <c r="P75" i="9" s="1"/>
  <c r="O71" i="9"/>
  <c r="P71" i="9" s="1"/>
  <c r="O57" i="9"/>
  <c r="O66" i="9"/>
  <c r="P66" i="9" s="1"/>
  <c r="O113" i="9"/>
  <c r="P113" i="9" s="1"/>
  <c r="O109" i="9"/>
  <c r="P109" i="9" s="1"/>
  <c r="O98" i="9"/>
  <c r="P98" i="9" s="1"/>
  <c r="O94" i="9"/>
  <c r="P94" i="9" s="1"/>
  <c r="O86" i="9"/>
  <c r="P86" i="9" s="1"/>
  <c r="O78" i="9"/>
  <c r="P78" i="9" s="1"/>
  <c r="O69" i="9"/>
  <c r="P69" i="9" s="1"/>
  <c r="O60" i="9"/>
  <c r="P60" i="9" s="1"/>
  <c r="O91" i="9"/>
  <c r="P91" i="9" s="1"/>
  <c r="O84" i="9"/>
  <c r="P84" i="9" s="1"/>
  <c r="O72" i="9"/>
  <c r="P72" i="9" s="1"/>
  <c r="O116" i="9"/>
  <c r="P116" i="9" s="1"/>
  <c r="O112" i="9"/>
  <c r="P112" i="9" s="1"/>
  <c r="O77" i="9"/>
  <c r="P77" i="9" s="1"/>
  <c r="O68" i="9"/>
  <c r="P68" i="9" s="1"/>
  <c r="O59" i="9"/>
  <c r="P59" i="9" s="1"/>
  <c r="O111" i="9"/>
  <c r="P111" i="9" s="1"/>
  <c r="O96" i="9"/>
  <c r="P96" i="9" s="1"/>
  <c r="C5" i="3"/>
  <c r="AH81" i="12"/>
  <c r="AH66" i="12"/>
  <c r="AD589" i="18" s="1"/>
  <c r="AE589" i="18" s="1"/>
  <c r="AF589" i="18" s="1"/>
  <c r="AH68" i="12"/>
  <c r="X62" i="8"/>
  <c r="Y62" i="8" s="1"/>
  <c r="AB201" i="8"/>
  <c r="L49" i="7"/>
  <c r="K8" i="10"/>
  <c r="AA37" i="8"/>
  <c r="AB37" i="8" s="1"/>
  <c r="S187" i="9"/>
  <c r="T187" i="9" s="1"/>
  <c r="U187" i="9" s="1"/>
  <c r="V187" i="9" s="1"/>
  <c r="W187" i="9" s="1"/>
  <c r="P27" i="10"/>
  <c r="K46" i="7"/>
  <c r="P28" i="10"/>
  <c r="T12" i="12"/>
  <c r="V62" i="12"/>
  <c r="X62" i="12" s="1"/>
  <c r="X38" i="12"/>
  <c r="X36" i="12"/>
  <c r="S202" i="9"/>
  <c r="T202" i="9" s="1"/>
  <c r="U202" i="9" s="1"/>
  <c r="V202" i="9" s="1"/>
  <c r="W202" i="9" s="1"/>
  <c r="S205" i="9"/>
  <c r="T205" i="9" s="1"/>
  <c r="U205" i="9" s="1"/>
  <c r="V205" i="9" s="1"/>
  <c r="W205" i="9" s="1"/>
  <c r="U192" i="9"/>
  <c r="V192" i="9" s="1"/>
  <c r="W192" i="9" s="1"/>
  <c r="AI10" i="20"/>
  <c r="B6" i="13"/>
  <c r="Q154" i="9" s="1"/>
  <c r="R154" i="9" s="1"/>
  <c r="I38" i="7"/>
  <c r="W126" i="16"/>
  <c r="AL125" i="20"/>
  <c r="AN125" i="20"/>
  <c r="AD10" i="20"/>
  <c r="AL112" i="20"/>
  <c r="AN112" i="20"/>
  <c r="AL120" i="20"/>
  <c r="AN120" i="20"/>
  <c r="AL117" i="20"/>
  <c r="AN117" i="20"/>
  <c r="AL121" i="20"/>
  <c r="AN121" i="20"/>
  <c r="AL124" i="20"/>
  <c r="AN124" i="20"/>
  <c r="AC36" i="20"/>
  <c r="AL36" i="20"/>
  <c r="AN36" i="20"/>
  <c r="U22" i="20"/>
  <c r="V22" i="20"/>
  <c r="X22" i="20"/>
  <c r="AA22" i="20"/>
  <c r="AM22" i="20"/>
  <c r="X10" i="12"/>
  <c r="AE10" i="12" s="1"/>
  <c r="M22" i="20"/>
  <c r="AL116" i="20"/>
  <c r="AN116" i="20"/>
  <c r="AA83" i="12"/>
  <c r="AF83" i="12" s="1"/>
  <c r="W99" i="12"/>
  <c r="W19" i="12"/>
  <c r="X19" i="12"/>
  <c r="AA19" i="12" s="1"/>
  <c r="AI19" i="12" s="1"/>
  <c r="W17" i="12"/>
  <c r="X17" i="12" s="1"/>
  <c r="AE17" i="12" s="1"/>
  <c r="AD517" i="18" s="1"/>
  <c r="AE517" i="18" s="1"/>
  <c r="AF517" i="18" s="1"/>
  <c r="X31" i="12"/>
  <c r="AE31" i="12" s="1"/>
  <c r="AE60" i="27" s="1"/>
  <c r="X35" i="12"/>
  <c r="AA35" i="12" s="1"/>
  <c r="AI35" i="12" s="1"/>
  <c r="X37" i="12"/>
  <c r="AA37" i="12" s="1"/>
  <c r="AD37" i="12" s="1"/>
  <c r="X39" i="12"/>
  <c r="X32" i="12"/>
  <c r="AE32" i="12" s="1"/>
  <c r="W11" i="12"/>
  <c r="X11" i="12"/>
  <c r="W23" i="12"/>
  <c r="X23" i="12" s="1"/>
  <c r="X34" i="12"/>
  <c r="AA34" i="12" s="1"/>
  <c r="X30" i="12"/>
  <c r="AA30" i="12" s="1"/>
  <c r="AD30" i="12" s="1"/>
  <c r="X13" i="12"/>
  <c r="X16" i="12"/>
  <c r="W21" i="12"/>
  <c r="X21" i="12" s="1"/>
  <c r="X42" i="12"/>
  <c r="AE42" i="12" s="1"/>
  <c r="W45" i="12"/>
  <c r="X45" i="12"/>
  <c r="X9" i="12"/>
  <c r="W26" i="12"/>
  <c r="X26" i="12" s="1"/>
  <c r="AA26" i="12" s="1"/>
  <c r="AI26" i="12" s="1"/>
  <c r="W7" i="12"/>
  <c r="X7" i="12" s="1"/>
  <c r="X8" i="12"/>
  <c r="AF10" i="20"/>
  <c r="AC7" i="20"/>
  <c r="AC1" i="12"/>
  <c r="AC10" i="20"/>
  <c r="AC12" i="20"/>
  <c r="AL12" i="20"/>
  <c r="AN12" i="20"/>
  <c r="AE62" i="11"/>
  <c r="X48" i="12"/>
  <c r="V60" i="11"/>
  <c r="X60" i="11"/>
  <c r="AA60" i="11"/>
  <c r="AM60" i="11"/>
  <c r="Z46" i="11"/>
  <c r="Z97" i="11"/>
  <c r="AE42" i="11"/>
  <c r="AF40" i="20"/>
  <c r="AM53" i="20"/>
  <c r="AA47" i="11"/>
  <c r="AM47" i="11"/>
  <c r="AM40" i="20"/>
  <c r="AI53" i="20"/>
  <c r="AD53" i="20"/>
  <c r="AC98" i="20"/>
  <c r="AL98" i="20"/>
  <c r="AN98" i="20"/>
  <c r="AC106" i="20"/>
  <c r="AL106" i="20"/>
  <c r="AN106" i="20"/>
  <c r="AC102" i="20"/>
  <c r="AL102" i="20"/>
  <c r="AN102" i="20"/>
  <c r="AC93" i="20"/>
  <c r="AC76" i="20"/>
  <c r="AC78" i="20"/>
  <c r="AC77" i="20"/>
  <c r="AC100" i="20"/>
  <c r="AL100" i="20"/>
  <c r="AN100" i="20"/>
  <c r="AC96" i="20"/>
  <c r="AL96" i="20"/>
  <c r="AN96" i="20"/>
  <c r="AC81" i="20"/>
  <c r="AC64" i="20"/>
  <c r="AC95" i="20"/>
  <c r="AC80" i="20"/>
  <c r="AC82" i="20"/>
  <c r="AH40" i="20"/>
  <c r="AH53" i="20"/>
  <c r="X8" i="11"/>
  <c r="AE40" i="20"/>
  <c r="AD40" i="20"/>
  <c r="AE53" i="20"/>
  <c r="AF119" i="12"/>
  <c r="AE119" i="12"/>
  <c r="W113" i="16"/>
  <c r="X28" i="12"/>
  <c r="AE28" i="12" s="1"/>
  <c r="X24" i="12"/>
  <c r="AA24" i="12" s="1"/>
  <c r="O149" i="9" s="1"/>
  <c r="P149" i="9" s="1"/>
  <c r="X129" i="12"/>
  <c r="X33" i="12"/>
  <c r="V100" i="12"/>
  <c r="AA100" i="12"/>
  <c r="V1" i="13"/>
  <c r="X27" i="12"/>
  <c r="AA27" i="12" s="1"/>
  <c r="AM27" i="12" s="1"/>
  <c r="X41" i="12"/>
  <c r="AE41" i="12" s="1"/>
  <c r="AE18" i="27" s="1"/>
  <c r="X29" i="12"/>
  <c r="X18" i="12"/>
  <c r="AA18" i="12" s="1"/>
  <c r="AF117" i="12"/>
  <c r="AH117" i="12"/>
  <c r="AE116" i="12"/>
  <c r="AE117" i="12"/>
  <c r="AF112" i="12"/>
  <c r="AL112" i="12" s="1"/>
  <c r="AN112" i="12" s="1"/>
  <c r="AD112" i="12"/>
  <c r="AE112" i="12"/>
  <c r="AA50" i="12"/>
  <c r="AI50" i="12" s="1"/>
  <c r="W112" i="14"/>
  <c r="AE117" i="13"/>
  <c r="D29" i="2"/>
  <c r="F29" i="2"/>
  <c r="H29" i="2"/>
  <c r="I29" i="2"/>
  <c r="E29" i="2"/>
  <c r="M47" i="7"/>
  <c r="U47" i="9"/>
  <c r="AA22" i="8"/>
  <c r="O22" i="9" s="1"/>
  <c r="P22" i="9" s="1"/>
  <c r="J52" i="7"/>
  <c r="AC38" i="20"/>
  <c r="AL38" i="20"/>
  <c r="AN38" i="20"/>
  <c r="AC42" i="20"/>
  <c r="AL42" i="20"/>
  <c r="AN42" i="20"/>
  <c r="AC6" i="12"/>
  <c r="AC6" i="13"/>
  <c r="AC6" i="20"/>
  <c r="U25" i="20"/>
  <c r="V25" i="20"/>
  <c r="X25" i="20"/>
  <c r="AC20" i="20"/>
  <c r="AL20" i="20"/>
  <c r="AN20" i="20"/>
  <c r="AC128" i="20"/>
  <c r="AL128" i="20"/>
  <c r="AN128" i="20"/>
  <c r="AC37" i="20"/>
  <c r="AL37" i="20"/>
  <c r="AN37" i="20"/>
  <c r="AC35" i="20"/>
  <c r="AL35" i="20"/>
  <c r="AN35" i="20"/>
  <c r="AC130" i="20"/>
  <c r="AL130" i="20"/>
  <c r="AN130" i="20"/>
  <c r="AC129" i="20"/>
  <c r="AL129" i="20"/>
  <c r="AN129" i="20"/>
  <c r="AC127" i="20"/>
  <c r="AL127" i="20"/>
  <c r="AN127" i="20"/>
  <c r="AC39" i="20"/>
  <c r="AL39" i="20"/>
  <c r="AN39" i="20"/>
  <c r="AC43" i="20"/>
  <c r="AL43" i="20"/>
  <c r="AN43" i="20"/>
  <c r="U55" i="20"/>
  <c r="V55" i="20"/>
  <c r="X55" i="20"/>
  <c r="AL26" i="20"/>
  <c r="AN26" i="20"/>
  <c r="AL45" i="20"/>
  <c r="AN45" i="20"/>
  <c r="AL47" i="20"/>
  <c r="AN47" i="20"/>
  <c r="AL59" i="20"/>
  <c r="AN59" i="20"/>
  <c r="AL46" i="20"/>
  <c r="AN46" i="20"/>
  <c r="AL60" i="20"/>
  <c r="AN60" i="20"/>
  <c r="AH64" i="20"/>
  <c r="AI64" i="20"/>
  <c r="AD64" i="20"/>
  <c r="AM64" i="20"/>
  <c r="AF64" i="20"/>
  <c r="AL49" i="20"/>
  <c r="AN49" i="20"/>
  <c r="AH76" i="20"/>
  <c r="AM76" i="20"/>
  <c r="AD76" i="20"/>
  <c r="AI76" i="20"/>
  <c r="AF76" i="20"/>
  <c r="AL48" i="20"/>
  <c r="AN48" i="20"/>
  <c r="AL79" i="20"/>
  <c r="AN79" i="20"/>
  <c r="AM82" i="20"/>
  <c r="AF82" i="20"/>
  <c r="AI82" i="20"/>
  <c r="AD82" i="20"/>
  <c r="AH82" i="20"/>
  <c r="AM77" i="20"/>
  <c r="AI77" i="20"/>
  <c r="AD77" i="20"/>
  <c r="AF77" i="20"/>
  <c r="AH77" i="20"/>
  <c r="AH81" i="20"/>
  <c r="AM81" i="20"/>
  <c r="AF81" i="20"/>
  <c r="AI81" i="20"/>
  <c r="AD81" i="20"/>
  <c r="AH7" i="20"/>
  <c r="AM7" i="20"/>
  <c r="AF7" i="20"/>
  <c r="AD7" i="20"/>
  <c r="AI7" i="20"/>
  <c r="AH31" i="20"/>
  <c r="AM31" i="20"/>
  <c r="AF31" i="20"/>
  <c r="AD31" i="20"/>
  <c r="AI31" i="20"/>
  <c r="AH8" i="20"/>
  <c r="AM8" i="20"/>
  <c r="AF8" i="20"/>
  <c r="AI8" i="20"/>
  <c r="AD8" i="20"/>
  <c r="AI78" i="20"/>
  <c r="AD78" i="20"/>
  <c r="AH78" i="20"/>
  <c r="AM78" i="20"/>
  <c r="AF78" i="20"/>
  <c r="AH6" i="20"/>
  <c r="AM6" i="20"/>
  <c r="AF6" i="20"/>
  <c r="AI6" i="20"/>
  <c r="AD6" i="20"/>
  <c r="AL51" i="20"/>
  <c r="AN51" i="20"/>
  <c r="AL58" i="20"/>
  <c r="AN58" i="20"/>
  <c r="AH27" i="20"/>
  <c r="AM27" i="20"/>
  <c r="AF27" i="20"/>
  <c r="AD27" i="20"/>
  <c r="AI27" i="20"/>
  <c r="AI93" i="20"/>
  <c r="AD93" i="20"/>
  <c r="AH93" i="20"/>
  <c r="AF93" i="20"/>
  <c r="AM93" i="20"/>
  <c r="AL50" i="20"/>
  <c r="AN50" i="20"/>
  <c r="AL57" i="20"/>
  <c r="AN57" i="20"/>
  <c r="AI80" i="20"/>
  <c r="AD80" i="20"/>
  <c r="AH80" i="20"/>
  <c r="AM80" i="20"/>
  <c r="AF80" i="20"/>
  <c r="AH29" i="20"/>
  <c r="AM29" i="20"/>
  <c r="AF29" i="20"/>
  <c r="AD29" i="20"/>
  <c r="AI29" i="20"/>
  <c r="AL44" i="20"/>
  <c r="AN44" i="20"/>
  <c r="AH23" i="20"/>
  <c r="AM23" i="20"/>
  <c r="AF23" i="20"/>
  <c r="AD23" i="20"/>
  <c r="AI23" i="20"/>
  <c r="AH9" i="20"/>
  <c r="AM9" i="20"/>
  <c r="AF9" i="20"/>
  <c r="AD9" i="20"/>
  <c r="AI9" i="20"/>
  <c r="AH19" i="20"/>
  <c r="AM19" i="20"/>
  <c r="AF19" i="20"/>
  <c r="AI19" i="20"/>
  <c r="AD19" i="20"/>
  <c r="AH11" i="20"/>
  <c r="AM11" i="20"/>
  <c r="AF11" i="20"/>
  <c r="AI11" i="20"/>
  <c r="AD11" i="20"/>
  <c r="AB333" i="8"/>
  <c r="AF44" i="11"/>
  <c r="AA40" i="11"/>
  <c r="AE41" i="11"/>
  <c r="AH44" i="11"/>
  <c r="AE57" i="11"/>
  <c r="AL39" i="11"/>
  <c r="AM38" i="11"/>
  <c r="AM93" i="11"/>
  <c r="AE93" i="11"/>
  <c r="AM58" i="11"/>
  <c r="AA92" i="11"/>
  <c r="AF92" i="11"/>
  <c r="AH50" i="11"/>
  <c r="J407" i="18"/>
  <c r="J9" i="18"/>
  <c r="J10" i="18"/>
  <c r="J14" i="18"/>
  <c r="J20" i="18"/>
  <c r="J22" i="18"/>
  <c r="J40" i="18"/>
  <c r="J269" i="18"/>
  <c r="AB197" i="8"/>
  <c r="AB240" i="8"/>
  <c r="AB235" i="8"/>
  <c r="X124" i="14"/>
  <c r="AA114" i="12"/>
  <c r="AA22" i="12"/>
  <c r="AD22" i="12" s="1"/>
  <c r="T6" i="12"/>
  <c r="AD15" i="11"/>
  <c r="AA9" i="11"/>
  <c r="AE45" i="11"/>
  <c r="AE37" i="11"/>
  <c r="AH52" i="11"/>
  <c r="AM44" i="11"/>
  <c r="AA13" i="11"/>
  <c r="AH13" i="11"/>
  <c r="AE13" i="11"/>
  <c r="P6" i="13"/>
  <c r="P6" i="14" s="1"/>
  <c r="X6" i="14" s="1"/>
  <c r="AA6" i="14" s="1"/>
  <c r="AF6" i="14" s="1"/>
  <c r="X6" i="12"/>
  <c r="AI15" i="11"/>
  <c r="AA18" i="11"/>
  <c r="AM18" i="11"/>
  <c r="AA95" i="11"/>
  <c r="AD95" i="11"/>
  <c r="AH62" i="11"/>
  <c r="V6" i="13"/>
  <c r="AH15" i="11"/>
  <c r="AE15" i="11"/>
  <c r="AD57" i="11"/>
  <c r="AF58" i="11"/>
  <c r="AL58" i="11"/>
  <c r="AM42" i="11"/>
  <c r="AM43" i="11"/>
  <c r="J199" i="18"/>
  <c r="J189" i="18"/>
  <c r="J195" i="18"/>
  <c r="J200" i="18"/>
  <c r="J309" i="18"/>
  <c r="J268" i="18"/>
  <c r="AA16" i="11"/>
  <c r="AM16" i="11"/>
  <c r="AE16" i="11"/>
  <c r="AA20" i="11"/>
  <c r="AD20" i="11"/>
  <c r="AE20" i="11"/>
  <c r="Y27" i="11"/>
  <c r="AA27" i="11"/>
  <c r="AF61" i="11"/>
  <c r="AM61" i="11"/>
  <c r="AE36" i="11"/>
  <c r="AA36" i="11"/>
  <c r="AA32" i="11"/>
  <c r="AH32" i="11"/>
  <c r="AE32" i="11"/>
  <c r="AA30" i="11"/>
  <c r="AH30" i="11"/>
  <c r="AA21" i="11"/>
  <c r="AM21" i="11"/>
  <c r="AA34" i="11"/>
  <c r="AH34" i="11"/>
  <c r="AE34" i="11"/>
  <c r="AH25" i="11"/>
  <c r="AD25" i="11"/>
  <c r="AF48" i="11"/>
  <c r="AM48" i="11"/>
  <c r="AD48" i="11"/>
  <c r="AL48" i="11"/>
  <c r="AD53" i="11"/>
  <c r="AM53" i="11"/>
  <c r="AH53" i="11"/>
  <c r="AA7" i="11"/>
  <c r="AE7" i="11"/>
  <c r="AF54" i="11"/>
  <c r="AD54" i="11"/>
  <c r="AM54" i="11"/>
  <c r="AD93" i="11"/>
  <c r="AH93" i="11"/>
  <c r="AA24" i="11"/>
  <c r="AF24" i="11"/>
  <c r="AE24" i="11"/>
  <c r="AA11" i="11"/>
  <c r="AE11" i="11"/>
  <c r="AE6" i="11"/>
  <c r="X15" i="12"/>
  <c r="AF25" i="11"/>
  <c r="AF49" i="11"/>
  <c r="AM49" i="11"/>
  <c r="AF57" i="11"/>
  <c r="AM15" i="11"/>
  <c r="AF50" i="11"/>
  <c r="AM52" i="11"/>
  <c r="AF43" i="11"/>
  <c r="AH43" i="11"/>
  <c r="AF42" i="11"/>
  <c r="AE29" i="11"/>
  <c r="AA29" i="11"/>
  <c r="Y28" i="11"/>
  <c r="AA28" i="11"/>
  <c r="AF6" i="11"/>
  <c r="AI6" i="11"/>
  <c r="AH6" i="11"/>
  <c r="AD6" i="11"/>
  <c r="AM6" i="11"/>
  <c r="AD35" i="11"/>
  <c r="AF35" i="11"/>
  <c r="AH35" i="11"/>
  <c r="AM35" i="11"/>
  <c r="AA33" i="11"/>
  <c r="AE33" i="11"/>
  <c r="AH31" i="11"/>
  <c r="AD31" i="11"/>
  <c r="AM31" i="11"/>
  <c r="AI31" i="11"/>
  <c r="AF31" i="11"/>
  <c r="AF14" i="11"/>
  <c r="AD14" i="11"/>
  <c r="AH14" i="11"/>
  <c r="AI14" i="11"/>
  <c r="AM14" i="11"/>
  <c r="AE22" i="11"/>
  <c r="AF22" i="11"/>
  <c r="AA12" i="11"/>
  <c r="AA10" i="11"/>
  <c r="AI61" i="11"/>
  <c r="AA94" i="11"/>
  <c r="AM51" i="11"/>
  <c r="Y59" i="11"/>
  <c r="AA59" i="11"/>
  <c r="T6" i="13"/>
  <c r="W15" i="12"/>
  <c r="AM25" i="11"/>
  <c r="AD22" i="11"/>
  <c r="AI22" i="11"/>
  <c r="AD61" i="11"/>
  <c r="AM37" i="11"/>
  <c r="AE31" i="11"/>
  <c r="AE14" i="11"/>
  <c r="AE25" i="11"/>
  <c r="AE35" i="11"/>
  <c r="AA96" i="11"/>
  <c r="AE96" i="11"/>
  <c r="AF41" i="11"/>
  <c r="AD41" i="11"/>
  <c r="AL38" i="11"/>
  <c r="AD45" i="11"/>
  <c r="AF45" i="11"/>
  <c r="AD51" i="11"/>
  <c r="AF51" i="11"/>
  <c r="O133" i="13"/>
  <c r="AF37" i="11"/>
  <c r="AI25" i="11"/>
  <c r="AH22" i="11"/>
  <c r="AH61" i="11"/>
  <c r="AA19" i="11"/>
  <c r="Y26" i="11"/>
  <c r="AA17" i="11"/>
  <c r="M61" i="11"/>
  <c r="AM41" i="11"/>
  <c r="AF62" i="11"/>
  <c r="AI62" i="11"/>
  <c r="AD62" i="11"/>
  <c r="AM39" i="11"/>
  <c r="AF52" i="11"/>
  <c r="AH42" i="11"/>
  <c r="AM50" i="11"/>
  <c r="AD50" i="11"/>
  <c r="AH49" i="11"/>
  <c r="AA23" i="11"/>
  <c r="AB236" i="8"/>
  <c r="AB216" i="8"/>
  <c r="J267" i="18"/>
  <c r="AB189" i="8"/>
  <c r="AB200" i="8"/>
  <c r="AB20" i="8"/>
  <c r="AB234" i="8"/>
  <c r="Z122" i="8"/>
  <c r="AB316" i="8"/>
  <c r="AB198" i="8"/>
  <c r="J384" i="18"/>
  <c r="J194" i="18"/>
  <c r="J196" i="18"/>
  <c r="J302" i="18"/>
  <c r="J306" i="18"/>
  <c r="J270" i="18"/>
  <c r="J190" i="18"/>
  <c r="J371" i="18"/>
  <c r="J198" i="18"/>
  <c r="J197" i="18"/>
  <c r="AB49" i="8"/>
  <c r="AB15" i="8"/>
  <c r="AB233" i="8"/>
  <c r="K19" i="10"/>
  <c r="AB360" i="8"/>
  <c r="AB196" i="8"/>
  <c r="AA414" i="8"/>
  <c r="AB19" i="8"/>
  <c r="V159" i="8"/>
  <c r="AB14" i="8"/>
  <c r="T126" i="16"/>
  <c r="W114" i="16"/>
  <c r="T113" i="15"/>
  <c r="T126" i="15"/>
  <c r="T124" i="16"/>
  <c r="T105" i="16"/>
  <c r="AD118" i="12"/>
  <c r="AE118" i="12"/>
  <c r="AF118" i="12"/>
  <c r="T114" i="14"/>
  <c r="W1" i="15"/>
  <c r="W1" i="26"/>
  <c r="W12" i="12"/>
  <c r="AB17" i="8"/>
  <c r="AB16" i="8"/>
  <c r="AB27" i="8"/>
  <c r="AB45" i="8"/>
  <c r="AB174" i="8"/>
  <c r="AB29" i="8"/>
  <c r="V69" i="13"/>
  <c r="X69" i="13" s="1"/>
  <c r="AA69" i="13" s="1"/>
  <c r="V71" i="13"/>
  <c r="X71" i="13" s="1"/>
  <c r="AE71" i="13" s="1"/>
  <c r="W130" i="13"/>
  <c r="V16" i="13"/>
  <c r="X16" i="13" s="1"/>
  <c r="AA16" i="13" s="1"/>
  <c r="AD16" i="13" s="1"/>
  <c r="V22" i="13"/>
  <c r="X22" i="13" s="1"/>
  <c r="AE22" i="13" s="1"/>
  <c r="V24" i="13"/>
  <c r="X24" i="13" s="1"/>
  <c r="AE24" i="13" s="1"/>
  <c r="V39" i="13"/>
  <c r="W39" i="13" s="1"/>
  <c r="X39" i="13" s="1"/>
  <c r="V47" i="13"/>
  <c r="X47" i="13" s="1"/>
  <c r="AE47" i="13" s="1"/>
  <c r="AE59" i="29" s="1"/>
  <c r="V51" i="13"/>
  <c r="W51" i="13" s="1"/>
  <c r="X51" i="13" s="1"/>
  <c r="V55" i="13"/>
  <c r="W55" i="13" s="1"/>
  <c r="X55" i="13" s="1"/>
  <c r="AA55" i="13" s="1"/>
  <c r="V59" i="13"/>
  <c r="X59" i="13" s="1"/>
  <c r="V76" i="13"/>
  <c r="X76" i="13" s="1"/>
  <c r="AE76" i="13" s="1"/>
  <c r="AE44" i="29" s="1"/>
  <c r="V78" i="13"/>
  <c r="V81" i="13"/>
  <c r="X81" i="13" s="1"/>
  <c r="V83" i="13"/>
  <c r="V94" i="13"/>
  <c r="X94" i="13" s="1"/>
  <c r="AE94" i="13" s="1"/>
  <c r="V62" i="13"/>
  <c r="V99" i="13"/>
  <c r="V103" i="13"/>
  <c r="V7" i="13"/>
  <c r="X7" i="13" s="1"/>
  <c r="V10" i="13"/>
  <c r="X10" i="13" s="1"/>
  <c r="AE10" i="13" s="1"/>
  <c r="AE67" i="29" s="1"/>
  <c r="V13" i="13"/>
  <c r="V15" i="13"/>
  <c r="X15" i="13" s="1"/>
  <c r="AA15" i="13" s="1"/>
  <c r="AI15" i="13" s="1"/>
  <c r="V17" i="13"/>
  <c r="W17" i="13" s="1"/>
  <c r="X17" i="13" s="1"/>
  <c r="AE17" i="13" s="1"/>
  <c r="V23" i="13"/>
  <c r="X23" i="13" s="1"/>
  <c r="AE23" i="13" s="1"/>
  <c r="V31" i="13"/>
  <c r="W31" i="13" s="1"/>
  <c r="X31" i="13" s="1"/>
  <c r="V44" i="13"/>
  <c r="W44" i="13" s="1"/>
  <c r="X44" i="13" s="1"/>
  <c r="V53" i="13"/>
  <c r="W53" i="13" s="1"/>
  <c r="X53" i="13" s="1"/>
  <c r="AA53" i="13" s="1"/>
  <c r="V58" i="13"/>
  <c r="X58" i="13" s="1"/>
  <c r="V64" i="13"/>
  <c r="W64" i="13" s="1"/>
  <c r="X64" i="13" s="1"/>
  <c r="AE64" i="13" s="1"/>
  <c r="V68" i="13"/>
  <c r="W68" i="13" s="1"/>
  <c r="X68" i="13" s="1"/>
  <c r="AE68" i="13" s="1"/>
  <c r="V95" i="13"/>
  <c r="X95" i="13" s="1"/>
  <c r="V101" i="13"/>
  <c r="V18" i="13"/>
  <c r="X18" i="13" s="1"/>
  <c r="AE18" i="13" s="1"/>
  <c r="V29" i="13"/>
  <c r="X29" i="13" s="1"/>
  <c r="V34" i="13"/>
  <c r="W34" i="13" s="1"/>
  <c r="X34" i="13" s="1"/>
  <c r="AA34" i="13" s="1"/>
  <c r="AM34" i="13" s="1"/>
  <c r="V65" i="13"/>
  <c r="X65" i="13" s="1"/>
  <c r="AA65" i="13" s="1"/>
  <c r="V88" i="13"/>
  <c r="X88" i="13" s="1"/>
  <c r="AA88" i="13" s="1"/>
  <c r="V96" i="13"/>
  <c r="V104" i="13"/>
  <c r="V8" i="13"/>
  <c r="X8" i="13" s="1"/>
  <c r="AE8" i="13" s="1"/>
  <c r="V14" i="13"/>
  <c r="W14" i="13" s="1"/>
  <c r="X14" i="13" s="1"/>
  <c r="AE14" i="13" s="1"/>
  <c r="V19" i="13"/>
  <c r="X19" i="13" s="1"/>
  <c r="AE19" i="13" s="1"/>
  <c r="V21" i="13"/>
  <c r="V30" i="13"/>
  <c r="W30" i="13" s="1"/>
  <c r="X30" i="13" s="1"/>
  <c r="AA30" i="13" s="1"/>
  <c r="V40" i="13"/>
  <c r="W40" i="13" s="1"/>
  <c r="X40" i="13" s="1"/>
  <c r="AA40" i="13" s="1"/>
  <c r="AA63" i="29" s="1"/>
  <c r="AM63" i="29" s="1"/>
  <c r="V42" i="13"/>
  <c r="X42" i="13" s="1"/>
  <c r="AE42" i="13" s="1"/>
  <c r="V49" i="13"/>
  <c r="W49" i="13" s="1"/>
  <c r="X49" i="13" s="1"/>
  <c r="V52" i="13"/>
  <c r="W52" i="13" s="1"/>
  <c r="X52" i="13" s="1"/>
  <c r="AE52" i="13" s="1"/>
  <c r="V57" i="13"/>
  <c r="W57" i="13" s="1"/>
  <c r="X57" i="13" s="1"/>
  <c r="V63" i="13"/>
  <c r="W63" i="13" s="1"/>
  <c r="X63" i="13" s="1"/>
  <c r="V61" i="13"/>
  <c r="X61" i="13" s="1"/>
  <c r="AE61" i="13" s="1"/>
  <c r="AE18" i="29" s="1"/>
  <c r="V67" i="13"/>
  <c r="W67" i="13" s="1"/>
  <c r="X67" i="13" s="1"/>
  <c r="AA67" i="13" s="1"/>
  <c r="V85" i="13"/>
  <c r="X85" i="13" s="1"/>
  <c r="AE85" i="13" s="1"/>
  <c r="AE64" i="29" s="1"/>
  <c r="V87" i="13"/>
  <c r="X87" i="13" s="1"/>
  <c r="V89" i="13"/>
  <c r="X89" i="13" s="1"/>
  <c r="AE89" i="13" s="1"/>
  <c r="AE60" i="29" s="1"/>
  <c r="V91" i="13"/>
  <c r="X91" i="13" s="1"/>
  <c r="V98" i="13"/>
  <c r="V102" i="13"/>
  <c r="V25" i="13"/>
  <c r="X25" i="13" s="1"/>
  <c r="V33" i="13"/>
  <c r="W33" i="13" s="1"/>
  <c r="X33" i="13" s="1"/>
  <c r="V38" i="13"/>
  <c r="X38" i="13" s="1"/>
  <c r="V46" i="13"/>
  <c r="X46" i="13" s="1"/>
  <c r="V50" i="13"/>
  <c r="X50" i="13" s="1"/>
  <c r="V70" i="13"/>
  <c r="X70" i="13" s="1"/>
  <c r="V75" i="13"/>
  <c r="X75" i="13" s="1"/>
  <c r="V77" i="13"/>
  <c r="X77" i="13" s="1"/>
  <c r="V82" i="13"/>
  <c r="X82" i="13" s="1"/>
  <c r="AA82" i="13" s="1"/>
  <c r="V93" i="13"/>
  <c r="X93" i="13" s="1"/>
  <c r="AE93" i="13" s="1"/>
  <c r="V97" i="13"/>
  <c r="V105" i="13"/>
  <c r="V12" i="13"/>
  <c r="X12" i="13" s="1"/>
  <c r="V20" i="13"/>
  <c r="X20" i="13" s="1"/>
  <c r="AA20" i="13" s="1"/>
  <c r="AM20" i="13" s="1"/>
  <c r="V27" i="13"/>
  <c r="W27" i="13" s="1"/>
  <c r="X27" i="13" s="1"/>
  <c r="AE27" i="13" s="1"/>
  <c r="V36" i="13"/>
  <c r="W36" i="13" s="1"/>
  <c r="X36" i="13" s="1"/>
  <c r="V54" i="13"/>
  <c r="W54" i="13" s="1"/>
  <c r="X54" i="13" s="1"/>
  <c r="AA54" i="13" s="1"/>
  <c r="AH54" i="13" s="1"/>
  <c r="V66" i="13"/>
  <c r="X66" i="13" s="1"/>
  <c r="AE66" i="13" s="1"/>
  <c r="V84" i="13"/>
  <c r="X84" i="13" s="1"/>
  <c r="AA84" i="13" s="1"/>
  <c r="V86" i="13"/>
  <c r="X86" i="13" s="1"/>
  <c r="AE86" i="13" s="1"/>
  <c r="AE55" i="29" s="1"/>
  <c r="V90" i="13"/>
  <c r="X90" i="13" s="1"/>
  <c r="V92" i="13"/>
  <c r="V100" i="13"/>
  <c r="AC7" i="12"/>
  <c r="AC21" i="27" s="1"/>
  <c r="AC46" i="12"/>
  <c r="AC42" i="12"/>
  <c r="AC38" i="12"/>
  <c r="AC34" i="12"/>
  <c r="AC30" i="12"/>
  <c r="AC26" i="12"/>
  <c r="AC17" i="12"/>
  <c r="AD430" i="18" s="1"/>
  <c r="AE430" i="18" s="1"/>
  <c r="AF430" i="18" s="1"/>
  <c r="AC21" i="12"/>
  <c r="AC8" i="12"/>
  <c r="AC12" i="12"/>
  <c r="AC57" i="12"/>
  <c r="AC49" i="12"/>
  <c r="AC45" i="12"/>
  <c r="AC41" i="12"/>
  <c r="AC18" i="27" s="1"/>
  <c r="AC37" i="12"/>
  <c r="AC33" i="12"/>
  <c r="AC29" i="12"/>
  <c r="AC18" i="12"/>
  <c r="AC22" i="12"/>
  <c r="AC9" i="12"/>
  <c r="AC13" i="12"/>
  <c r="AC60" i="12"/>
  <c r="AC48" i="12"/>
  <c r="AC44" i="12"/>
  <c r="AC36" i="12"/>
  <c r="AC32" i="12"/>
  <c r="AD438" i="18" s="1"/>
  <c r="AE438" i="18" s="1"/>
  <c r="AF438" i="18" s="1"/>
  <c r="AC28" i="12"/>
  <c r="AC15" i="12"/>
  <c r="AC19" i="12"/>
  <c r="AC19" i="27" s="1"/>
  <c r="AC23" i="12"/>
  <c r="AC10" i="12"/>
  <c r="AC59" i="12"/>
  <c r="AC47" i="12"/>
  <c r="AC43" i="12"/>
  <c r="AC40" i="27" s="1"/>
  <c r="AC39" i="12"/>
  <c r="AC35" i="12"/>
  <c r="AC31" i="12"/>
  <c r="AC27" i="12"/>
  <c r="AC16" i="12"/>
  <c r="AC20" i="12"/>
  <c r="AC24" i="12"/>
  <c r="AC28" i="27" s="1"/>
  <c r="AC11" i="12"/>
  <c r="AC20" i="27" s="1"/>
  <c r="T130" i="13"/>
  <c r="M130" i="26"/>
  <c r="M130" i="19"/>
  <c r="AC130" i="13"/>
  <c r="AA109" i="13"/>
  <c r="AM109" i="13" s="1"/>
  <c r="M45" i="7"/>
  <c r="U45" i="9"/>
  <c r="M49" i="7"/>
  <c r="U49" i="9"/>
  <c r="T49" i="9"/>
  <c r="M48" i="7"/>
  <c r="T48" i="9"/>
  <c r="K52" i="7"/>
  <c r="S46" i="9"/>
  <c r="S401" i="9" s="1"/>
  <c r="M51" i="7"/>
  <c r="T51" i="9"/>
  <c r="AL126" i="26"/>
  <c r="AN126" i="26"/>
  <c r="S181" i="9"/>
  <c r="T181" i="9" s="1"/>
  <c r="U181" i="9" s="1"/>
  <c r="V181" i="9" s="1"/>
  <c r="W181" i="9" s="1"/>
  <c r="Q78" i="9"/>
  <c r="R78" i="9" s="1"/>
  <c r="AA102" i="8"/>
  <c r="O37" i="9"/>
  <c r="P37" i="9" s="1"/>
  <c r="O102" i="9"/>
  <c r="P102" i="9" s="1"/>
  <c r="O4" i="9"/>
  <c r="O4" i="22" s="1"/>
  <c r="J4" i="7"/>
  <c r="K10" i="10"/>
  <c r="N49" i="7"/>
  <c r="V49" i="9"/>
  <c r="L46" i="7"/>
  <c r="T46" i="9"/>
  <c r="T401" i="9" s="1"/>
  <c r="S175" i="9"/>
  <c r="T175" i="9" s="1"/>
  <c r="U175" i="9" s="1"/>
  <c r="N45" i="7"/>
  <c r="V45" i="9"/>
  <c r="Q133" i="13"/>
  <c r="AA38" i="12"/>
  <c r="AE38" i="12"/>
  <c r="AC30" i="20"/>
  <c r="AL30" i="20"/>
  <c r="AN30" i="20"/>
  <c r="AL10" i="20"/>
  <c r="AN10" i="20"/>
  <c r="AE60" i="11"/>
  <c r="AC32" i="20"/>
  <c r="AL32" i="20"/>
  <c r="AN32" i="20"/>
  <c r="AF60" i="11"/>
  <c r="AI22" i="20"/>
  <c r="AC13" i="20"/>
  <c r="AL13" i="20"/>
  <c r="AN13" i="20"/>
  <c r="AC23" i="20"/>
  <c r="AL23" i="20"/>
  <c r="AN23" i="20"/>
  <c r="X12" i="12"/>
  <c r="AA12" i="12" s="1"/>
  <c r="AF22" i="20"/>
  <c r="AE22" i="20"/>
  <c r="AD22" i="20"/>
  <c r="AH22" i="20"/>
  <c r="V1" i="14"/>
  <c r="AA9" i="12"/>
  <c r="AE9" i="12"/>
  <c r="AE35" i="12"/>
  <c r="AA99" i="12"/>
  <c r="AA49" i="27" s="1"/>
  <c r="AE99" i="12"/>
  <c r="AE49" i="27" s="1"/>
  <c r="AC62" i="20"/>
  <c r="AL62" i="20"/>
  <c r="AN62" i="20"/>
  <c r="AC33" i="20"/>
  <c r="AL33" i="20"/>
  <c r="AN33" i="20"/>
  <c r="AC1" i="13"/>
  <c r="AC19" i="20"/>
  <c r="AL19" i="20"/>
  <c r="AN19" i="20"/>
  <c r="AA13" i="12"/>
  <c r="AM13" i="12" s="1"/>
  <c r="AE13" i="12"/>
  <c r="AA39" i="12"/>
  <c r="AE39" i="12"/>
  <c r="AD534" i="18" s="1"/>
  <c r="AC40" i="20"/>
  <c r="AL40" i="20"/>
  <c r="AN40" i="20"/>
  <c r="AC28" i="20"/>
  <c r="AL28" i="20"/>
  <c r="AN28" i="20"/>
  <c r="AC9" i="20"/>
  <c r="AL9" i="20"/>
  <c r="AN9" i="20"/>
  <c r="AA42" i="12"/>
  <c r="AD42" i="12" s="1"/>
  <c r="AA58" i="12"/>
  <c r="AD58" i="12" s="1"/>
  <c r="AA17" i="12"/>
  <c r="AD83" i="12"/>
  <c r="AD521" i="18"/>
  <c r="AE521" i="18" s="1"/>
  <c r="AF521" i="18" s="1"/>
  <c r="AA10" i="12"/>
  <c r="AF47" i="11"/>
  <c r="AH47" i="11"/>
  <c r="AC15" i="20"/>
  <c r="AL15" i="20"/>
  <c r="AN15" i="20"/>
  <c r="AC11" i="20"/>
  <c r="AL11" i="20"/>
  <c r="AN11" i="20"/>
  <c r="AC29" i="20"/>
  <c r="AL29" i="20"/>
  <c r="AN29" i="20"/>
  <c r="AA8" i="12"/>
  <c r="AA87" i="8" s="1"/>
  <c r="AB87" i="8" s="1"/>
  <c r="AE8" i="12"/>
  <c r="AA103" i="12"/>
  <c r="AE103" i="12"/>
  <c r="AA21" i="12"/>
  <c r="AA23" i="27" s="1"/>
  <c r="AM23" i="27" s="1"/>
  <c r="AE21" i="12"/>
  <c r="AD511" i="18" s="1"/>
  <c r="AI34" i="12"/>
  <c r="AE34" i="12"/>
  <c r="AA57" i="12"/>
  <c r="AM57" i="12" s="1"/>
  <c r="AE57" i="12"/>
  <c r="AC31" i="20"/>
  <c r="AL31" i="20"/>
  <c r="AN31" i="20"/>
  <c r="AO47" i="11"/>
  <c r="AC16" i="20"/>
  <c r="AL16" i="20"/>
  <c r="AN16" i="20"/>
  <c r="V97" i="11"/>
  <c r="AD60" i="11"/>
  <c r="AA46" i="11"/>
  <c r="AI60" i="11"/>
  <c r="AC14" i="20"/>
  <c r="AL14" i="20"/>
  <c r="AN14" i="20"/>
  <c r="AC22" i="20"/>
  <c r="AC18" i="20"/>
  <c r="AL18" i="20"/>
  <c r="AN18" i="20"/>
  <c r="AC27" i="20"/>
  <c r="AL27" i="20"/>
  <c r="AN27" i="20"/>
  <c r="AH60" i="11"/>
  <c r="AD47" i="11"/>
  <c r="AL53" i="20"/>
  <c r="AN53" i="20"/>
  <c r="AC34" i="20"/>
  <c r="AL34" i="20"/>
  <c r="AN34" i="20"/>
  <c r="AC24" i="20"/>
  <c r="AL24" i="20"/>
  <c r="AN24" i="20"/>
  <c r="AA128" i="13"/>
  <c r="AM128" i="13" s="1"/>
  <c r="AC21" i="20"/>
  <c r="AL21" i="20"/>
  <c r="AN21" i="20"/>
  <c r="AC8" i="20"/>
  <c r="AL8" i="20"/>
  <c r="AN8" i="20"/>
  <c r="W97" i="11"/>
  <c r="AE8" i="11"/>
  <c r="X97" i="11"/>
  <c r="AA8" i="11"/>
  <c r="AQ96" i="20"/>
  <c r="AL95" i="20"/>
  <c r="AN95" i="20"/>
  <c r="W124" i="14"/>
  <c r="AE100" i="12"/>
  <c r="AA41" i="12"/>
  <c r="O143" i="9" s="1"/>
  <c r="P143" i="9" s="1"/>
  <c r="AE24" i="12"/>
  <c r="X111" i="16"/>
  <c r="AE111" i="16" s="1"/>
  <c r="AA113" i="13"/>
  <c r="X112" i="14"/>
  <c r="N47" i="7"/>
  <c r="V47" i="9"/>
  <c r="AA55" i="20"/>
  <c r="AE55" i="20"/>
  <c r="AN58" i="11"/>
  <c r="AA25" i="20"/>
  <c r="AE25" i="20"/>
  <c r="AL93" i="20"/>
  <c r="AN93" i="20"/>
  <c r="AL7" i="20"/>
  <c r="AN7" i="20"/>
  <c r="AL81" i="20"/>
  <c r="AN81" i="20"/>
  <c r="AL64" i="20"/>
  <c r="AN64" i="20"/>
  <c r="AL80" i="20"/>
  <c r="AN80" i="20"/>
  <c r="AL6" i="20"/>
  <c r="AL77" i="20"/>
  <c r="AN77" i="20"/>
  <c r="AL82" i="20"/>
  <c r="AN82" i="20"/>
  <c r="AL78" i="20"/>
  <c r="AN78" i="20"/>
  <c r="AL76" i="20"/>
  <c r="AN76" i="20"/>
  <c r="AL44" i="11"/>
  <c r="AN44" i="11"/>
  <c r="AM40" i="11"/>
  <c r="AF40" i="11"/>
  <c r="AI40" i="11"/>
  <c r="AD40" i="11"/>
  <c r="AH40" i="11"/>
  <c r="AI30" i="11"/>
  <c r="AL57" i="11"/>
  <c r="AN57" i="11"/>
  <c r="AF13" i="11"/>
  <c r="AD30" i="11"/>
  <c r="AN39" i="11"/>
  <c r="AO39" i="11"/>
  <c r="AM30" i="11"/>
  <c r="AD24" i="11"/>
  <c r="AL52" i="11"/>
  <c r="AN52" i="11"/>
  <c r="AH92" i="11"/>
  <c r="AN38" i="11"/>
  <c r="AM92" i="11"/>
  <c r="AD92" i="11"/>
  <c r="AL15" i="11"/>
  <c r="AN15" i="11"/>
  <c r="AH18" i="11"/>
  <c r="AF16" i="11"/>
  <c r="AD36" i="11"/>
  <c r="AM13" i="11"/>
  <c r="AL45" i="11"/>
  <c r="AN45" i="11"/>
  <c r="AD18" i="11"/>
  <c r="AD13" i="11"/>
  <c r="AL53" i="11"/>
  <c r="AN53" i="11"/>
  <c r="AI13" i="11"/>
  <c r="AI18" i="11"/>
  <c r="AF18" i="11"/>
  <c r="AM9" i="11"/>
  <c r="AD7" i="11"/>
  <c r="AL37" i="11"/>
  <c r="AN37" i="11"/>
  <c r="AL51" i="11"/>
  <c r="AN51" i="11"/>
  <c r="AI7" i="11"/>
  <c r="AI24" i="11"/>
  <c r="AF7" i="11"/>
  <c r="AH7" i="11"/>
  <c r="AM24" i="11"/>
  <c r="AN48" i="11"/>
  <c r="AM7" i="11"/>
  <c r="AH24" i="11"/>
  <c r="AM24" i="12"/>
  <c r="AM96" i="27" s="1"/>
  <c r="AH24" i="12"/>
  <c r="AM22" i="12"/>
  <c r="U6" i="14"/>
  <c r="U6" i="15" s="1"/>
  <c r="AE111" i="13"/>
  <c r="AF9" i="11"/>
  <c r="AD9" i="11"/>
  <c r="AH9" i="11"/>
  <c r="AI9" i="11"/>
  <c r="AL93" i="11"/>
  <c r="AN93" i="11"/>
  <c r="AL54" i="11"/>
  <c r="AN54" i="11"/>
  <c r="AH95" i="11"/>
  <c r="AL25" i="11"/>
  <c r="AN25" i="11"/>
  <c r="AL42" i="11"/>
  <c r="AN42" i="11"/>
  <c r="AM95" i="11"/>
  <c r="AM34" i="11"/>
  <c r="AL43" i="11"/>
  <c r="AN43" i="11"/>
  <c r="AF95" i="11"/>
  <c r="AH27" i="11"/>
  <c r="AM27" i="11"/>
  <c r="AD27" i="11"/>
  <c r="AF27" i="11"/>
  <c r="M27" i="11"/>
  <c r="AE27" i="11"/>
  <c r="AL22" i="11"/>
  <c r="AN22" i="11"/>
  <c r="AM11" i="11"/>
  <c r="AD11" i="11"/>
  <c r="AL49" i="11"/>
  <c r="AN49" i="11"/>
  <c r="AO49" i="11"/>
  <c r="AI11" i="11"/>
  <c r="AL31" i="11"/>
  <c r="AN31" i="11"/>
  <c r="AD34" i="11"/>
  <c r="AF34" i="11"/>
  <c r="AH36" i="11"/>
  <c r="AM36" i="11"/>
  <c r="AI20" i="11"/>
  <c r="AM20" i="11"/>
  <c r="AF20" i="11"/>
  <c r="AH20" i="11"/>
  <c r="Y97" i="11"/>
  <c r="AH21" i="11"/>
  <c r="AF21" i="11"/>
  <c r="AD21" i="11"/>
  <c r="AI32" i="11"/>
  <c r="AF32" i="11"/>
  <c r="AD32" i="11"/>
  <c r="AF36" i="11"/>
  <c r="AH11" i="11"/>
  <c r="AI34" i="11"/>
  <c r="AL35" i="11"/>
  <c r="AN35" i="11"/>
  <c r="AL50" i="11"/>
  <c r="AN50" i="11"/>
  <c r="AI21" i="11"/>
  <c r="AF30" i="11"/>
  <c r="AI36" i="11"/>
  <c r="AF11" i="11"/>
  <c r="AM32" i="11"/>
  <c r="AH16" i="11"/>
  <c r="AD16" i="11"/>
  <c r="AI16" i="11"/>
  <c r="AH28" i="11"/>
  <c r="AD28" i="11"/>
  <c r="AE28" i="11"/>
  <c r="AM28" i="11"/>
  <c r="AI28" i="11"/>
  <c r="AF28" i="11"/>
  <c r="AF29" i="11"/>
  <c r="AH29" i="11"/>
  <c r="AD29" i="11"/>
  <c r="AM29" i="11"/>
  <c r="AI19" i="11"/>
  <c r="AF19" i="11"/>
  <c r="AD19" i="11"/>
  <c r="AH19" i="11"/>
  <c r="AM19" i="11"/>
  <c r="AA26" i="11"/>
  <c r="AH94" i="11"/>
  <c r="AD94" i="11"/>
  <c r="AF94" i="11"/>
  <c r="AM94" i="11"/>
  <c r="AH12" i="11"/>
  <c r="AF12" i="11"/>
  <c r="AM12" i="11"/>
  <c r="AD12" i="11"/>
  <c r="AI12" i="11"/>
  <c r="M59" i="11"/>
  <c r="M57" i="20"/>
  <c r="AM59" i="11"/>
  <c r="AN59" i="11"/>
  <c r="AI10" i="11"/>
  <c r="AF10" i="11"/>
  <c r="AD10" i="11"/>
  <c r="AH10" i="11"/>
  <c r="AM10" i="11"/>
  <c r="AI33" i="11"/>
  <c r="AH33" i="11"/>
  <c r="AD33" i="11"/>
  <c r="AF33" i="11"/>
  <c r="AM33" i="11"/>
  <c r="AE23" i="11"/>
  <c r="AM23" i="11"/>
  <c r="AD23" i="11"/>
  <c r="AF23" i="11"/>
  <c r="AH23" i="11"/>
  <c r="M17" i="11"/>
  <c r="AC41" i="20"/>
  <c r="AL41" i="20"/>
  <c r="AN41" i="20"/>
  <c r="AD96" i="11"/>
  <c r="AF96" i="11"/>
  <c r="AM96" i="11"/>
  <c r="AH96" i="11"/>
  <c r="AL14" i="11"/>
  <c r="AN14" i="11"/>
  <c r="AL6" i="11"/>
  <c r="AL62" i="11"/>
  <c r="AN62" i="11"/>
  <c r="AF17" i="11"/>
  <c r="AM17" i="11"/>
  <c r="AI17" i="11"/>
  <c r="AD17" i="11"/>
  <c r="AH17" i="11"/>
  <c r="AL41" i="11"/>
  <c r="AN41" i="11"/>
  <c r="AB215" i="8"/>
  <c r="K52" i="9"/>
  <c r="K11" i="10" s="1"/>
  <c r="AA114" i="13"/>
  <c r="AF114" i="13" s="1"/>
  <c r="W114" i="14"/>
  <c r="W1" i="16"/>
  <c r="W1" i="19"/>
  <c r="C52" i="3"/>
  <c r="J22" i="7"/>
  <c r="AC69" i="13"/>
  <c r="AC71" i="13"/>
  <c r="V110" i="14"/>
  <c r="X110" i="14"/>
  <c r="AE110" i="14" s="1"/>
  <c r="AD428" i="18"/>
  <c r="AE428" i="18" s="1"/>
  <c r="AF428" i="18" s="1"/>
  <c r="AC30" i="27"/>
  <c r="AD429" i="18"/>
  <c r="AE429" i="18" s="1"/>
  <c r="AF429" i="18" s="1"/>
  <c r="AC31" i="27"/>
  <c r="AC25" i="27"/>
  <c r="AD436" i="18"/>
  <c r="AE436" i="18" s="1"/>
  <c r="AF436" i="18" s="1"/>
  <c r="AD452" i="18"/>
  <c r="AE452" i="18" s="1"/>
  <c r="AF452" i="18" s="1"/>
  <c r="AC60" i="27"/>
  <c r="AC32" i="27"/>
  <c r="AC9" i="27"/>
  <c r="AC51" i="27"/>
  <c r="AC65" i="27"/>
  <c r="AD424" i="18"/>
  <c r="AE424" i="18" s="1"/>
  <c r="AF424" i="18" s="1"/>
  <c r="AC61" i="27"/>
  <c r="AD453" i="18"/>
  <c r="AE453" i="18" s="1"/>
  <c r="AF453" i="18" s="1"/>
  <c r="AC34" i="27"/>
  <c r="AD440" i="18"/>
  <c r="AE440" i="18" s="1"/>
  <c r="AF440" i="18" s="1"/>
  <c r="AC38" i="27"/>
  <c r="AC17" i="27"/>
  <c r="AD446" i="18"/>
  <c r="AE446" i="18" s="1"/>
  <c r="AF446" i="18" s="1"/>
  <c r="AC50" i="27"/>
  <c r="AD425" i="18"/>
  <c r="AE425" i="18" s="1"/>
  <c r="AF425" i="18" s="1"/>
  <c r="AC23" i="27"/>
  <c r="V12" i="14"/>
  <c r="W55" i="14"/>
  <c r="X55" i="14"/>
  <c r="V108" i="14"/>
  <c r="W108" i="14"/>
  <c r="X108" i="14"/>
  <c r="AE108" i="14" s="1"/>
  <c r="W120" i="14"/>
  <c r="X120" i="14"/>
  <c r="AC12" i="13"/>
  <c r="AC37" i="29" s="1"/>
  <c r="AC54" i="13"/>
  <c r="AC55" i="13"/>
  <c r="AC37" i="13"/>
  <c r="AC34" i="13"/>
  <c r="AC67" i="13"/>
  <c r="AC42" i="29" s="1"/>
  <c r="AC40" i="13"/>
  <c r="AC63" i="29" s="1"/>
  <c r="AC25" i="13"/>
  <c r="AC38" i="13"/>
  <c r="AC62" i="29" s="1"/>
  <c r="AC15" i="13"/>
  <c r="AC64" i="13"/>
  <c r="AC36" i="13"/>
  <c r="AC19" i="29" s="1"/>
  <c r="AC58" i="13"/>
  <c r="AC31" i="29" s="1"/>
  <c r="AC7" i="13"/>
  <c r="AC10" i="13"/>
  <c r="AC67" i="29" s="1"/>
  <c r="AC33" i="13"/>
  <c r="AC70" i="13"/>
  <c r="AC107" i="13"/>
  <c r="AC66" i="13"/>
  <c r="AC18" i="13"/>
  <c r="AC63" i="13"/>
  <c r="AC23" i="29" s="1"/>
  <c r="AC24" i="13"/>
  <c r="AC31" i="13"/>
  <c r="AC23" i="13"/>
  <c r="AC51" i="13"/>
  <c r="AC49" i="13"/>
  <c r="AC42" i="13"/>
  <c r="AC17" i="13"/>
  <c r="AC14" i="13"/>
  <c r="AC68" i="13"/>
  <c r="AC30" i="13"/>
  <c r="AC29" i="13"/>
  <c r="AC8" i="13"/>
  <c r="AC61" i="13"/>
  <c r="AC18" i="29" s="1"/>
  <c r="AC22" i="13"/>
  <c r="AC57" i="13"/>
  <c r="AC32" i="29" s="1"/>
  <c r="AC109" i="13"/>
  <c r="AC20" i="13"/>
  <c r="AC52" i="13"/>
  <c r="AC39" i="13"/>
  <c r="AC9" i="29" s="1"/>
  <c r="AC16" i="13"/>
  <c r="AC59" i="13"/>
  <c r="AC30" i="29" s="1"/>
  <c r="AC27" i="13"/>
  <c r="AC20" i="29" s="1"/>
  <c r="AC53" i="13"/>
  <c r="AC52" i="29" s="1"/>
  <c r="AC19" i="13"/>
  <c r="AC44" i="13"/>
  <c r="AC40" i="29" s="1"/>
  <c r="AC50" i="13"/>
  <c r="AC65" i="13"/>
  <c r="AC28" i="29" s="1"/>
  <c r="X128" i="14"/>
  <c r="V106" i="14"/>
  <c r="X106" i="14" s="1"/>
  <c r="V116" i="14"/>
  <c r="X116" i="14"/>
  <c r="AE116" i="14" s="1"/>
  <c r="AE51" i="27"/>
  <c r="U48" i="9"/>
  <c r="N48" i="7"/>
  <c r="O49" i="7"/>
  <c r="W49" i="9"/>
  <c r="N51" i="7"/>
  <c r="U51" i="9"/>
  <c r="AE38" i="27"/>
  <c r="AE32" i="27"/>
  <c r="AE61" i="27"/>
  <c r="AE534" i="18"/>
  <c r="AF534" i="18" s="1"/>
  <c r="AA51" i="27"/>
  <c r="AM51" i="27" s="1"/>
  <c r="O134" i="9"/>
  <c r="P134" i="9" s="1"/>
  <c r="AA18" i="27"/>
  <c r="AM18" i="27" s="1"/>
  <c r="AI103" i="12"/>
  <c r="AI99" i="12"/>
  <c r="AI49" i="27"/>
  <c r="AM49" i="27"/>
  <c r="AI17" i="12"/>
  <c r="AI21" i="12"/>
  <c r="AI23" i="27" s="1"/>
  <c r="AA143" i="8"/>
  <c r="AB143" i="8" s="1"/>
  <c r="AA141" i="8"/>
  <c r="AB141" i="8" s="1"/>
  <c r="AI42" i="12"/>
  <c r="AI10" i="12"/>
  <c r="AD644" i="18" s="1"/>
  <c r="AE644" i="18" s="1"/>
  <c r="AF644" i="18" s="1"/>
  <c r="O108" i="9"/>
  <c r="P108" i="9" s="1"/>
  <c r="AA134" i="8"/>
  <c r="AB134" i="8" s="1"/>
  <c r="AA152" i="8"/>
  <c r="O62" i="9"/>
  <c r="P62" i="9" s="1"/>
  <c r="AM99" i="12"/>
  <c r="AA62" i="8"/>
  <c r="AB62" i="8" s="1"/>
  <c r="O63" i="9"/>
  <c r="P63" i="9" s="1"/>
  <c r="L52" i="7"/>
  <c r="M46" i="7"/>
  <c r="U46" i="9"/>
  <c r="U401" i="9" s="1"/>
  <c r="O45" i="7"/>
  <c r="W45" i="9"/>
  <c r="AD8" i="11"/>
  <c r="AL47" i="11"/>
  <c r="AN47" i="11"/>
  <c r="AE128" i="13"/>
  <c r="AE12" i="12"/>
  <c r="AE113" i="13"/>
  <c r="AC1" i="14"/>
  <c r="AL22" i="20"/>
  <c r="AN22" i="20"/>
  <c r="X114" i="14"/>
  <c r="V1" i="15"/>
  <c r="X105" i="14"/>
  <c r="AM19" i="12"/>
  <c r="AM84" i="27" s="1"/>
  <c r="AM10" i="12"/>
  <c r="AM109" i="27" s="1"/>
  <c r="AD10" i="12"/>
  <c r="AD483" i="18" s="1"/>
  <c r="AE483" i="18" s="1"/>
  <c r="AF483" i="18" s="1"/>
  <c r="AF17" i="12"/>
  <c r="AM17" i="12"/>
  <c r="AM101" i="27" s="1"/>
  <c r="AD17" i="12"/>
  <c r="AD479" i="18" s="1"/>
  <c r="AH17" i="12"/>
  <c r="M17" i="20"/>
  <c r="AH34" i="12"/>
  <c r="AF34" i="12"/>
  <c r="AM34" i="12"/>
  <c r="AD34" i="12"/>
  <c r="AD103" i="12"/>
  <c r="AM103" i="12"/>
  <c r="AF103" i="12"/>
  <c r="AL103" i="12" s="1"/>
  <c r="AN103" i="12" s="1"/>
  <c r="AH103" i="12"/>
  <c r="AF30" i="12"/>
  <c r="AF8" i="11"/>
  <c r="AH39" i="12"/>
  <c r="AD618" i="18" s="1"/>
  <c r="AE618" i="18" s="1"/>
  <c r="AF618" i="18" s="1"/>
  <c r="AF39" i="12"/>
  <c r="AD575" i="18" s="1"/>
  <c r="AE575" i="18" s="1"/>
  <c r="AF575" i="18" s="1"/>
  <c r="AD26" i="12"/>
  <c r="AD99" i="12"/>
  <c r="AD49" i="27" s="1"/>
  <c r="AF99" i="12"/>
  <c r="AF49" i="27" s="1"/>
  <c r="AH99" i="12"/>
  <c r="AH49" i="27" s="1"/>
  <c r="AI8" i="11"/>
  <c r="AM8" i="11"/>
  <c r="AF35" i="12"/>
  <c r="AH35" i="12"/>
  <c r="AD35" i="12"/>
  <c r="AM35" i="12"/>
  <c r="AH8" i="11"/>
  <c r="AL60" i="11"/>
  <c r="AN60" i="11"/>
  <c r="AH46" i="11"/>
  <c r="AM46" i="11"/>
  <c r="AF46" i="11"/>
  <c r="AD46" i="11"/>
  <c r="AE109" i="13"/>
  <c r="AM41" i="12"/>
  <c r="AF41" i="12"/>
  <c r="AF18" i="27" s="1"/>
  <c r="AH41" i="12"/>
  <c r="AH18" i="27" s="1"/>
  <c r="W111" i="16"/>
  <c r="O47" i="7"/>
  <c r="W47" i="9"/>
  <c r="M55" i="20"/>
  <c r="AE134" i="20"/>
  <c r="AE132" i="20"/>
  <c r="AI55" i="20"/>
  <c r="AH55" i="20"/>
  <c r="AM55" i="20"/>
  <c r="AF55" i="20"/>
  <c r="AD55" i="20"/>
  <c r="AD25" i="20"/>
  <c r="AH25" i="20"/>
  <c r="AI25" i="20"/>
  <c r="AA134" i="20"/>
  <c r="AM25" i="20"/>
  <c r="AA132" i="20"/>
  <c r="AF25" i="20"/>
  <c r="AN6" i="20"/>
  <c r="AL24" i="11"/>
  <c r="AN24" i="11"/>
  <c r="AL40" i="11"/>
  <c r="AN40" i="11"/>
  <c r="AL30" i="11"/>
  <c r="AN30" i="11"/>
  <c r="AL92" i="11"/>
  <c r="AN92" i="11"/>
  <c r="AL36" i="11"/>
  <c r="AN36" i="11"/>
  <c r="M26" i="11"/>
  <c r="AL13" i="11"/>
  <c r="AN13" i="11"/>
  <c r="AL7" i="11"/>
  <c r="AN7" i="11"/>
  <c r="AL18" i="11"/>
  <c r="AN18" i="11"/>
  <c r="AL9" i="11"/>
  <c r="AN9" i="11"/>
  <c r="AO48" i="11"/>
  <c r="AL11" i="11"/>
  <c r="AN11" i="11"/>
  <c r="AL27" i="11"/>
  <c r="AN27" i="11"/>
  <c r="AL96" i="11"/>
  <c r="AN96" i="11"/>
  <c r="AE97" i="11"/>
  <c r="AL16" i="11"/>
  <c r="AN16" i="11"/>
  <c r="AL34" i="11"/>
  <c r="AN34" i="11"/>
  <c r="AL20" i="11"/>
  <c r="AN20" i="11"/>
  <c r="AL95" i="11"/>
  <c r="AN95" i="11"/>
  <c r="AL10" i="11"/>
  <c r="AN10" i="11"/>
  <c r="AE99" i="11"/>
  <c r="AL32" i="11"/>
  <c r="AN32" i="11"/>
  <c r="AL29" i="11"/>
  <c r="AN29" i="11"/>
  <c r="K122" i="9"/>
  <c r="K13" i="10" s="1"/>
  <c r="AL21" i="11"/>
  <c r="AN21" i="11"/>
  <c r="M28" i="11"/>
  <c r="K159" i="9"/>
  <c r="K14" i="10" s="1"/>
  <c r="K15" i="10" s="1"/>
  <c r="AM26" i="11"/>
  <c r="AD26" i="11"/>
  <c r="AH26" i="11"/>
  <c r="AI26" i="11"/>
  <c r="AI99" i="11"/>
  <c r="AF26" i="11"/>
  <c r="AA99" i="11"/>
  <c r="AL23" i="11"/>
  <c r="AN23" i="11"/>
  <c r="AL12" i="11"/>
  <c r="AN12" i="11"/>
  <c r="AL19" i="11"/>
  <c r="AN19" i="11"/>
  <c r="AL61" i="11"/>
  <c r="AN61" i="11"/>
  <c r="AL33" i="11"/>
  <c r="AN33" i="11"/>
  <c r="AL94" i="11"/>
  <c r="AN94" i="11"/>
  <c r="AN6" i="11"/>
  <c r="U97" i="11"/>
  <c r="AA97" i="11"/>
  <c r="AL28" i="11"/>
  <c r="AN28" i="11"/>
  <c r="T111" i="16"/>
  <c r="T111" i="15"/>
  <c r="V24" i="9"/>
  <c r="T27" i="9"/>
  <c r="T28" i="9"/>
  <c r="T21" i="9"/>
  <c r="T20" i="9"/>
  <c r="W27" i="9"/>
  <c r="W28" i="9"/>
  <c r="W21" i="9"/>
  <c r="W20" i="9"/>
  <c r="U27" i="9"/>
  <c r="U28" i="9"/>
  <c r="U20" i="9"/>
  <c r="U21" i="9"/>
  <c r="W24" i="9"/>
  <c r="V28" i="9"/>
  <c r="V27" i="9"/>
  <c r="V20" i="9"/>
  <c r="V21" i="9"/>
  <c r="T24" i="9"/>
  <c r="U24" i="9"/>
  <c r="Q22" i="9"/>
  <c r="R22" i="9" s="1"/>
  <c r="J38" i="7"/>
  <c r="AA110" i="14"/>
  <c r="AD110" i="14" s="1"/>
  <c r="AC110" i="14"/>
  <c r="AC107" i="14"/>
  <c r="V110" i="15"/>
  <c r="X110" i="15" s="1"/>
  <c r="X119" i="15"/>
  <c r="AE119" i="15" s="1"/>
  <c r="V115" i="15"/>
  <c r="X115" i="15" s="1"/>
  <c r="AA115" i="15" s="1"/>
  <c r="AM115" i="15" s="1"/>
  <c r="AC55" i="14"/>
  <c r="AC109" i="14"/>
  <c r="W55" i="15"/>
  <c r="X55" i="15" s="1"/>
  <c r="AE55" i="15" s="1"/>
  <c r="V108" i="15"/>
  <c r="X108" i="15" s="1"/>
  <c r="AC120" i="14"/>
  <c r="AC108" i="14"/>
  <c r="X120" i="15"/>
  <c r="AA120" i="15" s="1"/>
  <c r="AD120" i="15" s="1"/>
  <c r="V106" i="15"/>
  <c r="X106" i="15"/>
  <c r="AA106" i="15" s="1"/>
  <c r="V113" i="15"/>
  <c r="X113" i="15" s="1"/>
  <c r="AE113" i="15" s="1"/>
  <c r="AC1" i="15"/>
  <c r="AC106" i="14"/>
  <c r="AC116" i="14"/>
  <c r="AC128" i="14"/>
  <c r="AA128" i="14"/>
  <c r="AH128" i="14" s="1"/>
  <c r="AE128" i="14"/>
  <c r="AD51" i="27"/>
  <c r="AH61" i="27"/>
  <c r="AH51" i="27"/>
  <c r="AI38" i="27"/>
  <c r="AH32" i="27"/>
  <c r="AD601" i="18"/>
  <c r="AI32" i="27"/>
  <c r="AD640" i="18"/>
  <c r="AE640" i="18" s="1"/>
  <c r="AF640" i="18" s="1"/>
  <c r="AI51" i="27"/>
  <c r="O51" i="7"/>
  <c r="W51" i="9"/>
  <c r="V51" i="9"/>
  <c r="V48" i="9"/>
  <c r="O48" i="7"/>
  <c r="W48" i="9"/>
  <c r="AL111" i="26"/>
  <c r="AN111" i="26"/>
  <c r="K443" i="9"/>
  <c r="K34" i="10" s="1"/>
  <c r="AL46" i="11"/>
  <c r="AN46" i="11"/>
  <c r="N46" i="7"/>
  <c r="M52" i="7"/>
  <c r="AL8" i="11"/>
  <c r="AN8" i="11"/>
  <c r="AE105" i="15"/>
  <c r="V114" i="15"/>
  <c r="X114" i="15" s="1"/>
  <c r="AA114" i="15" s="1"/>
  <c r="AM114" i="15" s="1"/>
  <c r="AE128" i="15"/>
  <c r="V126" i="15"/>
  <c r="V112" i="15"/>
  <c r="X112" i="15" s="1"/>
  <c r="V1" i="16"/>
  <c r="V111" i="15"/>
  <c r="X111" i="15"/>
  <c r="AE126" i="14"/>
  <c r="AC17" i="20"/>
  <c r="AL17" i="20"/>
  <c r="AM99" i="11"/>
  <c r="AF99" i="11"/>
  <c r="AH134" i="20"/>
  <c r="AH132" i="20"/>
  <c r="M25" i="20"/>
  <c r="AM134" i="20"/>
  <c r="AM132" i="20"/>
  <c r="AD132" i="20"/>
  <c r="AD134" i="20"/>
  <c r="M26" i="20"/>
  <c r="AF134" i="20"/>
  <c r="AF132" i="20"/>
  <c r="AI134" i="20"/>
  <c r="AI132" i="20"/>
  <c r="AL55" i="20"/>
  <c r="AN55" i="20"/>
  <c r="M99" i="11"/>
  <c r="AL17" i="11"/>
  <c r="AD99" i="11"/>
  <c r="AD97" i="11"/>
  <c r="M97" i="11"/>
  <c r="AH99" i="11"/>
  <c r="AH97" i="11"/>
  <c r="AF97" i="11"/>
  <c r="AM97" i="11"/>
  <c r="AO2" i="11"/>
  <c r="AI97" i="11"/>
  <c r="AC110" i="15"/>
  <c r="AC107" i="15"/>
  <c r="AC1" i="16"/>
  <c r="AC1" i="19"/>
  <c r="AC122" i="16"/>
  <c r="AC110" i="16"/>
  <c r="X122" i="16"/>
  <c r="AA122" i="16" s="1"/>
  <c r="V110" i="16"/>
  <c r="X110" i="16"/>
  <c r="AA110" i="16" s="1"/>
  <c r="AC119" i="15"/>
  <c r="AC115" i="15"/>
  <c r="AC115" i="16"/>
  <c r="AC119" i="16"/>
  <c r="V115" i="16"/>
  <c r="X115" i="16" s="1"/>
  <c r="V119" i="16"/>
  <c r="X119" i="16"/>
  <c r="AE119" i="16" s="1"/>
  <c r="AC120" i="16"/>
  <c r="AC112" i="16"/>
  <c r="AC114" i="16"/>
  <c r="AC118" i="16"/>
  <c r="AC117" i="16"/>
  <c r="AC113" i="16"/>
  <c r="AC106" i="16"/>
  <c r="AC108" i="16"/>
  <c r="V108" i="16"/>
  <c r="X108" i="16" s="1"/>
  <c r="V118" i="16"/>
  <c r="X118" i="16" s="1"/>
  <c r="AC24" i="15"/>
  <c r="AC109" i="15"/>
  <c r="AC55" i="15"/>
  <c r="AC108" i="15"/>
  <c r="AC106" i="15"/>
  <c r="AC112" i="19"/>
  <c r="V111" i="16"/>
  <c r="AC114" i="15"/>
  <c r="AC124" i="15"/>
  <c r="AC120" i="15"/>
  <c r="AC118" i="15"/>
  <c r="AL118" i="15" s="1"/>
  <c r="AN118" i="15" s="1"/>
  <c r="AC111" i="15"/>
  <c r="AC113" i="15"/>
  <c r="AC112" i="15"/>
  <c r="AC1" i="26"/>
  <c r="V106" i="16"/>
  <c r="X106" i="16" s="1"/>
  <c r="V113" i="16"/>
  <c r="X113" i="16" s="1"/>
  <c r="AM128" i="14"/>
  <c r="AF128" i="14"/>
  <c r="AI128" i="14"/>
  <c r="N52" i="7"/>
  <c r="V46" i="9"/>
  <c r="AB11" i="8"/>
  <c r="O11" i="9"/>
  <c r="P11" i="9" s="1"/>
  <c r="AA111" i="15"/>
  <c r="AM111" i="15" s="1"/>
  <c r="AE111" i="15"/>
  <c r="X124" i="15"/>
  <c r="V117" i="16"/>
  <c r="X117" i="16" s="1"/>
  <c r="O46" i="7"/>
  <c r="W46" i="9"/>
  <c r="W401" i="9" s="1"/>
  <c r="V128" i="16"/>
  <c r="X128" i="16"/>
  <c r="AA128" i="16" s="1"/>
  <c r="V120" i="16"/>
  <c r="X120" i="16"/>
  <c r="AE120" i="16" s="1"/>
  <c r="V112" i="16"/>
  <c r="X112" i="16" s="1"/>
  <c r="AA105" i="15"/>
  <c r="AD105" i="15" s="1"/>
  <c r="AA126" i="15"/>
  <c r="AD126" i="15" s="1"/>
  <c r="V114" i="16"/>
  <c r="X114" i="16" s="1"/>
  <c r="V126" i="16"/>
  <c r="X126" i="16"/>
  <c r="AA126" i="16" s="1"/>
  <c r="V1" i="19"/>
  <c r="V105" i="16"/>
  <c r="X105" i="16"/>
  <c r="AE105" i="16" s="1"/>
  <c r="X124" i="16"/>
  <c r="AE124" i="16" s="1"/>
  <c r="M130" i="12"/>
  <c r="M132" i="20"/>
  <c r="AC25" i="20"/>
  <c r="AN17" i="20"/>
  <c r="AL26" i="11"/>
  <c r="AN26" i="11"/>
  <c r="M133" i="13"/>
  <c r="AN17" i="11"/>
  <c r="AC107" i="26"/>
  <c r="AC107" i="16"/>
  <c r="AC122" i="19"/>
  <c r="AC107" i="19"/>
  <c r="AC109" i="16"/>
  <c r="AC113" i="19"/>
  <c r="AC106" i="19"/>
  <c r="AC118" i="19"/>
  <c r="AC109" i="19"/>
  <c r="AC114" i="19"/>
  <c r="AC119" i="19"/>
  <c r="AC110" i="19"/>
  <c r="AC108" i="19"/>
  <c r="AC117" i="19"/>
  <c r="AC120" i="19"/>
  <c r="AC115" i="19"/>
  <c r="AC122" i="26"/>
  <c r="AC110" i="26"/>
  <c r="V122" i="19"/>
  <c r="X122" i="19" s="1"/>
  <c r="V110" i="19"/>
  <c r="X110" i="19" s="1"/>
  <c r="V115" i="19"/>
  <c r="X115" i="19" s="1"/>
  <c r="V119" i="19"/>
  <c r="X119" i="19" s="1"/>
  <c r="AC119" i="26"/>
  <c r="AC115" i="26"/>
  <c r="AC118" i="26"/>
  <c r="AC108" i="26"/>
  <c r="AC114" i="26"/>
  <c r="AC112" i="26"/>
  <c r="AC117" i="26"/>
  <c r="AC113" i="26"/>
  <c r="AC120" i="26"/>
  <c r="AC106" i="26"/>
  <c r="AC109" i="26"/>
  <c r="V108" i="19"/>
  <c r="X108" i="19" s="1"/>
  <c r="V106" i="19"/>
  <c r="X106" i="19" s="1"/>
  <c r="AE106" i="19" s="1"/>
  <c r="V118" i="19"/>
  <c r="X118" i="19" s="1"/>
  <c r="V1" i="26"/>
  <c r="V117" i="19"/>
  <c r="X117" i="19" s="1"/>
  <c r="V128" i="19"/>
  <c r="V113" i="19"/>
  <c r="X113" i="19" s="1"/>
  <c r="V120" i="19"/>
  <c r="X120" i="19" s="1"/>
  <c r="AE120" i="19" s="1"/>
  <c r="V112" i="19"/>
  <c r="X112" i="19" s="1"/>
  <c r="V114" i="19"/>
  <c r="X114" i="19"/>
  <c r="AE114" i="19" s="1"/>
  <c r="V111" i="19"/>
  <c r="AL128" i="26"/>
  <c r="AN128" i="26"/>
  <c r="AF111" i="15"/>
  <c r="P34" i="10"/>
  <c r="O52" i="7"/>
  <c r="J283" i="9"/>
  <c r="J18" i="10" s="1"/>
  <c r="Y37" i="8"/>
  <c r="Y55" i="8"/>
  <c r="Y61" i="8"/>
  <c r="AE128" i="16"/>
  <c r="AE126" i="16"/>
  <c r="AF126" i="15"/>
  <c r="AH126" i="15"/>
  <c r="K9" i="10"/>
  <c r="K171" i="9"/>
  <c r="AL25" i="20"/>
  <c r="AC134" i="20"/>
  <c r="AC132" i="20"/>
  <c r="AL99" i="11"/>
  <c r="AL97" i="11"/>
  <c r="AN99" i="11"/>
  <c r="AN97" i="11"/>
  <c r="V122" i="26"/>
  <c r="X122" i="26"/>
  <c r="AA122" i="26"/>
  <c r="V110" i="26"/>
  <c r="X110" i="26"/>
  <c r="V119" i="26"/>
  <c r="X119" i="26"/>
  <c r="V115" i="26"/>
  <c r="X115" i="26"/>
  <c r="V108" i="26"/>
  <c r="X108" i="26"/>
  <c r="V106" i="26"/>
  <c r="X106" i="26"/>
  <c r="V118" i="26"/>
  <c r="X118" i="26"/>
  <c r="V128" i="26"/>
  <c r="V113" i="26"/>
  <c r="X113" i="26"/>
  <c r="V120" i="26"/>
  <c r="X120" i="26"/>
  <c r="V117" i="26"/>
  <c r="X117" i="26"/>
  <c r="V112" i="26"/>
  <c r="X112" i="26"/>
  <c r="V114" i="26"/>
  <c r="X114" i="26"/>
  <c r="V111" i="26"/>
  <c r="AN25" i="20"/>
  <c r="AL134" i="20"/>
  <c r="AL132" i="20"/>
  <c r="AE122" i="26"/>
  <c r="AA110" i="26"/>
  <c r="AE110" i="26"/>
  <c r="AH122" i="26"/>
  <c r="AM122" i="26"/>
  <c r="AF122" i="26"/>
  <c r="AI122" i="26"/>
  <c r="AD122" i="26"/>
  <c r="AA115" i="26"/>
  <c r="AE115" i="26"/>
  <c r="AA119" i="26"/>
  <c r="AE119" i="26"/>
  <c r="AA112" i="26"/>
  <c r="AE112" i="26"/>
  <c r="AA117" i="26"/>
  <c r="AE117" i="26"/>
  <c r="AA118" i="26"/>
  <c r="AE118" i="26"/>
  <c r="AA108" i="26"/>
  <c r="AE108" i="26"/>
  <c r="AA114" i="26"/>
  <c r="AE114" i="26"/>
  <c r="AA120" i="26"/>
  <c r="AE120" i="26"/>
  <c r="AA106" i="26"/>
  <c r="AE106" i="26"/>
  <c r="AA113" i="26"/>
  <c r="AE113" i="26"/>
  <c r="AN132" i="20"/>
  <c r="AN134" i="20"/>
  <c r="AD110" i="26"/>
  <c r="AM110" i="26"/>
  <c r="AF110" i="26"/>
  <c r="AH110" i="26"/>
  <c r="AL122" i="26"/>
  <c r="AN122" i="26"/>
  <c r="AH115" i="26"/>
  <c r="AF115" i="26"/>
  <c r="AD115" i="26"/>
  <c r="AM115" i="26"/>
  <c r="AI115" i="26"/>
  <c r="AH119" i="26"/>
  <c r="AM119" i="26"/>
  <c r="AF119" i="26"/>
  <c r="AD119" i="26"/>
  <c r="AI119" i="26"/>
  <c r="AD120" i="26"/>
  <c r="AH120" i="26"/>
  <c r="AI120" i="26"/>
  <c r="AM120" i="26"/>
  <c r="AF120" i="26"/>
  <c r="AD108" i="26"/>
  <c r="AH108" i="26"/>
  <c r="AI108" i="26"/>
  <c r="AF108" i="26"/>
  <c r="AM108" i="26"/>
  <c r="AF118" i="26"/>
  <c r="AH118" i="26"/>
  <c r="AM118" i="26"/>
  <c r="AD118" i="26"/>
  <c r="AI118" i="26"/>
  <c r="AI117" i="26"/>
  <c r="AD117" i="26"/>
  <c r="AH117" i="26"/>
  <c r="AF117" i="26"/>
  <c r="AM117" i="26"/>
  <c r="AI106" i="26"/>
  <c r="AD106" i="26"/>
  <c r="AF106" i="26"/>
  <c r="AM106" i="26"/>
  <c r="AH106" i="26"/>
  <c r="AD114" i="26"/>
  <c r="AF114" i="26"/>
  <c r="AI114" i="26"/>
  <c r="AM114" i="26"/>
  <c r="AH114" i="26"/>
  <c r="AD113" i="26"/>
  <c r="AH113" i="26"/>
  <c r="AF113" i="26"/>
  <c r="AM113" i="26"/>
  <c r="AI113" i="26"/>
  <c r="AI112" i="26"/>
  <c r="AM112" i="26"/>
  <c r="AD112" i="26"/>
  <c r="AF112" i="26"/>
  <c r="AH112" i="26"/>
  <c r="AL106" i="26"/>
  <c r="AN106" i="26"/>
  <c r="AL120" i="26"/>
  <c r="AN120" i="26"/>
  <c r="AL119" i="26"/>
  <c r="AN119" i="26"/>
  <c r="AL115" i="26"/>
  <c r="AN115" i="26"/>
  <c r="AL117" i="26"/>
  <c r="AN117" i="26"/>
  <c r="AL112" i="26"/>
  <c r="AN112" i="26"/>
  <c r="AL108" i="26"/>
  <c r="AN108" i="26"/>
  <c r="AL113" i="26"/>
  <c r="AN113" i="26"/>
  <c r="AL114" i="26"/>
  <c r="AN114" i="26"/>
  <c r="AL118" i="26"/>
  <c r="AN118" i="26"/>
  <c r="P33" i="10"/>
  <c r="P26" i="10"/>
  <c r="B49" i="18"/>
  <c r="B49" i="9"/>
  <c r="P88" i="9" l="1"/>
  <c r="P57" i="9"/>
  <c r="R211" i="9"/>
  <c r="W99" i="14"/>
  <c r="X41" i="14"/>
  <c r="AE41" i="14" s="1"/>
  <c r="U60" i="15"/>
  <c r="U60" i="16" s="1"/>
  <c r="U60" i="19" s="1"/>
  <c r="U60" i="26" s="1"/>
  <c r="V60" i="26" s="1"/>
  <c r="R104" i="15"/>
  <c r="R104" i="16" s="1"/>
  <c r="T104" i="16" s="1"/>
  <c r="V59" i="14"/>
  <c r="E71" i="16"/>
  <c r="V20" i="14"/>
  <c r="X20" i="14" s="1"/>
  <c r="AA20" i="14" s="1"/>
  <c r="V94" i="14"/>
  <c r="X94" i="14" s="1"/>
  <c r="AA94" i="14" s="1"/>
  <c r="AH122" i="13"/>
  <c r="AI122" i="13"/>
  <c r="AM122" i="13"/>
  <c r="AF122" i="13"/>
  <c r="U38" i="15"/>
  <c r="P10" i="15"/>
  <c r="P10" i="16" s="1"/>
  <c r="P10" i="19" s="1"/>
  <c r="AC39" i="14"/>
  <c r="W38" i="14"/>
  <c r="V27" i="15"/>
  <c r="W27" i="15" s="1"/>
  <c r="X27" i="15" s="1"/>
  <c r="AA27" i="15" s="1"/>
  <c r="AI27" i="15" s="1"/>
  <c r="W66" i="14"/>
  <c r="U74" i="15"/>
  <c r="V74" i="15" s="1"/>
  <c r="R93" i="15"/>
  <c r="R93" i="16" s="1"/>
  <c r="K71" i="15"/>
  <c r="AI128" i="13"/>
  <c r="V39" i="14"/>
  <c r="W39" i="14" s="1"/>
  <c r="X39" i="14" s="1"/>
  <c r="AA39" i="14" s="1"/>
  <c r="AA73" i="13"/>
  <c r="AA46" i="29" s="1"/>
  <c r="AM46" i="29" s="1"/>
  <c r="W44" i="14"/>
  <c r="X44" i="14" s="1"/>
  <c r="AA44" i="14" s="1"/>
  <c r="AI44" i="14" s="1"/>
  <c r="AE120" i="13"/>
  <c r="W91" i="14"/>
  <c r="T66" i="14"/>
  <c r="X26" i="14"/>
  <c r="AA26" i="14" s="1"/>
  <c r="AF26" i="14" s="1"/>
  <c r="V100" i="15"/>
  <c r="AE126" i="13"/>
  <c r="V90" i="14"/>
  <c r="X90" i="14" s="1"/>
  <c r="V99" i="14"/>
  <c r="U9" i="15"/>
  <c r="X100" i="14"/>
  <c r="AE100" i="14" s="1"/>
  <c r="R91" i="15"/>
  <c r="R91" i="16" s="1"/>
  <c r="V100" i="14"/>
  <c r="W90" i="14"/>
  <c r="V66" i="15"/>
  <c r="X66" i="15" s="1"/>
  <c r="AA66" i="15" s="1"/>
  <c r="AC59" i="14"/>
  <c r="AA37" i="13"/>
  <c r="AM37" i="13" s="1"/>
  <c r="X59" i="14"/>
  <c r="T62" i="14"/>
  <c r="W59" i="14"/>
  <c r="P100" i="15"/>
  <c r="P100" i="16" s="1"/>
  <c r="X100" i="16" s="1"/>
  <c r="AA100" i="16" s="1"/>
  <c r="AM100" i="16" s="1"/>
  <c r="AC40" i="14"/>
  <c r="V100" i="16"/>
  <c r="AC17" i="29"/>
  <c r="AE56" i="13"/>
  <c r="AM108" i="13"/>
  <c r="AA78" i="13"/>
  <c r="AI78" i="13" s="1"/>
  <c r="R125" i="15"/>
  <c r="R125" i="26" s="1"/>
  <c r="T125" i="26" s="1"/>
  <c r="R73" i="15"/>
  <c r="R73" i="16" s="1"/>
  <c r="AC67" i="16"/>
  <c r="V97" i="15"/>
  <c r="AA71" i="13"/>
  <c r="AF71" i="13" s="1"/>
  <c r="AC67" i="15"/>
  <c r="V34" i="15"/>
  <c r="V54" i="14"/>
  <c r="W54" i="14" s="1"/>
  <c r="X54" i="14" s="1"/>
  <c r="AA54" i="14" s="1"/>
  <c r="AH54" i="14" s="1"/>
  <c r="V97" i="14"/>
  <c r="AI104" i="13"/>
  <c r="AE43" i="13"/>
  <c r="W41" i="14"/>
  <c r="U109" i="15"/>
  <c r="U109" i="26" s="1"/>
  <c r="V109" i="26" s="1"/>
  <c r="X109" i="26" s="1"/>
  <c r="AH104" i="13"/>
  <c r="AL104" i="13" s="1"/>
  <c r="AM104" i="13"/>
  <c r="AF102" i="13"/>
  <c r="J71" i="15"/>
  <c r="AC8" i="14"/>
  <c r="V34" i="16"/>
  <c r="V55" i="14"/>
  <c r="AI108" i="13"/>
  <c r="AI102" i="13"/>
  <c r="U67" i="15"/>
  <c r="V67" i="15" s="1"/>
  <c r="W67" i="15" s="1"/>
  <c r="X67" i="15" s="1"/>
  <c r="AA67" i="15" s="1"/>
  <c r="AF67" i="15" s="1"/>
  <c r="W31" i="14"/>
  <c r="X31" i="14" s="1"/>
  <c r="AA31" i="14" s="1"/>
  <c r="T101" i="15"/>
  <c r="X62" i="14"/>
  <c r="AE62" i="14" s="1"/>
  <c r="X80" i="14"/>
  <c r="W26" i="14"/>
  <c r="R21" i="15"/>
  <c r="T21" i="15" s="1"/>
  <c r="T94" i="14"/>
  <c r="T35" i="14"/>
  <c r="R95" i="15"/>
  <c r="T95" i="15" s="1"/>
  <c r="T60" i="15"/>
  <c r="T41" i="14"/>
  <c r="AD122" i="13"/>
  <c r="AE102" i="13"/>
  <c r="E71" i="15"/>
  <c r="AC93" i="14"/>
  <c r="AC7" i="14"/>
  <c r="AC15" i="14"/>
  <c r="AC19" i="14"/>
  <c r="AC27" i="14"/>
  <c r="AC47" i="14"/>
  <c r="AC60" i="14"/>
  <c r="AC64" i="14"/>
  <c r="AC72" i="14"/>
  <c r="AC104" i="14"/>
  <c r="AD41" i="13"/>
  <c r="AI41" i="13"/>
  <c r="V103" i="14"/>
  <c r="W80" i="14"/>
  <c r="W61" i="14"/>
  <c r="AC19" i="15"/>
  <c r="AF37" i="13"/>
  <c r="V57" i="15"/>
  <c r="V104" i="16"/>
  <c r="V62" i="15"/>
  <c r="AE88" i="13"/>
  <c r="AE58" i="29" s="1"/>
  <c r="V53" i="14"/>
  <c r="W53" i="14" s="1"/>
  <c r="X53" i="14" s="1"/>
  <c r="AE48" i="13"/>
  <c r="AE41" i="13"/>
  <c r="AA92" i="13"/>
  <c r="AD92" i="13" s="1"/>
  <c r="AA26" i="13"/>
  <c r="AD26" i="13" s="1"/>
  <c r="AH127" i="13"/>
  <c r="W77" i="14"/>
  <c r="P42" i="15"/>
  <c r="AC42" i="15" s="1"/>
  <c r="T37" i="14"/>
  <c r="X103" i="14"/>
  <c r="AA103" i="14" s="1"/>
  <c r="X81" i="14"/>
  <c r="AE81" i="14" s="1"/>
  <c r="AC49" i="15"/>
  <c r="V50" i="14"/>
  <c r="X50" i="14" s="1"/>
  <c r="AE50" i="14" s="1"/>
  <c r="AI43" i="13"/>
  <c r="X38" i="14"/>
  <c r="AA38" i="14" s="1"/>
  <c r="AM38" i="14" s="1"/>
  <c r="W62" i="14"/>
  <c r="W82" i="14"/>
  <c r="W72" i="14"/>
  <c r="T48" i="14"/>
  <c r="T56" i="14"/>
  <c r="P82" i="16"/>
  <c r="AC82" i="16" s="1"/>
  <c r="U55" i="16"/>
  <c r="U55" i="19" s="1"/>
  <c r="U55" i="26" s="1"/>
  <c r="V55" i="26" s="1"/>
  <c r="T79" i="14"/>
  <c r="T101" i="14"/>
  <c r="P103" i="15"/>
  <c r="W103" i="15" s="1"/>
  <c r="F71" i="15"/>
  <c r="T47" i="14"/>
  <c r="T64" i="14"/>
  <c r="U39" i="26"/>
  <c r="V39" i="26" s="1"/>
  <c r="V39" i="19"/>
  <c r="C109" i="16"/>
  <c r="C109" i="19"/>
  <c r="W56" i="14"/>
  <c r="P56" i="15"/>
  <c r="AC56" i="15" s="1"/>
  <c r="X56" i="14"/>
  <c r="AA56" i="14" s="1"/>
  <c r="AD56" i="14" s="1"/>
  <c r="R57" i="15"/>
  <c r="R57" i="16" s="1"/>
  <c r="R57" i="19" s="1"/>
  <c r="R57" i="26" s="1"/>
  <c r="T57" i="14"/>
  <c r="P92" i="15"/>
  <c r="W92" i="15" s="1"/>
  <c r="W92" i="14"/>
  <c r="P94" i="15"/>
  <c r="P94" i="16" s="1"/>
  <c r="P94" i="19" s="1"/>
  <c r="P94" i="26" s="1"/>
  <c r="W94" i="14"/>
  <c r="R96" i="15"/>
  <c r="R96" i="16" s="1"/>
  <c r="T96" i="14"/>
  <c r="R99" i="15"/>
  <c r="R99" i="16" s="1"/>
  <c r="T99" i="14"/>
  <c r="AC21" i="29"/>
  <c r="V29" i="14"/>
  <c r="X29" i="14" s="1"/>
  <c r="AA29" i="14" s="1"/>
  <c r="V87" i="14"/>
  <c r="X87" i="14" s="1"/>
  <c r="AA87" i="14" s="1"/>
  <c r="AD87" i="14" s="1"/>
  <c r="U31" i="15"/>
  <c r="V31" i="15" s="1"/>
  <c r="W31" i="15" s="1"/>
  <c r="X31" i="15" s="1"/>
  <c r="AA31" i="15" s="1"/>
  <c r="AM31" i="15" s="1"/>
  <c r="AC92" i="14"/>
  <c r="AC35" i="14"/>
  <c r="X37" i="14"/>
  <c r="AA37" i="14" s="1"/>
  <c r="AM37" i="14" s="1"/>
  <c r="W37" i="14"/>
  <c r="T83" i="14"/>
  <c r="R83" i="15"/>
  <c r="R83" i="16" s="1"/>
  <c r="R83" i="19" s="1"/>
  <c r="R83" i="26" s="1"/>
  <c r="T83" i="26" s="1"/>
  <c r="R84" i="15"/>
  <c r="T84" i="14"/>
  <c r="R89" i="15"/>
  <c r="T89" i="14"/>
  <c r="U43" i="15"/>
  <c r="U43" i="16" s="1"/>
  <c r="U43" i="19" s="1"/>
  <c r="U43" i="26" s="1"/>
  <c r="V43" i="26" s="1"/>
  <c r="V43" i="14"/>
  <c r="R10" i="15"/>
  <c r="R10" i="16" s="1"/>
  <c r="T10" i="16" s="1"/>
  <c r="T10" i="14"/>
  <c r="AC31" i="15"/>
  <c r="V91" i="14"/>
  <c r="X91" i="14" s="1"/>
  <c r="AE91" i="14" s="1"/>
  <c r="W63" i="14"/>
  <c r="X63" i="14" s="1"/>
  <c r="AE63" i="14" s="1"/>
  <c r="X95" i="15"/>
  <c r="AA95" i="15" s="1"/>
  <c r="AF95" i="15" s="1"/>
  <c r="AC63" i="14"/>
  <c r="V83" i="14"/>
  <c r="V15" i="14"/>
  <c r="X15" i="14" s="1"/>
  <c r="AA15" i="14" s="1"/>
  <c r="V78" i="14"/>
  <c r="X35" i="14"/>
  <c r="AA35" i="14" s="1"/>
  <c r="AM35" i="14" s="1"/>
  <c r="W25" i="14"/>
  <c r="V98" i="14"/>
  <c r="U98" i="15"/>
  <c r="U98" i="16" s="1"/>
  <c r="V98" i="16" s="1"/>
  <c r="W15" i="14"/>
  <c r="P15" i="15"/>
  <c r="AC15" i="15" s="1"/>
  <c r="R49" i="15"/>
  <c r="R49" i="16" s="1"/>
  <c r="R49" i="19" s="1"/>
  <c r="R49" i="26" s="1"/>
  <c r="T49" i="14"/>
  <c r="AI80" i="15"/>
  <c r="Q110" i="16"/>
  <c r="Q110" i="19"/>
  <c r="AC25" i="29"/>
  <c r="V52" i="14"/>
  <c r="W52" i="14" s="1"/>
  <c r="X52" i="14" s="1"/>
  <c r="AE52" i="14" s="1"/>
  <c r="V76" i="14"/>
  <c r="X76" i="14" s="1"/>
  <c r="AA76" i="14" s="1"/>
  <c r="AM76" i="14" s="1"/>
  <c r="V65" i="14"/>
  <c r="X65" i="14" s="1"/>
  <c r="AA65" i="14" s="1"/>
  <c r="AD65" i="14" s="1"/>
  <c r="V8" i="14"/>
  <c r="X8" i="14" s="1"/>
  <c r="AE8" i="14" s="1"/>
  <c r="AM83" i="13"/>
  <c r="V32" i="14"/>
  <c r="U16" i="15"/>
  <c r="V16" i="15" s="1"/>
  <c r="U92" i="15"/>
  <c r="U92" i="16" s="1"/>
  <c r="T81" i="14"/>
  <c r="AM123" i="13"/>
  <c r="AF123" i="13"/>
  <c r="R45" i="15"/>
  <c r="T45" i="15" s="1"/>
  <c r="P35" i="15"/>
  <c r="W35" i="15" s="1"/>
  <c r="P69" i="15"/>
  <c r="W69" i="15" s="1"/>
  <c r="W69" i="14"/>
  <c r="P84" i="15"/>
  <c r="W84" i="14"/>
  <c r="W67" i="14"/>
  <c r="X67" i="14" s="1"/>
  <c r="AE67" i="14" s="1"/>
  <c r="T61" i="14"/>
  <c r="T14" i="15"/>
  <c r="T31" i="14"/>
  <c r="AC10" i="14"/>
  <c r="AC18" i="14"/>
  <c r="AC22" i="14"/>
  <c r="AC26" i="14"/>
  <c r="AC30" i="14"/>
  <c r="AC38" i="14"/>
  <c r="AC42" i="14"/>
  <c r="AC67" i="14"/>
  <c r="AC91" i="14"/>
  <c r="AC103" i="14"/>
  <c r="P376" i="9"/>
  <c r="O414" i="9"/>
  <c r="P414" i="9" s="1"/>
  <c r="P21" i="10" s="1"/>
  <c r="D26" i="2"/>
  <c r="D21" i="2"/>
  <c r="Q336" i="9"/>
  <c r="R336" i="9" s="1"/>
  <c r="Q249" i="9"/>
  <c r="S249" i="9" s="1"/>
  <c r="T249" i="9" s="1"/>
  <c r="U249" i="9" s="1"/>
  <c r="V249" i="9" s="1"/>
  <c r="W249" i="9" s="1"/>
  <c r="O5" i="22"/>
  <c r="K4" i="10"/>
  <c r="U4" i="22"/>
  <c r="T4" i="22"/>
  <c r="O12" i="22"/>
  <c r="V8" i="10"/>
  <c r="S8" i="22"/>
  <c r="Q4" i="22"/>
  <c r="V4" i="22"/>
  <c r="Q195" i="9"/>
  <c r="S195" i="9" s="1"/>
  <c r="T195" i="9" s="1"/>
  <c r="U195" i="9" s="1"/>
  <c r="V195" i="9" s="1"/>
  <c r="W195" i="9" s="1"/>
  <c r="P413" i="9"/>
  <c r="AB36" i="8"/>
  <c r="S174" i="9"/>
  <c r="T174" i="9" s="1"/>
  <c r="R174" i="9"/>
  <c r="J48" i="18"/>
  <c r="AC28" i="8"/>
  <c r="Q240" i="9"/>
  <c r="R240" i="9" s="1"/>
  <c r="R37" i="9"/>
  <c r="T52" i="9"/>
  <c r="T11" i="10" s="1"/>
  <c r="O21" i="9"/>
  <c r="P21" i="9" s="1"/>
  <c r="AC37" i="8"/>
  <c r="O13" i="9"/>
  <c r="P13" i="9" s="1"/>
  <c r="AB415" i="18"/>
  <c r="AB416" i="18" s="1"/>
  <c r="W438" i="8"/>
  <c r="W440" i="8" s="1"/>
  <c r="Q401" i="9"/>
  <c r="R401" i="9" s="1"/>
  <c r="R46" i="9"/>
  <c r="AC22" i="8"/>
  <c r="AE449" i="18"/>
  <c r="AF449" i="18" s="1"/>
  <c r="AF82" i="13"/>
  <c r="AF47" i="29" s="1"/>
  <c r="AA47" i="29"/>
  <c r="AM47" i="29" s="1"/>
  <c r="AC50" i="14"/>
  <c r="AC95" i="14"/>
  <c r="V39" i="15"/>
  <c r="W39" i="15" s="1"/>
  <c r="X39" i="15" s="1"/>
  <c r="V54" i="15"/>
  <c r="AE16" i="13"/>
  <c r="AC34" i="29"/>
  <c r="AC27" i="29"/>
  <c r="AE82" i="13"/>
  <c r="AE47" i="29" s="1"/>
  <c r="V49" i="14"/>
  <c r="W49" i="14" s="1"/>
  <c r="X49" i="14" s="1"/>
  <c r="V19" i="14"/>
  <c r="X19" i="14" s="1"/>
  <c r="AE19" i="14" s="1"/>
  <c r="V24" i="14"/>
  <c r="X24" i="14" s="1"/>
  <c r="AA24" i="14" s="1"/>
  <c r="V95" i="14"/>
  <c r="X95" i="14" s="1"/>
  <c r="AA95" i="14" s="1"/>
  <c r="AA23" i="13"/>
  <c r="AI23" i="13" s="1"/>
  <c r="Q166" i="9"/>
  <c r="R166" i="9" s="1"/>
  <c r="AG72" i="29"/>
  <c r="AG73" i="29" s="1"/>
  <c r="AF48" i="13"/>
  <c r="AM106" i="13"/>
  <c r="AE21" i="13"/>
  <c r="V72" i="14"/>
  <c r="U63" i="15"/>
  <c r="U63" i="16" s="1"/>
  <c r="W86" i="14"/>
  <c r="W73" i="14"/>
  <c r="X28" i="14"/>
  <c r="AE28" i="14" s="1"/>
  <c r="W50" i="14"/>
  <c r="W23" i="14"/>
  <c r="AD84" i="13"/>
  <c r="AD54" i="29" s="1"/>
  <c r="AA54" i="29"/>
  <c r="AM54" i="29" s="1"/>
  <c r="AI34" i="13"/>
  <c r="AC35" i="29"/>
  <c r="V79" i="14"/>
  <c r="X79" i="14" s="1"/>
  <c r="Q169" i="9"/>
  <c r="R169" i="9" s="1"/>
  <c r="AJ72" i="29"/>
  <c r="AJ73" i="29" s="1"/>
  <c r="T100" i="14"/>
  <c r="AC8" i="29"/>
  <c r="V84" i="14"/>
  <c r="X84" i="14" s="1"/>
  <c r="AA84" i="14" s="1"/>
  <c r="Q115" i="9"/>
  <c r="R115" i="9" s="1"/>
  <c r="AA58" i="29"/>
  <c r="AM58" i="29" s="1"/>
  <c r="AF53" i="13"/>
  <c r="AF52" i="29" s="1"/>
  <c r="AA52" i="29"/>
  <c r="AI48" i="13"/>
  <c r="U44" i="15"/>
  <c r="U44" i="16" s="1"/>
  <c r="U44" i="19" s="1"/>
  <c r="U44" i="26" s="1"/>
  <c r="V44" i="26" s="1"/>
  <c r="W44" i="26" s="1"/>
  <c r="X44" i="26" s="1"/>
  <c r="W95" i="14"/>
  <c r="W65" i="14"/>
  <c r="T65" i="14"/>
  <c r="R69" i="15"/>
  <c r="R69" i="16" s="1"/>
  <c r="T69" i="16" s="1"/>
  <c r="T60" i="14"/>
  <c r="T110" i="14"/>
  <c r="R43" i="15"/>
  <c r="T43" i="15" s="1"/>
  <c r="V39" i="16"/>
  <c r="AC23" i="14"/>
  <c r="AC7" i="29"/>
  <c r="V57" i="14"/>
  <c r="V107" i="14"/>
  <c r="X107" i="14" s="1"/>
  <c r="AE107" i="14" s="1"/>
  <c r="V73" i="14"/>
  <c r="X73" i="14" s="1"/>
  <c r="AA73" i="14" s="1"/>
  <c r="X12" i="14"/>
  <c r="AE12" i="14" s="1"/>
  <c r="V6" i="14"/>
  <c r="AF67" i="13"/>
  <c r="AF42" i="29" s="1"/>
  <c r="AA42" i="29"/>
  <c r="AM42" i="29" s="1"/>
  <c r="AD65" i="13"/>
  <c r="AD28" i="29" s="1"/>
  <c r="AA28" i="29"/>
  <c r="AM28" i="29" s="1"/>
  <c r="AI106" i="13"/>
  <c r="AI96" i="14"/>
  <c r="Q170" i="9"/>
  <c r="R170" i="9" s="1"/>
  <c r="AK72" i="29"/>
  <c r="AK73" i="29" s="1"/>
  <c r="AE99" i="13"/>
  <c r="V28" i="14"/>
  <c r="AC10" i="29"/>
  <c r="W88" i="14"/>
  <c r="R81" i="16"/>
  <c r="T81" i="16" s="1"/>
  <c r="T109" i="14"/>
  <c r="X101" i="14"/>
  <c r="AA101" i="14" s="1"/>
  <c r="AH101" i="14" s="1"/>
  <c r="P28" i="15"/>
  <c r="P28" i="16" s="1"/>
  <c r="W28" i="16" s="1"/>
  <c r="U70" i="15"/>
  <c r="U70" i="16" s="1"/>
  <c r="U70" i="19" s="1"/>
  <c r="U70" i="26" s="1"/>
  <c r="V70" i="26" s="1"/>
  <c r="S64" i="15"/>
  <c r="S64" i="16" s="1"/>
  <c r="S64" i="19" s="1"/>
  <c r="S64" i="26" s="1"/>
  <c r="S61" i="15"/>
  <c r="S61" i="16" s="1"/>
  <c r="S61" i="19" s="1"/>
  <c r="S61" i="26" s="1"/>
  <c r="P85" i="15"/>
  <c r="P85" i="16" s="1"/>
  <c r="P85" i="19" s="1"/>
  <c r="W101" i="14"/>
  <c r="AA101" i="13"/>
  <c r="AH101" i="13" s="1"/>
  <c r="AC17" i="14"/>
  <c r="AC25" i="14"/>
  <c r="AC37" i="14"/>
  <c r="AC41" i="14"/>
  <c r="AC49" i="14"/>
  <c r="AC53" i="14"/>
  <c r="AC62" i="14"/>
  <c r="AC66" i="14"/>
  <c r="AC82" i="14"/>
  <c r="AC86" i="14"/>
  <c r="AC90" i="14"/>
  <c r="AC94" i="14"/>
  <c r="AC102" i="14"/>
  <c r="X101" i="15"/>
  <c r="AA101" i="15" s="1"/>
  <c r="P101" i="16"/>
  <c r="P101" i="19" s="1"/>
  <c r="W101" i="19" s="1"/>
  <c r="AM99" i="13"/>
  <c r="AF99" i="13"/>
  <c r="AF62" i="13"/>
  <c r="AD62" i="13"/>
  <c r="AD21" i="13"/>
  <c r="AM21" i="13"/>
  <c r="AH21" i="13"/>
  <c r="AI21" i="13"/>
  <c r="AF21" i="13"/>
  <c r="AA87" i="13"/>
  <c r="AE87" i="13"/>
  <c r="AE68" i="29" s="1"/>
  <c r="AA58" i="13"/>
  <c r="AA31" i="29" s="1"/>
  <c r="AM31" i="29" s="1"/>
  <c r="AE58" i="13"/>
  <c r="AE31" i="29" s="1"/>
  <c r="AE38" i="13"/>
  <c r="AE62" i="29" s="1"/>
  <c r="AA38" i="13"/>
  <c r="AI38" i="13" s="1"/>
  <c r="AI62" i="29" s="1"/>
  <c r="AM16" i="13"/>
  <c r="AM56" i="13"/>
  <c r="L72" i="15"/>
  <c r="L72" i="16" s="1"/>
  <c r="L72" i="19" s="1"/>
  <c r="L71" i="15"/>
  <c r="AC58" i="14"/>
  <c r="AC50" i="15"/>
  <c r="AA94" i="13"/>
  <c r="AH94" i="13" s="1"/>
  <c r="V104" i="14"/>
  <c r="AI56" i="13"/>
  <c r="V17" i="14"/>
  <c r="W17" i="14" s="1"/>
  <c r="X17" i="14" s="1"/>
  <c r="AE17" i="14" s="1"/>
  <c r="U17" i="15"/>
  <c r="U17" i="16" s="1"/>
  <c r="U45" i="15"/>
  <c r="U45" i="16" s="1"/>
  <c r="V45" i="16" s="1"/>
  <c r="V45" i="14"/>
  <c r="B71" i="15"/>
  <c r="P29" i="15"/>
  <c r="P29" i="16" s="1"/>
  <c r="AC29" i="16" s="1"/>
  <c r="W29" i="14"/>
  <c r="N71" i="15"/>
  <c r="N72" i="15"/>
  <c r="N72" i="16" s="1"/>
  <c r="N72" i="19" s="1"/>
  <c r="AE97" i="13"/>
  <c r="AA97" i="13"/>
  <c r="AM97" i="13" s="1"/>
  <c r="V104" i="19"/>
  <c r="AE107" i="13"/>
  <c r="AA8" i="13"/>
  <c r="AM8" i="13" s="1"/>
  <c r="V66" i="14"/>
  <c r="X66" i="14" s="1"/>
  <c r="AE66" i="14" s="1"/>
  <c r="V18" i="14"/>
  <c r="X18" i="14" s="1"/>
  <c r="AA18" i="14" s="1"/>
  <c r="AH18" i="14" s="1"/>
  <c r="V82" i="14"/>
  <c r="X82" i="14" s="1"/>
  <c r="AE82" i="14" s="1"/>
  <c r="V30" i="14"/>
  <c r="W30" i="14" s="1"/>
  <c r="X30" i="14" s="1"/>
  <c r="AE30" i="14" s="1"/>
  <c r="V93" i="14"/>
  <c r="X93" i="14" s="1"/>
  <c r="AA93" i="14" s="1"/>
  <c r="AM93" i="14" s="1"/>
  <c r="V101" i="14"/>
  <c r="AC88" i="14"/>
  <c r="T63" i="14"/>
  <c r="W50" i="15"/>
  <c r="AA103" i="13"/>
  <c r="AH103" i="13" s="1"/>
  <c r="T102" i="14"/>
  <c r="W104" i="14"/>
  <c r="X104" i="14"/>
  <c r="AA104" i="14" s="1"/>
  <c r="AE69" i="13"/>
  <c r="V42" i="14"/>
  <c r="X42" i="14" s="1"/>
  <c r="AA42" i="14" s="1"/>
  <c r="AD42" i="14" s="1"/>
  <c r="AD83" i="13"/>
  <c r="W12" i="14"/>
  <c r="P12" i="15"/>
  <c r="P12" i="16" s="1"/>
  <c r="X70" i="14"/>
  <c r="AE70" i="14" s="1"/>
  <c r="I72" i="15"/>
  <c r="I71" i="16" s="1"/>
  <c r="I71" i="15"/>
  <c r="R71" i="15"/>
  <c r="T71" i="15" s="1"/>
  <c r="R72" i="15"/>
  <c r="R71" i="16" s="1"/>
  <c r="T71" i="16" s="1"/>
  <c r="AM84" i="13"/>
  <c r="AC31" i="14"/>
  <c r="V104" i="15"/>
  <c r="AI26" i="13"/>
  <c r="AD56" i="13"/>
  <c r="AE112" i="13"/>
  <c r="AE13" i="13"/>
  <c r="AF35" i="13"/>
  <c r="AA105" i="13"/>
  <c r="AI105" i="13" s="1"/>
  <c r="U81" i="15"/>
  <c r="V81" i="15" s="1"/>
  <c r="AI53" i="13"/>
  <c r="AI52" i="29" s="1"/>
  <c r="V94" i="15"/>
  <c r="AA24" i="13"/>
  <c r="AA14" i="13"/>
  <c r="AD14" i="13" s="1"/>
  <c r="AE34" i="13"/>
  <c r="AE84" i="13"/>
  <c r="AE54" i="29" s="1"/>
  <c r="V27" i="14"/>
  <c r="W27" i="14" s="1"/>
  <c r="X27" i="14" s="1"/>
  <c r="AA27" i="14" s="1"/>
  <c r="V22" i="14"/>
  <c r="X22" i="14" s="1"/>
  <c r="AA22" i="14" s="1"/>
  <c r="V86" i="14"/>
  <c r="X86" i="14" s="1"/>
  <c r="AE86" i="14" s="1"/>
  <c r="V62" i="14"/>
  <c r="AI110" i="13"/>
  <c r="AF56" i="13"/>
  <c r="X50" i="15"/>
  <c r="AE50" i="15" s="1"/>
  <c r="AE62" i="13"/>
  <c r="AE35" i="13"/>
  <c r="AA80" i="13"/>
  <c r="AD80" i="13" s="1"/>
  <c r="X88" i="14"/>
  <c r="AA88" i="14" s="1"/>
  <c r="L109" i="16"/>
  <c r="U48" i="15"/>
  <c r="T74" i="14"/>
  <c r="W22" i="14"/>
  <c r="T72" i="14"/>
  <c r="T103" i="14"/>
  <c r="P72" i="15"/>
  <c r="P71" i="16" s="1"/>
  <c r="P71" i="15"/>
  <c r="X71" i="15" s="1"/>
  <c r="AA71" i="15" s="1"/>
  <c r="AF71" i="15" s="1"/>
  <c r="T86" i="14"/>
  <c r="R86" i="15"/>
  <c r="R86" i="16" s="1"/>
  <c r="W8" i="14"/>
  <c r="P8" i="15"/>
  <c r="W8" i="15" s="1"/>
  <c r="R11" i="15"/>
  <c r="T11" i="15" s="1"/>
  <c r="T11" i="14"/>
  <c r="AC14" i="14"/>
  <c r="T18" i="14"/>
  <c r="AC12" i="14"/>
  <c r="AC20" i="14"/>
  <c r="AC24" i="14"/>
  <c r="AC28" i="14"/>
  <c r="AC32" i="14"/>
  <c r="AC36" i="14"/>
  <c r="AC44" i="14"/>
  <c r="AC52" i="14"/>
  <c r="AC57" i="14"/>
  <c r="AC61" i="14"/>
  <c r="AC65" i="14"/>
  <c r="AC69" i="14"/>
  <c r="AC77" i="14"/>
  <c r="AC85" i="14"/>
  <c r="AC89" i="14"/>
  <c r="AC101" i="14"/>
  <c r="AN6" i="29"/>
  <c r="AE47" i="12"/>
  <c r="AA47" i="12"/>
  <c r="AI12" i="12"/>
  <c r="AI65" i="27" s="1"/>
  <c r="O89" i="9"/>
  <c r="P89" i="9" s="1"/>
  <c r="AH12" i="12"/>
  <c r="AH65" i="27" s="1"/>
  <c r="AH115" i="12"/>
  <c r="AM115" i="12"/>
  <c r="AD115" i="12"/>
  <c r="AI115" i="12"/>
  <c r="AF115" i="12"/>
  <c r="AA64" i="12"/>
  <c r="AE64" i="12"/>
  <c r="AE13" i="27" s="1"/>
  <c r="AF120" i="12"/>
  <c r="AH120" i="12"/>
  <c r="AM120" i="12"/>
  <c r="AI121" i="13"/>
  <c r="AD121" i="13"/>
  <c r="AA46" i="12"/>
  <c r="AE46" i="12"/>
  <c r="AA54" i="12"/>
  <c r="AE54" i="12"/>
  <c r="AL117" i="12"/>
  <c r="AN117" i="12" s="1"/>
  <c r="AN107" i="12"/>
  <c r="AM26" i="12"/>
  <c r="AF8" i="12"/>
  <c r="AF21" i="12"/>
  <c r="AF19" i="12"/>
  <c r="AF19" i="27" s="1"/>
  <c r="AA145" i="8"/>
  <c r="AC145" i="8" s="1"/>
  <c r="AC35" i="27"/>
  <c r="AF22" i="12"/>
  <c r="AD50" i="12"/>
  <c r="AE26" i="12"/>
  <c r="Q90" i="9"/>
  <c r="R90" i="9" s="1"/>
  <c r="AD431" i="18"/>
  <c r="AE431" i="18" s="1"/>
  <c r="AF431" i="18" s="1"/>
  <c r="AE120" i="12"/>
  <c r="AF108" i="12"/>
  <c r="AA73" i="12"/>
  <c r="AN40" i="12"/>
  <c r="AF60" i="12"/>
  <c r="AH60" i="12"/>
  <c r="AL60" i="12" s="1"/>
  <c r="AN60" i="12" s="1"/>
  <c r="AA59" i="12"/>
  <c r="AE59" i="12"/>
  <c r="AL14" i="12"/>
  <c r="AN14" i="12" s="1"/>
  <c r="AL104" i="12"/>
  <c r="AF61" i="27"/>
  <c r="AL35" i="12"/>
  <c r="AN35" i="12" s="1"/>
  <c r="AF37" i="12"/>
  <c r="AH42" i="12"/>
  <c r="AL42" i="12" s="1"/>
  <c r="AN42" i="12" s="1"/>
  <c r="AF51" i="27"/>
  <c r="AD634" i="18"/>
  <c r="AE634" i="18" s="1"/>
  <c r="AF634" i="18" s="1"/>
  <c r="AH13" i="12"/>
  <c r="AH8" i="12"/>
  <c r="AD21" i="12"/>
  <c r="O101" i="9"/>
  <c r="P101" i="9" s="1"/>
  <c r="AH22" i="12"/>
  <c r="AF50" i="12"/>
  <c r="Q91" i="9"/>
  <c r="R91" i="9" s="1"/>
  <c r="J6" i="19"/>
  <c r="J6" i="26" s="1"/>
  <c r="AE35" i="27"/>
  <c r="AH79" i="12"/>
  <c r="AM108" i="12"/>
  <c r="AA86" i="12"/>
  <c r="AE121" i="13"/>
  <c r="AM127" i="12"/>
  <c r="AD57" i="12"/>
  <c r="AM8" i="12"/>
  <c r="AM92" i="27" s="1"/>
  <c r="AM93" i="27" s="1"/>
  <c r="AM21" i="12"/>
  <c r="AM89" i="27" s="1"/>
  <c r="AM90" i="27" s="1"/>
  <c r="O87" i="9"/>
  <c r="P87" i="9" s="1"/>
  <c r="AI8" i="12"/>
  <c r="AA25" i="27"/>
  <c r="AM25" i="27" s="1"/>
  <c r="AD441" i="18"/>
  <c r="AE441" i="18" s="1"/>
  <c r="AF441" i="18" s="1"/>
  <c r="AD434" i="18"/>
  <c r="AE434" i="18" s="1"/>
  <c r="AF434" i="18" s="1"/>
  <c r="Q140" i="9"/>
  <c r="R140" i="9" s="1"/>
  <c r="AI22" i="12"/>
  <c r="AC130" i="12"/>
  <c r="O162" i="9" s="1"/>
  <c r="P162" i="9" s="1"/>
  <c r="AE108" i="12"/>
  <c r="AE115" i="12"/>
  <c r="AA112" i="16"/>
  <c r="AE112" i="16"/>
  <c r="V100" i="19"/>
  <c r="AE110" i="16"/>
  <c r="AI123" i="16"/>
  <c r="AM123" i="16"/>
  <c r="AA106" i="16"/>
  <c r="AF106" i="16" s="1"/>
  <c r="AE106" i="16"/>
  <c r="AA115" i="16"/>
  <c r="AE115" i="16"/>
  <c r="AF123" i="16"/>
  <c r="AL123" i="16" s="1"/>
  <c r="AN123" i="16" s="1"/>
  <c r="AF129" i="16"/>
  <c r="AL129" i="16" s="1"/>
  <c r="AN129" i="16" s="1"/>
  <c r="AI129" i="16"/>
  <c r="AH123" i="16"/>
  <c r="AM129" i="16"/>
  <c r="AH112" i="16"/>
  <c r="AA111" i="16"/>
  <c r="AA116" i="16"/>
  <c r="AF127" i="15"/>
  <c r="AH127" i="15"/>
  <c r="AI127" i="15"/>
  <c r="AF128" i="15"/>
  <c r="AM128" i="15"/>
  <c r="AH128" i="15"/>
  <c r="AD128" i="15"/>
  <c r="AI128" i="15"/>
  <c r="V66" i="19"/>
  <c r="AE127" i="15"/>
  <c r="AM126" i="15"/>
  <c r="AE120" i="15"/>
  <c r="AA117" i="15"/>
  <c r="AI126" i="15"/>
  <c r="AE114" i="15"/>
  <c r="AC50" i="16"/>
  <c r="V66" i="16"/>
  <c r="AA119" i="15"/>
  <c r="AM106" i="15"/>
  <c r="AH106" i="15"/>
  <c r="AD106" i="15"/>
  <c r="AF106" i="15"/>
  <c r="AI106" i="15"/>
  <c r="AI111" i="15"/>
  <c r="AH119" i="15"/>
  <c r="AE106" i="15"/>
  <c r="AH111" i="15"/>
  <c r="AD117" i="15"/>
  <c r="AD119" i="15"/>
  <c r="AI115" i="15"/>
  <c r="AC65" i="16"/>
  <c r="AD111" i="15"/>
  <c r="AH117" i="15"/>
  <c r="AC44" i="16"/>
  <c r="AL126" i="15"/>
  <c r="AM117" i="15"/>
  <c r="AL128" i="15"/>
  <c r="AN128" i="15" s="1"/>
  <c r="AE122" i="15"/>
  <c r="J125" i="19"/>
  <c r="V15" i="15"/>
  <c r="U24" i="16"/>
  <c r="U24" i="19" s="1"/>
  <c r="V24" i="19" s="1"/>
  <c r="V76" i="15"/>
  <c r="V78" i="15"/>
  <c r="V84" i="15"/>
  <c r="X84" i="15" s="1"/>
  <c r="AE84" i="15" s="1"/>
  <c r="V91" i="15"/>
  <c r="W30" i="15"/>
  <c r="X30" i="15" s="1"/>
  <c r="AA30" i="15" s="1"/>
  <c r="AD30" i="15" s="1"/>
  <c r="L109" i="26"/>
  <c r="W101" i="15"/>
  <c r="W82" i="15"/>
  <c r="T85" i="15"/>
  <c r="P17" i="16"/>
  <c r="P17" i="19" s="1"/>
  <c r="P17" i="26" s="1"/>
  <c r="AC17" i="26" s="1"/>
  <c r="AC30" i="15"/>
  <c r="AC101" i="15"/>
  <c r="AC57" i="16"/>
  <c r="AC30" i="16"/>
  <c r="V91" i="16"/>
  <c r="V54" i="16"/>
  <c r="AH110" i="14"/>
  <c r="V59" i="15"/>
  <c r="X59" i="15" s="1"/>
  <c r="AE59" i="15" s="1"/>
  <c r="V20" i="15"/>
  <c r="W73" i="15"/>
  <c r="E125" i="16"/>
  <c r="AA121" i="15"/>
  <c r="AM121" i="15" s="1"/>
  <c r="AE25" i="13"/>
  <c r="AE35" i="29" s="1"/>
  <c r="AA25" i="13"/>
  <c r="AI25" i="13" s="1"/>
  <c r="AD126" i="13"/>
  <c r="AF126" i="13"/>
  <c r="AH126" i="13"/>
  <c r="AM126" i="13"/>
  <c r="AI126" i="13"/>
  <c r="AI107" i="13"/>
  <c r="AM107" i="13"/>
  <c r="AD107" i="13"/>
  <c r="AE90" i="13"/>
  <c r="AE57" i="29" s="1"/>
  <c r="AA90" i="13"/>
  <c r="AA57" i="29" s="1"/>
  <c r="AM57" i="29" s="1"/>
  <c r="AM72" i="13"/>
  <c r="AF72" i="13"/>
  <c r="AH72" i="13"/>
  <c r="AI72" i="13"/>
  <c r="AD72" i="13"/>
  <c r="AA91" i="13"/>
  <c r="AF91" i="13" s="1"/>
  <c r="AF65" i="29" s="1"/>
  <c r="AE91" i="13"/>
  <c r="AE65" i="29" s="1"/>
  <c r="AH120" i="13"/>
  <c r="AD120" i="13"/>
  <c r="AD124" i="13"/>
  <c r="AM124" i="13"/>
  <c r="AF124" i="13"/>
  <c r="AA100" i="13"/>
  <c r="AE100" i="13"/>
  <c r="I107" i="19"/>
  <c r="I107" i="16"/>
  <c r="T53" i="14"/>
  <c r="S53" i="15"/>
  <c r="S53" i="16" s="1"/>
  <c r="S53" i="19" s="1"/>
  <c r="S53" i="26" s="1"/>
  <c r="AM115" i="13"/>
  <c r="AF115" i="13"/>
  <c r="AA79" i="13"/>
  <c r="AF79" i="13" s="1"/>
  <c r="AF11" i="29" s="1"/>
  <c r="AE79" i="13"/>
  <c r="AE11" i="29" s="1"/>
  <c r="AH109" i="13"/>
  <c r="V102" i="14"/>
  <c r="AI124" i="13"/>
  <c r="AI97" i="14"/>
  <c r="Q110" i="26"/>
  <c r="P97" i="15"/>
  <c r="W97" i="15" s="1"/>
  <c r="R26" i="15"/>
  <c r="R26" i="16" s="1"/>
  <c r="R26" i="19" s="1"/>
  <c r="T26" i="14"/>
  <c r="P43" i="15"/>
  <c r="AC43" i="14"/>
  <c r="X43" i="14"/>
  <c r="AA43" i="14" s="1"/>
  <c r="P46" i="15"/>
  <c r="W46" i="15" s="1"/>
  <c r="AC46" i="14"/>
  <c r="T67" i="14"/>
  <c r="R67" i="15"/>
  <c r="R67" i="16" s="1"/>
  <c r="R67" i="19" s="1"/>
  <c r="R67" i="26" s="1"/>
  <c r="T67" i="26" s="1"/>
  <c r="R92" i="15"/>
  <c r="R92" i="16" s="1"/>
  <c r="T92" i="16" s="1"/>
  <c r="T92" i="14"/>
  <c r="P96" i="15"/>
  <c r="AC96" i="14"/>
  <c r="AC29" i="14"/>
  <c r="AC70" i="14"/>
  <c r="M131" i="14"/>
  <c r="AC14" i="16"/>
  <c r="V23" i="16"/>
  <c r="AF15" i="13"/>
  <c r="V51" i="15"/>
  <c r="W51" i="15" s="1"/>
  <c r="X51" i="15" s="1"/>
  <c r="AA51" i="15" s="1"/>
  <c r="AH51" i="15" s="1"/>
  <c r="V73" i="15"/>
  <c r="X73" i="15" s="1"/>
  <c r="AA73" i="15" s="1"/>
  <c r="AD73" i="15" s="1"/>
  <c r="P6" i="15"/>
  <c r="W6" i="15" s="1"/>
  <c r="AD109" i="13"/>
  <c r="AF109" i="13"/>
  <c r="AA66" i="13"/>
  <c r="AM66" i="13" s="1"/>
  <c r="AA22" i="13"/>
  <c r="AF22" i="13" s="1"/>
  <c r="AA64" i="13"/>
  <c r="AI64" i="13" s="1"/>
  <c r="AA47" i="13"/>
  <c r="AD47" i="13" s="1"/>
  <c r="AD59" i="29" s="1"/>
  <c r="AE53" i="13"/>
  <c r="AE52" i="29" s="1"/>
  <c r="V51" i="14"/>
  <c r="W51" i="14" s="1"/>
  <c r="X51" i="14" s="1"/>
  <c r="AA51" i="14" s="1"/>
  <c r="AI83" i="13"/>
  <c r="AH83" i="13"/>
  <c r="AD115" i="13"/>
  <c r="P11" i="15"/>
  <c r="W11" i="15" s="1"/>
  <c r="X11" i="14"/>
  <c r="AA11" i="14" s="1"/>
  <c r="AD11" i="14" s="1"/>
  <c r="S38" i="15"/>
  <c r="S38" i="16" s="1"/>
  <c r="S38" i="19" s="1"/>
  <c r="S38" i="26" s="1"/>
  <c r="T38" i="14"/>
  <c r="R79" i="16"/>
  <c r="T79" i="16" s="1"/>
  <c r="T79" i="15"/>
  <c r="W80" i="15"/>
  <c r="P80" i="16"/>
  <c r="P80" i="19" s="1"/>
  <c r="AC80" i="19" s="1"/>
  <c r="AC80" i="15"/>
  <c r="R88" i="15"/>
  <c r="R88" i="16" s="1"/>
  <c r="T88" i="14"/>
  <c r="W102" i="14"/>
  <c r="X102" i="14"/>
  <c r="AE102" i="14" s="1"/>
  <c r="AF43" i="13"/>
  <c r="AM43" i="13"/>
  <c r="AD43" i="13"/>
  <c r="P70" i="15"/>
  <c r="P70" i="16" s="1"/>
  <c r="AC70" i="16" s="1"/>
  <c r="W70" i="14"/>
  <c r="X98" i="14"/>
  <c r="AE98" i="14" s="1"/>
  <c r="P98" i="15"/>
  <c r="W98" i="15" s="1"/>
  <c r="AA116" i="13"/>
  <c r="AI116" i="13" s="1"/>
  <c r="AE116" i="13"/>
  <c r="AA32" i="13"/>
  <c r="AI32" i="13" s="1"/>
  <c r="AE32" i="13"/>
  <c r="AC73" i="14"/>
  <c r="AC97" i="14"/>
  <c r="V23" i="15"/>
  <c r="X23" i="15" s="1"/>
  <c r="AA23" i="15" s="1"/>
  <c r="AI23" i="15" s="1"/>
  <c r="AA27" i="13"/>
  <c r="AH27" i="13" s="1"/>
  <c r="AC133" i="13"/>
  <c r="V34" i="14"/>
  <c r="W34" i="14" s="1"/>
  <c r="X34" i="14" s="1"/>
  <c r="AE124" i="13"/>
  <c r="AD106" i="13"/>
  <c r="AF106" i="13"/>
  <c r="X45" i="14"/>
  <c r="AA45" i="14" s="1"/>
  <c r="AE115" i="13"/>
  <c r="T37" i="15"/>
  <c r="R37" i="16"/>
  <c r="T37" i="16" s="1"/>
  <c r="W97" i="14"/>
  <c r="W86" i="15"/>
  <c r="AC86" i="15"/>
  <c r="P93" i="15"/>
  <c r="P93" i="16" s="1"/>
  <c r="P93" i="19" s="1"/>
  <c r="P93" i="26" s="1"/>
  <c r="W93" i="14"/>
  <c r="AC13" i="14"/>
  <c r="AC98" i="14"/>
  <c r="AC31" i="16"/>
  <c r="AC40" i="15"/>
  <c r="AC14" i="15"/>
  <c r="AH53" i="13"/>
  <c r="AH52" i="29" s="1"/>
  <c r="AC51" i="14"/>
  <c r="V102" i="15"/>
  <c r="AD128" i="13"/>
  <c r="AI109" i="13"/>
  <c r="AA86" i="13"/>
  <c r="AA55" i="29" s="1"/>
  <c r="AM55" i="29" s="1"/>
  <c r="AE15" i="13"/>
  <c r="V23" i="14"/>
  <c r="X23" i="14" s="1"/>
  <c r="AA23" i="14" s="1"/>
  <c r="AM23" i="14" s="1"/>
  <c r="AE118" i="13"/>
  <c r="AI115" i="13"/>
  <c r="AE72" i="13"/>
  <c r="AH124" i="13"/>
  <c r="AH41" i="13"/>
  <c r="AM41" i="13"/>
  <c r="AF41" i="13"/>
  <c r="T22" i="15"/>
  <c r="AC73" i="15"/>
  <c r="W96" i="14"/>
  <c r="AH115" i="13"/>
  <c r="T28" i="14"/>
  <c r="AC102" i="15"/>
  <c r="P102" i="16"/>
  <c r="P102" i="19" s="1"/>
  <c r="P102" i="26" s="1"/>
  <c r="W102" i="26" s="1"/>
  <c r="X102" i="15"/>
  <c r="AA102" i="15" s="1"/>
  <c r="T12" i="14"/>
  <c r="G71" i="15"/>
  <c r="S71" i="15"/>
  <c r="R15" i="15"/>
  <c r="R15" i="16" s="1"/>
  <c r="T15" i="16" s="1"/>
  <c r="T15" i="14"/>
  <c r="P45" i="15"/>
  <c r="AC45" i="15" s="1"/>
  <c r="P87" i="15"/>
  <c r="W87" i="15" s="1"/>
  <c r="AC87" i="14"/>
  <c r="AC88" i="15"/>
  <c r="P88" i="16"/>
  <c r="AC88" i="16" s="1"/>
  <c r="T100" i="15"/>
  <c r="R100" i="16"/>
  <c r="R100" i="19" s="1"/>
  <c r="T44" i="14"/>
  <c r="T44" i="15"/>
  <c r="T8" i="14"/>
  <c r="AI37" i="14"/>
  <c r="AA6" i="27"/>
  <c r="AD6" i="27"/>
  <c r="AI6" i="27"/>
  <c r="S293" i="9"/>
  <c r="T293" i="9" s="1"/>
  <c r="U293" i="9" s="1"/>
  <c r="V293" i="9" s="1"/>
  <c r="W293" i="9" s="1"/>
  <c r="R293" i="9"/>
  <c r="S311" i="9"/>
  <c r="T311" i="9" s="1"/>
  <c r="U311" i="9" s="1"/>
  <c r="V311" i="9" s="1"/>
  <c r="W311" i="9" s="1"/>
  <c r="R311" i="9"/>
  <c r="S359" i="9"/>
  <c r="T359" i="9" s="1"/>
  <c r="U359" i="9" s="1"/>
  <c r="V359" i="9" s="1"/>
  <c r="W359" i="9" s="1"/>
  <c r="R359" i="9"/>
  <c r="S246" i="9"/>
  <c r="T246" i="9" s="1"/>
  <c r="U246" i="9" s="1"/>
  <c r="V246" i="9" s="1"/>
  <c r="W246" i="9" s="1"/>
  <c r="R246" i="9"/>
  <c r="S213" i="9"/>
  <c r="T213" i="9" s="1"/>
  <c r="U213" i="9" s="1"/>
  <c r="V213" i="9" s="1"/>
  <c r="W213" i="9" s="1"/>
  <c r="R213" i="9"/>
  <c r="S245" i="9"/>
  <c r="T245" i="9" s="1"/>
  <c r="U245" i="9" s="1"/>
  <c r="V245" i="9" s="1"/>
  <c r="W245" i="9" s="1"/>
  <c r="R245" i="9"/>
  <c r="S200" i="9"/>
  <c r="T200" i="9" s="1"/>
  <c r="U200" i="9" s="1"/>
  <c r="V200" i="9" s="1"/>
  <c r="W200" i="9" s="1"/>
  <c r="R200" i="9"/>
  <c r="S204" i="9"/>
  <c r="T204" i="9" s="1"/>
  <c r="U204" i="9" s="1"/>
  <c r="V204" i="9" s="1"/>
  <c r="W204" i="9" s="1"/>
  <c r="R204" i="9"/>
  <c r="S231" i="9"/>
  <c r="T231" i="9" s="1"/>
  <c r="U231" i="9" s="1"/>
  <c r="V231" i="9" s="1"/>
  <c r="W231" i="9" s="1"/>
  <c r="R231" i="9"/>
  <c r="S235" i="9"/>
  <c r="T235" i="9" s="1"/>
  <c r="U235" i="9" s="1"/>
  <c r="V235" i="9" s="1"/>
  <c r="W235" i="9" s="1"/>
  <c r="R235" i="9"/>
  <c r="S236" i="9"/>
  <c r="T236" i="9" s="1"/>
  <c r="U236" i="9" s="1"/>
  <c r="V236" i="9" s="1"/>
  <c r="W236" i="9" s="1"/>
  <c r="R236" i="9"/>
  <c r="S254" i="9"/>
  <c r="T254" i="9" s="1"/>
  <c r="R254" i="9"/>
  <c r="W52" i="9"/>
  <c r="W11" i="10" s="1"/>
  <c r="Q183" i="9"/>
  <c r="R183" i="9" s="1"/>
  <c r="S4" i="22"/>
  <c r="Q189" i="9"/>
  <c r="V52" i="9"/>
  <c r="V11" i="10" s="1"/>
  <c r="V401" i="9"/>
  <c r="Q8" i="22"/>
  <c r="K5" i="10"/>
  <c r="Q38" i="9"/>
  <c r="S211" i="9"/>
  <c r="W208" i="9"/>
  <c r="S217" i="9"/>
  <c r="AM127" i="16"/>
  <c r="AH127" i="16"/>
  <c r="AF127" i="16"/>
  <c r="AD127" i="16"/>
  <c r="AI127" i="16"/>
  <c r="AE108" i="16"/>
  <c r="AA108" i="16"/>
  <c r="AM106" i="16"/>
  <c r="AI106" i="16"/>
  <c r="AH106" i="16"/>
  <c r="AM126" i="16"/>
  <c r="AD126" i="16"/>
  <c r="AH126" i="16"/>
  <c r="AI126" i="16"/>
  <c r="AF126" i="16"/>
  <c r="AM128" i="16"/>
  <c r="AD128" i="16"/>
  <c r="AI128" i="16"/>
  <c r="AF128" i="16"/>
  <c r="AH128" i="16"/>
  <c r="AE118" i="16"/>
  <c r="AA118" i="16"/>
  <c r="AD110" i="16"/>
  <c r="AH110" i="16"/>
  <c r="AM110" i="16"/>
  <c r="AF110" i="16"/>
  <c r="AE114" i="16"/>
  <c r="AA114" i="16"/>
  <c r="AA117" i="16"/>
  <c r="AE117" i="16"/>
  <c r="AE113" i="16"/>
  <c r="AA113" i="16"/>
  <c r="AM122" i="16"/>
  <c r="AI122" i="16"/>
  <c r="AF122" i="16"/>
  <c r="AD122" i="16"/>
  <c r="AH122" i="16"/>
  <c r="AM112" i="16"/>
  <c r="AA120" i="16"/>
  <c r="AM111" i="16"/>
  <c r="AD112" i="16"/>
  <c r="V54" i="19"/>
  <c r="AA119" i="16"/>
  <c r="AI111" i="16"/>
  <c r="AM116" i="16"/>
  <c r="AE122" i="16"/>
  <c r="V23" i="19"/>
  <c r="AD111" i="16"/>
  <c r="AE127" i="16"/>
  <c r="AC30" i="26"/>
  <c r="AE112" i="15"/>
  <c r="AA112" i="15"/>
  <c r="AA110" i="15"/>
  <c r="AE110" i="15"/>
  <c r="M31" i="26"/>
  <c r="AC31" i="26" s="1"/>
  <c r="AC31" i="19"/>
  <c r="AL111" i="15"/>
  <c r="AN111" i="15" s="1"/>
  <c r="AE115" i="15"/>
  <c r="AM122" i="15"/>
  <c r="AF122" i="15"/>
  <c r="AI122" i="15"/>
  <c r="AD122" i="15"/>
  <c r="AH122" i="15"/>
  <c r="M80" i="26"/>
  <c r="AA124" i="15"/>
  <c r="AE124" i="15"/>
  <c r="AA113" i="15"/>
  <c r="AF115" i="15"/>
  <c r="AH115" i="15"/>
  <c r="AD115" i="15"/>
  <c r="AM123" i="15"/>
  <c r="AF123" i="15"/>
  <c r="AI123" i="15"/>
  <c r="AD123" i="15"/>
  <c r="AH123" i="15"/>
  <c r="AD114" i="15"/>
  <c r="AF114" i="15"/>
  <c r="AH114" i="15"/>
  <c r="AI114" i="15"/>
  <c r="AM120" i="15"/>
  <c r="AF120" i="15"/>
  <c r="AI120" i="15"/>
  <c r="AH120" i="15"/>
  <c r="AE108" i="15"/>
  <c r="AA108" i="15"/>
  <c r="AM116" i="15"/>
  <c r="AI116" i="15"/>
  <c r="AF116" i="15"/>
  <c r="AD116" i="15"/>
  <c r="AH116" i="15"/>
  <c r="AE116" i="15"/>
  <c r="AM127" i="15"/>
  <c r="AC40" i="26"/>
  <c r="AD127" i="15"/>
  <c r="AL127" i="15" s="1"/>
  <c r="AD129" i="15"/>
  <c r="AL129" i="15" s="1"/>
  <c r="AN129" i="15" s="1"/>
  <c r="AC10" i="19"/>
  <c r="AC33" i="26"/>
  <c r="AC36" i="26"/>
  <c r="Q315" i="9"/>
  <c r="Q343" i="9"/>
  <c r="AC81" i="8"/>
  <c r="Q228" i="9"/>
  <c r="Q357" i="9"/>
  <c r="Q232" i="9"/>
  <c r="W414" i="18"/>
  <c r="Q201" i="9"/>
  <c r="Q296" i="9"/>
  <c r="Q160" i="8"/>
  <c r="U160" i="8"/>
  <c r="U172" i="8" s="1"/>
  <c r="U415" i="8" s="1"/>
  <c r="R160" i="8"/>
  <c r="P200" i="9"/>
  <c r="AC150" i="8"/>
  <c r="O53" i="8"/>
  <c r="J361" i="18"/>
  <c r="Q303" i="9"/>
  <c r="P285" i="9"/>
  <c r="Q399" i="9"/>
  <c r="AC27" i="8"/>
  <c r="Q308" i="9"/>
  <c r="Q327" i="9"/>
  <c r="L53" i="8"/>
  <c r="Q314" i="9"/>
  <c r="AC19" i="8"/>
  <c r="AC196" i="18"/>
  <c r="AE196" i="18" s="1"/>
  <c r="AF196" i="18" s="1"/>
  <c r="Y45" i="8"/>
  <c r="Q355" i="9"/>
  <c r="Y14" i="8"/>
  <c r="Q319" i="9"/>
  <c r="Q252" i="9"/>
  <c r="Q368" i="9"/>
  <c r="AC15" i="8"/>
  <c r="AC78" i="8"/>
  <c r="J175" i="18"/>
  <c r="J297" i="18"/>
  <c r="Q386" i="9"/>
  <c r="T374" i="18"/>
  <c r="Q190" i="9"/>
  <c r="V160" i="8"/>
  <c r="V53" i="8"/>
  <c r="Q186" i="9"/>
  <c r="AC116" i="8"/>
  <c r="Q321" i="9"/>
  <c r="Q198" i="9"/>
  <c r="Q306" i="9"/>
  <c r="U38" i="18"/>
  <c r="Y38" i="18"/>
  <c r="AC21" i="18"/>
  <c r="AE21" i="18" s="1"/>
  <c r="AF21" i="18" s="1"/>
  <c r="R38" i="18"/>
  <c r="V38" i="18"/>
  <c r="AC29" i="18"/>
  <c r="AE29" i="18" s="1"/>
  <c r="AF29" i="18" s="1"/>
  <c r="R52" i="18"/>
  <c r="V52" i="18"/>
  <c r="Z52" i="18"/>
  <c r="T52" i="18"/>
  <c r="AA52" i="18"/>
  <c r="AC71" i="18"/>
  <c r="AC116" i="18"/>
  <c r="AE116" i="18" s="1"/>
  <c r="AF116" i="18" s="1"/>
  <c r="AC147" i="18"/>
  <c r="AE147" i="18" s="1"/>
  <c r="AF147" i="18" s="1"/>
  <c r="AC152" i="18"/>
  <c r="AE152" i="18" s="1"/>
  <c r="AF152" i="18" s="1"/>
  <c r="O171" i="18"/>
  <c r="AA171" i="18"/>
  <c r="V283" i="18"/>
  <c r="Y283" i="18"/>
  <c r="O283" i="18"/>
  <c r="AA283" i="18"/>
  <c r="AC183" i="18"/>
  <c r="AE183" i="18" s="1"/>
  <c r="AF183" i="18" s="1"/>
  <c r="AC238" i="18"/>
  <c r="AE238" i="18" s="1"/>
  <c r="AF238" i="18" s="1"/>
  <c r="AC274" i="18"/>
  <c r="AE274" i="18" s="1"/>
  <c r="AF274" i="18" s="1"/>
  <c r="Q369" i="18"/>
  <c r="AC328" i="18"/>
  <c r="AE328" i="18" s="1"/>
  <c r="AF328" i="18" s="1"/>
  <c r="AC348" i="18"/>
  <c r="AE348" i="18" s="1"/>
  <c r="AF348" i="18" s="1"/>
  <c r="AC362" i="18"/>
  <c r="AE362" i="18" s="1"/>
  <c r="AF362" i="18" s="1"/>
  <c r="AC371" i="18"/>
  <c r="AE371" i="18" s="1"/>
  <c r="T414" i="18"/>
  <c r="X414" i="18"/>
  <c r="AL16" i="27"/>
  <c r="AN16" i="27" s="1"/>
  <c r="AL14" i="27"/>
  <c r="AN14" i="27" s="1"/>
  <c r="AL46" i="27"/>
  <c r="AN46" i="27" s="1"/>
  <c r="AL43" i="27"/>
  <c r="AN43" i="27" s="1"/>
  <c r="AM58" i="12"/>
  <c r="AF58" i="12"/>
  <c r="C28" i="2"/>
  <c r="C21" i="2"/>
  <c r="H23" i="2"/>
  <c r="G12" i="3" s="1"/>
  <c r="G22" i="3" s="1"/>
  <c r="I23" i="2"/>
  <c r="H12" i="3" s="1"/>
  <c r="G23" i="2"/>
  <c r="F12" i="3" s="1"/>
  <c r="H28" i="2"/>
  <c r="H30" i="2" s="1"/>
  <c r="AH57" i="12"/>
  <c r="AI57" i="12"/>
  <c r="AC27" i="27"/>
  <c r="AD422" i="18"/>
  <c r="AE422" i="18" s="1"/>
  <c r="AF422" i="18" s="1"/>
  <c r="AL29" i="27"/>
  <c r="AN29" i="27" s="1"/>
  <c r="AF57" i="12"/>
  <c r="AD437" i="18"/>
  <c r="AE437" i="18" s="1"/>
  <c r="AF437" i="18" s="1"/>
  <c r="AL24" i="27"/>
  <c r="AN24" i="27" s="1"/>
  <c r="AL59" i="27"/>
  <c r="AN59" i="27" s="1"/>
  <c r="AF30" i="13"/>
  <c r="AD30" i="13"/>
  <c r="AM30" i="13"/>
  <c r="AD96" i="13"/>
  <c r="AM96" i="13"/>
  <c r="AF96" i="13"/>
  <c r="AH96" i="13"/>
  <c r="AI96" i="13"/>
  <c r="AM40" i="13"/>
  <c r="AM139" i="29" s="1"/>
  <c r="AD40" i="13"/>
  <c r="AD63" i="29" s="1"/>
  <c r="AF40" i="13"/>
  <c r="AF63" i="29" s="1"/>
  <c r="AI40" i="13"/>
  <c r="AI63" i="29" s="1"/>
  <c r="AH40" i="13"/>
  <c r="AH63" i="29" s="1"/>
  <c r="AE95" i="13"/>
  <c r="AE10" i="29" s="1"/>
  <c r="AA95" i="13"/>
  <c r="AH95" i="13" s="1"/>
  <c r="AF113" i="13"/>
  <c r="AD113" i="13"/>
  <c r="AA70" i="13"/>
  <c r="AH70" i="13" s="1"/>
  <c r="AE70" i="13"/>
  <c r="AA51" i="13"/>
  <c r="AE51" i="13"/>
  <c r="T32" i="14"/>
  <c r="R32" i="15"/>
  <c r="R32" i="16" s="1"/>
  <c r="T32" i="16" s="1"/>
  <c r="B109" i="26"/>
  <c r="B109" i="19"/>
  <c r="AM11" i="13"/>
  <c r="AI11" i="13"/>
  <c r="I113" i="16"/>
  <c r="I113" i="26"/>
  <c r="AC16" i="14"/>
  <c r="AM114" i="13"/>
  <c r="AH114" i="13"/>
  <c r="AH84" i="13"/>
  <c r="AH54" i="29" s="1"/>
  <c r="AF84" i="13"/>
  <c r="AF54" i="29" s="1"/>
  <c r="AI84" i="13"/>
  <c r="AI54" i="29" s="1"/>
  <c r="AE36" i="13"/>
  <c r="AE19" i="29" s="1"/>
  <c r="AA36" i="13"/>
  <c r="AA19" i="29" s="1"/>
  <c r="AM19" i="29" s="1"/>
  <c r="AA12" i="13"/>
  <c r="AE12" i="13"/>
  <c r="AE37" i="29" s="1"/>
  <c r="AA50" i="13"/>
  <c r="AM50" i="13" s="1"/>
  <c r="AE50" i="13"/>
  <c r="AE33" i="13"/>
  <c r="AA33" i="13"/>
  <c r="AA21" i="29" s="1"/>
  <c r="AM21" i="29" s="1"/>
  <c r="AA49" i="13"/>
  <c r="AH49" i="13" s="1"/>
  <c r="AE49" i="13"/>
  <c r="AE7" i="13"/>
  <c r="AE25" i="29" s="1"/>
  <c r="AA7" i="13"/>
  <c r="AE81" i="13"/>
  <c r="AE49" i="29" s="1"/>
  <c r="AA81" i="13"/>
  <c r="AD81" i="13" s="1"/>
  <c r="AD49" i="29" s="1"/>
  <c r="AE59" i="13"/>
  <c r="AE30" i="29" s="1"/>
  <c r="AA59" i="13"/>
  <c r="AA30" i="29" s="1"/>
  <c r="AM30" i="29" s="1"/>
  <c r="AE96" i="13"/>
  <c r="AA45" i="13"/>
  <c r="AD45" i="13" s="1"/>
  <c r="AM96" i="14"/>
  <c r="AD96" i="14"/>
  <c r="W15" i="15"/>
  <c r="P32" i="15"/>
  <c r="X32" i="15" s="1"/>
  <c r="AA32" i="15" s="1"/>
  <c r="W32" i="14"/>
  <c r="P89" i="15"/>
  <c r="W89" i="14"/>
  <c r="AA129" i="13"/>
  <c r="AE129" i="13"/>
  <c r="AC33" i="14"/>
  <c r="AI114" i="13"/>
  <c r="AA68" i="13"/>
  <c r="AM68" i="13" s="1"/>
  <c r="AA76" i="13"/>
  <c r="AA44" i="29" s="1"/>
  <c r="AM44" i="29" s="1"/>
  <c r="AA89" i="13"/>
  <c r="AA60" i="29" s="1"/>
  <c r="AM60" i="29" s="1"/>
  <c r="AE67" i="13"/>
  <c r="AE42" i="29" s="1"/>
  <c r="AE77" i="13"/>
  <c r="AE13" i="29" s="1"/>
  <c r="AA77" i="13"/>
  <c r="AD77" i="13" s="1"/>
  <c r="AD13" i="29" s="1"/>
  <c r="AE46" i="13"/>
  <c r="AE39" i="29" s="1"/>
  <c r="AA46" i="13"/>
  <c r="AA39" i="29" s="1"/>
  <c r="AM39" i="29" s="1"/>
  <c r="AE63" i="13"/>
  <c r="AE23" i="29" s="1"/>
  <c r="AA63" i="13"/>
  <c r="AA23" i="29" s="1"/>
  <c r="AM23" i="29" s="1"/>
  <c r="AA44" i="13"/>
  <c r="AA40" i="29" s="1"/>
  <c r="AM40" i="29" s="1"/>
  <c r="AE44" i="13"/>
  <c r="AE40" i="29" s="1"/>
  <c r="AH15" i="13"/>
  <c r="AD15" i="13"/>
  <c r="AM15" i="13"/>
  <c r="AE39" i="13"/>
  <c r="AE9" i="29" s="1"/>
  <c r="AA39" i="13"/>
  <c r="AM39" i="13" s="1"/>
  <c r="AD69" i="13"/>
  <c r="AI69" i="13"/>
  <c r="L130" i="19"/>
  <c r="L130" i="26"/>
  <c r="AE11" i="13"/>
  <c r="AH112" i="13"/>
  <c r="AI112" i="13"/>
  <c r="U75" i="15"/>
  <c r="V75" i="14"/>
  <c r="X75" i="14" s="1"/>
  <c r="AE75" i="14" s="1"/>
  <c r="U82" i="16"/>
  <c r="V82" i="15"/>
  <c r="X82" i="15" s="1"/>
  <c r="AA82" i="15" s="1"/>
  <c r="U21" i="15"/>
  <c r="V21" i="14"/>
  <c r="U96" i="15"/>
  <c r="V96" i="14"/>
  <c r="AF96" i="14"/>
  <c r="AE127" i="13"/>
  <c r="B109" i="16"/>
  <c r="C109" i="26"/>
  <c r="X32" i="14"/>
  <c r="AA32" i="14" s="1"/>
  <c r="AH32" i="14" s="1"/>
  <c r="W24" i="14"/>
  <c r="T14" i="14"/>
  <c r="U37" i="15"/>
  <c r="T22" i="14"/>
  <c r="AE98" i="13"/>
  <c r="I113" i="19"/>
  <c r="P22" i="16"/>
  <c r="AC22" i="16" s="1"/>
  <c r="W22" i="15"/>
  <c r="T30" i="14"/>
  <c r="R30" i="15"/>
  <c r="R30" i="16" s="1"/>
  <c r="R30" i="19" s="1"/>
  <c r="R30" i="26" s="1"/>
  <c r="T30" i="26" s="1"/>
  <c r="AH20" i="13"/>
  <c r="AD20" i="13"/>
  <c r="AF20" i="13"/>
  <c r="AI65" i="13"/>
  <c r="AI28" i="29" s="1"/>
  <c r="AH65" i="13"/>
  <c r="AH28" i="29" s="1"/>
  <c r="W16" i="14"/>
  <c r="P16" i="15"/>
  <c r="R33" i="15"/>
  <c r="T33" i="15" s="1"/>
  <c r="T33" i="14"/>
  <c r="AH98" i="13"/>
  <c r="AI98" i="13"/>
  <c r="AF98" i="13"/>
  <c r="AA28" i="13"/>
  <c r="AF28" i="13" s="1"/>
  <c r="AE28" i="13"/>
  <c r="W71" i="14"/>
  <c r="AC71" i="14"/>
  <c r="AI20" i="13"/>
  <c r="AE54" i="13"/>
  <c r="AH117" i="13"/>
  <c r="AD117" i="13"/>
  <c r="AF117" i="13"/>
  <c r="T133" i="13"/>
  <c r="V41" i="14"/>
  <c r="U41" i="15"/>
  <c r="U41" i="16" s="1"/>
  <c r="U13" i="15"/>
  <c r="V13" i="14"/>
  <c r="U89" i="15"/>
  <c r="V89" i="14"/>
  <c r="X89" i="14" s="1"/>
  <c r="U80" i="15"/>
  <c r="V80" i="14"/>
  <c r="T87" i="14"/>
  <c r="R31" i="15"/>
  <c r="R31" i="16" s="1"/>
  <c r="T31" i="16" s="1"/>
  <c r="P24" i="16"/>
  <c r="AC24" i="16" s="1"/>
  <c r="W24" i="15"/>
  <c r="S25" i="15"/>
  <c r="S25" i="16" s="1"/>
  <c r="S25" i="19" s="1"/>
  <c r="S25" i="26" s="1"/>
  <c r="T25" i="14"/>
  <c r="P34" i="15"/>
  <c r="AC34" i="14"/>
  <c r="P54" i="15"/>
  <c r="AC54" i="15" s="1"/>
  <c r="AC54" i="14"/>
  <c r="V56" i="14"/>
  <c r="U56" i="15"/>
  <c r="R59" i="15"/>
  <c r="R59" i="16" s="1"/>
  <c r="R59" i="19" s="1"/>
  <c r="R59" i="26" s="1"/>
  <c r="T59" i="14"/>
  <c r="P68" i="15"/>
  <c r="P68" i="16" s="1"/>
  <c r="P68" i="19" s="1"/>
  <c r="AC68" i="14"/>
  <c r="P87" i="16"/>
  <c r="P87" i="19" s="1"/>
  <c r="AA119" i="13"/>
  <c r="AE119" i="13"/>
  <c r="AM127" i="13"/>
  <c r="AI127" i="13"/>
  <c r="I106" i="16"/>
  <c r="I106" i="19"/>
  <c r="AC33" i="16"/>
  <c r="AF34" i="13"/>
  <c r="Q148" i="9"/>
  <c r="R148" i="9" s="1"/>
  <c r="AF65" i="13"/>
  <c r="AF28" i="29" s="1"/>
  <c r="AD82" i="13"/>
  <c r="AD47" i="29" s="1"/>
  <c r="AE40" i="13"/>
  <c r="AE63" i="29" s="1"/>
  <c r="AA18" i="13"/>
  <c r="AH67" i="13"/>
  <c r="AH42" i="29" s="1"/>
  <c r="AM65" i="13"/>
  <c r="AM98" i="29" s="1"/>
  <c r="AD114" i="13"/>
  <c r="AE20" i="13"/>
  <c r="AA93" i="13"/>
  <c r="AA61" i="13"/>
  <c r="AA18" i="29" s="1"/>
  <c r="AM18" i="29" s="1"/>
  <c r="AA10" i="13"/>
  <c r="AA67" i="29" s="1"/>
  <c r="AM67" i="29" s="1"/>
  <c r="AE65" i="13"/>
  <c r="V47" i="14"/>
  <c r="X47" i="14" s="1"/>
  <c r="AA47" i="14" s="1"/>
  <c r="AI47" i="14" s="1"/>
  <c r="V85" i="14"/>
  <c r="X85" i="14" s="1"/>
  <c r="AA85" i="14" s="1"/>
  <c r="AD85" i="14" s="1"/>
  <c r="V68" i="14"/>
  <c r="W68" i="14" s="1"/>
  <c r="X68" i="14" s="1"/>
  <c r="AA68" i="14" s="1"/>
  <c r="AE75" i="13"/>
  <c r="AE15" i="29" s="1"/>
  <c r="AA75" i="13"/>
  <c r="AA15" i="29" s="1"/>
  <c r="AM15" i="29" s="1"/>
  <c r="AE57" i="13"/>
  <c r="AE32" i="29" s="1"/>
  <c r="AA57" i="13"/>
  <c r="AA32" i="29" s="1"/>
  <c r="AM32" i="29" s="1"/>
  <c r="AE29" i="13"/>
  <c r="AA29" i="13"/>
  <c r="AA17" i="29" s="1"/>
  <c r="AM17" i="29" s="1"/>
  <c r="AA31" i="13"/>
  <c r="AM31" i="13" s="1"/>
  <c r="AE31" i="13"/>
  <c r="AE20" i="29" s="1"/>
  <c r="AM55" i="13"/>
  <c r="AI55" i="13"/>
  <c r="AM117" i="13"/>
  <c r="AI99" i="13"/>
  <c r="L6" i="19"/>
  <c r="L6" i="26" s="1"/>
  <c r="L6" i="16"/>
  <c r="U52" i="16"/>
  <c r="V52" i="16" s="1"/>
  <c r="V52" i="15"/>
  <c r="W52" i="15" s="1"/>
  <c r="X52" i="15" s="1"/>
  <c r="AA52" i="15" s="1"/>
  <c r="U61" i="15"/>
  <c r="V61" i="15" s="1"/>
  <c r="X61" i="15" s="1"/>
  <c r="AE61" i="15" s="1"/>
  <c r="V61" i="14"/>
  <c r="X61" i="14" s="1"/>
  <c r="AA61" i="14" s="1"/>
  <c r="AF61" i="14" s="1"/>
  <c r="AD48" i="13"/>
  <c r="AH48" i="13"/>
  <c r="AD110" i="13"/>
  <c r="AF110" i="13"/>
  <c r="AH110" i="13"/>
  <c r="U38" i="16"/>
  <c r="V38" i="15"/>
  <c r="X38" i="15" s="1"/>
  <c r="AE38" i="15" s="1"/>
  <c r="V11" i="14"/>
  <c r="AH96" i="14"/>
  <c r="AF127" i="13"/>
  <c r="AC37" i="15"/>
  <c r="AA41" i="14"/>
  <c r="AI41" i="14" s="1"/>
  <c r="X37" i="15"/>
  <c r="AA37" i="15" s="1"/>
  <c r="AM37" i="15" s="1"/>
  <c r="T87" i="15"/>
  <c r="R90" i="15"/>
  <c r="T42" i="14"/>
  <c r="T85" i="14"/>
  <c r="AM98" i="13"/>
  <c r="I106" i="26"/>
  <c r="P18" i="15"/>
  <c r="W18" i="15" s="1"/>
  <c r="W18" i="14"/>
  <c r="X91" i="15"/>
  <c r="AA91" i="15" s="1"/>
  <c r="X16" i="14"/>
  <c r="AA16" i="14" s="1"/>
  <c r="T7" i="14"/>
  <c r="S7" i="15"/>
  <c r="S7" i="16" s="1"/>
  <c r="S7" i="19" s="1"/>
  <c r="S7" i="26" s="1"/>
  <c r="AC45" i="14"/>
  <c r="R52" i="15"/>
  <c r="R52" i="16" s="1"/>
  <c r="T52" i="14"/>
  <c r="X24" i="15"/>
  <c r="AE24" i="15" s="1"/>
  <c r="W57" i="14"/>
  <c r="X57" i="14" s="1"/>
  <c r="AE57" i="14" s="1"/>
  <c r="X71" i="14"/>
  <c r="AE71" i="14" s="1"/>
  <c r="P7" i="15"/>
  <c r="W7" i="15" s="1"/>
  <c r="W7" i="14"/>
  <c r="T27" i="14"/>
  <c r="S27" i="15"/>
  <c r="T27" i="15" s="1"/>
  <c r="S29" i="15"/>
  <c r="T29" i="15" s="1"/>
  <c r="T29" i="14"/>
  <c r="T34" i="14"/>
  <c r="T36" i="14"/>
  <c r="T50" i="14"/>
  <c r="T16" i="14"/>
  <c r="T58" i="14"/>
  <c r="AC84" i="14"/>
  <c r="AC100" i="14"/>
  <c r="AB150" i="8"/>
  <c r="Q353" i="9"/>
  <c r="Q179" i="9"/>
  <c r="N53" i="8"/>
  <c r="T53" i="8"/>
  <c r="J316" i="18"/>
  <c r="J313" i="18"/>
  <c r="Q332" i="9"/>
  <c r="V18" i="18"/>
  <c r="AC14" i="18"/>
  <c r="AE14" i="18" s="1"/>
  <c r="AF14" i="18" s="1"/>
  <c r="P18" i="18"/>
  <c r="AC16" i="18"/>
  <c r="AE16" i="18" s="1"/>
  <c r="AF16" i="18" s="1"/>
  <c r="AC11" i="8"/>
  <c r="AC154" i="8"/>
  <c r="Q382" i="9"/>
  <c r="Q275" i="9"/>
  <c r="AC97" i="18"/>
  <c r="AE97" i="18" s="1"/>
  <c r="AF97" i="18" s="1"/>
  <c r="P204" i="9"/>
  <c r="M160" i="8"/>
  <c r="M172" i="8" s="1"/>
  <c r="K160" i="8"/>
  <c r="K172" i="8" s="1"/>
  <c r="Q196" i="9"/>
  <c r="R172" i="8"/>
  <c r="R415" i="8" s="1"/>
  <c r="AC118" i="8"/>
  <c r="Q337" i="9"/>
  <c r="Q225" i="9"/>
  <c r="Q326" i="9"/>
  <c r="AC366" i="18"/>
  <c r="AE366" i="18" s="1"/>
  <c r="AF366" i="18" s="1"/>
  <c r="F6" i="15"/>
  <c r="AI6" i="14"/>
  <c r="AH118" i="13"/>
  <c r="AD118" i="13"/>
  <c r="AF118" i="13"/>
  <c r="AI118" i="13"/>
  <c r="U46" i="15"/>
  <c r="V46" i="14"/>
  <c r="X46" i="14" s="1"/>
  <c r="AE46" i="14" s="1"/>
  <c r="T46" i="14"/>
  <c r="S46" i="15"/>
  <c r="T46" i="15" s="1"/>
  <c r="P59" i="16"/>
  <c r="AC59" i="16" s="1"/>
  <c r="W59" i="15"/>
  <c r="AF88" i="13"/>
  <c r="AF58" i="29" s="1"/>
  <c r="AD88" i="13"/>
  <c r="AD58" i="29" s="1"/>
  <c r="AH88" i="13"/>
  <c r="AH58" i="29" s="1"/>
  <c r="AH55" i="13"/>
  <c r="AF55" i="13"/>
  <c r="V19" i="15"/>
  <c r="X19" i="15" s="1"/>
  <c r="AE19" i="15" s="1"/>
  <c r="U19" i="16"/>
  <c r="U7" i="15"/>
  <c r="U7" i="16" s="1"/>
  <c r="V7" i="14"/>
  <c r="X7" i="14" s="1"/>
  <c r="AA7" i="14" s="1"/>
  <c r="AI7" i="14" s="1"/>
  <c r="U10" i="16"/>
  <c r="V10" i="15"/>
  <c r="X10" i="15" s="1"/>
  <c r="U64" i="15"/>
  <c r="V64" i="14"/>
  <c r="W64" i="14" s="1"/>
  <c r="X64" i="14" s="1"/>
  <c r="AA64" i="14" s="1"/>
  <c r="AD64" i="14" s="1"/>
  <c r="V14" i="14"/>
  <c r="W14" i="14" s="1"/>
  <c r="X14" i="14" s="1"/>
  <c r="AE14" i="14" s="1"/>
  <c r="U14" i="15"/>
  <c r="U40" i="15"/>
  <c r="V40" i="15" s="1"/>
  <c r="W40" i="15" s="1"/>
  <c r="X40" i="15" s="1"/>
  <c r="AA40" i="15" s="1"/>
  <c r="V40" i="14"/>
  <c r="W40" i="14" s="1"/>
  <c r="X40" i="14" s="1"/>
  <c r="AC59" i="15"/>
  <c r="Q127" i="9"/>
  <c r="R127" i="9" s="1"/>
  <c r="AD53" i="13"/>
  <c r="AM88" i="13"/>
  <c r="AM133" i="29" s="1"/>
  <c r="AD55" i="13"/>
  <c r="AA17" i="13"/>
  <c r="AA85" i="13"/>
  <c r="AA64" i="29" s="1"/>
  <c r="AM64" i="29" s="1"/>
  <c r="AE30" i="13"/>
  <c r="AA52" i="13"/>
  <c r="AE55" i="13"/>
  <c r="V58" i="14"/>
  <c r="X58" i="14" s="1"/>
  <c r="AA58" i="14" s="1"/>
  <c r="AI58" i="14" s="1"/>
  <c r="V10" i="14"/>
  <c r="X10" i="14" s="1"/>
  <c r="AA10" i="14" s="1"/>
  <c r="V25" i="14"/>
  <c r="X25" i="14" s="1"/>
  <c r="AA25" i="14" s="1"/>
  <c r="V36" i="14"/>
  <c r="W36" i="14" s="1"/>
  <c r="X36" i="14" s="1"/>
  <c r="AA36" i="14" s="1"/>
  <c r="AF16" i="13"/>
  <c r="AH16" i="13"/>
  <c r="AC104" i="15"/>
  <c r="W104" i="15"/>
  <c r="P104" i="16"/>
  <c r="W104" i="16" s="1"/>
  <c r="X104" i="15"/>
  <c r="AA104" i="15" s="1"/>
  <c r="AF104" i="15" s="1"/>
  <c r="P20" i="15"/>
  <c r="AC20" i="15" s="1"/>
  <c r="W20" i="14"/>
  <c r="R51" i="15"/>
  <c r="R51" i="16" s="1"/>
  <c r="R51" i="19" s="1"/>
  <c r="R51" i="26" s="1"/>
  <c r="T51" i="26" s="1"/>
  <c r="T51" i="14"/>
  <c r="P66" i="16"/>
  <c r="P66" i="19" s="1"/>
  <c r="AC66" i="19" s="1"/>
  <c r="W66" i="15"/>
  <c r="AC57" i="15"/>
  <c r="AD37" i="13"/>
  <c r="AF54" i="13"/>
  <c r="AI54" i="13"/>
  <c r="AD54" i="13"/>
  <c r="AI30" i="13"/>
  <c r="AH30" i="13"/>
  <c r="AA124" i="16"/>
  <c r="V102" i="19"/>
  <c r="V102" i="16"/>
  <c r="AM53" i="13"/>
  <c r="AM128" i="29" s="1"/>
  <c r="AI16" i="13"/>
  <c r="AI88" i="13"/>
  <c r="AI58" i="29" s="1"/>
  <c r="AM54" i="13"/>
  <c r="W57" i="15"/>
  <c r="X57" i="15" s="1"/>
  <c r="AA19" i="13"/>
  <c r="AA42" i="13"/>
  <c r="AF107" i="13"/>
  <c r="AH107" i="13"/>
  <c r="AH113" i="13"/>
  <c r="AM113" i="13"/>
  <c r="AI113" i="13"/>
  <c r="AF128" i="13"/>
  <c r="AH128" i="13"/>
  <c r="AM82" i="13"/>
  <c r="AM121" i="29" s="1"/>
  <c r="AH82" i="13"/>
  <c r="AH47" i="29" s="1"/>
  <c r="AI82" i="13"/>
  <c r="AI47" i="29" s="1"/>
  <c r="AM67" i="13"/>
  <c r="AM115" i="29" s="1"/>
  <c r="AM116" i="29" s="1"/>
  <c r="AI67" i="13"/>
  <c r="AI42" i="29" s="1"/>
  <c r="AD67" i="13"/>
  <c r="AD42" i="29" s="1"/>
  <c r="AH34" i="13"/>
  <c r="AD34" i="13"/>
  <c r="AM69" i="13"/>
  <c r="AH69" i="13"/>
  <c r="AF69" i="13"/>
  <c r="I130" i="16"/>
  <c r="I130" i="26"/>
  <c r="AM111" i="13"/>
  <c r="AF111" i="13"/>
  <c r="AD111" i="13"/>
  <c r="AH111" i="13"/>
  <c r="T130" i="14"/>
  <c r="R130" i="15"/>
  <c r="T130" i="15" s="1"/>
  <c r="AM13" i="13"/>
  <c r="AF13" i="13"/>
  <c r="AI13" i="13"/>
  <c r="AM62" i="13"/>
  <c r="AH62" i="13"/>
  <c r="AI62" i="13"/>
  <c r="AF112" i="13"/>
  <c r="AM112" i="13"/>
  <c r="U72" i="15"/>
  <c r="U71" i="16" s="1"/>
  <c r="V71" i="16" s="1"/>
  <c r="U88" i="15"/>
  <c r="V68" i="15"/>
  <c r="U68" i="16"/>
  <c r="V68" i="16" s="1"/>
  <c r="P9" i="15"/>
  <c r="AC9" i="15" s="1"/>
  <c r="AC9" i="14"/>
  <c r="X9" i="14"/>
  <c r="AA9" i="14" s="1"/>
  <c r="AM9" i="14" s="1"/>
  <c r="P21" i="15"/>
  <c r="W21" i="15" s="1"/>
  <c r="X21" i="14"/>
  <c r="AC21" i="14"/>
  <c r="W21" i="14"/>
  <c r="V26" i="14"/>
  <c r="U26" i="15"/>
  <c r="Q6" i="16"/>
  <c r="AH13" i="13"/>
  <c r="AD11" i="13"/>
  <c r="AH11" i="13"/>
  <c r="AF11" i="13"/>
  <c r="AH35" i="13"/>
  <c r="AD35" i="13"/>
  <c r="AI35" i="13"/>
  <c r="U121" i="15"/>
  <c r="U121" i="26" s="1"/>
  <c r="V121" i="26" s="1"/>
  <c r="U33" i="15"/>
  <c r="V33" i="15" s="1"/>
  <c r="W33" i="15" s="1"/>
  <c r="X33" i="15" s="1"/>
  <c r="AA33" i="15" s="1"/>
  <c r="V33" i="14"/>
  <c r="W33" i="14" s="1"/>
  <c r="X33" i="14" s="1"/>
  <c r="AA33" i="14" s="1"/>
  <c r="AD33" i="14" s="1"/>
  <c r="V77" i="14"/>
  <c r="X77" i="14" s="1"/>
  <c r="AE77" i="14" s="1"/>
  <c r="U77" i="15"/>
  <c r="V35" i="14"/>
  <c r="U35" i="15"/>
  <c r="V35" i="15" s="1"/>
  <c r="U69" i="15"/>
  <c r="U69" i="16" s="1"/>
  <c r="V69" i="14"/>
  <c r="X69" i="14" s="1"/>
  <c r="AE69" i="14" s="1"/>
  <c r="S57" i="16"/>
  <c r="T16" i="15"/>
  <c r="R16" i="16"/>
  <c r="T16" i="16" s="1"/>
  <c r="T23" i="14"/>
  <c r="R23" i="15"/>
  <c r="R24" i="15"/>
  <c r="R24" i="16" s="1"/>
  <c r="R24" i="19" s="1"/>
  <c r="R24" i="26" s="1"/>
  <c r="T24" i="14"/>
  <c r="L107" i="26"/>
  <c r="L107" i="19"/>
  <c r="L107" i="16"/>
  <c r="S39" i="15"/>
  <c r="S39" i="16" s="1"/>
  <c r="S39" i="19" s="1"/>
  <c r="S39" i="26" s="1"/>
  <c r="T39" i="14"/>
  <c r="T40" i="14"/>
  <c r="S40" i="15"/>
  <c r="S40" i="16" s="1"/>
  <c r="S40" i="19" s="1"/>
  <c r="S40" i="26" s="1"/>
  <c r="P83" i="15"/>
  <c r="AC83" i="14"/>
  <c r="W83" i="14"/>
  <c r="P95" i="16"/>
  <c r="W95" i="16" s="1"/>
  <c r="AC95" i="15"/>
  <c r="L121" i="16"/>
  <c r="L121" i="26"/>
  <c r="T97" i="14"/>
  <c r="R97" i="15"/>
  <c r="R97" i="16" s="1"/>
  <c r="R98" i="15"/>
  <c r="T98" i="15" s="1"/>
  <c r="T98" i="14"/>
  <c r="I118" i="26"/>
  <c r="I118" i="19"/>
  <c r="AD108" i="13"/>
  <c r="AF108" i="13"/>
  <c r="AH99" i="13"/>
  <c r="AD99" i="13"/>
  <c r="AA80" i="14"/>
  <c r="AI80" i="14" s="1"/>
  <c r="AE80" i="14"/>
  <c r="T50" i="15"/>
  <c r="S50" i="16"/>
  <c r="S50" i="19" s="1"/>
  <c r="AD123" i="13"/>
  <c r="AH123" i="13"/>
  <c r="G109" i="16"/>
  <c r="G109" i="26"/>
  <c r="E109" i="26"/>
  <c r="E109" i="16"/>
  <c r="T13" i="14"/>
  <c r="R13" i="15"/>
  <c r="S17" i="15"/>
  <c r="S17" i="16" s="1"/>
  <c r="T17" i="14"/>
  <c r="T48" i="15"/>
  <c r="R48" i="16"/>
  <c r="T48" i="16" s="1"/>
  <c r="P74" i="15"/>
  <c r="AC74" i="15" s="1"/>
  <c r="X74" i="14"/>
  <c r="AA74" i="14" s="1"/>
  <c r="AC74" i="14"/>
  <c r="T75" i="14"/>
  <c r="R75" i="15"/>
  <c r="R76" i="15"/>
  <c r="T76" i="14"/>
  <c r="T77" i="14"/>
  <c r="R77" i="15"/>
  <c r="R77" i="16" s="1"/>
  <c r="T77" i="16" s="1"/>
  <c r="T78" i="14"/>
  <c r="R78" i="15"/>
  <c r="AC81" i="14"/>
  <c r="P81" i="15"/>
  <c r="T82" i="14"/>
  <c r="R82" i="15"/>
  <c r="AC131" i="13"/>
  <c r="V32" i="15"/>
  <c r="U32" i="16"/>
  <c r="V32" i="16" s="1"/>
  <c r="AA124" i="26"/>
  <c r="AE124" i="26"/>
  <c r="AM120" i="13"/>
  <c r="AI120" i="13"/>
  <c r="AF120" i="13"/>
  <c r="AH80" i="15"/>
  <c r="AF80" i="15"/>
  <c r="R19" i="15"/>
  <c r="R19" i="16" s="1"/>
  <c r="R19" i="19" s="1"/>
  <c r="R19" i="26" s="1"/>
  <c r="T19" i="14"/>
  <c r="AC48" i="14"/>
  <c r="P48" i="15"/>
  <c r="P48" i="16" s="1"/>
  <c r="W48" i="14"/>
  <c r="C72" i="15"/>
  <c r="C71" i="16" s="1"/>
  <c r="C71" i="15"/>
  <c r="G71" i="16"/>
  <c r="G72" i="16"/>
  <c r="G71" i="19" s="1"/>
  <c r="Q72" i="15"/>
  <c r="Q72" i="16" s="1"/>
  <c r="Q71" i="15"/>
  <c r="P75" i="15"/>
  <c r="P75" i="16" s="1"/>
  <c r="P75" i="19" s="1"/>
  <c r="P75" i="26" s="1"/>
  <c r="W75" i="14"/>
  <c r="AC75" i="14"/>
  <c r="P76" i="15"/>
  <c r="AC76" i="14"/>
  <c r="W76" i="14"/>
  <c r="P78" i="15"/>
  <c r="AC78" i="15" s="1"/>
  <c r="AC78" i="14"/>
  <c r="X78" i="14"/>
  <c r="AA78" i="14" s="1"/>
  <c r="P79" i="15"/>
  <c r="W79" i="14"/>
  <c r="AC79" i="14"/>
  <c r="R80" i="15"/>
  <c r="T80" i="14"/>
  <c r="P13" i="15"/>
  <c r="P13" i="16" s="1"/>
  <c r="P13" i="19" s="1"/>
  <c r="W13" i="14"/>
  <c r="W19" i="14"/>
  <c r="P58" i="15"/>
  <c r="W58" i="15" s="1"/>
  <c r="W58" i="14"/>
  <c r="R70" i="15"/>
  <c r="A72" i="15"/>
  <c r="A71" i="15"/>
  <c r="P99" i="15"/>
  <c r="P99" i="16" s="1"/>
  <c r="P99" i="19" s="1"/>
  <c r="P99" i="26" s="1"/>
  <c r="AC99" i="14"/>
  <c r="AC11" i="14"/>
  <c r="AC56" i="14"/>
  <c r="AC80" i="14"/>
  <c r="K107" i="16"/>
  <c r="K107" i="19"/>
  <c r="P26" i="16"/>
  <c r="P26" i="19" s="1"/>
  <c r="W26" i="15"/>
  <c r="W47" i="14"/>
  <c r="P47" i="15"/>
  <c r="P47" i="16" s="1"/>
  <c r="P47" i="19" s="1"/>
  <c r="P47" i="26" s="1"/>
  <c r="AC47" i="26" s="1"/>
  <c r="P60" i="15"/>
  <c r="W60" i="14"/>
  <c r="T65" i="15"/>
  <c r="R68" i="15"/>
  <c r="R68" i="16" s="1"/>
  <c r="R68" i="19" s="1"/>
  <c r="T68" i="19" s="1"/>
  <c r="T68" i="14"/>
  <c r="AE97" i="14"/>
  <c r="T20" i="14"/>
  <c r="R54" i="15"/>
  <c r="T54" i="15" s="1"/>
  <c r="T54" i="14"/>
  <c r="J71" i="16"/>
  <c r="J72" i="16"/>
  <c r="J72" i="19" s="1"/>
  <c r="O71" i="15"/>
  <c r="AI19" i="27"/>
  <c r="AI9" i="12"/>
  <c r="AL9" i="12" s="1"/>
  <c r="O97" i="9"/>
  <c r="P97" i="9" s="1"/>
  <c r="AD9" i="12"/>
  <c r="AM9" i="12"/>
  <c r="AM38" i="12"/>
  <c r="AI38" i="12"/>
  <c r="AF38" i="12"/>
  <c r="AH18" i="12"/>
  <c r="AF18" i="12"/>
  <c r="AD18" i="12"/>
  <c r="AA129" i="12"/>
  <c r="AE129" i="12"/>
  <c r="AE45" i="12"/>
  <c r="AA45" i="12"/>
  <c r="AE52" i="12"/>
  <c r="AA52" i="12"/>
  <c r="AA109" i="12"/>
  <c r="AE109" i="12"/>
  <c r="V130" i="13"/>
  <c r="V133" i="13" s="1"/>
  <c r="U130" i="14"/>
  <c r="AF102" i="12"/>
  <c r="AH102" i="12"/>
  <c r="AH38" i="12"/>
  <c r="AD519" i="18"/>
  <c r="AE519" i="18" s="1"/>
  <c r="AF519" i="18" s="1"/>
  <c r="AM18" i="12"/>
  <c r="AE18" i="12"/>
  <c r="AE17" i="27" s="1"/>
  <c r="AE19" i="12"/>
  <c r="AD508" i="18" s="1"/>
  <c r="AE508" i="18" s="1"/>
  <c r="AF508" i="18" s="1"/>
  <c r="AE30" i="12"/>
  <c r="AA61" i="27"/>
  <c r="AM61" i="27" s="1"/>
  <c r="AA63" i="8"/>
  <c r="AC63" i="8" s="1"/>
  <c r="AD39" i="12"/>
  <c r="AI39" i="12"/>
  <c r="AM39" i="12"/>
  <c r="AM136" i="27" s="1"/>
  <c r="Q72" i="9"/>
  <c r="R72" i="9" s="1"/>
  <c r="Q134" i="9"/>
  <c r="R134" i="9" s="1"/>
  <c r="AH11" i="27"/>
  <c r="AD426" i="18"/>
  <c r="AE426" i="18" s="1"/>
  <c r="AF426" i="18" s="1"/>
  <c r="AA17" i="27"/>
  <c r="AM17" i="27" s="1"/>
  <c r="AE7" i="12"/>
  <c r="AA7" i="12"/>
  <c r="X132" i="12"/>
  <c r="AF45" i="27"/>
  <c r="AD565" i="18"/>
  <c r="AE565" i="18" s="1"/>
  <c r="AF565" i="18" s="1"/>
  <c r="AA87" i="12"/>
  <c r="AE87" i="12"/>
  <c r="AC132" i="12"/>
  <c r="AD455" i="18"/>
  <c r="AE455" i="18" s="1"/>
  <c r="AF455" i="18" s="1"/>
  <c r="AD38" i="12"/>
  <c r="AL38" i="12" s="1"/>
  <c r="AA97" i="8"/>
  <c r="AB97" i="8" s="1"/>
  <c r="AM42" i="12"/>
  <c r="AF42" i="12"/>
  <c r="AA32" i="12"/>
  <c r="AH26" i="12"/>
  <c r="AL26" i="12" s="1"/>
  <c r="AN26" i="12" s="1"/>
  <c r="AF26" i="12"/>
  <c r="AI30" i="12"/>
  <c r="AH30" i="12"/>
  <c r="AM30" i="12"/>
  <c r="AA11" i="12"/>
  <c r="AE11" i="12"/>
  <c r="AI37" i="12"/>
  <c r="AH37" i="12"/>
  <c r="AM37" i="12"/>
  <c r="AA19" i="27"/>
  <c r="AM19" i="27" s="1"/>
  <c r="AH19" i="12"/>
  <c r="AA101" i="8"/>
  <c r="AB101" i="8" s="1"/>
  <c r="AD19" i="12"/>
  <c r="Q80" i="9"/>
  <c r="R80" i="9" s="1"/>
  <c r="Q82" i="9"/>
  <c r="R82" i="9" s="1"/>
  <c r="Q136" i="9"/>
  <c r="R136" i="9" s="1"/>
  <c r="Q111" i="9"/>
  <c r="R111" i="9" s="1"/>
  <c r="Q114" i="9"/>
  <c r="R114" i="9" s="1"/>
  <c r="Q75" i="9"/>
  <c r="R75" i="9" s="1"/>
  <c r="Q109" i="9"/>
  <c r="R109" i="9" s="1"/>
  <c r="Q79" i="9"/>
  <c r="R79" i="9" s="1"/>
  <c r="Q112" i="9"/>
  <c r="R112" i="9" s="1"/>
  <c r="Q156" i="9"/>
  <c r="R156" i="9" s="1"/>
  <c r="Q83" i="9"/>
  <c r="R83" i="9" s="1"/>
  <c r="Q141" i="9"/>
  <c r="R141" i="9" s="1"/>
  <c r="Q73" i="9"/>
  <c r="R73" i="9" s="1"/>
  <c r="Q150" i="9"/>
  <c r="R150" i="9" s="1"/>
  <c r="Q158" i="9"/>
  <c r="R158" i="9" s="1"/>
  <c r="Q139" i="9"/>
  <c r="R139" i="9" s="1"/>
  <c r="Q110" i="9"/>
  <c r="R110" i="9" s="1"/>
  <c r="Q113" i="9"/>
  <c r="R113" i="9" s="1"/>
  <c r="Q63" i="9"/>
  <c r="R63" i="9" s="1"/>
  <c r="Q149" i="9"/>
  <c r="R149" i="9" s="1"/>
  <c r="AE36" i="12"/>
  <c r="AA36" i="12"/>
  <c r="AI116" i="12"/>
  <c r="AD116" i="12"/>
  <c r="AH116" i="12"/>
  <c r="AF116" i="12"/>
  <c r="AM116" i="12"/>
  <c r="AD55" i="12"/>
  <c r="AM55" i="12"/>
  <c r="AM60" i="12"/>
  <c r="AI60" i="12"/>
  <c r="AA144" i="8"/>
  <c r="AC144" i="8" s="1"/>
  <c r="AI51" i="12"/>
  <c r="AI44" i="27" s="1"/>
  <c r="AH51" i="12"/>
  <c r="AC45" i="27"/>
  <c r="AD443" i="18"/>
  <c r="AE443" i="18" s="1"/>
  <c r="AF443" i="18" s="1"/>
  <c r="AD447" i="18"/>
  <c r="AE447" i="18" s="1"/>
  <c r="AF447" i="18" s="1"/>
  <c r="AC53" i="27"/>
  <c r="AC55" i="27"/>
  <c r="AD448" i="18"/>
  <c r="AE448" i="18" s="1"/>
  <c r="AF448" i="18" s="1"/>
  <c r="AF9" i="12"/>
  <c r="AH9" i="12"/>
  <c r="AL34" i="12"/>
  <c r="AN34" i="12" s="1"/>
  <c r="AD558" i="18"/>
  <c r="AE558" i="18" s="1"/>
  <c r="AF558" i="18" s="1"/>
  <c r="AF32" i="27"/>
  <c r="AD536" i="18"/>
  <c r="AE536" i="18" s="1"/>
  <c r="AF536" i="18" s="1"/>
  <c r="AE65" i="27"/>
  <c r="AE25" i="27"/>
  <c r="AD512" i="18"/>
  <c r="AE512" i="18" s="1"/>
  <c r="AF512" i="18" s="1"/>
  <c r="AF10" i="12"/>
  <c r="AA38" i="27"/>
  <c r="AM38" i="27" s="1"/>
  <c r="AA108" i="8"/>
  <c r="AB108" i="8" s="1"/>
  <c r="AH10" i="12"/>
  <c r="AE37" i="12"/>
  <c r="AA31" i="12"/>
  <c r="AI13" i="12"/>
  <c r="AI25" i="27" s="1"/>
  <c r="AF13" i="12"/>
  <c r="AD553" i="18" s="1"/>
  <c r="AE553" i="18" s="1"/>
  <c r="AF553" i="18" s="1"/>
  <c r="AD13" i="12"/>
  <c r="AA89" i="8"/>
  <c r="AB89" i="8" s="1"/>
  <c r="AM12" i="12"/>
  <c r="AF12" i="12"/>
  <c r="AA28" i="12"/>
  <c r="AI18" i="12"/>
  <c r="Q88" i="9"/>
  <c r="R88" i="9" s="1"/>
  <c r="AE48" i="12"/>
  <c r="AA48" i="12"/>
  <c r="AI48" i="12" s="1"/>
  <c r="O169" i="9"/>
  <c r="P169" i="9" s="1"/>
  <c r="AA169" i="8"/>
  <c r="AB169" i="8" s="1"/>
  <c r="AI119" i="12"/>
  <c r="AH119" i="12"/>
  <c r="AD119" i="12"/>
  <c r="AM119" i="12"/>
  <c r="AA49" i="12"/>
  <c r="AE49" i="12"/>
  <c r="AL49" i="27"/>
  <c r="AN49" i="27" s="1"/>
  <c r="AD423" i="18"/>
  <c r="AE423" i="18" s="1"/>
  <c r="AF423" i="18" s="1"/>
  <c r="AH50" i="12"/>
  <c r="AM50" i="12"/>
  <c r="AH45" i="27"/>
  <c r="AD608" i="18"/>
  <c r="AE608" i="18" s="1"/>
  <c r="AF608" i="18" s="1"/>
  <c r="AI120" i="12"/>
  <c r="AD120" i="12"/>
  <c r="AI77" i="12"/>
  <c r="AF77" i="12"/>
  <c r="AF63" i="27" s="1"/>
  <c r="AH77" i="12"/>
  <c r="AH63" i="27" s="1"/>
  <c r="AA157" i="8"/>
  <c r="AC157" i="8" s="1"/>
  <c r="AF86" i="12"/>
  <c r="AD86" i="12"/>
  <c r="AM86" i="12"/>
  <c r="AA90" i="12"/>
  <c r="AE90" i="12"/>
  <c r="AE75" i="12"/>
  <c r="AA75" i="12"/>
  <c r="AM75" i="12" s="1"/>
  <c r="AM132" i="27" s="1"/>
  <c r="AN25" i="12"/>
  <c r="AH125" i="13"/>
  <c r="AI125" i="13"/>
  <c r="AM125" i="13"/>
  <c r="AF125" i="13"/>
  <c r="AA56" i="12"/>
  <c r="AE56" i="12"/>
  <c r="AD444" i="18"/>
  <c r="AE444" i="18" s="1"/>
  <c r="AF444" i="18" s="1"/>
  <c r="AC44" i="27"/>
  <c r="AC66" i="27"/>
  <c r="AD454" i="18"/>
  <c r="AE454" i="18" s="1"/>
  <c r="AF454" i="18" s="1"/>
  <c r="AC63" i="27"/>
  <c r="AD125" i="14"/>
  <c r="AH125" i="14"/>
  <c r="AE97" i="12"/>
  <c r="AA97" i="12"/>
  <c r="AL33" i="27"/>
  <c r="N6" i="14"/>
  <c r="N6" i="15" s="1"/>
  <c r="N6" i="19" s="1"/>
  <c r="N6" i="26" s="1"/>
  <c r="N133" i="13"/>
  <c r="AI122" i="12"/>
  <c r="AD122" i="12"/>
  <c r="AL122" i="12" s="1"/>
  <c r="AN122" i="12" s="1"/>
  <c r="AF122" i="12"/>
  <c r="AE89" i="12"/>
  <c r="AA89" i="12"/>
  <c r="AE93" i="12"/>
  <c r="AA93" i="12"/>
  <c r="AN104" i="12"/>
  <c r="AD125" i="13"/>
  <c r="AA98" i="12"/>
  <c r="J130" i="16"/>
  <c r="J130" i="26"/>
  <c r="J130" i="19"/>
  <c r="M133" i="15"/>
  <c r="M133" i="14"/>
  <c r="M131" i="13"/>
  <c r="AD41" i="12"/>
  <c r="AD18" i="27" s="1"/>
  <c r="AD8" i="12"/>
  <c r="AL8" i="12" s="1"/>
  <c r="AH21" i="12"/>
  <c r="AL21" i="12" s="1"/>
  <c r="AI41" i="12"/>
  <c r="AI18" i="27" s="1"/>
  <c r="O145" i="9"/>
  <c r="P145" i="9" s="1"/>
  <c r="AD435" i="18"/>
  <c r="AE435" i="18" s="1"/>
  <c r="AF435" i="18" s="1"/>
  <c r="AD427" i="18"/>
  <c r="AE427" i="18" s="1"/>
  <c r="AF427" i="18" s="1"/>
  <c r="O152" i="9"/>
  <c r="P152" i="9" s="1"/>
  <c r="AA32" i="27"/>
  <c r="AM32" i="27" s="1"/>
  <c r="AE6" i="12"/>
  <c r="AA6" i="12"/>
  <c r="AA29" i="12"/>
  <c r="AE29" i="12"/>
  <c r="R6" i="14"/>
  <c r="R6" i="15" s="1"/>
  <c r="R133" i="13"/>
  <c r="AI118" i="12"/>
  <c r="AL118" i="12" s="1"/>
  <c r="AN118" i="12" s="1"/>
  <c r="AH118" i="12"/>
  <c r="AA113" i="12"/>
  <c r="AE113" i="12"/>
  <c r="AI108" i="12"/>
  <c r="AD108" i="12"/>
  <c r="AI73" i="12"/>
  <c r="AI66" i="27" s="1"/>
  <c r="AM73" i="12"/>
  <c r="AA93" i="8"/>
  <c r="AC93" i="8" s="1"/>
  <c r="AF73" i="12"/>
  <c r="AF66" i="27" s="1"/>
  <c r="AI67" i="12"/>
  <c r="AM67" i="12"/>
  <c r="AM122" i="27" s="1"/>
  <c r="AM123" i="27" s="1"/>
  <c r="AF67" i="12"/>
  <c r="AD67" i="12"/>
  <c r="AA94" i="12"/>
  <c r="AM94" i="12" s="1"/>
  <c r="AA88" i="12"/>
  <c r="AE88" i="12"/>
  <c r="AA92" i="12"/>
  <c r="AE92" i="12"/>
  <c r="AL85" i="12"/>
  <c r="AN85" i="12" s="1"/>
  <c r="AA45" i="27"/>
  <c r="AM45" i="27" s="1"/>
  <c r="AM68" i="12"/>
  <c r="AM118" i="27" s="1"/>
  <c r="AE105" i="12"/>
  <c r="AA105" i="12"/>
  <c r="AE65" i="12"/>
  <c r="AA65" i="12"/>
  <c r="AD65" i="12" s="1"/>
  <c r="AA76" i="12"/>
  <c r="AA55" i="27" s="1"/>
  <c r="AM55" i="27" s="1"/>
  <c r="AE76" i="12"/>
  <c r="AA124" i="12"/>
  <c r="AE124" i="12"/>
  <c r="AI68" i="12"/>
  <c r="AL68" i="12" s="1"/>
  <c r="AE72" i="12"/>
  <c r="AA72" i="12"/>
  <c r="AD450" i="18"/>
  <c r="AE450" i="18" s="1"/>
  <c r="AF450" i="18" s="1"/>
  <c r="AC57" i="27"/>
  <c r="AL64" i="27"/>
  <c r="AN64" i="27" s="1"/>
  <c r="AL26" i="27"/>
  <c r="AN26" i="27" s="1"/>
  <c r="S133" i="13"/>
  <c r="AM80" i="12"/>
  <c r="AA10" i="27"/>
  <c r="AM10" i="27" s="1"/>
  <c r="AH80" i="12"/>
  <c r="AI80" i="12"/>
  <c r="AF80" i="12"/>
  <c r="AL22" i="27"/>
  <c r="AN22" i="27" s="1"/>
  <c r="AN33" i="27"/>
  <c r="AL51" i="27"/>
  <c r="AN51" i="27" s="1"/>
  <c r="AL12" i="27"/>
  <c r="AN12" i="27" s="1"/>
  <c r="AL67" i="27"/>
  <c r="AN67" i="27" s="1"/>
  <c r="AL54" i="27"/>
  <c r="AN54" i="27" s="1"/>
  <c r="AL36" i="27"/>
  <c r="AN36" i="27" s="1"/>
  <c r="AL48" i="27"/>
  <c r="AN48" i="27" s="1"/>
  <c r="AL39" i="27"/>
  <c r="AN39" i="27" s="1"/>
  <c r="AA35" i="27"/>
  <c r="AM35" i="27" s="1"/>
  <c r="AI32" i="12"/>
  <c r="O64" i="9"/>
  <c r="P64" i="9" s="1"/>
  <c r="AD32" i="12"/>
  <c r="AL17" i="12"/>
  <c r="AD32" i="27"/>
  <c r="AL32" i="27" s="1"/>
  <c r="AD549" i="18"/>
  <c r="AE549" i="18" s="1"/>
  <c r="AF549" i="18" s="1"/>
  <c r="AD470" i="18"/>
  <c r="AE470" i="18" s="1"/>
  <c r="AF470" i="18" s="1"/>
  <c r="AD598" i="18"/>
  <c r="AE598" i="18" s="1"/>
  <c r="AF598" i="18" s="1"/>
  <c r="AH28" i="27"/>
  <c r="AD514" i="18"/>
  <c r="AE514" i="18" s="1"/>
  <c r="AF514" i="18" s="1"/>
  <c r="AE28" i="27"/>
  <c r="AI58" i="12"/>
  <c r="AH58" i="12"/>
  <c r="AA162" i="8"/>
  <c r="AB162" i="8" s="1"/>
  <c r="AL41" i="12"/>
  <c r="AL99" i="12"/>
  <c r="AD38" i="27"/>
  <c r="AA65" i="27"/>
  <c r="AM65" i="27" s="1"/>
  <c r="AD12" i="12"/>
  <c r="AF100" i="12"/>
  <c r="AF17" i="27" s="1"/>
  <c r="AC7" i="27"/>
  <c r="AC8" i="27"/>
  <c r="AA62" i="12"/>
  <c r="AE62" i="12"/>
  <c r="AM114" i="12"/>
  <c r="AD114" i="12"/>
  <c r="AF114" i="12"/>
  <c r="AI114" i="12"/>
  <c r="AH114" i="12"/>
  <c r="AD29" i="12"/>
  <c r="AM29" i="12"/>
  <c r="AF29" i="12"/>
  <c r="AF27" i="12"/>
  <c r="AD27" i="12"/>
  <c r="AI27" i="12"/>
  <c r="AI100" i="12"/>
  <c r="AH100" i="12"/>
  <c r="AM100" i="12"/>
  <c r="AD48" i="12"/>
  <c r="AA23" i="12"/>
  <c r="AE23" i="12"/>
  <c r="AI29" i="12"/>
  <c r="AA28" i="27"/>
  <c r="AM28" i="27" s="1"/>
  <c r="AA149" i="8"/>
  <c r="AB149" i="8" s="1"/>
  <c r="AI24" i="12"/>
  <c r="AF24" i="12"/>
  <c r="AD24" i="12"/>
  <c r="AE23" i="27"/>
  <c r="AE19" i="27"/>
  <c r="AH29" i="12"/>
  <c r="AD100" i="12"/>
  <c r="AD17" i="27" s="1"/>
  <c r="W6" i="14"/>
  <c r="AC6" i="14"/>
  <c r="AD507" i="18"/>
  <c r="AE507" i="18" s="1"/>
  <c r="AF507" i="18" s="1"/>
  <c r="AE27" i="12"/>
  <c r="AH27" i="12"/>
  <c r="AE15" i="12"/>
  <c r="AA15" i="12"/>
  <c r="AI70" i="12"/>
  <c r="AA52" i="27"/>
  <c r="AM52" i="27" s="1"/>
  <c r="AM70" i="12"/>
  <c r="AF70" i="12"/>
  <c r="AA73" i="8"/>
  <c r="AB73" i="8" s="1"/>
  <c r="O73" i="9"/>
  <c r="P73" i="9" s="1"/>
  <c r="AA128" i="12"/>
  <c r="AE128" i="12"/>
  <c r="AE34" i="27" s="1"/>
  <c r="AI102" i="12"/>
  <c r="AD102" i="12"/>
  <c r="AM102" i="12"/>
  <c r="AD518" i="18"/>
  <c r="AE518" i="18" s="1"/>
  <c r="AF518" i="18" s="1"/>
  <c r="Q128" i="9"/>
  <c r="R128" i="9" s="1"/>
  <c r="Q62" i="9"/>
  <c r="R62" i="9" s="1"/>
  <c r="Q94" i="9"/>
  <c r="R94" i="9" s="1"/>
  <c r="Q138" i="9"/>
  <c r="R138" i="9" s="1"/>
  <c r="Q126" i="9"/>
  <c r="R126" i="9" s="1"/>
  <c r="Q116" i="9"/>
  <c r="R116" i="9" s="1"/>
  <c r="W6" i="13"/>
  <c r="W133" i="13" s="1"/>
  <c r="X6" i="13"/>
  <c r="P133" i="13"/>
  <c r="AA33" i="12"/>
  <c r="AE33" i="12"/>
  <c r="AI83" i="12"/>
  <c r="AM83" i="12"/>
  <c r="AH83" i="12"/>
  <c r="X130" i="13"/>
  <c r="P130" i="14"/>
  <c r="AD619" i="18"/>
  <c r="AE619" i="18" s="1"/>
  <c r="AF619" i="18" s="1"/>
  <c r="AI106" i="12"/>
  <c r="AD106" i="12"/>
  <c r="AA63" i="12"/>
  <c r="AE63" i="12"/>
  <c r="AH46" i="12"/>
  <c r="AI46" i="12"/>
  <c r="AF46" i="12"/>
  <c r="AA44" i="12"/>
  <c r="AE44" i="12"/>
  <c r="AM59" i="12"/>
  <c r="AI59" i="12"/>
  <c r="AH129" i="12"/>
  <c r="AI129" i="12"/>
  <c r="AF129" i="12"/>
  <c r="AA16" i="12"/>
  <c r="AE16" i="12"/>
  <c r="Q118" i="9"/>
  <c r="R118" i="9" s="1"/>
  <c r="Q120" i="9"/>
  <c r="R120" i="9" s="1"/>
  <c r="Q117" i="9"/>
  <c r="R117" i="9" s="1"/>
  <c r="Q153" i="9"/>
  <c r="R153" i="9" s="1"/>
  <c r="Q131" i="9"/>
  <c r="R131" i="9" s="1"/>
  <c r="Q100" i="9"/>
  <c r="R100" i="9" s="1"/>
  <c r="Q135" i="9"/>
  <c r="R135" i="9" s="1"/>
  <c r="Q99" i="9"/>
  <c r="R99" i="9" s="1"/>
  <c r="Q146" i="9"/>
  <c r="R146" i="9" s="1"/>
  <c r="Q125" i="9"/>
  <c r="R125" i="9" s="1"/>
  <c r="Q102" i="9"/>
  <c r="R102" i="9" s="1"/>
  <c r="Q86" i="9"/>
  <c r="R86" i="9" s="1"/>
  <c r="Q71" i="9"/>
  <c r="R71" i="9" s="1"/>
  <c r="Q105" i="9"/>
  <c r="R105" i="9" s="1"/>
  <c r="Q69" i="9"/>
  <c r="R69" i="9" s="1"/>
  <c r="Q68" i="9"/>
  <c r="R68" i="9" s="1"/>
  <c r="Q59" i="9"/>
  <c r="R59" i="9" s="1"/>
  <c r="B6" i="14"/>
  <c r="Q92" i="9"/>
  <c r="R92" i="9" s="1"/>
  <c r="Q70" i="9"/>
  <c r="R70" i="9" s="1"/>
  <c r="Q81" i="9"/>
  <c r="R81" i="9" s="1"/>
  <c r="Q123" i="9"/>
  <c r="R123" i="9" s="1"/>
  <c r="Q96" i="9"/>
  <c r="R96" i="9" s="1"/>
  <c r="Q130" i="9"/>
  <c r="R130" i="9" s="1"/>
  <c r="Q95" i="9"/>
  <c r="R95" i="9" s="1"/>
  <c r="Q142" i="9"/>
  <c r="R142" i="9" s="1"/>
  <c r="Q121" i="9"/>
  <c r="R121" i="9" s="1"/>
  <c r="Q98" i="9"/>
  <c r="R98" i="9" s="1"/>
  <c r="Q137" i="9"/>
  <c r="R137" i="9" s="1"/>
  <c r="Q66" i="9"/>
  <c r="R66" i="9" s="1"/>
  <c r="Q84" i="9"/>
  <c r="R84" i="9" s="1"/>
  <c r="Q57" i="9"/>
  <c r="R57" i="9" s="1"/>
  <c r="Q60" i="9"/>
  <c r="R60" i="9" s="1"/>
  <c r="AL41" i="27"/>
  <c r="AN41" i="27" s="1"/>
  <c r="AD658" i="18"/>
  <c r="AE658" i="18" s="1"/>
  <c r="AF658" i="18" s="1"/>
  <c r="AI63" i="27"/>
  <c r="AF72" i="12"/>
  <c r="AF53" i="27" s="1"/>
  <c r="AA53" i="27"/>
  <c r="AM53" i="27" s="1"/>
  <c r="AI72" i="12"/>
  <c r="AI53" i="27" s="1"/>
  <c r="AM72" i="12"/>
  <c r="AD72" i="12"/>
  <c r="AH72" i="12"/>
  <c r="AI65" i="12"/>
  <c r="AM65" i="12"/>
  <c r="AI20" i="12"/>
  <c r="AM20" i="12"/>
  <c r="AD20" i="12"/>
  <c r="AF20" i="12"/>
  <c r="AH20" i="12"/>
  <c r="AM81" i="12"/>
  <c r="AI81" i="12"/>
  <c r="AF81" i="12"/>
  <c r="AL81" i="12" s="1"/>
  <c r="AA76" i="8"/>
  <c r="AB76" i="8" s="1"/>
  <c r="O76" i="9"/>
  <c r="P76" i="9" s="1"/>
  <c r="AA61" i="12"/>
  <c r="AE61" i="12"/>
  <c r="AA74" i="12"/>
  <c r="AE74" i="12"/>
  <c r="AA71" i="12"/>
  <c r="AE71" i="12"/>
  <c r="AE43" i="12"/>
  <c r="AA43" i="12"/>
  <c r="AE82" i="12"/>
  <c r="AA82" i="12"/>
  <c r="AD56" i="12"/>
  <c r="AM56" i="12"/>
  <c r="AI56" i="12"/>
  <c r="AC70" i="8"/>
  <c r="AB70" i="8"/>
  <c r="AD77" i="12"/>
  <c r="AM77" i="12"/>
  <c r="AM137" i="27" s="1"/>
  <c r="AA63" i="27"/>
  <c r="AM63" i="27" s="1"/>
  <c r="AF65" i="12"/>
  <c r="AL65" i="12" s="1"/>
  <c r="AN65" i="12" s="1"/>
  <c r="AE121" i="12"/>
  <c r="AA121" i="12"/>
  <c r="AE102" i="12"/>
  <c r="AE53" i="12"/>
  <c r="AA53" i="12"/>
  <c r="AH121" i="13"/>
  <c r="AF121" i="13"/>
  <c r="AM121" i="13"/>
  <c r="AD125" i="15"/>
  <c r="AI125" i="15"/>
  <c r="AM125" i="15"/>
  <c r="AA123" i="12"/>
  <c r="AE123" i="12"/>
  <c r="AI125" i="12"/>
  <c r="AF125" i="12"/>
  <c r="AI127" i="12"/>
  <c r="AF127" i="12"/>
  <c r="AM110" i="12"/>
  <c r="AF110" i="12"/>
  <c r="AD110" i="12"/>
  <c r="V125" i="14"/>
  <c r="U125" i="15"/>
  <c r="U125" i="19" s="1"/>
  <c r="V125" i="19" s="1"/>
  <c r="AM69" i="12"/>
  <c r="AI69" i="12"/>
  <c r="AD88" i="12"/>
  <c r="AM88" i="12"/>
  <c r="AI88" i="12"/>
  <c r="AF88" i="12"/>
  <c r="AI91" i="12"/>
  <c r="AM91" i="12"/>
  <c r="AA101" i="12"/>
  <c r="AF51" i="12"/>
  <c r="AM51" i="12"/>
  <c r="AM119" i="27" s="1"/>
  <c r="O144" i="9"/>
  <c r="P144" i="9" s="1"/>
  <c r="AA44" i="27"/>
  <c r="AM44" i="27" s="1"/>
  <c r="AD125" i="12"/>
  <c r="AL125" i="12" s="1"/>
  <c r="AN125" i="12" s="1"/>
  <c r="AH110" i="12"/>
  <c r="AD69" i="12"/>
  <c r="AF75" i="12"/>
  <c r="AF91" i="12"/>
  <c r="AI10" i="27"/>
  <c r="AM79" i="12"/>
  <c r="AF79" i="12"/>
  <c r="AM90" i="12"/>
  <c r="AD90" i="12"/>
  <c r="AC37" i="27"/>
  <c r="AD439" i="18"/>
  <c r="AE439" i="18" s="1"/>
  <c r="AF439" i="18" s="1"/>
  <c r="AM125" i="12"/>
  <c r="AE78" i="12"/>
  <c r="AA78" i="12"/>
  <c r="AA95" i="12"/>
  <c r="AE95" i="12"/>
  <c r="AM96" i="12"/>
  <c r="AD96" i="12"/>
  <c r="AL96" i="12" s="1"/>
  <c r="AM111" i="12"/>
  <c r="AF111" i="12"/>
  <c r="AL111" i="12" s="1"/>
  <c r="AH67" i="12"/>
  <c r="AE66" i="12"/>
  <c r="AF66" i="12"/>
  <c r="AM66" i="12"/>
  <c r="AM77" i="27" s="1"/>
  <c r="AI86" i="12"/>
  <c r="AI89" i="12"/>
  <c r="AD89" i="12"/>
  <c r="AI55" i="12"/>
  <c r="AH55" i="12"/>
  <c r="AC79" i="8"/>
  <c r="AA126" i="12"/>
  <c r="AE126" i="12"/>
  <c r="AF126" i="14"/>
  <c r="AH126" i="14"/>
  <c r="R40" i="26"/>
  <c r="AE87" i="14"/>
  <c r="AE125" i="16"/>
  <c r="AA125" i="16"/>
  <c r="AD125" i="16" s="1"/>
  <c r="AA50" i="14"/>
  <c r="AF50" i="14" s="1"/>
  <c r="AE127" i="14"/>
  <c r="U103" i="16"/>
  <c r="C107" i="19"/>
  <c r="C107" i="16"/>
  <c r="F107" i="19"/>
  <c r="F107" i="16"/>
  <c r="F107" i="26"/>
  <c r="P27" i="16"/>
  <c r="T28" i="15"/>
  <c r="R28" i="16"/>
  <c r="R28" i="19" s="1"/>
  <c r="F37" i="16"/>
  <c r="F37" i="19" s="1"/>
  <c r="F37" i="26" s="1"/>
  <c r="AC49" i="16"/>
  <c r="U49" i="16"/>
  <c r="V49" i="15"/>
  <c r="W49" i="15" s="1"/>
  <c r="X49" i="15" s="1"/>
  <c r="AA49" i="15" s="1"/>
  <c r="AA121" i="14"/>
  <c r="AH121" i="14" s="1"/>
  <c r="AE121" i="14"/>
  <c r="AD72" i="14"/>
  <c r="AI72" i="14"/>
  <c r="AA13" i="14"/>
  <c r="AE13" i="14"/>
  <c r="X26" i="15"/>
  <c r="AE26" i="15" s="1"/>
  <c r="R12" i="16"/>
  <c r="R12" i="19" s="1"/>
  <c r="T12" i="15"/>
  <c r="R7" i="16"/>
  <c r="R7" i="19" s="1"/>
  <c r="R7" i="26" s="1"/>
  <c r="W10" i="15"/>
  <c r="AC10" i="15"/>
  <c r="S59" i="16"/>
  <c r="S59" i="19" s="1"/>
  <c r="U20" i="19"/>
  <c r="V20" i="16"/>
  <c r="I107" i="26"/>
  <c r="U97" i="19"/>
  <c r="V97" i="19" s="1"/>
  <c r="V97" i="16"/>
  <c r="AA111" i="14"/>
  <c r="AM111" i="14" s="1"/>
  <c r="AE111" i="14"/>
  <c r="AM117" i="14"/>
  <c r="AI117" i="14"/>
  <c r="AA118" i="14"/>
  <c r="AE118" i="14"/>
  <c r="AA122" i="14"/>
  <c r="AE122" i="14"/>
  <c r="U101" i="16"/>
  <c r="V101" i="15"/>
  <c r="AH37" i="14"/>
  <c r="AD127" i="14"/>
  <c r="AF127" i="14"/>
  <c r="AI127" i="14"/>
  <c r="V73" i="19"/>
  <c r="A6" i="16"/>
  <c r="AE37" i="14"/>
  <c r="S44" i="16"/>
  <c r="T44" i="16" s="1"/>
  <c r="A109" i="16"/>
  <c r="A109" i="19"/>
  <c r="A109" i="26"/>
  <c r="I119" i="26"/>
  <c r="I119" i="16"/>
  <c r="I119" i="19"/>
  <c r="P49" i="19"/>
  <c r="AC65" i="15"/>
  <c r="V51" i="16"/>
  <c r="V57" i="16"/>
  <c r="W57" i="16" s="1"/>
  <c r="X57" i="16" s="1"/>
  <c r="AA57" i="16" s="1"/>
  <c r="AM57" i="16" s="1"/>
  <c r="V73" i="16"/>
  <c r="X73" i="16" s="1"/>
  <c r="AE73" i="16" s="1"/>
  <c r="AM110" i="14"/>
  <c r="AC40" i="16"/>
  <c r="AD128" i="14"/>
  <c r="AC53" i="15"/>
  <c r="AC44" i="15"/>
  <c r="U93" i="16"/>
  <c r="AC75" i="15"/>
  <c r="T20" i="15"/>
  <c r="AH127" i="14"/>
  <c r="AC26" i="15"/>
  <c r="AA99" i="14"/>
  <c r="AI99" i="14" s="1"/>
  <c r="W37" i="15"/>
  <c r="C107" i="26"/>
  <c r="A110" i="26"/>
  <c r="A110" i="19"/>
  <c r="S110" i="19"/>
  <c r="S110" i="16"/>
  <c r="AA119" i="14"/>
  <c r="AI119" i="14" s="1"/>
  <c r="AE119" i="14"/>
  <c r="AE123" i="14"/>
  <c r="A110" i="16"/>
  <c r="AE67" i="15"/>
  <c r="V90" i="16"/>
  <c r="U90" i="19"/>
  <c r="U94" i="19"/>
  <c r="V94" i="16"/>
  <c r="V15" i="16"/>
  <c r="U15" i="19"/>
  <c r="V84" i="16"/>
  <c r="U84" i="19"/>
  <c r="V65" i="16"/>
  <c r="X65" i="16" s="1"/>
  <c r="U65" i="19"/>
  <c r="U65" i="26" s="1"/>
  <c r="V65" i="26" s="1"/>
  <c r="V28" i="16"/>
  <c r="U28" i="19"/>
  <c r="U28" i="26" s="1"/>
  <c r="V28" i="26" s="1"/>
  <c r="AF100" i="16"/>
  <c r="T20" i="16"/>
  <c r="R20" i="19"/>
  <c r="R103" i="16"/>
  <c r="T103" i="15"/>
  <c r="B107" i="16"/>
  <c r="B107" i="19"/>
  <c r="G107" i="26"/>
  <c r="G107" i="19"/>
  <c r="G107" i="16"/>
  <c r="R35" i="16"/>
  <c r="T35" i="15"/>
  <c r="T36" i="15"/>
  <c r="AC41" i="15"/>
  <c r="W41" i="15"/>
  <c r="P41" i="16"/>
  <c r="AA105" i="16"/>
  <c r="AC36" i="16"/>
  <c r="AC52" i="15"/>
  <c r="AI110" i="14"/>
  <c r="AM6" i="14"/>
  <c r="AF110" i="14"/>
  <c r="O130" i="16"/>
  <c r="L130" i="16"/>
  <c r="S6" i="19"/>
  <c r="S6" i="26" s="1"/>
  <c r="A130" i="16"/>
  <c r="A130" i="26"/>
  <c r="V91" i="19"/>
  <c r="U91" i="26"/>
  <c r="V91" i="26" s="1"/>
  <c r="V58" i="16"/>
  <c r="U58" i="19"/>
  <c r="U58" i="26" s="1"/>
  <c r="V58" i="26" s="1"/>
  <c r="R17" i="26"/>
  <c r="T22" i="16"/>
  <c r="R22" i="19"/>
  <c r="R22" i="26" s="1"/>
  <c r="T22" i="26" s="1"/>
  <c r="AE100" i="16"/>
  <c r="T58" i="16"/>
  <c r="S58" i="19"/>
  <c r="P52" i="16"/>
  <c r="F48" i="19"/>
  <c r="F48" i="26" s="1"/>
  <c r="W73" i="16"/>
  <c r="P73" i="19"/>
  <c r="X100" i="15"/>
  <c r="AA100" i="15" s="1"/>
  <c r="AF100" i="15" s="1"/>
  <c r="W65" i="16"/>
  <c r="P65" i="19"/>
  <c r="P65" i="26" s="1"/>
  <c r="P61" i="16"/>
  <c r="W61" i="15"/>
  <c r="R61" i="16"/>
  <c r="C110" i="16"/>
  <c r="C110" i="26"/>
  <c r="I110" i="16"/>
  <c r="I110" i="26"/>
  <c r="I110" i="19"/>
  <c r="A125" i="19"/>
  <c r="A125" i="16"/>
  <c r="A121" i="26"/>
  <c r="A121" i="16"/>
  <c r="C121" i="19"/>
  <c r="C121" i="26"/>
  <c r="C121" i="16"/>
  <c r="F121" i="26"/>
  <c r="F121" i="19"/>
  <c r="AI121" i="19" s="1"/>
  <c r="F121" i="16"/>
  <c r="I121" i="26"/>
  <c r="I121" i="19"/>
  <c r="K121" i="26"/>
  <c r="K121" i="19"/>
  <c r="K121" i="16"/>
  <c r="AA129" i="14"/>
  <c r="AM129" i="14" s="1"/>
  <c r="AE129" i="14"/>
  <c r="T36" i="16"/>
  <c r="S36" i="19"/>
  <c r="S36" i="26" s="1"/>
  <c r="T36" i="26" s="1"/>
  <c r="AA116" i="14"/>
  <c r="AM116" i="14" s="1"/>
  <c r="O130" i="26"/>
  <c r="I130" i="19"/>
  <c r="F130" i="19"/>
  <c r="F130" i="16"/>
  <c r="F130" i="26"/>
  <c r="U67" i="16"/>
  <c r="U95" i="16"/>
  <c r="V27" i="16"/>
  <c r="U27" i="19"/>
  <c r="V57" i="19"/>
  <c r="W57" i="19" s="1"/>
  <c r="X57" i="19" s="1"/>
  <c r="AE57" i="19" s="1"/>
  <c r="U57" i="26"/>
  <c r="V57" i="26" s="1"/>
  <c r="V78" i="16"/>
  <c r="U78" i="19"/>
  <c r="V62" i="16"/>
  <c r="U62" i="19"/>
  <c r="U107" i="26"/>
  <c r="V107" i="26" s="1"/>
  <c r="X107" i="26" s="1"/>
  <c r="AA107" i="26" s="1"/>
  <c r="U107" i="19"/>
  <c r="V107" i="19" s="1"/>
  <c r="X107" i="19" s="1"/>
  <c r="AA107" i="19" s="1"/>
  <c r="AF107" i="19" s="1"/>
  <c r="AA125" i="26"/>
  <c r="AD125" i="26" s="1"/>
  <c r="AE125" i="26"/>
  <c r="E72" i="19"/>
  <c r="E71" i="19"/>
  <c r="R41" i="16"/>
  <c r="R29" i="26"/>
  <c r="S71" i="19"/>
  <c r="S72" i="19"/>
  <c r="T85" i="16"/>
  <c r="R85" i="19"/>
  <c r="V76" i="16"/>
  <c r="U76" i="19"/>
  <c r="W10" i="19"/>
  <c r="P10" i="26"/>
  <c r="W23" i="15"/>
  <c r="P23" i="16"/>
  <c r="J107" i="16"/>
  <c r="J107" i="26"/>
  <c r="AC33" i="19"/>
  <c r="AC10" i="16"/>
  <c r="AC36" i="15"/>
  <c r="AC33" i="15"/>
  <c r="AE6" i="14"/>
  <c r="AL128" i="14"/>
  <c r="AN128" i="14" s="1"/>
  <c r="AC51" i="15"/>
  <c r="V51" i="19"/>
  <c r="U51" i="26"/>
  <c r="V51" i="26" s="1"/>
  <c r="V43" i="16"/>
  <c r="V59" i="16"/>
  <c r="U59" i="19"/>
  <c r="R39" i="19"/>
  <c r="V34" i="19"/>
  <c r="U34" i="26"/>
  <c r="V34" i="26" s="1"/>
  <c r="AA121" i="16"/>
  <c r="AF121" i="16" s="1"/>
  <c r="AA121" i="26"/>
  <c r="AH121" i="26" s="1"/>
  <c r="AE121" i="26"/>
  <c r="AA83" i="14"/>
  <c r="AE83" i="14"/>
  <c r="B107" i="26"/>
  <c r="W19" i="16"/>
  <c r="P19" i="19"/>
  <c r="P19" i="26" s="1"/>
  <c r="AC14" i="19"/>
  <c r="P14" i="26"/>
  <c r="O72" i="16"/>
  <c r="T73" i="15"/>
  <c r="K109" i="26"/>
  <c r="K109" i="16"/>
  <c r="K109" i="19"/>
  <c r="AD113" i="14"/>
  <c r="AH113" i="14"/>
  <c r="AM113" i="14"/>
  <c r="F71" i="19"/>
  <c r="F72" i="19"/>
  <c r="W86" i="16"/>
  <c r="P86" i="19"/>
  <c r="AC86" i="19" s="1"/>
  <c r="AC57" i="19"/>
  <c r="P57" i="26"/>
  <c r="AC57" i="26" s="1"/>
  <c r="B71" i="19"/>
  <c r="B72" i="19"/>
  <c r="AE35" i="14"/>
  <c r="AF72" i="14"/>
  <c r="AE72" i="14"/>
  <c r="AF125" i="14"/>
  <c r="AE125" i="14"/>
  <c r="AE125" i="15"/>
  <c r="AH125" i="15"/>
  <c r="T58" i="15"/>
  <c r="T101" i="16"/>
  <c r="R101" i="19"/>
  <c r="S49" i="26"/>
  <c r="AC67" i="19"/>
  <c r="P67" i="26"/>
  <c r="AC67" i="26" s="1"/>
  <c r="S33" i="19"/>
  <c r="S33" i="26" s="1"/>
  <c r="W50" i="16"/>
  <c r="P50" i="19"/>
  <c r="W37" i="16"/>
  <c r="P37" i="19"/>
  <c r="R44" i="26"/>
  <c r="AI125" i="14"/>
  <c r="AM72" i="14"/>
  <c r="AM125" i="14"/>
  <c r="AE96" i="14"/>
  <c r="AE80" i="15"/>
  <c r="T55" i="19"/>
  <c r="T87" i="16"/>
  <c r="R87" i="19"/>
  <c r="T26" i="16"/>
  <c r="T60" i="16"/>
  <c r="R60" i="19"/>
  <c r="AC44" i="19"/>
  <c r="AC30" i="19"/>
  <c r="M131" i="19"/>
  <c r="AC36" i="19"/>
  <c r="AC40" i="19"/>
  <c r="AC44" i="26"/>
  <c r="Q307" i="9"/>
  <c r="Z18" i="18"/>
  <c r="R18" i="18"/>
  <c r="J319" i="18"/>
  <c r="Q362" i="9"/>
  <c r="Y41" i="8"/>
  <c r="Y50" i="8"/>
  <c r="AC281" i="18"/>
  <c r="AE281" i="18" s="1"/>
  <c r="AF281" i="18" s="1"/>
  <c r="AD52" i="18"/>
  <c r="AD414" i="18"/>
  <c r="W18" i="18"/>
  <c r="P293" i="9"/>
  <c r="O414" i="18"/>
  <c r="X283" i="18"/>
  <c r="AC152" i="8"/>
  <c r="AC24" i="8"/>
  <c r="AC59" i="8"/>
  <c r="Q380" i="9"/>
  <c r="AC42" i="8"/>
  <c r="Q322" i="9"/>
  <c r="AD38" i="18"/>
  <c r="P359" i="9"/>
  <c r="Q297" i="9"/>
  <c r="U53" i="8"/>
  <c r="Q356" i="9"/>
  <c r="J362" i="18"/>
  <c r="AC198" i="18"/>
  <c r="AE198" i="18" s="1"/>
  <c r="AF198" i="18" s="1"/>
  <c r="P246" i="9"/>
  <c r="L15" i="22"/>
  <c r="Y28" i="8"/>
  <c r="Y46" i="8"/>
  <c r="AC20" i="8"/>
  <c r="AC113" i="8"/>
  <c r="AB93" i="8"/>
  <c r="AC158" i="8"/>
  <c r="Q272" i="9"/>
  <c r="AC10" i="18"/>
  <c r="AE10" i="18" s="1"/>
  <c r="AF10" i="18" s="1"/>
  <c r="O13" i="22"/>
  <c r="Q277" i="9"/>
  <c r="J160" i="8"/>
  <c r="J172" i="8" s="1"/>
  <c r="V414" i="18"/>
  <c r="R122" i="18"/>
  <c r="AC120" i="8"/>
  <c r="AC82" i="8"/>
  <c r="Q378" i="9"/>
  <c r="AC141" i="8"/>
  <c r="O14" i="22"/>
  <c r="AC77" i="8"/>
  <c r="AB116" i="8"/>
  <c r="AC112" i="8"/>
  <c r="AC94" i="8"/>
  <c r="AB81" i="8"/>
  <c r="Q376" i="9"/>
  <c r="Q216" i="9"/>
  <c r="Q309" i="9"/>
  <c r="Q341" i="9"/>
  <c r="Q328" i="9"/>
  <c r="AC136" i="8"/>
  <c r="AC88" i="8"/>
  <c r="R53" i="8"/>
  <c r="O18" i="18"/>
  <c r="X18" i="18"/>
  <c r="T18" i="18"/>
  <c r="Q334" i="9"/>
  <c r="Q361" i="9"/>
  <c r="O10" i="22"/>
  <c r="AC32" i="8"/>
  <c r="Q385" i="9"/>
  <c r="X18" i="8"/>
  <c r="Y18" i="8" s="1"/>
  <c r="P245" i="9"/>
  <c r="P311" i="9"/>
  <c r="N160" i="8"/>
  <c r="N172" i="8" s="1"/>
  <c r="N415" i="8" s="1"/>
  <c r="Q398" i="9"/>
  <c r="Q389" i="9"/>
  <c r="Q299" i="9"/>
  <c r="J360" i="18"/>
  <c r="Z160" i="8"/>
  <c r="Z172" i="8" s="1"/>
  <c r="Q221" i="9"/>
  <c r="Q292" i="9"/>
  <c r="R292" i="9" s="1"/>
  <c r="O11" i="22"/>
  <c r="AA122" i="18"/>
  <c r="AC270" i="18"/>
  <c r="AE270" i="18" s="1"/>
  <c r="AF270" i="18" s="1"/>
  <c r="P211" i="9"/>
  <c r="P254" i="9"/>
  <c r="Q324" i="9"/>
  <c r="Y122" i="18"/>
  <c r="Y143" i="8"/>
  <c r="AC143" i="8"/>
  <c r="S283" i="18"/>
  <c r="AC80" i="8"/>
  <c r="Y80" i="8"/>
  <c r="X52" i="18"/>
  <c r="P52" i="18"/>
  <c r="AC117" i="18"/>
  <c r="AE117" i="18" s="1"/>
  <c r="AF117" i="18" s="1"/>
  <c r="AC150" i="18"/>
  <c r="Y17" i="8"/>
  <c r="AC17" i="8"/>
  <c r="Y156" i="8"/>
  <c r="AC156" i="8"/>
  <c r="AC25" i="18"/>
  <c r="AE25" i="18" s="1"/>
  <c r="AF25" i="18" s="1"/>
  <c r="Y52" i="18"/>
  <c r="Q52" i="18"/>
  <c r="Y119" i="8"/>
  <c r="Y49" i="8"/>
  <c r="AC110" i="8"/>
  <c r="AB78" i="8"/>
  <c r="AC114" i="8"/>
  <c r="AC117" i="8"/>
  <c r="V172" i="8"/>
  <c r="V415" i="8" s="1"/>
  <c r="V416" i="8" s="1"/>
  <c r="V429" i="8" s="1"/>
  <c r="V438" i="8" s="1"/>
  <c r="S53" i="8"/>
  <c r="Y18" i="18"/>
  <c r="U18" i="18"/>
  <c r="Q18" i="18"/>
  <c r="J353" i="18"/>
  <c r="AC15" i="18"/>
  <c r="AE15" i="18" s="1"/>
  <c r="AF15" i="18" s="1"/>
  <c r="S18" i="18"/>
  <c r="AA18" i="18"/>
  <c r="AC17" i="18"/>
  <c r="AE17" i="18" s="1"/>
  <c r="AF17" i="18" s="1"/>
  <c r="P122" i="18"/>
  <c r="J211" i="18"/>
  <c r="J182" i="18"/>
  <c r="Q257" i="9"/>
  <c r="P257" i="9"/>
  <c r="AC40" i="8"/>
  <c r="Y10" i="8"/>
  <c r="Y22" i="8"/>
  <c r="AC102" i="8"/>
  <c r="AB126" i="8"/>
  <c r="AC126" i="8"/>
  <c r="AC125" i="8"/>
  <c r="K18" i="10"/>
  <c r="P38" i="18"/>
  <c r="AC19" i="18"/>
  <c r="AE19" i="18" s="1"/>
  <c r="AF19" i="18" s="1"/>
  <c r="X38" i="18"/>
  <c r="AC20" i="18"/>
  <c r="AE20" i="18" s="1"/>
  <c r="AF20" i="18" s="1"/>
  <c r="S38" i="18"/>
  <c r="W38" i="18"/>
  <c r="AA38" i="18"/>
  <c r="AC23" i="18"/>
  <c r="AE23" i="18" s="1"/>
  <c r="AF23" i="18" s="1"/>
  <c r="AC35" i="18"/>
  <c r="AE35" i="18" s="1"/>
  <c r="AF35" i="18" s="1"/>
  <c r="O52" i="18"/>
  <c r="S52" i="18"/>
  <c r="AC72" i="18"/>
  <c r="AE72" i="18" s="1"/>
  <c r="AF72" i="18" s="1"/>
  <c r="AC102" i="18"/>
  <c r="AE102" i="18" s="1"/>
  <c r="AF102" i="18" s="1"/>
  <c r="Z159" i="18"/>
  <c r="AC137" i="18"/>
  <c r="AE137" i="18" s="1"/>
  <c r="AF137" i="18" s="1"/>
  <c r="Z171" i="18"/>
  <c r="W283" i="18"/>
  <c r="AC202" i="18"/>
  <c r="AE202" i="18" s="1"/>
  <c r="AF202" i="18" s="1"/>
  <c r="AC205" i="18"/>
  <c r="AE205" i="18" s="1"/>
  <c r="AF205" i="18" s="1"/>
  <c r="AC223" i="18"/>
  <c r="AE223" i="18" s="1"/>
  <c r="AF223" i="18" s="1"/>
  <c r="AC254" i="18"/>
  <c r="AE254" i="18" s="1"/>
  <c r="AF254" i="18" s="1"/>
  <c r="AC272" i="18"/>
  <c r="AE272" i="18" s="1"/>
  <c r="AF272" i="18" s="1"/>
  <c r="AC285" i="18"/>
  <c r="AE285" i="18" s="1"/>
  <c r="AF285" i="18" s="1"/>
  <c r="W369" i="18"/>
  <c r="AC308" i="18"/>
  <c r="AE308" i="18" s="1"/>
  <c r="AF308" i="18" s="1"/>
  <c r="AC309" i="18"/>
  <c r="AE309" i="18" s="1"/>
  <c r="AF309" i="18" s="1"/>
  <c r="AC346" i="18"/>
  <c r="AE346" i="18" s="1"/>
  <c r="AF346" i="18" s="1"/>
  <c r="AC364" i="18"/>
  <c r="AE364" i="18" s="1"/>
  <c r="AF364" i="18" s="1"/>
  <c r="Q374" i="18"/>
  <c r="U374" i="18"/>
  <c r="Y374" i="18"/>
  <c r="AC376" i="18"/>
  <c r="AE376" i="18" s="1"/>
  <c r="AF376" i="18" s="1"/>
  <c r="AD171" i="18"/>
  <c r="Q191" i="9"/>
  <c r="P191" i="9"/>
  <c r="P199" i="9"/>
  <c r="Q199" i="9"/>
  <c r="R199" i="9" s="1"/>
  <c r="P226" i="9"/>
  <c r="Q226" i="9"/>
  <c r="P230" i="9"/>
  <c r="Q230" i="9"/>
  <c r="S203" i="9"/>
  <c r="T203" i="9" s="1"/>
  <c r="U203" i="9" s="1"/>
  <c r="V203" i="9" s="1"/>
  <c r="W203" i="9" s="1"/>
  <c r="P203" i="9"/>
  <c r="Q283" i="18"/>
  <c r="P283" i="18"/>
  <c r="AC401" i="18"/>
  <c r="AE401" i="18" s="1"/>
  <c r="AF401" i="18" s="1"/>
  <c r="AC170" i="18"/>
  <c r="AE170" i="18" s="1"/>
  <c r="AF170" i="18" s="1"/>
  <c r="AC169" i="18"/>
  <c r="AE169" i="18" s="1"/>
  <c r="AF169" i="18" s="1"/>
  <c r="AC167" i="18"/>
  <c r="AE167" i="18" s="1"/>
  <c r="AF167" i="18" s="1"/>
  <c r="AC166" i="18"/>
  <c r="AE166" i="18" s="1"/>
  <c r="AF166" i="18" s="1"/>
  <c r="AC165" i="18"/>
  <c r="AE165" i="18" s="1"/>
  <c r="AF165" i="18" s="1"/>
  <c r="AC163" i="18"/>
  <c r="AE163" i="18" s="1"/>
  <c r="AF163" i="18" s="1"/>
  <c r="AC380" i="18"/>
  <c r="AE380" i="18" s="1"/>
  <c r="AF380" i="18" s="1"/>
  <c r="AC382" i="18"/>
  <c r="AE382" i="18" s="1"/>
  <c r="AF382" i="18" s="1"/>
  <c r="S414" i="18"/>
  <c r="AC384" i="18"/>
  <c r="AE384" i="18" s="1"/>
  <c r="AF384" i="18" s="1"/>
  <c r="AC385" i="18"/>
  <c r="AE385" i="18" s="1"/>
  <c r="AF385" i="18" s="1"/>
  <c r="AC386" i="18"/>
  <c r="AE386" i="18" s="1"/>
  <c r="AF386" i="18" s="1"/>
  <c r="AC387" i="18"/>
  <c r="AE387" i="18" s="1"/>
  <c r="AF387" i="18" s="1"/>
  <c r="AC389" i="18"/>
  <c r="AE389" i="18" s="1"/>
  <c r="AF389" i="18" s="1"/>
  <c r="AC393" i="18"/>
  <c r="AE393" i="18" s="1"/>
  <c r="AF393" i="18" s="1"/>
  <c r="AC396" i="18"/>
  <c r="AE396" i="18" s="1"/>
  <c r="AF396" i="18" s="1"/>
  <c r="AC403" i="18"/>
  <c r="AE403" i="18" s="1"/>
  <c r="AF403" i="18" s="1"/>
  <c r="AC405" i="18"/>
  <c r="AE405" i="18" s="1"/>
  <c r="AF405" i="18" s="1"/>
  <c r="AC407" i="18"/>
  <c r="AE407" i="18" s="1"/>
  <c r="AF407" i="18" s="1"/>
  <c r="AC98" i="8"/>
  <c r="AC134" i="8"/>
  <c r="AB414" i="8"/>
  <c r="AC60" i="8"/>
  <c r="K53" i="8"/>
  <c r="Q53" i="8"/>
  <c r="P53" i="8"/>
  <c r="Z53" i="8"/>
  <c r="J217" i="18"/>
  <c r="J286" i="18"/>
  <c r="J292" i="18"/>
  <c r="J382" i="18"/>
  <c r="J314" i="18"/>
  <c r="J315" i="18"/>
  <c r="J312" i="18"/>
  <c r="J356" i="18"/>
  <c r="S160" i="8"/>
  <c r="S172" i="8" s="1"/>
  <c r="S415" i="8" s="1"/>
  <c r="O160" i="8"/>
  <c r="O172" i="8" s="1"/>
  <c r="O415" i="8" s="1"/>
  <c r="O416" i="8" s="1"/>
  <c r="O429" i="8" s="1"/>
  <c r="O438" i="8" s="1"/>
  <c r="Q312" i="9"/>
  <c r="X122" i="8"/>
  <c r="Y122" i="8" s="1"/>
  <c r="AC96" i="8"/>
  <c r="O38" i="18"/>
  <c r="Z38" i="18"/>
  <c r="Q38" i="18"/>
  <c r="AC22" i="18"/>
  <c r="AE22" i="18" s="1"/>
  <c r="AF22" i="18" s="1"/>
  <c r="T38" i="18"/>
  <c r="AC30" i="18"/>
  <c r="AE30" i="18" s="1"/>
  <c r="AF30" i="18" s="1"/>
  <c r="AC34" i="18"/>
  <c r="AE34" i="18" s="1"/>
  <c r="AF34" i="18" s="1"/>
  <c r="AC40" i="18"/>
  <c r="AE40" i="18" s="1"/>
  <c r="AF40" i="18" s="1"/>
  <c r="AC41" i="18"/>
  <c r="AE41" i="18" s="1"/>
  <c r="AF41" i="18" s="1"/>
  <c r="W52" i="18"/>
  <c r="AC43" i="18"/>
  <c r="AE43" i="18" s="1"/>
  <c r="AF43" i="18" s="1"/>
  <c r="U52" i="18"/>
  <c r="AC44" i="18"/>
  <c r="AE44" i="18" s="1"/>
  <c r="AF44" i="18" s="1"/>
  <c r="AC45" i="18"/>
  <c r="AE45" i="18" s="1"/>
  <c r="AF45" i="18" s="1"/>
  <c r="AC56" i="18"/>
  <c r="AE56" i="18" s="1"/>
  <c r="AF56" i="18" s="1"/>
  <c r="AC57" i="18"/>
  <c r="AE57" i="18" s="1"/>
  <c r="AF57" i="18" s="1"/>
  <c r="AC60" i="18"/>
  <c r="AE60" i="18" s="1"/>
  <c r="AF60" i="18" s="1"/>
  <c r="AC63" i="18"/>
  <c r="AE63" i="18" s="1"/>
  <c r="AF63" i="18" s="1"/>
  <c r="AC65" i="18"/>
  <c r="AE65" i="18" s="1"/>
  <c r="AF65" i="18" s="1"/>
  <c r="AC68" i="18"/>
  <c r="AE68" i="18" s="1"/>
  <c r="AF68" i="18" s="1"/>
  <c r="AC76" i="18"/>
  <c r="AE76" i="18" s="1"/>
  <c r="AF76" i="18" s="1"/>
  <c r="AC83" i="18"/>
  <c r="AE83" i="18" s="1"/>
  <c r="AF83" i="18" s="1"/>
  <c r="AC94" i="18"/>
  <c r="AE94" i="18" s="1"/>
  <c r="AF94" i="18" s="1"/>
  <c r="AC101" i="18"/>
  <c r="AE101" i="18" s="1"/>
  <c r="AF101" i="18" s="1"/>
  <c r="AC108" i="18"/>
  <c r="AE108" i="18" s="1"/>
  <c r="AF108" i="18" s="1"/>
  <c r="AC115" i="18"/>
  <c r="AE115" i="18" s="1"/>
  <c r="AF115" i="18" s="1"/>
  <c r="AC125" i="18"/>
  <c r="AE125" i="18" s="1"/>
  <c r="AF125" i="18" s="1"/>
  <c r="Y159" i="18"/>
  <c r="AC126" i="18"/>
  <c r="AE126" i="18" s="1"/>
  <c r="AF126" i="18" s="1"/>
  <c r="AC136" i="18"/>
  <c r="AE136" i="18" s="1"/>
  <c r="AF136" i="18" s="1"/>
  <c r="AC142" i="18"/>
  <c r="AE142" i="18" s="1"/>
  <c r="AF142" i="18" s="1"/>
  <c r="AC156" i="18"/>
  <c r="AE156" i="18" s="1"/>
  <c r="AF156" i="18" s="1"/>
  <c r="AC157" i="18"/>
  <c r="AE157" i="18" s="1"/>
  <c r="AF157" i="18" s="1"/>
  <c r="AC158" i="18"/>
  <c r="AE158" i="18" s="1"/>
  <c r="AF158" i="18" s="1"/>
  <c r="AC162" i="18"/>
  <c r="AE162" i="18" s="1"/>
  <c r="AF162" i="18" s="1"/>
  <c r="U171" i="18"/>
  <c r="Y171" i="18"/>
  <c r="T171" i="18"/>
  <c r="X171" i="18"/>
  <c r="W171" i="18"/>
  <c r="V171" i="18"/>
  <c r="AC174" i="18"/>
  <c r="AE174" i="18" s="1"/>
  <c r="AF174" i="18" s="1"/>
  <c r="T283" i="18"/>
  <c r="Z283" i="18"/>
  <c r="U283" i="18"/>
  <c r="AC181" i="18"/>
  <c r="AE181" i="18" s="1"/>
  <c r="AF181" i="18" s="1"/>
  <c r="AC182" i="18"/>
  <c r="AE182" i="18" s="1"/>
  <c r="AF182" i="18" s="1"/>
  <c r="AC184" i="18"/>
  <c r="AE184" i="18" s="1"/>
  <c r="AF184" i="18" s="1"/>
  <c r="AC187" i="18"/>
  <c r="AE187" i="18" s="1"/>
  <c r="AF187" i="18" s="1"/>
  <c r="AC190" i="18"/>
  <c r="AE190" i="18" s="1"/>
  <c r="AF190" i="18" s="1"/>
  <c r="W122" i="18"/>
  <c r="AC144" i="18"/>
  <c r="AE144" i="18" s="1"/>
  <c r="AF144" i="18" s="1"/>
  <c r="AC107" i="18"/>
  <c r="AE107" i="18" s="1"/>
  <c r="AF107" i="18" s="1"/>
  <c r="AC149" i="18"/>
  <c r="AE149" i="18" s="1"/>
  <c r="AF149" i="18" s="1"/>
  <c r="U369" i="18"/>
  <c r="AA369" i="18"/>
  <c r="T369" i="18"/>
  <c r="AC191" i="18"/>
  <c r="AE191" i="18" s="1"/>
  <c r="AF191" i="18" s="1"/>
  <c r="AC195" i="18"/>
  <c r="AE195" i="18" s="1"/>
  <c r="AF195" i="18" s="1"/>
  <c r="AC200" i="18"/>
  <c r="AE200" i="18" s="1"/>
  <c r="AF200" i="18" s="1"/>
  <c r="AC203" i="18"/>
  <c r="AE203" i="18" s="1"/>
  <c r="AF203" i="18" s="1"/>
  <c r="AC204" i="18"/>
  <c r="AE204" i="18" s="1"/>
  <c r="AF204" i="18" s="1"/>
  <c r="AC208" i="18"/>
  <c r="AE208" i="18" s="1"/>
  <c r="AF208" i="18" s="1"/>
  <c r="AC209" i="18"/>
  <c r="AE209" i="18" s="1"/>
  <c r="AF209" i="18" s="1"/>
  <c r="AC210" i="18"/>
  <c r="AE210" i="18" s="1"/>
  <c r="AF210" i="18" s="1"/>
  <c r="AC213" i="18"/>
  <c r="AE213" i="18" s="1"/>
  <c r="AF213" i="18" s="1"/>
  <c r="AC219" i="18"/>
  <c r="AE219" i="18" s="1"/>
  <c r="AF219" i="18" s="1"/>
  <c r="AC226" i="18"/>
  <c r="AE226" i="18" s="1"/>
  <c r="AF226" i="18" s="1"/>
  <c r="AC228" i="18"/>
  <c r="AE228" i="18" s="1"/>
  <c r="AF228" i="18" s="1"/>
  <c r="AC230" i="18"/>
  <c r="AE230" i="18" s="1"/>
  <c r="AF230" i="18" s="1"/>
  <c r="AC232" i="18"/>
  <c r="AE232" i="18" s="1"/>
  <c r="AF232" i="18" s="1"/>
  <c r="AC233" i="18"/>
  <c r="AE233" i="18" s="1"/>
  <c r="AF233" i="18" s="1"/>
  <c r="AC234" i="18"/>
  <c r="AE234" i="18" s="1"/>
  <c r="AF234" i="18" s="1"/>
  <c r="AC235" i="18"/>
  <c r="AE235" i="18" s="1"/>
  <c r="AF235" i="18" s="1"/>
  <c r="AC236" i="18"/>
  <c r="AE236" i="18" s="1"/>
  <c r="AF236" i="18" s="1"/>
  <c r="AC244" i="18"/>
  <c r="AE244" i="18" s="1"/>
  <c r="AF244" i="18" s="1"/>
  <c r="AC245" i="18"/>
  <c r="AE245" i="18" s="1"/>
  <c r="AF245" i="18" s="1"/>
  <c r="AC247" i="18"/>
  <c r="AE247" i="18" s="1"/>
  <c r="AF247" i="18" s="1"/>
  <c r="AC249" i="18"/>
  <c r="AE249" i="18" s="1"/>
  <c r="AF249" i="18" s="1"/>
  <c r="AC253" i="18"/>
  <c r="AE253" i="18" s="1"/>
  <c r="AF253" i="18" s="1"/>
  <c r="AC257" i="18"/>
  <c r="AE257" i="18" s="1"/>
  <c r="AF257" i="18" s="1"/>
  <c r="AC259" i="18"/>
  <c r="AE259" i="18" s="1"/>
  <c r="AF259" i="18" s="1"/>
  <c r="AC260" i="18"/>
  <c r="AE260" i="18" s="1"/>
  <c r="AF260" i="18" s="1"/>
  <c r="AC262" i="18"/>
  <c r="AE262" i="18" s="1"/>
  <c r="AF262" i="18" s="1"/>
  <c r="AC265" i="18"/>
  <c r="AE265" i="18" s="1"/>
  <c r="AF265" i="18" s="1"/>
  <c r="AC268" i="18"/>
  <c r="AE268" i="18" s="1"/>
  <c r="AF268" i="18" s="1"/>
  <c r="AC269" i="18"/>
  <c r="AE269" i="18" s="1"/>
  <c r="AF269" i="18" s="1"/>
  <c r="AC277" i="18"/>
  <c r="AE277" i="18" s="1"/>
  <c r="AF277" i="18" s="1"/>
  <c r="AC279" i="18"/>
  <c r="AE279" i="18" s="1"/>
  <c r="AF279" i="18" s="1"/>
  <c r="AC280" i="18"/>
  <c r="AE280" i="18" s="1"/>
  <c r="AF280" i="18" s="1"/>
  <c r="AC282" i="18"/>
  <c r="AE282" i="18" s="1"/>
  <c r="AF282" i="18" s="1"/>
  <c r="AC286" i="18"/>
  <c r="AE286" i="18" s="1"/>
  <c r="AF286" i="18" s="1"/>
  <c r="AC290" i="18"/>
  <c r="AE290" i="18" s="1"/>
  <c r="AF290" i="18" s="1"/>
  <c r="AC296" i="18"/>
  <c r="AE296" i="18" s="1"/>
  <c r="AF296" i="18" s="1"/>
  <c r="AC299" i="18"/>
  <c r="AE299" i="18" s="1"/>
  <c r="AF299" i="18" s="1"/>
  <c r="AC302" i="18"/>
  <c r="AE302" i="18" s="1"/>
  <c r="AF302" i="18" s="1"/>
  <c r="AC303" i="18"/>
  <c r="AE303" i="18" s="1"/>
  <c r="AF303" i="18" s="1"/>
  <c r="AC307" i="18"/>
  <c r="AE307" i="18" s="1"/>
  <c r="AF307" i="18" s="1"/>
  <c r="AC311" i="18"/>
  <c r="AE311" i="18" s="1"/>
  <c r="AF311" i="18" s="1"/>
  <c r="AC312" i="18"/>
  <c r="AE312" i="18" s="1"/>
  <c r="AF312" i="18" s="1"/>
  <c r="AC313" i="18"/>
  <c r="AE313" i="18" s="1"/>
  <c r="AF313" i="18" s="1"/>
  <c r="AC314" i="18"/>
  <c r="AE314" i="18" s="1"/>
  <c r="AF314" i="18" s="1"/>
  <c r="AC315" i="18"/>
  <c r="AE315" i="18" s="1"/>
  <c r="AF315" i="18" s="1"/>
  <c r="AC317" i="18"/>
  <c r="AE317" i="18" s="1"/>
  <c r="AF317" i="18" s="1"/>
  <c r="AC319" i="18"/>
  <c r="AE319" i="18" s="1"/>
  <c r="AF319" i="18" s="1"/>
  <c r="AC321" i="18"/>
  <c r="AE321" i="18" s="1"/>
  <c r="AF321" i="18" s="1"/>
  <c r="AC326" i="18"/>
  <c r="AE326" i="18" s="1"/>
  <c r="AF326" i="18" s="1"/>
  <c r="AC327" i="18"/>
  <c r="AE327" i="18" s="1"/>
  <c r="AF327" i="18" s="1"/>
  <c r="AC330" i="18"/>
  <c r="AE330" i="18" s="1"/>
  <c r="AF330" i="18" s="1"/>
  <c r="AC332" i="18"/>
  <c r="AE332" i="18" s="1"/>
  <c r="AF332" i="18" s="1"/>
  <c r="AC333" i="18"/>
  <c r="AE333" i="18" s="1"/>
  <c r="AF333" i="18" s="1"/>
  <c r="AC334" i="18"/>
  <c r="AE334" i="18" s="1"/>
  <c r="AF334" i="18" s="1"/>
  <c r="AC337" i="18"/>
  <c r="AE337" i="18" s="1"/>
  <c r="AF337" i="18" s="1"/>
  <c r="AC341" i="18"/>
  <c r="AE341" i="18" s="1"/>
  <c r="AF341" i="18" s="1"/>
  <c r="AC344" i="18"/>
  <c r="AE344" i="18" s="1"/>
  <c r="AF344" i="18" s="1"/>
  <c r="AC347" i="18"/>
  <c r="AE347" i="18" s="1"/>
  <c r="AF347" i="18" s="1"/>
  <c r="AC355" i="18"/>
  <c r="AE355" i="18" s="1"/>
  <c r="AF355" i="18" s="1"/>
  <c r="AC356" i="18"/>
  <c r="AE356" i="18" s="1"/>
  <c r="AF356" i="18" s="1"/>
  <c r="AC357" i="18"/>
  <c r="AE357" i="18" s="1"/>
  <c r="AF357" i="18" s="1"/>
  <c r="AC360" i="18"/>
  <c r="AE360" i="18" s="1"/>
  <c r="AF360" i="18" s="1"/>
  <c r="AC361" i="18"/>
  <c r="AE361" i="18" s="1"/>
  <c r="AF361" i="18" s="1"/>
  <c r="P374" i="18"/>
  <c r="X374" i="18"/>
  <c r="AC372" i="18"/>
  <c r="AE372" i="18" s="1"/>
  <c r="AF372" i="18" s="1"/>
  <c r="AD122" i="18"/>
  <c r="T122" i="18"/>
  <c r="AD18" i="18"/>
  <c r="L160" i="8"/>
  <c r="L172" i="8" s="1"/>
  <c r="AC329" i="18"/>
  <c r="AE329" i="18" s="1"/>
  <c r="AF329" i="18" s="1"/>
  <c r="V369" i="18"/>
  <c r="Z369" i="18"/>
  <c r="Z414" i="18"/>
  <c r="AB125" i="8"/>
  <c r="AC100" i="8"/>
  <c r="AC105" i="8"/>
  <c r="AC83" i="8"/>
  <c r="AB71" i="8"/>
  <c r="AC66" i="8"/>
  <c r="AC57" i="8"/>
  <c r="D64" i="3"/>
  <c r="E56" i="3"/>
  <c r="F56" i="3" s="1"/>
  <c r="G56" i="3" s="1"/>
  <c r="H56" i="3" s="1"/>
  <c r="E57" i="3"/>
  <c r="F57" i="3" s="1"/>
  <c r="G57" i="3" s="1"/>
  <c r="H57" i="3" s="1"/>
  <c r="D65" i="3"/>
  <c r="D68" i="3"/>
  <c r="E60" i="3"/>
  <c r="F60" i="3" s="1"/>
  <c r="G60" i="3" s="1"/>
  <c r="H60" i="3" s="1"/>
  <c r="D67" i="3"/>
  <c r="D66" i="3"/>
  <c r="P215" i="9"/>
  <c r="P447" i="9" s="1"/>
  <c r="Q172" i="8"/>
  <c r="Q415" i="8" s="1"/>
  <c r="AB31" i="8"/>
  <c r="AC31" i="8"/>
  <c r="O31" i="9"/>
  <c r="P31" i="9" s="1"/>
  <c r="AB26" i="8"/>
  <c r="O26" i="9"/>
  <c r="P26" i="9" s="1"/>
  <c r="P244" i="9"/>
  <c r="Q244" i="9"/>
  <c r="Y48" i="8"/>
  <c r="X159" i="8"/>
  <c r="Y159" i="8" s="1"/>
  <c r="AC21" i="8"/>
  <c r="AC29" i="8"/>
  <c r="X38" i="8"/>
  <c r="Y38" i="8" s="1"/>
  <c r="AC44" i="8"/>
  <c r="Y16" i="8"/>
  <c r="O4" i="10"/>
  <c r="AB22" i="8"/>
  <c r="AC146" i="8"/>
  <c r="AC68" i="8"/>
  <c r="AB51" i="8"/>
  <c r="AB44" i="8"/>
  <c r="U52" i="9"/>
  <c r="U11" i="10" s="1"/>
  <c r="M53" i="8"/>
  <c r="U122" i="18"/>
  <c r="Q313" i="9"/>
  <c r="AC33" i="8"/>
  <c r="AC26" i="8"/>
  <c r="P194" i="9"/>
  <c r="Q194" i="9"/>
  <c r="P209" i="9"/>
  <c r="P217" i="9"/>
  <c r="R369" i="18"/>
  <c r="Y414" i="18"/>
  <c r="S122" i="18"/>
  <c r="AB43" i="8"/>
  <c r="O43" i="9"/>
  <c r="P43" i="9" s="1"/>
  <c r="AB145" i="8"/>
  <c r="AE511" i="18"/>
  <c r="AF511" i="18" s="1"/>
  <c r="AB98" i="8"/>
  <c r="AC72" i="8"/>
  <c r="AC137" i="8"/>
  <c r="AC138" i="8"/>
  <c r="AC91" i="8"/>
  <c r="AB88" i="8"/>
  <c r="S52" i="9"/>
  <c r="S11" i="10" s="1"/>
  <c r="AC92" i="8"/>
  <c r="AC133" i="8"/>
  <c r="Q177" i="9"/>
  <c r="AB40" i="8"/>
  <c r="J13" i="10"/>
  <c r="J15" i="10" s="1"/>
  <c r="J17" i="10" s="1"/>
  <c r="J22" i="10" s="1"/>
  <c r="J160" i="9"/>
  <c r="J172" i="9" s="1"/>
  <c r="J415" i="9" s="1"/>
  <c r="J53" i="8"/>
  <c r="AB23" i="8"/>
  <c r="O23" i="9"/>
  <c r="P23" i="9" s="1"/>
  <c r="AC23" i="8"/>
  <c r="AC43" i="8"/>
  <c r="X122" i="18"/>
  <c r="R283" i="18"/>
  <c r="Y369" i="18"/>
  <c r="P369" i="18"/>
  <c r="AC287" i="18"/>
  <c r="AE287" i="18" s="1"/>
  <c r="AF287" i="18" s="1"/>
  <c r="AC288" i="18"/>
  <c r="AE288" i="18" s="1"/>
  <c r="O369" i="18"/>
  <c r="S369" i="18"/>
  <c r="Q52" i="9"/>
  <c r="P384" i="9"/>
  <c r="Q384" i="9"/>
  <c r="O35" i="9"/>
  <c r="P35" i="9" s="1"/>
  <c r="AB35" i="8"/>
  <c r="AC87" i="8"/>
  <c r="P396" i="9"/>
  <c r="Q396" i="9"/>
  <c r="P405" i="9"/>
  <c r="Q405" i="9"/>
  <c r="Q301" i="9"/>
  <c r="P301" i="9"/>
  <c r="U414" i="18"/>
  <c r="AC378" i="18"/>
  <c r="AE378" i="18" s="1"/>
  <c r="AF378" i="18" s="1"/>
  <c r="Q414" i="18"/>
  <c r="O47" i="9"/>
  <c r="P47" i="9" s="1"/>
  <c r="AB47" i="8"/>
  <c r="Y58" i="8"/>
  <c r="Y47" i="8"/>
  <c r="Y124" i="8"/>
  <c r="AC30" i="8"/>
  <c r="AE601" i="18"/>
  <c r="AF601" i="18" s="1"/>
  <c r="AC51" i="8"/>
  <c r="AC142" i="8"/>
  <c r="V8" i="22"/>
  <c r="AC121" i="8"/>
  <c r="AA52" i="8"/>
  <c r="AC9" i="18"/>
  <c r="AE9" i="18" s="1"/>
  <c r="AF9" i="18" s="1"/>
  <c r="Q197" i="9"/>
  <c r="J253" i="18"/>
  <c r="J317" i="18"/>
  <c r="O159" i="18"/>
  <c r="AC177" i="18"/>
  <c r="AE177" i="18" s="1"/>
  <c r="AF177" i="18" s="1"/>
  <c r="AC229" i="18"/>
  <c r="AE229" i="18" s="1"/>
  <c r="AF229" i="18" s="1"/>
  <c r="P333" i="9"/>
  <c r="Q333" i="9"/>
  <c r="P360" i="9"/>
  <c r="Q360" i="9"/>
  <c r="AC88" i="18"/>
  <c r="AE88" i="18" s="1"/>
  <c r="AF88" i="18" s="1"/>
  <c r="AC67" i="18"/>
  <c r="AE67" i="18" s="1"/>
  <c r="AF67" i="18" s="1"/>
  <c r="V122" i="18"/>
  <c r="AA159" i="18"/>
  <c r="AC24" i="18"/>
  <c r="AE24" i="18" s="1"/>
  <c r="AF24" i="18" s="1"/>
  <c r="AC26" i="18"/>
  <c r="AE26" i="18" s="1"/>
  <c r="AF26" i="18" s="1"/>
  <c r="AC28" i="18"/>
  <c r="AE28" i="18" s="1"/>
  <c r="AF28" i="18" s="1"/>
  <c r="AC31" i="18"/>
  <c r="AE31" i="18" s="1"/>
  <c r="AF31" i="18" s="1"/>
  <c r="AC32" i="18"/>
  <c r="AE32" i="18" s="1"/>
  <c r="AF32" i="18" s="1"/>
  <c r="AC36" i="18"/>
  <c r="AE36" i="18" s="1"/>
  <c r="AF36" i="18" s="1"/>
  <c r="AC37" i="18"/>
  <c r="AE37" i="18" s="1"/>
  <c r="AF37" i="18" s="1"/>
  <c r="AC42" i="18"/>
  <c r="AE42" i="18" s="1"/>
  <c r="AF42" i="18" s="1"/>
  <c r="AC46" i="18"/>
  <c r="AE46" i="18" s="1"/>
  <c r="AF46" i="18" s="1"/>
  <c r="AC47" i="18"/>
  <c r="AE47" i="18" s="1"/>
  <c r="AF47" i="18" s="1"/>
  <c r="AC48" i="18"/>
  <c r="AE48" i="18" s="1"/>
  <c r="AF48" i="18" s="1"/>
  <c r="AC50" i="18"/>
  <c r="AE50" i="18" s="1"/>
  <c r="AF50" i="18" s="1"/>
  <c r="AC58" i="18"/>
  <c r="AE58" i="18" s="1"/>
  <c r="AF58" i="18" s="1"/>
  <c r="AC61" i="18"/>
  <c r="AE61" i="18" s="1"/>
  <c r="AF61" i="18" s="1"/>
  <c r="AC62" i="18"/>
  <c r="AE62" i="18" s="1"/>
  <c r="AF62" i="18" s="1"/>
  <c r="AC64" i="18"/>
  <c r="AE64" i="18" s="1"/>
  <c r="AF64" i="18" s="1"/>
  <c r="AC66" i="18"/>
  <c r="AE66" i="18" s="1"/>
  <c r="AF66" i="18" s="1"/>
  <c r="AC73" i="18"/>
  <c r="AE73" i="18" s="1"/>
  <c r="AF73" i="18" s="1"/>
  <c r="AC74" i="18"/>
  <c r="AE74" i="18" s="1"/>
  <c r="AF74" i="18" s="1"/>
  <c r="AC75" i="18"/>
  <c r="AE75" i="18" s="1"/>
  <c r="AF75" i="18" s="1"/>
  <c r="AC77" i="18"/>
  <c r="AE77" i="18" s="1"/>
  <c r="AF77" i="18" s="1"/>
  <c r="AC78" i="18"/>
  <c r="AE78" i="18" s="1"/>
  <c r="AF78" i="18" s="1"/>
  <c r="AC85" i="18"/>
  <c r="AE85" i="18" s="1"/>
  <c r="AF85" i="18" s="1"/>
  <c r="AC89" i="18"/>
  <c r="AE89" i="18" s="1"/>
  <c r="AF89" i="18" s="1"/>
  <c r="AC91" i="18"/>
  <c r="AE91" i="18" s="1"/>
  <c r="AF91" i="18" s="1"/>
  <c r="AC98" i="18"/>
  <c r="AE98" i="18" s="1"/>
  <c r="AF98" i="18" s="1"/>
  <c r="AC104" i="18"/>
  <c r="AE104" i="18" s="1"/>
  <c r="AF104" i="18" s="1"/>
  <c r="AC106" i="18"/>
  <c r="AE106" i="18" s="1"/>
  <c r="AF106" i="18" s="1"/>
  <c r="AC109" i="18"/>
  <c r="AE109" i="18" s="1"/>
  <c r="AF109" i="18" s="1"/>
  <c r="AC110" i="18"/>
  <c r="AE110" i="18" s="1"/>
  <c r="AF110" i="18" s="1"/>
  <c r="AC113" i="18"/>
  <c r="AE113" i="18" s="1"/>
  <c r="AF113" i="18" s="1"/>
  <c r="AC114" i="18"/>
  <c r="AE114" i="18" s="1"/>
  <c r="AF114" i="18" s="1"/>
  <c r="AC121" i="18"/>
  <c r="AE121" i="18" s="1"/>
  <c r="AF121" i="18" s="1"/>
  <c r="V159" i="18"/>
  <c r="T159" i="18"/>
  <c r="AC132" i="18"/>
  <c r="AE132" i="18" s="1"/>
  <c r="AF132" i="18" s="1"/>
  <c r="S159" i="18"/>
  <c r="AC138" i="18"/>
  <c r="AE138" i="18" s="1"/>
  <c r="AF138" i="18" s="1"/>
  <c r="AC141" i="18"/>
  <c r="AE141" i="18" s="1"/>
  <c r="AF141" i="18" s="1"/>
  <c r="AC143" i="18"/>
  <c r="AE143" i="18" s="1"/>
  <c r="AF143" i="18" s="1"/>
  <c r="AC145" i="18"/>
  <c r="AE145" i="18" s="1"/>
  <c r="AF145" i="18" s="1"/>
  <c r="AC151" i="18"/>
  <c r="AE151" i="18" s="1"/>
  <c r="AF151" i="18" s="1"/>
  <c r="AC155" i="18"/>
  <c r="AE155" i="18" s="1"/>
  <c r="AF155" i="18" s="1"/>
  <c r="AC189" i="18"/>
  <c r="AE189" i="18" s="1"/>
  <c r="AF189" i="18" s="1"/>
  <c r="AC207" i="18"/>
  <c r="AE207" i="18" s="1"/>
  <c r="AF207" i="18" s="1"/>
  <c r="AC246" i="18"/>
  <c r="AE246" i="18" s="1"/>
  <c r="AF246" i="18" s="1"/>
  <c r="AC256" i="18"/>
  <c r="AE256" i="18" s="1"/>
  <c r="AF256" i="18" s="1"/>
  <c r="AC289" i="18"/>
  <c r="AE289" i="18" s="1"/>
  <c r="AF289" i="18" s="1"/>
  <c r="AC306" i="18"/>
  <c r="AE306" i="18" s="1"/>
  <c r="AF306" i="18" s="1"/>
  <c r="AC343" i="18"/>
  <c r="AE343" i="18" s="1"/>
  <c r="AF343" i="18" s="1"/>
  <c r="AC93" i="18"/>
  <c r="AE93" i="18" s="1"/>
  <c r="AF93" i="18" s="1"/>
  <c r="AC462" i="18"/>
  <c r="Q214" i="9"/>
  <c r="P214" i="9"/>
  <c r="J179" i="18"/>
  <c r="J183" i="18"/>
  <c r="J184" i="18"/>
  <c r="J186" i="18"/>
  <c r="J187" i="18"/>
  <c r="J207" i="18"/>
  <c r="J208" i="18"/>
  <c r="J209" i="18"/>
  <c r="J210" i="18"/>
  <c r="J215" i="18"/>
  <c r="J252" i="18"/>
  <c r="J285" i="18"/>
  <c r="J287" i="18"/>
  <c r="J288" i="18"/>
  <c r="J289" i="18"/>
  <c r="J290" i="18"/>
  <c r="J296" i="18"/>
  <c r="J299" i="18"/>
  <c r="J311" i="18"/>
  <c r="J328" i="18"/>
  <c r="J376" i="18"/>
  <c r="J378" i="18"/>
  <c r="J380" i="18"/>
  <c r="J389" i="18"/>
  <c r="J216" i="18"/>
  <c r="J174" i="18"/>
  <c r="J181" i="18"/>
  <c r="Q122" i="18"/>
  <c r="Z122" i="18"/>
  <c r="L15" i="10"/>
  <c r="L17" i="10" s="1"/>
  <c r="L22" i="10" s="1"/>
  <c r="X159" i="18"/>
  <c r="AC33" i="18"/>
  <c r="AE33" i="18" s="1"/>
  <c r="AF33" i="18" s="1"/>
  <c r="AC179" i="18"/>
  <c r="AE179" i="18" s="1"/>
  <c r="AF179" i="18" s="1"/>
  <c r="AC252" i="18"/>
  <c r="AE252" i="18" s="1"/>
  <c r="AF252" i="18" s="1"/>
  <c r="O12" i="9"/>
  <c r="P12" i="9" s="1"/>
  <c r="AC12" i="8"/>
  <c r="Q159" i="18"/>
  <c r="U159" i="18"/>
  <c r="AD159" i="18"/>
  <c r="AC316" i="18"/>
  <c r="AE316" i="18" s="1"/>
  <c r="AF316" i="18" s="1"/>
  <c r="AC336" i="18"/>
  <c r="AE336" i="18" s="1"/>
  <c r="AF336" i="18" s="1"/>
  <c r="AC353" i="18"/>
  <c r="AE353" i="18" s="1"/>
  <c r="AF353" i="18" s="1"/>
  <c r="P236" i="9"/>
  <c r="AC100" i="18"/>
  <c r="AE100" i="18" s="1"/>
  <c r="AF100" i="18" s="1"/>
  <c r="AC133" i="18"/>
  <c r="AE133" i="18" s="1"/>
  <c r="AF133" i="18" s="1"/>
  <c r="AC79" i="18"/>
  <c r="AE79" i="18" s="1"/>
  <c r="AF79" i="18" s="1"/>
  <c r="AC80" i="18"/>
  <c r="AE80" i="18" s="1"/>
  <c r="AF80" i="18" s="1"/>
  <c r="AC81" i="18"/>
  <c r="AE81" i="18" s="1"/>
  <c r="AF81" i="18" s="1"/>
  <c r="AC82" i="18"/>
  <c r="AE82" i="18" s="1"/>
  <c r="AF82" i="18" s="1"/>
  <c r="AC70" i="18"/>
  <c r="AE70" i="18" s="1"/>
  <c r="AF70" i="18" s="1"/>
  <c r="AC92" i="18"/>
  <c r="AE92" i="18" s="1"/>
  <c r="AF92" i="18" s="1"/>
  <c r="AC118" i="18"/>
  <c r="AE118" i="18" s="1"/>
  <c r="AF118" i="18" s="1"/>
  <c r="AC154" i="18"/>
  <c r="AE154" i="18" s="1"/>
  <c r="AF154" i="18" s="1"/>
  <c r="X369" i="18"/>
  <c r="AA414" i="18"/>
  <c r="T160" i="8"/>
  <c r="T172" i="8" s="1"/>
  <c r="T415" i="8" s="1"/>
  <c r="P160" i="8"/>
  <c r="P172" i="8" s="1"/>
  <c r="P415" i="8" s="1"/>
  <c r="J254" i="18"/>
  <c r="O122" i="18"/>
  <c r="J213" i="18"/>
  <c r="J341" i="18"/>
  <c r="M29" i="10"/>
  <c r="M31" i="10" s="1"/>
  <c r="J366" i="18"/>
  <c r="AC12" i="18"/>
  <c r="AE12" i="18" s="1"/>
  <c r="AF12" i="18" s="1"/>
  <c r="P171" i="18"/>
  <c r="AC186" i="18"/>
  <c r="AE186" i="18" s="1"/>
  <c r="AF186" i="18" s="1"/>
  <c r="AC192" i="18"/>
  <c r="AE192" i="18" s="1"/>
  <c r="AF192" i="18" s="1"/>
  <c r="AC194" i="18"/>
  <c r="AE194" i="18" s="1"/>
  <c r="AF194" i="18" s="1"/>
  <c r="AC199" i="18"/>
  <c r="AE199" i="18" s="1"/>
  <c r="AF199" i="18" s="1"/>
  <c r="AC201" i="18"/>
  <c r="AE201" i="18" s="1"/>
  <c r="AF201" i="18" s="1"/>
  <c r="AC211" i="18"/>
  <c r="AE211" i="18" s="1"/>
  <c r="AF211" i="18" s="1"/>
  <c r="AC214" i="18"/>
  <c r="AE214" i="18" s="1"/>
  <c r="AF214" i="18" s="1"/>
  <c r="AC215" i="18"/>
  <c r="AE215" i="18" s="1"/>
  <c r="AF215" i="18" s="1"/>
  <c r="AC216" i="18"/>
  <c r="AE216" i="18" s="1"/>
  <c r="AF216" i="18" s="1"/>
  <c r="AC217" i="18"/>
  <c r="AE217" i="18" s="1"/>
  <c r="AF217" i="18" s="1"/>
  <c r="AC221" i="18"/>
  <c r="AE221" i="18" s="1"/>
  <c r="AF221" i="18" s="1"/>
  <c r="AC225" i="18"/>
  <c r="AE225" i="18" s="1"/>
  <c r="AF225" i="18" s="1"/>
  <c r="AC231" i="18"/>
  <c r="AC240" i="18"/>
  <c r="AE240" i="18" s="1"/>
  <c r="AF240" i="18" s="1"/>
  <c r="AC242" i="18"/>
  <c r="AE242" i="18" s="1"/>
  <c r="AF242" i="18" s="1"/>
  <c r="AC250" i="18"/>
  <c r="AE250" i="18" s="1"/>
  <c r="AF250" i="18" s="1"/>
  <c r="AC261" i="18"/>
  <c r="AE261" i="18" s="1"/>
  <c r="AF261" i="18" s="1"/>
  <c r="AC267" i="18"/>
  <c r="AE267" i="18" s="1"/>
  <c r="AF267" i="18" s="1"/>
  <c r="AC275" i="18"/>
  <c r="AE275" i="18" s="1"/>
  <c r="AF275" i="18" s="1"/>
  <c r="AC292" i="18"/>
  <c r="AE292" i="18" s="1"/>
  <c r="AF292" i="18" s="1"/>
  <c r="AC297" i="18"/>
  <c r="AE297" i="18" s="1"/>
  <c r="AF297" i="18" s="1"/>
  <c r="AC322" i="18"/>
  <c r="AE322" i="18" s="1"/>
  <c r="AF322" i="18" s="1"/>
  <c r="AC368" i="18"/>
  <c r="AE368" i="18" s="1"/>
  <c r="AF368" i="18" s="1"/>
  <c r="O374" i="18"/>
  <c r="S374" i="18"/>
  <c r="W374" i="18"/>
  <c r="AA374" i="18"/>
  <c r="O374" i="9"/>
  <c r="O20" i="10" s="1"/>
  <c r="AC103" i="18"/>
  <c r="AE103" i="18" s="1"/>
  <c r="AF103" i="18" s="1"/>
  <c r="O25" i="9"/>
  <c r="AC25" i="8"/>
  <c r="AB25" i="8"/>
  <c r="R159" i="18"/>
  <c r="AC124" i="18"/>
  <c r="P407" i="9"/>
  <c r="Q407" i="9"/>
  <c r="P329" i="9"/>
  <c r="Q329" i="9"/>
  <c r="P387" i="9"/>
  <c r="Q387" i="9"/>
  <c r="AC87" i="18"/>
  <c r="AE87" i="18" s="1"/>
  <c r="AF87" i="18" s="1"/>
  <c r="AC109" i="8"/>
  <c r="AC75" i="8"/>
  <c r="P414" i="18"/>
  <c r="Q171" i="18"/>
  <c r="Q253" i="9"/>
  <c r="P305" i="9"/>
  <c r="Q305" i="9"/>
  <c r="P351" i="9"/>
  <c r="Q351" i="9"/>
  <c r="AB152" i="8"/>
  <c r="AC62" i="8"/>
  <c r="AC99" i="8"/>
  <c r="AB102" i="8"/>
  <c r="AC55" i="18"/>
  <c r="R414" i="18"/>
  <c r="Y36" i="8"/>
  <c r="AC36" i="8"/>
  <c r="P231" i="9"/>
  <c r="P238" i="9"/>
  <c r="Q238" i="9"/>
  <c r="Q247" i="9"/>
  <c r="P247" i="9"/>
  <c r="P294" i="9"/>
  <c r="Q294" i="9"/>
  <c r="AA38" i="8"/>
  <c r="V175" i="9"/>
  <c r="W175" i="9" s="1"/>
  <c r="U8" i="10"/>
  <c r="Q250" i="9"/>
  <c r="O28" i="9"/>
  <c r="P28" i="9" s="1"/>
  <c r="O34" i="9"/>
  <c r="P34" i="9" s="1"/>
  <c r="AC34" i="8"/>
  <c r="AH55" i="18"/>
  <c r="AG68" i="18"/>
  <c r="P256" i="9"/>
  <c r="Q256" i="9"/>
  <c r="K21" i="10"/>
  <c r="AD369" i="18"/>
  <c r="P325" i="9"/>
  <c r="Q325" i="9"/>
  <c r="Q229" i="9"/>
  <c r="AC13" i="8"/>
  <c r="P210" i="9"/>
  <c r="AC39" i="8"/>
  <c r="Y39" i="8"/>
  <c r="X52" i="8"/>
  <c r="J391" i="18"/>
  <c r="Y26" i="8"/>
  <c r="AC35" i="8"/>
  <c r="AC129" i="18"/>
  <c r="AE129" i="18" s="1"/>
  <c r="AF129" i="18" s="1"/>
  <c r="P159" i="18"/>
  <c r="P208" i="9"/>
  <c r="P223" i="9"/>
  <c r="Q223" i="9"/>
  <c r="P233" i="9"/>
  <c r="P274" i="9"/>
  <c r="Q274" i="9"/>
  <c r="P316" i="9"/>
  <c r="Q316" i="9"/>
  <c r="R316" i="9" s="1"/>
  <c r="AC293" i="18"/>
  <c r="AE293" i="18" s="1"/>
  <c r="AF293" i="18" s="1"/>
  <c r="AC294" i="18"/>
  <c r="AE294" i="18" s="1"/>
  <c r="AF294" i="18" s="1"/>
  <c r="AC305" i="18"/>
  <c r="AE305" i="18" s="1"/>
  <c r="AF305" i="18" s="1"/>
  <c r="AC324" i="18"/>
  <c r="AE324" i="18" s="1"/>
  <c r="AF324" i="18" s="1"/>
  <c r="AC325" i="18"/>
  <c r="AE325" i="18" s="1"/>
  <c r="AF325" i="18" s="1"/>
  <c r="J325" i="18"/>
  <c r="AC345" i="18"/>
  <c r="AE345" i="18" s="1"/>
  <c r="AF345" i="18" s="1"/>
  <c r="AC349" i="18"/>
  <c r="AE349" i="18" s="1"/>
  <c r="AF349" i="18" s="1"/>
  <c r="AC351" i="18"/>
  <c r="AE351" i="18" s="1"/>
  <c r="AF351" i="18" s="1"/>
  <c r="AC359" i="18"/>
  <c r="AE359" i="18" s="1"/>
  <c r="AF359" i="18" s="1"/>
  <c r="AC391" i="18"/>
  <c r="AE391" i="18" s="1"/>
  <c r="AF391" i="18" s="1"/>
  <c r="AC398" i="18"/>
  <c r="AE398" i="18" s="1"/>
  <c r="AF398" i="18" s="1"/>
  <c r="AC399" i="18"/>
  <c r="AE399" i="18" s="1"/>
  <c r="AF399" i="18" s="1"/>
  <c r="AC409" i="18"/>
  <c r="AE409" i="18" s="1"/>
  <c r="AF409" i="18" s="1"/>
  <c r="AC413" i="18"/>
  <c r="AE413" i="18" s="1"/>
  <c r="AF413" i="18" s="1"/>
  <c r="AE71" i="18"/>
  <c r="AF71" i="18" s="1"/>
  <c r="P235" i="9"/>
  <c r="P317" i="9"/>
  <c r="Q317" i="9"/>
  <c r="O369" i="9"/>
  <c r="P369" i="9" s="1"/>
  <c r="P19" i="10" s="1"/>
  <c r="S8" i="10"/>
  <c r="R8" i="22"/>
  <c r="AC584" i="18"/>
  <c r="AC39" i="18"/>
  <c r="AC120" i="18"/>
  <c r="AE120" i="18" s="1"/>
  <c r="AF120" i="18" s="1"/>
  <c r="AE150" i="18"/>
  <c r="AF150" i="18" s="1"/>
  <c r="W159" i="18"/>
  <c r="AC27" i="18"/>
  <c r="AC49" i="18"/>
  <c r="AE49" i="18" s="1"/>
  <c r="AF49" i="18" s="1"/>
  <c r="AC51" i="18"/>
  <c r="AE51" i="18" s="1"/>
  <c r="AF51" i="18" s="1"/>
  <c r="AC59" i="18"/>
  <c r="AE59" i="18" s="1"/>
  <c r="AF59" i="18" s="1"/>
  <c r="AC99" i="18"/>
  <c r="AE99" i="18" s="1"/>
  <c r="AF99" i="18" s="1"/>
  <c r="AC105" i="18"/>
  <c r="AE105" i="18" s="1"/>
  <c r="AF105" i="18" s="1"/>
  <c r="AC112" i="18"/>
  <c r="AE112" i="18" s="1"/>
  <c r="AF112" i="18" s="1"/>
  <c r="AC119" i="18"/>
  <c r="AE119" i="18" s="1"/>
  <c r="AF119" i="18" s="1"/>
  <c r="AC134" i="18"/>
  <c r="AE134" i="18" s="1"/>
  <c r="AF134" i="18" s="1"/>
  <c r="AC146" i="18"/>
  <c r="AE146" i="18" s="1"/>
  <c r="AF146" i="18" s="1"/>
  <c r="AC164" i="18"/>
  <c r="AE164" i="18" s="1"/>
  <c r="AF164" i="18" s="1"/>
  <c r="AC168" i="18"/>
  <c r="AE168" i="18" s="1"/>
  <c r="AF168" i="18" s="1"/>
  <c r="AC175" i="18"/>
  <c r="AC197" i="18"/>
  <c r="AE197" i="18" s="1"/>
  <c r="AF197" i="18" s="1"/>
  <c r="AC127" i="18"/>
  <c r="AE127" i="18" s="1"/>
  <c r="AF127" i="18" s="1"/>
  <c r="M15" i="22"/>
  <c r="M20" i="22" s="1"/>
  <c r="AC500" i="18"/>
  <c r="AC541" i="18"/>
  <c r="P213" i="9"/>
  <c r="AC11" i="18"/>
  <c r="AE11" i="18" s="1"/>
  <c r="AF11" i="18" s="1"/>
  <c r="AC13" i="18"/>
  <c r="AE13" i="18" s="1"/>
  <c r="AF13" i="18" s="1"/>
  <c r="P263" i="9"/>
  <c r="Q263" i="9"/>
  <c r="AC301" i="18"/>
  <c r="AE301" i="18" s="1"/>
  <c r="AF301" i="18" s="1"/>
  <c r="R374" i="18"/>
  <c r="V374" i="18"/>
  <c r="Z374" i="18"/>
  <c r="N15" i="22"/>
  <c r="N20" i="22" s="1"/>
  <c r="AD374" i="18"/>
  <c r="AC148" i="18"/>
  <c r="AE148" i="18" s="1"/>
  <c r="AF148" i="18" s="1"/>
  <c r="K5" i="7"/>
  <c r="S5" i="9"/>
  <c r="E8" i="3"/>
  <c r="Q5" i="10"/>
  <c r="J12" i="10"/>
  <c r="N160" i="9"/>
  <c r="N172" i="9" s="1"/>
  <c r="N415" i="9" s="1"/>
  <c r="N416" i="9" s="1"/>
  <c r="N14" i="10"/>
  <c r="N15" i="10" s="1"/>
  <c r="F28" i="2"/>
  <c r="M6" i="7"/>
  <c r="F27" i="2"/>
  <c r="F23" i="2"/>
  <c r="F21" i="2"/>
  <c r="E21" i="2"/>
  <c r="G28" i="2"/>
  <c r="G30" i="2" s="1"/>
  <c r="G21" i="2"/>
  <c r="E26" i="2"/>
  <c r="H21" i="2"/>
  <c r="I21" i="2"/>
  <c r="I28" i="2"/>
  <c r="I30" i="2" s="1"/>
  <c r="E28" i="2"/>
  <c r="E23" i="2"/>
  <c r="C30" i="2"/>
  <c r="C23" i="2"/>
  <c r="D28" i="2"/>
  <c r="D30" i="2" s="1"/>
  <c r="D23" i="2"/>
  <c r="J53" i="9"/>
  <c r="L29" i="10"/>
  <c r="L31" i="10" s="1"/>
  <c r="N12" i="10"/>
  <c r="P29" i="10"/>
  <c r="K12" i="10"/>
  <c r="L12" i="10"/>
  <c r="P374" i="9"/>
  <c r="P20" i="10" s="1"/>
  <c r="M15" i="10"/>
  <c r="M17" i="10" s="1"/>
  <c r="M22" i="10" s="1"/>
  <c r="F9" i="19"/>
  <c r="F9" i="26" s="1"/>
  <c r="R9" i="15"/>
  <c r="W9" i="14"/>
  <c r="U8" i="26"/>
  <c r="V8" i="26" s="1"/>
  <c r="AA106" i="19"/>
  <c r="AD106" i="19" s="1"/>
  <c r="AE129" i="19"/>
  <c r="M133" i="19"/>
  <c r="AA113" i="19"/>
  <c r="AM113" i="19" s="1"/>
  <c r="AE113" i="19"/>
  <c r="AA110" i="19"/>
  <c r="AM110" i="19" s="1"/>
  <c r="AE110" i="19"/>
  <c r="AA108" i="19"/>
  <c r="AH108" i="19" s="1"/>
  <c r="AE108" i="19"/>
  <c r="AE112" i="19"/>
  <c r="AA112" i="19"/>
  <c r="AM112" i="19" s="1"/>
  <c r="AF129" i="19"/>
  <c r="AM129" i="19"/>
  <c r="AI129" i="19"/>
  <c r="AA114" i="19"/>
  <c r="AM114" i="19" s="1"/>
  <c r="AA120" i="19"/>
  <c r="AH120" i="19" s="1"/>
  <c r="AE121" i="19"/>
  <c r="AE116" i="19"/>
  <c r="AE111" i="19"/>
  <c r="AA115" i="19"/>
  <c r="AE115" i="19"/>
  <c r="AH116" i="19"/>
  <c r="AF116" i="19"/>
  <c r="AM116" i="19"/>
  <c r="AD116" i="19"/>
  <c r="AF126" i="19"/>
  <c r="AD126" i="19"/>
  <c r="AH126" i="19"/>
  <c r="AI126" i="19"/>
  <c r="AM126" i="19"/>
  <c r="AI127" i="19"/>
  <c r="AM127" i="19"/>
  <c r="AD127" i="19"/>
  <c r="AF127" i="19"/>
  <c r="AH127" i="19"/>
  <c r="AF106" i="19"/>
  <c r="AE119" i="19"/>
  <c r="AA119" i="19"/>
  <c r="AM111" i="19"/>
  <c r="AF111" i="19"/>
  <c r="AI111" i="19"/>
  <c r="AD111" i="19"/>
  <c r="AH111" i="19"/>
  <c r="AA118" i="19"/>
  <c r="AE118" i="19"/>
  <c r="AA122" i="19"/>
  <c r="AE122" i="19"/>
  <c r="AM106" i="19"/>
  <c r="AF120" i="19"/>
  <c r="AA117" i="19"/>
  <c r="AE117" i="19"/>
  <c r="AF113" i="19"/>
  <c r="AM108" i="19"/>
  <c r="AF108" i="19"/>
  <c r="AI116" i="19"/>
  <c r="AH128" i="19"/>
  <c r="AM128" i="19"/>
  <c r="AI128" i="19"/>
  <c r="AF128" i="19"/>
  <c r="AD128" i="19"/>
  <c r="AL128" i="19" s="1"/>
  <c r="AE126" i="19"/>
  <c r="AA124" i="19"/>
  <c r="AH129" i="19"/>
  <c r="AA123" i="19"/>
  <c r="AD129" i="19"/>
  <c r="AE128" i="19"/>
  <c r="AE127" i="19"/>
  <c r="U6" i="19"/>
  <c r="V6" i="15"/>
  <c r="AE105" i="14"/>
  <c r="AA105" i="14"/>
  <c r="AH105" i="14" s="1"/>
  <c r="U6" i="16"/>
  <c r="V6" i="16" s="1"/>
  <c r="AD121" i="19"/>
  <c r="AF121" i="19"/>
  <c r="AH121" i="19"/>
  <c r="AM121" i="19"/>
  <c r="W10" i="16"/>
  <c r="AH48" i="14"/>
  <c r="AI48" i="14"/>
  <c r="U47" i="16"/>
  <c r="V47" i="15"/>
  <c r="AE109" i="14"/>
  <c r="AA109" i="14"/>
  <c r="B130" i="16"/>
  <c r="B130" i="26"/>
  <c r="B130" i="19"/>
  <c r="AA41" i="15"/>
  <c r="AD41" i="15" s="1"/>
  <c r="AE41" i="15"/>
  <c r="R34" i="16"/>
  <c r="G9" i="16"/>
  <c r="G9" i="19" s="1"/>
  <c r="G9" i="26" s="1"/>
  <c r="J9" i="16"/>
  <c r="J9" i="19" s="1"/>
  <c r="J9" i="26" s="1"/>
  <c r="L9" i="16"/>
  <c r="L9" i="19" s="1"/>
  <c r="L9" i="26" s="1"/>
  <c r="O9" i="16"/>
  <c r="O9" i="19" s="1"/>
  <c r="O9" i="26" s="1"/>
  <c r="Q9" i="16"/>
  <c r="Q9" i="19" s="1"/>
  <c r="Q9" i="26" s="1"/>
  <c r="S9" i="16"/>
  <c r="S9" i="19" s="1"/>
  <c r="S9" i="26" s="1"/>
  <c r="B10" i="16"/>
  <c r="B10" i="19" s="1"/>
  <c r="B10" i="26" s="1"/>
  <c r="E10" i="16"/>
  <c r="E10" i="19" s="1"/>
  <c r="E10" i="26" s="1"/>
  <c r="G10" i="16"/>
  <c r="G10" i="19" s="1"/>
  <c r="G10" i="26" s="1"/>
  <c r="J10" i="16"/>
  <c r="J10" i="19" s="1"/>
  <c r="J10" i="26" s="1"/>
  <c r="L10" i="16"/>
  <c r="L10" i="19" s="1"/>
  <c r="L10" i="26" s="1"/>
  <c r="O10" i="16"/>
  <c r="O10" i="19" s="1"/>
  <c r="O10" i="26" s="1"/>
  <c r="Q10" i="16"/>
  <c r="Q10" i="19" s="1"/>
  <c r="Q10" i="26" s="1"/>
  <c r="J87" i="16"/>
  <c r="J87" i="19" s="1"/>
  <c r="J87" i="26" s="1"/>
  <c r="I90" i="16"/>
  <c r="I90" i="19" s="1"/>
  <c r="I90" i="26" s="1"/>
  <c r="K90" i="16"/>
  <c r="K90" i="19" s="1"/>
  <c r="K90" i="26" s="1"/>
  <c r="N90" i="16"/>
  <c r="N90" i="19" s="1"/>
  <c r="N90" i="26" s="1"/>
  <c r="P90" i="16"/>
  <c r="P90" i="19" s="1"/>
  <c r="P90" i="26" s="1"/>
  <c r="Q95" i="16"/>
  <c r="Q95" i="19" s="1"/>
  <c r="Q95" i="26" s="1"/>
  <c r="S95" i="16"/>
  <c r="S95" i="19" s="1"/>
  <c r="S95" i="26" s="1"/>
  <c r="B62" i="16"/>
  <c r="B62" i="19" s="1"/>
  <c r="B62" i="26" s="1"/>
  <c r="E62" i="16"/>
  <c r="E62" i="19" s="1"/>
  <c r="E62" i="26" s="1"/>
  <c r="G62" i="16"/>
  <c r="G62" i="19" s="1"/>
  <c r="G62" i="26" s="1"/>
  <c r="J62" i="16"/>
  <c r="J62" i="19" s="1"/>
  <c r="J62" i="26" s="1"/>
  <c r="L62" i="16"/>
  <c r="L62" i="19" s="1"/>
  <c r="L62" i="26" s="1"/>
  <c r="O62" i="16"/>
  <c r="O62" i="19" s="1"/>
  <c r="O62" i="26" s="1"/>
  <c r="Q62" i="16"/>
  <c r="Q62" i="19" s="1"/>
  <c r="Q62" i="26" s="1"/>
  <c r="E110" i="26"/>
  <c r="E110" i="19"/>
  <c r="J110" i="26"/>
  <c r="J110" i="19"/>
  <c r="J110" i="16"/>
  <c r="L125" i="19"/>
  <c r="L125" i="26"/>
  <c r="L125" i="16"/>
  <c r="L96" i="16"/>
  <c r="L96" i="19" s="1"/>
  <c r="L96" i="26" s="1"/>
  <c r="A99" i="16"/>
  <c r="A99" i="19" s="1"/>
  <c r="A99" i="26" s="1"/>
  <c r="F99" i="16"/>
  <c r="F99" i="19" s="1"/>
  <c r="F99" i="26" s="1"/>
  <c r="L22" i="16"/>
  <c r="L22" i="19" s="1"/>
  <c r="L22" i="26" s="1"/>
  <c r="N101" i="16"/>
  <c r="N101" i="19" s="1"/>
  <c r="N101" i="26" s="1"/>
  <c r="A104" i="16"/>
  <c r="A104" i="19" s="1"/>
  <c r="A104" i="26" s="1"/>
  <c r="C104" i="16"/>
  <c r="C104" i="19" s="1"/>
  <c r="C104" i="26" s="1"/>
  <c r="F104" i="16"/>
  <c r="I104" i="16"/>
  <c r="I104" i="19" s="1"/>
  <c r="I104" i="26" s="1"/>
  <c r="K104" i="16"/>
  <c r="K104" i="19" s="1"/>
  <c r="K104" i="26" s="1"/>
  <c r="N104" i="16"/>
  <c r="N104" i="19" s="1"/>
  <c r="N104" i="26" s="1"/>
  <c r="U12" i="16"/>
  <c r="I122" i="19"/>
  <c r="I122" i="26"/>
  <c r="I122" i="16"/>
  <c r="I112" i="26"/>
  <c r="I112" i="16"/>
  <c r="I114" i="16"/>
  <c r="I114" i="19"/>
  <c r="I114" i="26"/>
  <c r="I115" i="16"/>
  <c r="I115" i="19"/>
  <c r="I115" i="26"/>
  <c r="AM126" i="14"/>
  <c r="AD126" i="14"/>
  <c r="AD44" i="14"/>
  <c r="U18" i="16"/>
  <c r="AA92" i="14"/>
  <c r="AE92" i="14"/>
  <c r="W90" i="15"/>
  <c r="S24" i="16"/>
  <c r="S55" i="16"/>
  <c r="I112" i="19"/>
  <c r="AA55" i="14"/>
  <c r="AF55" i="14" s="1"/>
  <c r="AE55" i="14"/>
  <c r="AA124" i="14"/>
  <c r="AH124" i="14" s="1"/>
  <c r="AE124" i="14"/>
  <c r="I6" i="19"/>
  <c r="I6" i="26" s="1"/>
  <c r="I6" i="16"/>
  <c r="K6" i="16"/>
  <c r="K6" i="19"/>
  <c r="K6" i="26" s="1"/>
  <c r="V90" i="15"/>
  <c r="X90" i="15" s="1"/>
  <c r="AA90" i="15" s="1"/>
  <c r="V65" i="15"/>
  <c r="X65" i="15" s="1"/>
  <c r="U85" i="16"/>
  <c r="U36" i="16"/>
  <c r="V36" i="15"/>
  <c r="W36" i="15" s="1"/>
  <c r="X36" i="15" s="1"/>
  <c r="AA36" i="15" s="1"/>
  <c r="U79" i="16"/>
  <c r="V79" i="15"/>
  <c r="E110" i="16"/>
  <c r="F90" i="16"/>
  <c r="F90" i="19" s="1"/>
  <c r="F90" i="26" s="1"/>
  <c r="AC53" i="16"/>
  <c r="AI126" i="14"/>
  <c r="AL126" i="14" s="1"/>
  <c r="AD6" i="14"/>
  <c r="AH6" i="14"/>
  <c r="AA114" i="14"/>
  <c r="AE114" i="14"/>
  <c r="U105" i="26"/>
  <c r="V105" i="26" s="1"/>
  <c r="V53" i="15"/>
  <c r="W53" i="15" s="1"/>
  <c r="X53" i="15" s="1"/>
  <c r="U53" i="16"/>
  <c r="U22" i="16"/>
  <c r="AC90" i="15"/>
  <c r="T34" i="15"/>
  <c r="AD35" i="14"/>
  <c r="AH35" i="14"/>
  <c r="C46" i="16"/>
  <c r="C46" i="19" s="1"/>
  <c r="C46" i="26" s="1"/>
  <c r="F46" i="16"/>
  <c r="F46" i="19" s="1"/>
  <c r="F46" i="26" s="1"/>
  <c r="I46" i="16"/>
  <c r="I46" i="19" s="1"/>
  <c r="I46" i="26" s="1"/>
  <c r="K46" i="16"/>
  <c r="K46" i="19" s="1"/>
  <c r="K46" i="26" s="1"/>
  <c r="N46" i="16"/>
  <c r="N46" i="19" s="1"/>
  <c r="N46" i="26" s="1"/>
  <c r="A47" i="16"/>
  <c r="A47" i="19" s="1"/>
  <c r="A47" i="26" s="1"/>
  <c r="I47" i="16"/>
  <c r="I47" i="19" s="1"/>
  <c r="I47" i="26" s="1"/>
  <c r="K47" i="16"/>
  <c r="K47" i="19" s="1"/>
  <c r="K47" i="26" s="1"/>
  <c r="R47" i="16"/>
  <c r="R47" i="19" s="1"/>
  <c r="R47" i="26" s="1"/>
  <c r="A51" i="16"/>
  <c r="A51" i="19" s="1"/>
  <c r="A51" i="26" s="1"/>
  <c r="K51" i="16"/>
  <c r="K51" i="19" s="1"/>
  <c r="K51" i="26" s="1"/>
  <c r="N51" i="16"/>
  <c r="N51" i="19" s="1"/>
  <c r="N51" i="26" s="1"/>
  <c r="P51" i="16"/>
  <c r="P51" i="19" s="1"/>
  <c r="A52" i="16"/>
  <c r="A52" i="19" s="1"/>
  <c r="A52" i="26" s="1"/>
  <c r="K52" i="16"/>
  <c r="K52" i="19" s="1"/>
  <c r="K52" i="26" s="1"/>
  <c r="N52" i="16"/>
  <c r="N52" i="19" s="1"/>
  <c r="N52" i="26" s="1"/>
  <c r="R53" i="16"/>
  <c r="R53" i="19" s="1"/>
  <c r="R53" i="26" s="1"/>
  <c r="G55" i="16"/>
  <c r="G55" i="19" s="1"/>
  <c r="G55" i="26" s="1"/>
  <c r="L55" i="16"/>
  <c r="L55" i="19" s="1"/>
  <c r="L55" i="26" s="1"/>
  <c r="P55" i="16"/>
  <c r="I63" i="16"/>
  <c r="I63" i="19" s="1"/>
  <c r="I63" i="26" s="1"/>
  <c r="K63" i="16"/>
  <c r="K63" i="19" s="1"/>
  <c r="K63" i="26" s="1"/>
  <c r="N63" i="16"/>
  <c r="N63" i="19" s="1"/>
  <c r="N63" i="26" s="1"/>
  <c r="R63" i="16"/>
  <c r="R63" i="19" s="1"/>
  <c r="R63" i="26" s="1"/>
  <c r="T63" i="15"/>
  <c r="F64" i="16"/>
  <c r="F64" i="19" s="1"/>
  <c r="F64" i="26" s="1"/>
  <c r="I64" i="16"/>
  <c r="I64" i="19" s="1"/>
  <c r="I64" i="26" s="1"/>
  <c r="K64" i="16"/>
  <c r="K64" i="19" s="1"/>
  <c r="K64" i="26" s="1"/>
  <c r="P64" i="16"/>
  <c r="P64" i="19" s="1"/>
  <c r="P64" i="26" s="1"/>
  <c r="AC64" i="26" s="1"/>
  <c r="C65" i="16"/>
  <c r="C65" i="19" s="1"/>
  <c r="C65" i="26" s="1"/>
  <c r="F65" i="16"/>
  <c r="K71" i="16"/>
  <c r="K72" i="16"/>
  <c r="I78" i="16"/>
  <c r="I78" i="19" s="1"/>
  <c r="I78" i="26" s="1"/>
  <c r="A79" i="16"/>
  <c r="A79" i="19" s="1"/>
  <c r="A79" i="26" s="1"/>
  <c r="E89" i="16"/>
  <c r="E89" i="19" s="1"/>
  <c r="E89" i="26" s="1"/>
  <c r="J89" i="16"/>
  <c r="J89" i="19" s="1"/>
  <c r="J89" i="26" s="1"/>
  <c r="A91" i="16"/>
  <c r="A91" i="19" s="1"/>
  <c r="A91" i="26" s="1"/>
  <c r="P91" i="16"/>
  <c r="P91" i="19" s="1"/>
  <c r="P91" i="26" s="1"/>
  <c r="AC91" i="15"/>
  <c r="A92" i="16"/>
  <c r="A92" i="19" s="1"/>
  <c r="A92" i="26" s="1"/>
  <c r="K92" i="16"/>
  <c r="K92" i="19" s="1"/>
  <c r="K92" i="26" s="1"/>
  <c r="N92" i="16"/>
  <c r="N92" i="19" s="1"/>
  <c r="N92" i="26" s="1"/>
  <c r="A93" i="16"/>
  <c r="A93" i="19" s="1"/>
  <c r="A93" i="26" s="1"/>
  <c r="K93" i="16"/>
  <c r="K93" i="19" s="1"/>
  <c r="K93" i="26" s="1"/>
  <c r="N93" i="16"/>
  <c r="N93" i="19" s="1"/>
  <c r="N93" i="26" s="1"/>
  <c r="A94" i="16"/>
  <c r="A94" i="19" s="1"/>
  <c r="A94" i="26" s="1"/>
  <c r="C94" i="16"/>
  <c r="C94" i="19" s="1"/>
  <c r="C94" i="26" s="1"/>
  <c r="F94" i="16"/>
  <c r="F94" i="19" s="1"/>
  <c r="F94" i="26" s="1"/>
  <c r="T94" i="15"/>
  <c r="R94" i="16"/>
  <c r="A95" i="16"/>
  <c r="A95" i="19" s="1"/>
  <c r="A95" i="26" s="1"/>
  <c r="C95" i="16"/>
  <c r="C95" i="19" s="1"/>
  <c r="C95" i="26" s="1"/>
  <c r="F110" i="19"/>
  <c r="F110" i="16"/>
  <c r="AI110" i="16" s="1"/>
  <c r="C125" i="16"/>
  <c r="C125" i="26"/>
  <c r="S125" i="26"/>
  <c r="S125" i="19"/>
  <c r="B121" i="26"/>
  <c r="B121" i="19"/>
  <c r="E121" i="19"/>
  <c r="E121" i="26"/>
  <c r="E121" i="16"/>
  <c r="G121" i="19"/>
  <c r="G121" i="16"/>
  <c r="G121" i="26"/>
  <c r="J121" i="19"/>
  <c r="J121" i="16"/>
  <c r="A96" i="16"/>
  <c r="A96" i="19" s="1"/>
  <c r="A96" i="26" s="1"/>
  <c r="C96" i="16"/>
  <c r="C96" i="19" s="1"/>
  <c r="C96" i="26" s="1"/>
  <c r="AD119" i="14"/>
  <c r="AH119" i="14"/>
  <c r="AM119" i="14"/>
  <c r="AH129" i="14"/>
  <c r="N97" i="16"/>
  <c r="N97" i="19" s="1"/>
  <c r="N97" i="26" s="1"/>
  <c r="A100" i="16"/>
  <c r="A100" i="19" s="1"/>
  <c r="A100" i="26" s="1"/>
  <c r="C100" i="16"/>
  <c r="C100" i="19" s="1"/>
  <c r="C100" i="26" s="1"/>
  <c r="F100" i="16"/>
  <c r="K100" i="16"/>
  <c r="K100" i="19" s="1"/>
  <c r="K100" i="26" s="1"/>
  <c r="N100" i="16"/>
  <c r="N100" i="19" s="1"/>
  <c r="N100" i="26" s="1"/>
  <c r="S101" i="16"/>
  <c r="S101" i="19" s="1"/>
  <c r="S101" i="26" s="1"/>
  <c r="B102" i="16"/>
  <c r="B102" i="19" s="1"/>
  <c r="B102" i="26" s="1"/>
  <c r="E102" i="16"/>
  <c r="E102" i="19" s="1"/>
  <c r="E102" i="26" s="1"/>
  <c r="G102" i="16"/>
  <c r="G102" i="19" s="1"/>
  <c r="G102" i="26" s="1"/>
  <c r="S102" i="16"/>
  <c r="S102" i="19" s="1"/>
  <c r="S102" i="26" s="1"/>
  <c r="B103" i="16"/>
  <c r="B103" i="19" s="1"/>
  <c r="B103" i="26" s="1"/>
  <c r="K103" i="16"/>
  <c r="K103" i="19" s="1"/>
  <c r="K103" i="26" s="1"/>
  <c r="N103" i="16"/>
  <c r="N103" i="19" s="1"/>
  <c r="N103" i="26" s="1"/>
  <c r="S104" i="16"/>
  <c r="S104" i="19" s="1"/>
  <c r="S104" i="26" s="1"/>
  <c r="I117" i="19"/>
  <c r="I117" i="26"/>
  <c r="AC94" i="15"/>
  <c r="X37" i="16"/>
  <c r="AA37" i="16" s="1"/>
  <c r="AD37" i="16" s="1"/>
  <c r="N47" i="16"/>
  <c r="N47" i="19" s="1"/>
  <c r="N47" i="26" s="1"/>
  <c r="N94" i="16"/>
  <c r="N94" i="19" s="1"/>
  <c r="N94" i="26" s="1"/>
  <c r="Q125" i="16"/>
  <c r="N53" i="16"/>
  <c r="N53" i="19" s="1"/>
  <c r="N53" i="26" s="1"/>
  <c r="G89" i="16"/>
  <c r="G89" i="19" s="1"/>
  <c r="G89" i="26" s="1"/>
  <c r="S125" i="16"/>
  <c r="R64" i="16"/>
  <c r="I51" i="16"/>
  <c r="I51" i="19" s="1"/>
  <c r="I51" i="26" s="1"/>
  <c r="R102" i="16"/>
  <c r="AA115" i="14"/>
  <c r="AE115" i="14"/>
  <c r="Q125" i="19"/>
  <c r="S63" i="16"/>
  <c r="S63" i="19" s="1"/>
  <c r="I52" i="16"/>
  <c r="I52" i="19" s="1"/>
  <c r="I52" i="26" s="1"/>
  <c r="E58" i="16"/>
  <c r="E58" i="19" s="1"/>
  <c r="E58" i="26" s="1"/>
  <c r="E55" i="16"/>
  <c r="E55" i="19" s="1"/>
  <c r="E55" i="26" s="1"/>
  <c r="K94" i="16"/>
  <c r="K94" i="19" s="1"/>
  <c r="K94" i="26" s="1"/>
  <c r="L121" i="19"/>
  <c r="F47" i="16"/>
  <c r="F47" i="19" s="1"/>
  <c r="F47" i="26" s="1"/>
  <c r="W19" i="15"/>
  <c r="I125" i="19"/>
  <c r="C51" i="16"/>
  <c r="C51" i="19" s="1"/>
  <c r="C51" i="26" s="1"/>
  <c r="T47" i="15"/>
  <c r="S47" i="16"/>
  <c r="AF119" i="14"/>
  <c r="I100" i="16"/>
  <c r="I100" i="19" s="1"/>
  <c r="I100" i="26" s="1"/>
  <c r="F18" i="16"/>
  <c r="F18" i="19" s="1"/>
  <c r="F18" i="26" s="1"/>
  <c r="I11" i="16"/>
  <c r="I11" i="19" s="1"/>
  <c r="I11" i="26" s="1"/>
  <c r="L43" i="16"/>
  <c r="L43" i="19" s="1"/>
  <c r="L43" i="26" s="1"/>
  <c r="E107" i="19"/>
  <c r="E107" i="16"/>
  <c r="O27" i="16"/>
  <c r="O27" i="19" s="1"/>
  <c r="O27" i="26" s="1"/>
  <c r="N35" i="16"/>
  <c r="N35" i="19" s="1"/>
  <c r="N35" i="26" s="1"/>
  <c r="B37" i="16"/>
  <c r="B37" i="19" s="1"/>
  <c r="B37" i="26" s="1"/>
  <c r="F71" i="16"/>
  <c r="S71" i="16"/>
  <c r="AL117" i="14"/>
  <c r="AN117" i="14" s="1"/>
  <c r="AL110" i="14"/>
  <c r="AM124" i="14"/>
  <c r="U99" i="16"/>
  <c r="V99" i="15"/>
  <c r="AA105" i="19"/>
  <c r="AE105" i="19"/>
  <c r="R62" i="16"/>
  <c r="T62" i="15"/>
  <c r="AM105" i="15"/>
  <c r="AF105" i="15"/>
  <c r="AA55" i="15"/>
  <c r="Q130" i="26"/>
  <c r="Q130" i="19"/>
  <c r="Q130" i="16"/>
  <c r="S130" i="26"/>
  <c r="S130" i="19"/>
  <c r="S130" i="16"/>
  <c r="G6" i="19"/>
  <c r="G6" i="26" s="1"/>
  <c r="G6" i="16"/>
  <c r="AI105" i="15"/>
  <c r="AH105" i="15"/>
  <c r="AD105" i="14"/>
  <c r="AI105" i="14"/>
  <c r="AM105" i="14"/>
  <c r="AF105" i="14"/>
  <c r="AA53" i="14"/>
  <c r="AE53" i="14"/>
  <c r="AA112" i="14"/>
  <c r="AE112" i="14"/>
  <c r="E6" i="19"/>
  <c r="E6" i="26" s="1"/>
  <c r="E6" i="16"/>
  <c r="G12" i="16"/>
  <c r="G12" i="19" s="1"/>
  <c r="G12" i="26" s="1"/>
  <c r="J12" i="16"/>
  <c r="J12" i="19" s="1"/>
  <c r="J12" i="26" s="1"/>
  <c r="C18" i="16"/>
  <c r="C18" i="19" s="1"/>
  <c r="C18" i="26" s="1"/>
  <c r="S19" i="16"/>
  <c r="B20" i="16"/>
  <c r="B20" i="19" s="1"/>
  <c r="B20" i="26" s="1"/>
  <c r="E20" i="16"/>
  <c r="E20" i="19" s="1"/>
  <c r="E20" i="26" s="1"/>
  <c r="G20" i="16"/>
  <c r="G20" i="19" s="1"/>
  <c r="G20" i="26" s="1"/>
  <c r="J20" i="16"/>
  <c r="J20" i="19" s="1"/>
  <c r="J20" i="26" s="1"/>
  <c r="L20" i="16"/>
  <c r="L20" i="19" s="1"/>
  <c r="L20" i="26" s="1"/>
  <c r="O20" i="16"/>
  <c r="O20" i="19" s="1"/>
  <c r="O20" i="26" s="1"/>
  <c r="Q20" i="16"/>
  <c r="Q20" i="19" s="1"/>
  <c r="Q20" i="26" s="1"/>
  <c r="B21" i="16"/>
  <c r="B21" i="19" s="1"/>
  <c r="B21" i="26" s="1"/>
  <c r="E21" i="16"/>
  <c r="E21" i="19" s="1"/>
  <c r="E21" i="26" s="1"/>
  <c r="G21" i="16"/>
  <c r="G21" i="19" s="1"/>
  <c r="G21" i="26" s="1"/>
  <c r="J21" i="16"/>
  <c r="J21" i="19" s="1"/>
  <c r="J21" i="26" s="1"/>
  <c r="A25" i="16"/>
  <c r="A25" i="19" s="1"/>
  <c r="A25" i="26" s="1"/>
  <c r="C25" i="16"/>
  <c r="C25" i="19" s="1"/>
  <c r="C25" i="26" s="1"/>
  <c r="F25" i="16"/>
  <c r="F25" i="19" s="1"/>
  <c r="F25" i="26" s="1"/>
  <c r="I25" i="16"/>
  <c r="I25" i="19" s="1"/>
  <c r="I25" i="26" s="1"/>
  <c r="K25" i="16"/>
  <c r="K25" i="19" s="1"/>
  <c r="K25" i="26" s="1"/>
  <c r="N25" i="16"/>
  <c r="N25" i="19" s="1"/>
  <c r="N25" i="26" s="1"/>
  <c r="W25" i="15"/>
  <c r="P25" i="16"/>
  <c r="P25" i="19" s="1"/>
  <c r="P25" i="26" s="1"/>
  <c r="R25" i="16"/>
  <c r="A107" i="26"/>
  <c r="A107" i="19"/>
  <c r="A107" i="16"/>
  <c r="N42" i="16"/>
  <c r="N42" i="19" s="1"/>
  <c r="N42" i="26" s="1"/>
  <c r="T42" i="15"/>
  <c r="R42" i="16"/>
  <c r="S43" i="16"/>
  <c r="S43" i="19" s="1"/>
  <c r="S43" i="26" s="1"/>
  <c r="B44" i="16"/>
  <c r="B44" i="19" s="1"/>
  <c r="B44" i="26" s="1"/>
  <c r="E44" i="16"/>
  <c r="E44" i="19" s="1"/>
  <c r="E44" i="26" s="1"/>
  <c r="G44" i="16"/>
  <c r="G44" i="19" s="1"/>
  <c r="G44" i="26" s="1"/>
  <c r="J44" i="16"/>
  <c r="J44" i="19" s="1"/>
  <c r="J44" i="26" s="1"/>
  <c r="L44" i="16"/>
  <c r="L44" i="19" s="1"/>
  <c r="L44" i="26" s="1"/>
  <c r="O44" i="16"/>
  <c r="O44" i="19" s="1"/>
  <c r="O44" i="26" s="1"/>
  <c r="Q44" i="16"/>
  <c r="Q44" i="19" s="1"/>
  <c r="Q44" i="26" s="1"/>
  <c r="A46" i="16"/>
  <c r="A46" i="19" s="1"/>
  <c r="A46" i="26" s="1"/>
  <c r="A67" i="16"/>
  <c r="A67" i="19" s="1"/>
  <c r="A67" i="26" s="1"/>
  <c r="C67" i="16"/>
  <c r="C67" i="19" s="1"/>
  <c r="C67" i="26" s="1"/>
  <c r="F67" i="16"/>
  <c r="I67" i="16"/>
  <c r="I67" i="19" s="1"/>
  <c r="I67" i="26" s="1"/>
  <c r="K67" i="16"/>
  <c r="K67" i="19" s="1"/>
  <c r="K67" i="26" s="1"/>
  <c r="A68" i="16"/>
  <c r="A68" i="19" s="1"/>
  <c r="A68" i="26" s="1"/>
  <c r="E69" i="16"/>
  <c r="E69" i="19" s="1"/>
  <c r="E69" i="26" s="1"/>
  <c r="G69" i="16"/>
  <c r="G69" i="19" s="1"/>
  <c r="G69" i="26" s="1"/>
  <c r="B73" i="16"/>
  <c r="B73" i="19" s="1"/>
  <c r="B73" i="26" s="1"/>
  <c r="E73" i="16"/>
  <c r="E73" i="19" s="1"/>
  <c r="E73" i="26" s="1"/>
  <c r="G73" i="16"/>
  <c r="G73" i="19" s="1"/>
  <c r="G73" i="26" s="1"/>
  <c r="J73" i="16"/>
  <c r="J73" i="19" s="1"/>
  <c r="J73" i="26" s="1"/>
  <c r="L73" i="16"/>
  <c r="L73" i="19" s="1"/>
  <c r="L73" i="26" s="1"/>
  <c r="O73" i="16"/>
  <c r="O73" i="19" s="1"/>
  <c r="O73" i="26" s="1"/>
  <c r="Q73" i="16"/>
  <c r="Q73" i="19" s="1"/>
  <c r="Q73" i="26" s="1"/>
  <c r="S73" i="16"/>
  <c r="S73" i="19" s="1"/>
  <c r="S73" i="26" s="1"/>
  <c r="A74" i="16"/>
  <c r="A74" i="19" s="1"/>
  <c r="A74" i="26" s="1"/>
  <c r="C74" i="16"/>
  <c r="C74" i="19" s="1"/>
  <c r="C74" i="26" s="1"/>
  <c r="F74" i="16"/>
  <c r="F74" i="19" s="1"/>
  <c r="F74" i="26" s="1"/>
  <c r="K74" i="16"/>
  <c r="K74" i="19" s="1"/>
  <c r="K74" i="26" s="1"/>
  <c r="N74" i="16"/>
  <c r="N74" i="19" s="1"/>
  <c r="N74" i="26" s="1"/>
  <c r="R74" i="16"/>
  <c r="T74" i="15"/>
  <c r="C79" i="16"/>
  <c r="C79" i="19" s="1"/>
  <c r="C79" i="26" s="1"/>
  <c r="F79" i="16"/>
  <c r="I79" i="16"/>
  <c r="I79" i="19" s="1"/>
  <c r="I79" i="26" s="1"/>
  <c r="K79" i="16"/>
  <c r="K79" i="19" s="1"/>
  <c r="K79" i="26" s="1"/>
  <c r="G80" i="16"/>
  <c r="G80" i="19" s="1"/>
  <c r="G80" i="26" s="1"/>
  <c r="L80" i="16"/>
  <c r="L80" i="19" s="1"/>
  <c r="L80" i="26" s="1"/>
  <c r="O80" i="16"/>
  <c r="O80" i="19" s="1"/>
  <c r="O80" i="26" s="1"/>
  <c r="Q80" i="16"/>
  <c r="Q80" i="19" s="1"/>
  <c r="Q80" i="26" s="1"/>
  <c r="C83" i="16"/>
  <c r="C83" i="19" s="1"/>
  <c r="C83" i="26" s="1"/>
  <c r="F83" i="16"/>
  <c r="F96" i="16"/>
  <c r="F96" i="19" s="1"/>
  <c r="F96" i="26" s="1"/>
  <c r="I96" i="16"/>
  <c r="I96" i="19" s="1"/>
  <c r="I96" i="26" s="1"/>
  <c r="O96" i="16"/>
  <c r="O96" i="19" s="1"/>
  <c r="O96" i="26" s="1"/>
  <c r="Q96" i="16"/>
  <c r="Q96" i="19" s="1"/>
  <c r="Q96" i="26" s="1"/>
  <c r="AE106" i="14"/>
  <c r="AA106" i="14"/>
  <c r="AD76" i="14"/>
  <c r="M131" i="15"/>
  <c r="M6" i="16"/>
  <c r="C130" i="19"/>
  <c r="C130" i="16"/>
  <c r="C130" i="26"/>
  <c r="K130" i="26"/>
  <c r="K130" i="19"/>
  <c r="U9" i="16"/>
  <c r="V9" i="15"/>
  <c r="U83" i="16"/>
  <c r="U86" i="16"/>
  <c r="U25" i="16"/>
  <c r="V25" i="15"/>
  <c r="X25" i="15" s="1"/>
  <c r="AA25" i="15" s="1"/>
  <c r="AD25" i="15" s="1"/>
  <c r="U11" i="16"/>
  <c r="V11" i="15"/>
  <c r="AA105" i="26"/>
  <c r="AE105" i="26"/>
  <c r="AF44" i="14"/>
  <c r="V22" i="15"/>
  <c r="X22" i="15" s="1"/>
  <c r="V86" i="15"/>
  <c r="X86" i="15" s="1"/>
  <c r="V83" i="15"/>
  <c r="AH114" i="14"/>
  <c r="AM114" i="14"/>
  <c r="AD114" i="14"/>
  <c r="AF116" i="14"/>
  <c r="AE120" i="14"/>
  <c r="AA120" i="14"/>
  <c r="AH65" i="14"/>
  <c r="K130" i="16"/>
  <c r="G130" i="26"/>
  <c r="G130" i="19"/>
  <c r="N130" i="26"/>
  <c r="N130" i="16"/>
  <c r="N130" i="19"/>
  <c r="AH44" i="14"/>
  <c r="V58" i="15"/>
  <c r="AE44" i="14"/>
  <c r="AA59" i="14"/>
  <c r="AE59" i="14"/>
  <c r="AE84" i="14"/>
  <c r="E130" i="26"/>
  <c r="E130" i="16"/>
  <c r="E130" i="19"/>
  <c r="C6" i="16"/>
  <c r="O6" i="19"/>
  <c r="O6" i="26" s="1"/>
  <c r="U31" i="16"/>
  <c r="U107" i="16"/>
  <c r="V107" i="16" s="1"/>
  <c r="X107" i="16" s="1"/>
  <c r="V107" i="15"/>
  <c r="X107" i="15" s="1"/>
  <c r="AM48" i="14"/>
  <c r="AF48" i="14"/>
  <c r="T110" i="15"/>
  <c r="R110" i="26"/>
  <c r="T110" i="26" s="1"/>
  <c r="R110" i="16"/>
  <c r="T110" i="16" s="1"/>
  <c r="R110" i="19"/>
  <c r="T110" i="19" s="1"/>
  <c r="I109" i="19"/>
  <c r="I109" i="26"/>
  <c r="I109" i="16"/>
  <c r="AM97" i="14"/>
  <c r="AD97" i="14"/>
  <c r="AF97" i="14"/>
  <c r="U50" i="16"/>
  <c r="AE48" i="14"/>
  <c r="AA125" i="19"/>
  <c r="AE125" i="19"/>
  <c r="AA60" i="14"/>
  <c r="AE60" i="14"/>
  <c r="P63" i="16"/>
  <c r="P63" i="19" s="1"/>
  <c r="P63" i="26" s="1"/>
  <c r="AC63" i="26" s="1"/>
  <c r="U87" i="16"/>
  <c r="V28" i="15"/>
  <c r="U29" i="16"/>
  <c r="U42" i="16"/>
  <c r="U30" i="16"/>
  <c r="AD48" i="14"/>
  <c r="AD80" i="15"/>
  <c r="AM80" i="15"/>
  <c r="T66" i="15"/>
  <c r="S66" i="16"/>
  <c r="AF123" i="14"/>
  <c r="AD123" i="14"/>
  <c r="R109" i="26"/>
  <c r="T109" i="26" s="1"/>
  <c r="R109" i="19"/>
  <c r="T109" i="19" s="1"/>
  <c r="T109" i="15"/>
  <c r="AF111" i="14"/>
  <c r="S8" i="16"/>
  <c r="S8" i="19" s="1"/>
  <c r="S8" i="26" s="1"/>
  <c r="T8" i="26" s="1"/>
  <c r="T8" i="15"/>
  <c r="B9" i="16"/>
  <c r="B9" i="19" s="1"/>
  <c r="B9" i="26" s="1"/>
  <c r="B31" i="16"/>
  <c r="B31" i="19" s="1"/>
  <c r="B31" i="26" s="1"/>
  <c r="E31" i="16"/>
  <c r="E31" i="19" s="1"/>
  <c r="E31" i="26" s="1"/>
  <c r="G31" i="16"/>
  <c r="G31" i="19" s="1"/>
  <c r="G31" i="26" s="1"/>
  <c r="J31" i="16"/>
  <c r="J31" i="19" s="1"/>
  <c r="J31" i="26" s="1"/>
  <c r="O31" i="16"/>
  <c r="O31" i="19" s="1"/>
  <c r="O31" i="26" s="1"/>
  <c r="A38" i="16"/>
  <c r="A38" i="19" s="1"/>
  <c r="A38" i="26" s="1"/>
  <c r="C38" i="16"/>
  <c r="C38" i="19" s="1"/>
  <c r="C38" i="26" s="1"/>
  <c r="I38" i="16"/>
  <c r="I38" i="19" s="1"/>
  <c r="I38" i="26" s="1"/>
  <c r="N38" i="16"/>
  <c r="N38" i="19" s="1"/>
  <c r="N38" i="26" s="1"/>
  <c r="P38" i="16"/>
  <c r="P38" i="19" s="1"/>
  <c r="P38" i="26" s="1"/>
  <c r="W38" i="15"/>
  <c r="A39" i="16"/>
  <c r="A39" i="19" s="1"/>
  <c r="A39" i="26" s="1"/>
  <c r="C39" i="16"/>
  <c r="C39" i="19" s="1"/>
  <c r="C39" i="26" s="1"/>
  <c r="F39" i="16"/>
  <c r="F39" i="19" s="1"/>
  <c r="F39" i="26" s="1"/>
  <c r="N39" i="16"/>
  <c r="N39" i="19" s="1"/>
  <c r="N39" i="26" s="1"/>
  <c r="P39" i="16"/>
  <c r="P39" i="19" s="1"/>
  <c r="P39" i="26" s="1"/>
  <c r="S37" i="16"/>
  <c r="S37" i="19" s="1"/>
  <c r="S37" i="26" s="1"/>
  <c r="F109" i="26"/>
  <c r="F109" i="19"/>
  <c r="F109" i="16"/>
  <c r="S109" i="26"/>
  <c r="S109" i="19"/>
  <c r="K41" i="16"/>
  <c r="K41" i="19" s="1"/>
  <c r="K41" i="26" s="1"/>
  <c r="O41" i="16"/>
  <c r="O41" i="19" s="1"/>
  <c r="O41" i="26" s="1"/>
  <c r="S41" i="16"/>
  <c r="S41" i="19" s="1"/>
  <c r="S41" i="26" s="1"/>
  <c r="B42" i="16"/>
  <c r="B42" i="19" s="1"/>
  <c r="B42" i="26" s="1"/>
  <c r="C53" i="16"/>
  <c r="C53" i="19" s="1"/>
  <c r="C53" i="26" s="1"/>
  <c r="F53" i="16"/>
  <c r="F53" i="19" s="1"/>
  <c r="F53" i="26" s="1"/>
  <c r="C54" i="16"/>
  <c r="C54" i="19" s="1"/>
  <c r="C54" i="26" s="1"/>
  <c r="F54" i="16"/>
  <c r="F54" i="19" s="1"/>
  <c r="F54" i="26" s="1"/>
  <c r="I54" i="16"/>
  <c r="I54" i="19" s="1"/>
  <c r="I54" i="26" s="1"/>
  <c r="K54" i="16"/>
  <c r="K54" i="19" s="1"/>
  <c r="K54" i="26" s="1"/>
  <c r="N54" i="16"/>
  <c r="N54" i="19" s="1"/>
  <c r="N54" i="26" s="1"/>
  <c r="C56" i="16"/>
  <c r="C56" i="19" s="1"/>
  <c r="C56" i="26" s="1"/>
  <c r="F56" i="16"/>
  <c r="F56" i="19" s="1"/>
  <c r="F56" i="26" s="1"/>
  <c r="K56" i="16"/>
  <c r="K56" i="19" s="1"/>
  <c r="K56" i="26" s="1"/>
  <c r="R56" i="16"/>
  <c r="B57" i="16"/>
  <c r="B57" i="19" s="1"/>
  <c r="B57" i="26" s="1"/>
  <c r="G57" i="16"/>
  <c r="G57" i="19" s="1"/>
  <c r="G57" i="26" s="1"/>
  <c r="L57" i="16"/>
  <c r="L57" i="19" s="1"/>
  <c r="L57" i="26" s="1"/>
  <c r="O57" i="16"/>
  <c r="O57" i="19" s="1"/>
  <c r="O57" i="26" s="1"/>
  <c r="Q57" i="16"/>
  <c r="Q57" i="19" s="1"/>
  <c r="Q57" i="26" s="1"/>
  <c r="G58" i="16"/>
  <c r="G58" i="19" s="1"/>
  <c r="G58" i="26" s="1"/>
  <c r="J58" i="16"/>
  <c r="J58" i="19" s="1"/>
  <c r="J58" i="26" s="1"/>
  <c r="L58" i="16"/>
  <c r="L58" i="19" s="1"/>
  <c r="L58" i="26" s="1"/>
  <c r="E59" i="16"/>
  <c r="E59" i="19" s="1"/>
  <c r="E59" i="26" s="1"/>
  <c r="J59" i="16"/>
  <c r="J59" i="19" s="1"/>
  <c r="J59" i="26" s="1"/>
  <c r="L59" i="16"/>
  <c r="L59" i="19" s="1"/>
  <c r="L59" i="26" s="1"/>
  <c r="O59" i="16"/>
  <c r="O59" i="19" s="1"/>
  <c r="O59" i="26" s="1"/>
  <c r="Q59" i="16"/>
  <c r="Q59" i="19" s="1"/>
  <c r="Q59" i="26" s="1"/>
  <c r="O70" i="16"/>
  <c r="O70" i="19" s="1"/>
  <c r="O70" i="26" s="1"/>
  <c r="Q70" i="16"/>
  <c r="Q70" i="19" s="1"/>
  <c r="Q70" i="26" s="1"/>
  <c r="A60" i="16"/>
  <c r="A60" i="19" s="1"/>
  <c r="A60" i="26" s="1"/>
  <c r="Q60" i="16"/>
  <c r="Q60" i="19" s="1"/>
  <c r="Q60" i="26" s="1"/>
  <c r="S60" i="16"/>
  <c r="S60" i="19" s="1"/>
  <c r="S60" i="26" s="1"/>
  <c r="K65" i="16"/>
  <c r="K65" i="19" s="1"/>
  <c r="K65" i="26" s="1"/>
  <c r="N65" i="16"/>
  <c r="N65" i="19" s="1"/>
  <c r="N65" i="26" s="1"/>
  <c r="R65" i="16"/>
  <c r="C77" i="16"/>
  <c r="C77" i="19" s="1"/>
  <c r="C77" i="26" s="1"/>
  <c r="F77" i="16"/>
  <c r="F77" i="19" s="1"/>
  <c r="F77" i="26" s="1"/>
  <c r="I77" i="16"/>
  <c r="I77" i="19" s="1"/>
  <c r="I77" i="26" s="1"/>
  <c r="P77" i="16"/>
  <c r="P77" i="19" s="1"/>
  <c r="P77" i="26" s="1"/>
  <c r="W77" i="15"/>
  <c r="A78" i="16"/>
  <c r="A78" i="19" s="1"/>
  <c r="A78" i="26" s="1"/>
  <c r="J78" i="16"/>
  <c r="J78" i="19" s="1"/>
  <c r="J78" i="26" s="1"/>
  <c r="L78" i="16"/>
  <c r="L78" i="19" s="1"/>
  <c r="L78" i="26" s="1"/>
  <c r="O78" i="16"/>
  <c r="O78" i="19" s="1"/>
  <c r="O78" i="26" s="1"/>
  <c r="S87" i="16"/>
  <c r="S87" i="19" s="1"/>
  <c r="S87" i="26" s="1"/>
  <c r="B88" i="16"/>
  <c r="B88" i="19" s="1"/>
  <c r="B88" i="26" s="1"/>
  <c r="E88" i="16"/>
  <c r="E88" i="19" s="1"/>
  <c r="E88" i="26" s="1"/>
  <c r="F89" i="16"/>
  <c r="I89" i="16"/>
  <c r="I89" i="19" s="1"/>
  <c r="I89" i="26" s="1"/>
  <c r="K89" i="16"/>
  <c r="K89" i="19" s="1"/>
  <c r="K89" i="26" s="1"/>
  <c r="L90" i="16"/>
  <c r="L90" i="19" s="1"/>
  <c r="L90" i="26" s="1"/>
  <c r="Q90" i="16"/>
  <c r="Q90" i="19" s="1"/>
  <c r="Q90" i="26" s="1"/>
  <c r="F91" i="16"/>
  <c r="F91" i="19" s="1"/>
  <c r="F91" i="26" s="1"/>
  <c r="I91" i="16"/>
  <c r="I91" i="19" s="1"/>
  <c r="I91" i="26" s="1"/>
  <c r="K91" i="16"/>
  <c r="K91" i="19" s="1"/>
  <c r="K91" i="26" s="1"/>
  <c r="N91" i="16"/>
  <c r="N91" i="19" s="1"/>
  <c r="N91" i="26" s="1"/>
  <c r="Q91" i="16"/>
  <c r="Q91" i="19" s="1"/>
  <c r="Q91" i="26" s="1"/>
  <c r="S91" i="16"/>
  <c r="S91" i="19" s="1"/>
  <c r="S91" i="26" s="1"/>
  <c r="E93" i="16"/>
  <c r="E93" i="19" s="1"/>
  <c r="E93" i="26" s="1"/>
  <c r="G93" i="16"/>
  <c r="G93" i="19" s="1"/>
  <c r="G93" i="26" s="1"/>
  <c r="J93" i="16"/>
  <c r="J93" i="19" s="1"/>
  <c r="J93" i="26" s="1"/>
  <c r="L93" i="16"/>
  <c r="L93" i="19" s="1"/>
  <c r="L93" i="26" s="1"/>
  <c r="N62" i="16"/>
  <c r="N62" i="19" s="1"/>
  <c r="N62" i="26" s="1"/>
  <c r="X62" i="15"/>
  <c r="AA62" i="15" s="1"/>
  <c r="W62" i="15"/>
  <c r="B110" i="26"/>
  <c r="B110" i="16"/>
  <c r="G110" i="26"/>
  <c r="G110" i="16"/>
  <c r="L110" i="26"/>
  <c r="L110" i="19"/>
  <c r="B125" i="26"/>
  <c r="B125" i="19"/>
  <c r="F125" i="26"/>
  <c r="F125" i="19"/>
  <c r="F125" i="16"/>
  <c r="K125" i="26"/>
  <c r="K125" i="19"/>
  <c r="K77" i="16"/>
  <c r="K77" i="19" s="1"/>
  <c r="K77" i="26" s="1"/>
  <c r="Q41" i="16"/>
  <c r="Q41" i="19" s="1"/>
  <c r="Q41" i="26" s="1"/>
  <c r="B125" i="16"/>
  <c r="I65" i="16"/>
  <c r="I65" i="19" s="1"/>
  <c r="I65" i="26" s="1"/>
  <c r="I56" i="16"/>
  <c r="I56" i="19" s="1"/>
  <c r="I56" i="26" s="1"/>
  <c r="I39" i="16"/>
  <c r="I39" i="19" s="1"/>
  <c r="I39" i="26" s="1"/>
  <c r="K38" i="16"/>
  <c r="K38" i="19" s="1"/>
  <c r="K38" i="26" s="1"/>
  <c r="E9" i="16"/>
  <c r="E9" i="19" s="1"/>
  <c r="E9" i="26" s="1"/>
  <c r="E57" i="16"/>
  <c r="E57" i="19" s="1"/>
  <c r="E57" i="26" s="1"/>
  <c r="N56" i="16"/>
  <c r="N56" i="19" s="1"/>
  <c r="N56" i="26" s="1"/>
  <c r="R38" i="16"/>
  <c r="K125" i="16"/>
  <c r="K39" i="16"/>
  <c r="K39" i="19" s="1"/>
  <c r="K39" i="26" s="1"/>
  <c r="W65" i="15"/>
  <c r="J90" i="16"/>
  <c r="J90" i="19" s="1"/>
  <c r="J90" i="26" s="1"/>
  <c r="A53" i="16"/>
  <c r="A53" i="19" s="1"/>
  <c r="A53" i="26" s="1"/>
  <c r="S54" i="16"/>
  <c r="S54" i="19" s="1"/>
  <c r="S54" i="26" s="1"/>
  <c r="T18" i="15"/>
  <c r="R18" i="16"/>
  <c r="R14" i="16"/>
  <c r="O90" i="16"/>
  <c r="O90" i="19" s="1"/>
  <c r="O90" i="26" s="1"/>
  <c r="L70" i="16"/>
  <c r="L70" i="19" s="1"/>
  <c r="L70" i="26" s="1"/>
  <c r="G110" i="19"/>
  <c r="F38" i="16"/>
  <c r="F38" i="19" s="1"/>
  <c r="F38" i="26" s="1"/>
  <c r="L31" i="16"/>
  <c r="L31" i="19" s="1"/>
  <c r="L31" i="26" s="1"/>
  <c r="J70" i="16"/>
  <c r="J70" i="19" s="1"/>
  <c r="J70" i="26" s="1"/>
  <c r="P62" i="16"/>
  <c r="P62" i="19" s="1"/>
  <c r="P62" i="26" s="1"/>
  <c r="AC62" i="26" s="1"/>
  <c r="Q31" i="16"/>
  <c r="Q31" i="19" s="1"/>
  <c r="Q31" i="26" s="1"/>
  <c r="L110" i="16"/>
  <c r="C49" i="16"/>
  <c r="C49" i="19" s="1"/>
  <c r="C49" i="26" s="1"/>
  <c r="Q103" i="16"/>
  <c r="Q103" i="19" s="1"/>
  <c r="Q103" i="26" s="1"/>
  <c r="B71" i="16"/>
  <c r="C99" i="16"/>
  <c r="C99" i="19" s="1"/>
  <c r="C99" i="26" s="1"/>
  <c r="I99" i="16"/>
  <c r="I99" i="19" s="1"/>
  <c r="I99" i="26" s="1"/>
  <c r="T99" i="15"/>
  <c r="A97" i="16"/>
  <c r="A97" i="19" s="1"/>
  <c r="A97" i="26" s="1"/>
  <c r="C97" i="16"/>
  <c r="C97" i="19" s="1"/>
  <c r="C97" i="26" s="1"/>
  <c r="F97" i="16"/>
  <c r="K97" i="16"/>
  <c r="K97" i="19" s="1"/>
  <c r="K97" i="26" s="1"/>
  <c r="A98" i="16"/>
  <c r="A98" i="19" s="1"/>
  <c r="A98" i="26" s="1"/>
  <c r="C98" i="16"/>
  <c r="C98" i="19" s="1"/>
  <c r="C98" i="26" s="1"/>
  <c r="I98" i="16"/>
  <c r="I98" i="19" s="1"/>
  <c r="I98" i="26" s="1"/>
  <c r="K98" i="16"/>
  <c r="K98" i="19" s="1"/>
  <c r="K98" i="26" s="1"/>
  <c r="N98" i="16"/>
  <c r="N98" i="19" s="1"/>
  <c r="N98" i="26" s="1"/>
  <c r="A101" i="16"/>
  <c r="A101" i="19" s="1"/>
  <c r="A101" i="26" s="1"/>
  <c r="C101" i="16"/>
  <c r="C101" i="19" s="1"/>
  <c r="C101" i="26" s="1"/>
  <c r="F101" i="16"/>
  <c r="I101" i="16"/>
  <c r="I101" i="19" s="1"/>
  <c r="I101" i="26" s="1"/>
  <c r="K101" i="16"/>
  <c r="K101" i="19" s="1"/>
  <c r="K101" i="26" s="1"/>
  <c r="K102" i="16"/>
  <c r="K102" i="19" s="1"/>
  <c r="K102" i="26" s="1"/>
  <c r="N102" i="16"/>
  <c r="N102" i="19" s="1"/>
  <c r="N102" i="26" s="1"/>
  <c r="F103" i="16"/>
  <c r="AA108" i="14"/>
  <c r="K16" i="10"/>
  <c r="K17" i="10" s="1"/>
  <c r="K53" i="9"/>
  <c r="K160" i="9"/>
  <c r="K172" i="9" s="1"/>
  <c r="K415" i="9" s="1"/>
  <c r="N16" i="10"/>
  <c r="M12" i="10"/>
  <c r="K15" i="22"/>
  <c r="K20" i="22" s="1"/>
  <c r="N18" i="10"/>
  <c r="U215" i="9"/>
  <c r="V215" i="9" s="1"/>
  <c r="W215" i="9" s="1"/>
  <c r="AA369" i="8"/>
  <c r="AB369" i="8" s="1"/>
  <c r="AB302" i="8"/>
  <c r="AB267" i="8"/>
  <c r="K433" i="9"/>
  <c r="K27" i="10" s="1"/>
  <c r="K437" i="9"/>
  <c r="Q302" i="9"/>
  <c r="R302" i="9" s="1"/>
  <c r="P302" i="9"/>
  <c r="AB231" i="8"/>
  <c r="Z283" i="8"/>
  <c r="AD231" i="18"/>
  <c r="G28" i="3" l="1"/>
  <c r="N6" i="7"/>
  <c r="R249" i="9"/>
  <c r="K416" i="9"/>
  <c r="S336" i="9"/>
  <c r="T336" i="9" s="1"/>
  <c r="U336" i="9" s="1"/>
  <c r="V336" i="9" s="1"/>
  <c r="W336" i="9" s="1"/>
  <c r="Q145" i="9"/>
  <c r="R145" i="9" s="1"/>
  <c r="Q133" i="9"/>
  <c r="R133" i="9" s="1"/>
  <c r="AA37" i="29"/>
  <c r="AM37" i="29" s="1"/>
  <c r="AE101" i="15"/>
  <c r="AE39" i="14"/>
  <c r="W85" i="16"/>
  <c r="AA100" i="14"/>
  <c r="AC28" i="15"/>
  <c r="T91" i="15"/>
  <c r="AA81" i="14"/>
  <c r="AI81" i="14" s="1"/>
  <c r="Q144" i="9"/>
  <c r="R144" i="9" s="1"/>
  <c r="R21" i="16"/>
  <c r="R21" i="19" s="1"/>
  <c r="AH79" i="13"/>
  <c r="AH11" i="29" s="1"/>
  <c r="U61" i="16"/>
  <c r="U61" i="19" s="1"/>
  <c r="AH8" i="13"/>
  <c r="AA91" i="14"/>
  <c r="AD91" i="14" s="1"/>
  <c r="R104" i="19"/>
  <c r="T104" i="19" s="1"/>
  <c r="V60" i="19"/>
  <c r="V60" i="16"/>
  <c r="AA28" i="14"/>
  <c r="AA25" i="29"/>
  <c r="AM25" i="29" s="1"/>
  <c r="P56" i="16"/>
  <c r="P56" i="19" s="1"/>
  <c r="P56" i="26" s="1"/>
  <c r="AC56" i="26" s="1"/>
  <c r="R125" i="19"/>
  <c r="T125" i="19" s="1"/>
  <c r="P92" i="16"/>
  <c r="P92" i="19" s="1"/>
  <c r="P92" i="26" s="1"/>
  <c r="AE95" i="14"/>
  <c r="AA12" i="14"/>
  <c r="AF12" i="14" s="1"/>
  <c r="AA30" i="14"/>
  <c r="W75" i="16"/>
  <c r="AE78" i="14"/>
  <c r="AC75" i="19"/>
  <c r="AI65" i="14"/>
  <c r="V60" i="15"/>
  <c r="AH73" i="13"/>
  <c r="AH46" i="29" s="1"/>
  <c r="T104" i="15"/>
  <c r="AN104" i="13"/>
  <c r="U74" i="16"/>
  <c r="X59" i="16"/>
  <c r="AA59" i="16" s="1"/>
  <c r="AI59" i="16" s="1"/>
  <c r="W74" i="15"/>
  <c r="AC75" i="16"/>
  <c r="W75" i="19"/>
  <c r="V17" i="15"/>
  <c r="W17" i="15" s="1"/>
  <c r="X17" i="15" s="1"/>
  <c r="AE17" i="15" s="1"/>
  <c r="AI8" i="13"/>
  <c r="AD116" i="13"/>
  <c r="L71" i="19"/>
  <c r="I72" i="16"/>
  <c r="I72" i="19" s="1"/>
  <c r="U52" i="19"/>
  <c r="V52" i="19" s="1"/>
  <c r="X29" i="15"/>
  <c r="AA29" i="15" s="1"/>
  <c r="AF8" i="13"/>
  <c r="AD8" i="13"/>
  <c r="AC29" i="15"/>
  <c r="W29" i="15"/>
  <c r="L71" i="16"/>
  <c r="U24" i="26"/>
  <c r="V24" i="26" s="1"/>
  <c r="AE31" i="15"/>
  <c r="Q77" i="9"/>
  <c r="R77" i="9" s="1"/>
  <c r="V24" i="16"/>
  <c r="AM78" i="13"/>
  <c r="Q157" i="9"/>
  <c r="R157" i="9" s="1"/>
  <c r="R11" i="16"/>
  <c r="T11" i="16" s="1"/>
  <c r="X15" i="15"/>
  <c r="AA15" i="15" s="1"/>
  <c r="AH76" i="14"/>
  <c r="AI76" i="14"/>
  <c r="V41" i="15"/>
  <c r="AE31" i="14"/>
  <c r="P82" i="19"/>
  <c r="AC82" i="19" s="1"/>
  <c r="AE73" i="15"/>
  <c r="AM25" i="13"/>
  <c r="AE43" i="14"/>
  <c r="AE76" i="14"/>
  <c r="AF76" i="14"/>
  <c r="W82" i="16"/>
  <c r="P15" i="16"/>
  <c r="W15" i="16" s="1"/>
  <c r="AL122" i="13"/>
  <c r="AN122" i="13" s="1"/>
  <c r="R93" i="19"/>
  <c r="R93" i="26" s="1"/>
  <c r="T93" i="26" s="1"/>
  <c r="T93" i="16"/>
  <c r="T125" i="15"/>
  <c r="X92" i="15"/>
  <c r="AE92" i="15" s="1"/>
  <c r="AC92" i="15"/>
  <c r="T96" i="15"/>
  <c r="AH90" i="13"/>
  <c r="AH57" i="29" s="1"/>
  <c r="AM73" i="13"/>
  <c r="AM122" i="29" s="1"/>
  <c r="AM123" i="29" s="1"/>
  <c r="V70" i="15"/>
  <c r="T93" i="15"/>
  <c r="AI73" i="13"/>
  <c r="AI46" i="29" s="1"/>
  <c r="AD73" i="13"/>
  <c r="AD46" i="29" s="1"/>
  <c r="U109" i="19"/>
  <c r="V109" i="19" s="1"/>
  <c r="X109" i="19" s="1"/>
  <c r="AA109" i="19" s="1"/>
  <c r="AI109" i="19" s="1"/>
  <c r="X56" i="15"/>
  <c r="AA56" i="15" s="1"/>
  <c r="AD56" i="15" s="1"/>
  <c r="AD18" i="14"/>
  <c r="R125" i="16"/>
  <c r="T125" i="16" s="1"/>
  <c r="AD54" i="14"/>
  <c r="V55" i="19"/>
  <c r="W56" i="15"/>
  <c r="AA63" i="14"/>
  <c r="S145" i="9" s="1"/>
  <c r="T49" i="26"/>
  <c r="AD71" i="13"/>
  <c r="AI14" i="13"/>
  <c r="AF73" i="13"/>
  <c r="AF46" i="29" s="1"/>
  <c r="V55" i="16"/>
  <c r="AE85" i="14"/>
  <c r="U121" i="16"/>
  <c r="V121" i="16" s="1"/>
  <c r="AE11" i="14"/>
  <c r="AF116" i="13"/>
  <c r="AH31" i="13"/>
  <c r="X93" i="15"/>
  <c r="AA93" i="15" s="1"/>
  <c r="W93" i="15"/>
  <c r="AA102" i="14"/>
  <c r="AD102" i="14" s="1"/>
  <c r="AM44" i="14"/>
  <c r="AA62" i="14"/>
  <c r="AD62" i="14" s="1"/>
  <c r="U98" i="19"/>
  <c r="U98" i="26" s="1"/>
  <c r="V98" i="26" s="1"/>
  <c r="W100" i="16"/>
  <c r="AH100" i="16"/>
  <c r="AM26" i="14"/>
  <c r="X11" i="15"/>
  <c r="AA11" i="15" s="1"/>
  <c r="AD11" i="15" s="1"/>
  <c r="AA69" i="14"/>
  <c r="AD100" i="16"/>
  <c r="P100" i="19"/>
  <c r="P100" i="26" s="1"/>
  <c r="AC100" i="26" s="1"/>
  <c r="AD26" i="14"/>
  <c r="AH37" i="13"/>
  <c r="AH26" i="14"/>
  <c r="AC100" i="15"/>
  <c r="AI26" i="14"/>
  <c r="W80" i="16"/>
  <c r="W100" i="15"/>
  <c r="AC100" i="16"/>
  <c r="AC98" i="15"/>
  <c r="AI37" i="13"/>
  <c r="R54" i="16"/>
  <c r="R54" i="19" s="1"/>
  <c r="R54" i="26" s="1"/>
  <c r="AF32" i="14"/>
  <c r="X80" i="16"/>
  <c r="AA80" i="16" s="1"/>
  <c r="R130" i="19"/>
  <c r="T130" i="19" s="1"/>
  <c r="P98" i="16"/>
  <c r="P98" i="19" s="1"/>
  <c r="W75" i="15"/>
  <c r="AL114" i="13"/>
  <c r="AN114" i="13" s="1"/>
  <c r="AD32" i="14"/>
  <c r="AC80" i="16"/>
  <c r="X98" i="15"/>
  <c r="AE98" i="15" s="1"/>
  <c r="AE16" i="14"/>
  <c r="AM92" i="13"/>
  <c r="AI101" i="13"/>
  <c r="AE25" i="14"/>
  <c r="W80" i="19"/>
  <c r="AA8" i="14"/>
  <c r="AI8" i="14" s="1"/>
  <c r="AH29" i="14"/>
  <c r="AI29" i="14"/>
  <c r="V92" i="15"/>
  <c r="AM95" i="15"/>
  <c r="AE37" i="15"/>
  <c r="AH92" i="13"/>
  <c r="AE24" i="14"/>
  <c r="AA10" i="29"/>
  <c r="AM10" i="29" s="1"/>
  <c r="X42" i="15"/>
  <c r="AA42" i="15" s="1"/>
  <c r="AF42" i="15" s="1"/>
  <c r="AE88" i="14"/>
  <c r="T97" i="15"/>
  <c r="T64" i="15"/>
  <c r="Q143" i="9"/>
  <c r="R143" i="9" s="1"/>
  <c r="AD22" i="13"/>
  <c r="AM95" i="13"/>
  <c r="AD71" i="15"/>
  <c r="AA46" i="14"/>
  <c r="AI46" i="14" s="1"/>
  <c r="X9" i="15"/>
  <c r="AA9" i="15" s="1"/>
  <c r="AD9" i="15" s="1"/>
  <c r="R32" i="19"/>
  <c r="T32" i="19" s="1"/>
  <c r="AA50" i="15"/>
  <c r="AD50" i="15" s="1"/>
  <c r="AA86" i="14"/>
  <c r="AD86" i="14" s="1"/>
  <c r="T32" i="15"/>
  <c r="T83" i="16"/>
  <c r="AI71" i="15"/>
  <c r="AC8" i="15"/>
  <c r="P8" i="16"/>
  <c r="P8" i="19" s="1"/>
  <c r="AC8" i="19" s="1"/>
  <c r="Q87" i="9"/>
  <c r="R87" i="9" s="1"/>
  <c r="AF86" i="13"/>
  <c r="AF55" i="29" s="1"/>
  <c r="AE90" i="14"/>
  <c r="AA90" i="14"/>
  <c r="AD90" i="14" s="1"/>
  <c r="X101" i="16"/>
  <c r="AE101" i="16" s="1"/>
  <c r="Q85" i="9"/>
  <c r="R85" i="9" s="1"/>
  <c r="AH77" i="13"/>
  <c r="AH13" i="29" s="1"/>
  <c r="AL43" i="13"/>
  <c r="AN43" i="13" s="1"/>
  <c r="AE68" i="14"/>
  <c r="AC12" i="15"/>
  <c r="AM77" i="13"/>
  <c r="AH76" i="13"/>
  <c r="AH44" i="29" s="1"/>
  <c r="AH63" i="13"/>
  <c r="AH23" i="29" s="1"/>
  <c r="AI103" i="13"/>
  <c r="AL106" i="13"/>
  <c r="AN106" i="13" s="1"/>
  <c r="AF80" i="14"/>
  <c r="P24" i="19"/>
  <c r="AC24" i="19" s="1"/>
  <c r="R11" i="19"/>
  <c r="P7" i="16"/>
  <c r="P7" i="19" s="1"/>
  <c r="AC7" i="19" s="1"/>
  <c r="W68" i="16"/>
  <c r="X68" i="16" s="1"/>
  <c r="AA68" i="16" s="1"/>
  <c r="AF68" i="16" s="1"/>
  <c r="AM58" i="13"/>
  <c r="AM102" i="29" s="1"/>
  <c r="AI77" i="13"/>
  <c r="AI13" i="29" s="1"/>
  <c r="Q65" i="9"/>
  <c r="R65" i="9" s="1"/>
  <c r="AM103" i="13"/>
  <c r="AH26" i="13"/>
  <c r="AE26" i="14"/>
  <c r="U81" i="16"/>
  <c r="U81" i="19" s="1"/>
  <c r="AM29" i="14"/>
  <c r="AE22" i="14"/>
  <c r="R37" i="19"/>
  <c r="R37" i="26" s="1"/>
  <c r="T37" i="26" s="1"/>
  <c r="T49" i="19"/>
  <c r="P101" i="26"/>
  <c r="AC101" i="26" s="1"/>
  <c r="AC35" i="15"/>
  <c r="AC87" i="15"/>
  <c r="AE65" i="14"/>
  <c r="AE56" i="14"/>
  <c r="U32" i="19"/>
  <c r="U32" i="26" s="1"/>
  <c r="V32" i="26" s="1"/>
  <c r="Q151" i="9"/>
  <c r="R151" i="9" s="1"/>
  <c r="AF92" i="13"/>
  <c r="AH78" i="13"/>
  <c r="R69" i="19"/>
  <c r="R69" i="26" s="1"/>
  <c r="T69" i="26" s="1"/>
  <c r="X87" i="15"/>
  <c r="AE87" i="15" s="1"/>
  <c r="P42" i="16"/>
  <c r="P42" i="19" s="1"/>
  <c r="P42" i="26" s="1"/>
  <c r="W42" i="26" s="1"/>
  <c r="AF103" i="13"/>
  <c r="AC93" i="15"/>
  <c r="AF18" i="14"/>
  <c r="AI121" i="15"/>
  <c r="AE15" i="14"/>
  <c r="T49" i="16"/>
  <c r="W102" i="16"/>
  <c r="X101" i="19"/>
  <c r="AE101" i="19" s="1"/>
  <c r="U16" i="16"/>
  <c r="U16" i="19" s="1"/>
  <c r="AE29" i="14"/>
  <c r="AM18" i="14"/>
  <c r="AE36" i="14"/>
  <c r="AD121" i="15"/>
  <c r="T30" i="16"/>
  <c r="AE38" i="14"/>
  <c r="X102" i="16"/>
  <c r="AA102" i="16" s="1"/>
  <c r="AF102" i="16" s="1"/>
  <c r="R81" i="19"/>
  <c r="R81" i="26" s="1"/>
  <c r="T81" i="26" s="1"/>
  <c r="AC101" i="19"/>
  <c r="T49" i="15"/>
  <c r="AC17" i="16"/>
  <c r="AF80" i="13"/>
  <c r="AF58" i="13"/>
  <c r="AF31" i="29" s="1"/>
  <c r="AF78" i="13"/>
  <c r="AD78" i="13"/>
  <c r="AH14" i="13"/>
  <c r="T10" i="15"/>
  <c r="T88" i="15"/>
  <c r="W34" i="15"/>
  <c r="X34" i="15" s="1"/>
  <c r="AE34" i="15" s="1"/>
  <c r="W42" i="15"/>
  <c r="AM14" i="13"/>
  <c r="AL102" i="13"/>
  <c r="AN102" i="13" s="1"/>
  <c r="V72" i="15"/>
  <c r="AM65" i="14"/>
  <c r="AE18" i="14"/>
  <c r="AC102" i="16"/>
  <c r="W101" i="16"/>
  <c r="AC101" i="16"/>
  <c r="X12" i="15"/>
  <c r="AE12" i="15" s="1"/>
  <c r="V70" i="16"/>
  <c r="X70" i="16" s="1"/>
  <c r="AE70" i="16" s="1"/>
  <c r="AF65" i="14"/>
  <c r="AD103" i="13"/>
  <c r="AI92" i="13"/>
  <c r="AD58" i="13"/>
  <c r="AD31" i="29" s="1"/>
  <c r="AD46" i="13"/>
  <c r="AD39" i="29" s="1"/>
  <c r="AF14" i="13"/>
  <c r="V70" i="19"/>
  <c r="AM103" i="14"/>
  <c r="AF103" i="14"/>
  <c r="AH103" i="14"/>
  <c r="AA109" i="26"/>
  <c r="AI109" i="26" s="1"/>
  <c r="AE109" i="26"/>
  <c r="AE79" i="14"/>
  <c r="AA79" i="14"/>
  <c r="AD79" i="14" s="1"/>
  <c r="AI24" i="14"/>
  <c r="AM24" i="14"/>
  <c r="AD24" i="14"/>
  <c r="AF24" i="14"/>
  <c r="AH24" i="14"/>
  <c r="AA39" i="15"/>
  <c r="AF39" i="15" s="1"/>
  <c r="AE39" i="15"/>
  <c r="AH71" i="15"/>
  <c r="AD80" i="14"/>
  <c r="AH58" i="14"/>
  <c r="AE20" i="14"/>
  <c r="R72" i="16"/>
  <c r="T72" i="16" s="1"/>
  <c r="AI35" i="14"/>
  <c r="AE73" i="14"/>
  <c r="AA67" i="14"/>
  <c r="AI67" i="14" s="1"/>
  <c r="AE74" i="14"/>
  <c r="W27" i="16"/>
  <c r="X27" i="16" s="1"/>
  <c r="AE27" i="16" s="1"/>
  <c r="AC68" i="15"/>
  <c r="AC71" i="15"/>
  <c r="AM79" i="13"/>
  <c r="AM79" i="29" s="1"/>
  <c r="AM80" i="13"/>
  <c r="AH80" i="13"/>
  <c r="AH71" i="13"/>
  <c r="AD68" i="13"/>
  <c r="AI91" i="13"/>
  <c r="AI65" i="29" s="1"/>
  <c r="AD90" i="13"/>
  <c r="AD57" i="29" s="1"/>
  <c r="AI22" i="13"/>
  <c r="AM91" i="13"/>
  <c r="AM140" i="29" s="1"/>
  <c r="P6" i="16"/>
  <c r="AC6" i="16" s="1"/>
  <c r="AD101" i="13"/>
  <c r="AE103" i="14"/>
  <c r="AI90" i="13"/>
  <c r="AI57" i="29" s="1"/>
  <c r="X6" i="15"/>
  <c r="AA6" i="15" s="1"/>
  <c r="AI6" i="15" s="1"/>
  <c r="U109" i="16"/>
  <c r="V109" i="16" s="1"/>
  <c r="X109" i="16" s="1"/>
  <c r="AA109" i="16" s="1"/>
  <c r="AI109" i="16" s="1"/>
  <c r="AC103" i="15"/>
  <c r="AE51" i="14"/>
  <c r="AA77" i="14"/>
  <c r="AH77" i="14" s="1"/>
  <c r="AH121" i="15"/>
  <c r="R95" i="16"/>
  <c r="R95" i="19" s="1"/>
  <c r="AE94" i="14"/>
  <c r="W24" i="16"/>
  <c r="R15" i="19"/>
  <c r="T15" i="19" s="1"/>
  <c r="AC21" i="15"/>
  <c r="V109" i="15"/>
  <c r="X109" i="15" s="1"/>
  <c r="AE109" i="15" s="1"/>
  <c r="AC68" i="16"/>
  <c r="AM71" i="15"/>
  <c r="AA52" i="14"/>
  <c r="AM52" i="14" s="1"/>
  <c r="V43" i="15"/>
  <c r="AF121" i="15"/>
  <c r="AD58" i="14"/>
  <c r="AI50" i="14"/>
  <c r="AF35" i="14"/>
  <c r="S46" i="16"/>
  <c r="T46" i="16" s="1"/>
  <c r="AA84" i="15"/>
  <c r="AD84" i="15" s="1"/>
  <c r="J71" i="19"/>
  <c r="P32" i="16"/>
  <c r="AC32" i="16" s="1"/>
  <c r="AF37" i="14"/>
  <c r="X8" i="15"/>
  <c r="AA8" i="15" s="1"/>
  <c r="AM8" i="15" s="1"/>
  <c r="W68" i="15"/>
  <c r="X68" i="15" s="1"/>
  <c r="AA68" i="15" s="1"/>
  <c r="AF68" i="15" s="1"/>
  <c r="AD37" i="14"/>
  <c r="AE45" i="14"/>
  <c r="R45" i="16"/>
  <c r="R45" i="19" s="1"/>
  <c r="R45" i="26" s="1"/>
  <c r="T45" i="26" s="1"/>
  <c r="W71" i="15"/>
  <c r="AI10" i="13"/>
  <c r="AI67" i="29" s="1"/>
  <c r="AM90" i="13"/>
  <c r="AM132" i="29" s="1"/>
  <c r="Q155" i="9"/>
  <c r="R155" i="9" s="1"/>
  <c r="AM22" i="13"/>
  <c r="AD76" i="13"/>
  <c r="AD44" i="29" s="1"/>
  <c r="AF63" i="13"/>
  <c r="AF23" i="29" s="1"/>
  <c r="AI71" i="13"/>
  <c r="AM101" i="13"/>
  <c r="P6" i="19"/>
  <c r="W6" i="19" s="1"/>
  <c r="AD79" i="13"/>
  <c r="AD11" i="29" s="1"/>
  <c r="AI18" i="14"/>
  <c r="X103" i="15"/>
  <c r="AE103" i="15" s="1"/>
  <c r="AA70" i="14"/>
  <c r="AM70" i="14" s="1"/>
  <c r="P69" i="16"/>
  <c r="P69" i="19" s="1"/>
  <c r="P69" i="26" s="1"/>
  <c r="AE101" i="14"/>
  <c r="AL56" i="13"/>
  <c r="AN56" i="13" s="1"/>
  <c r="AC99" i="15"/>
  <c r="AC6" i="15"/>
  <c r="AF58" i="14"/>
  <c r="AA24" i="15"/>
  <c r="AI24" i="15" s="1"/>
  <c r="T72" i="15"/>
  <c r="X99" i="15"/>
  <c r="AA99" i="15" s="1"/>
  <c r="AI99" i="15" s="1"/>
  <c r="AA17" i="14"/>
  <c r="AI17" i="14" s="1"/>
  <c r="T7" i="15"/>
  <c r="AE71" i="15"/>
  <c r="AI80" i="13"/>
  <c r="X24" i="16"/>
  <c r="AE24" i="16" s="1"/>
  <c r="AF90" i="13"/>
  <c r="AF57" i="29" s="1"/>
  <c r="AF68" i="13"/>
  <c r="AD91" i="13"/>
  <c r="AD65" i="29" s="1"/>
  <c r="AM71" i="13"/>
  <c r="AF101" i="13"/>
  <c r="AE21" i="29"/>
  <c r="P103" i="16"/>
  <c r="AC103" i="16" s="1"/>
  <c r="AC69" i="15"/>
  <c r="AM52" i="29"/>
  <c r="AH16" i="14"/>
  <c r="AF16" i="14"/>
  <c r="AD16" i="14"/>
  <c r="AM16" i="14"/>
  <c r="AM102" i="15"/>
  <c r="AI102" i="15"/>
  <c r="T67" i="15"/>
  <c r="AM7" i="14"/>
  <c r="AE23" i="14"/>
  <c r="T67" i="16"/>
  <c r="P59" i="19"/>
  <c r="AC59" i="19" s="1"/>
  <c r="W29" i="16"/>
  <c r="T100" i="16"/>
  <c r="T15" i="15"/>
  <c r="T67" i="19"/>
  <c r="T19" i="15"/>
  <c r="AF64" i="14"/>
  <c r="AA26" i="15"/>
  <c r="AM26" i="15" s="1"/>
  <c r="AE61" i="14"/>
  <c r="AE47" i="14"/>
  <c r="W59" i="16"/>
  <c r="U45" i="19"/>
  <c r="U45" i="26" s="1"/>
  <c r="V45" i="26" s="1"/>
  <c r="T26" i="15"/>
  <c r="N6" i="16"/>
  <c r="AD28" i="13"/>
  <c r="AH105" i="13"/>
  <c r="Q119" i="9"/>
  <c r="R119" i="9" s="1"/>
  <c r="AH57" i="13"/>
  <c r="AH32" i="29" s="1"/>
  <c r="AL124" i="13"/>
  <c r="AN124" i="13" s="1"/>
  <c r="AI97" i="13"/>
  <c r="AH97" i="13"/>
  <c r="AL21" i="13"/>
  <c r="AN21" i="13" s="1"/>
  <c r="AF26" i="13"/>
  <c r="AM26" i="13"/>
  <c r="AA35" i="29"/>
  <c r="AM35" i="29" s="1"/>
  <c r="AE64" i="14"/>
  <c r="AE66" i="15"/>
  <c r="T68" i="16"/>
  <c r="V45" i="15"/>
  <c r="P29" i="19"/>
  <c r="AC29" i="19" s="1"/>
  <c r="AE104" i="14"/>
  <c r="AD32" i="13"/>
  <c r="AF64" i="13"/>
  <c r="AH25" i="13"/>
  <c r="AF25" i="13"/>
  <c r="Q97" i="9"/>
  <c r="R97" i="9" s="1"/>
  <c r="AM38" i="13"/>
  <c r="AE102" i="15"/>
  <c r="AD25" i="13"/>
  <c r="AM93" i="13"/>
  <c r="AE7" i="29"/>
  <c r="P85" i="26"/>
  <c r="W85" i="26" s="1"/>
  <c r="AC85" i="19"/>
  <c r="T30" i="15"/>
  <c r="P74" i="16"/>
  <c r="P74" i="19" s="1"/>
  <c r="P74" i="26" s="1"/>
  <c r="X74" i="26" s="1"/>
  <c r="AA74" i="26" s="1"/>
  <c r="AD74" i="26" s="1"/>
  <c r="AH31" i="15"/>
  <c r="AI51" i="15"/>
  <c r="AI16" i="14"/>
  <c r="AD67" i="15"/>
  <c r="W94" i="15"/>
  <c r="W26" i="16"/>
  <c r="T21" i="16"/>
  <c r="X35" i="15"/>
  <c r="AE35" i="15" s="1"/>
  <c r="AA19" i="14"/>
  <c r="AF19" i="14" s="1"/>
  <c r="C72" i="16"/>
  <c r="X28" i="15"/>
  <c r="AA28" i="15" s="1"/>
  <c r="AF28" i="15" s="1"/>
  <c r="AC7" i="15"/>
  <c r="T57" i="16"/>
  <c r="AF70" i="13"/>
  <c r="AD105" i="13"/>
  <c r="AM57" i="13"/>
  <c r="AM103" i="29" s="1"/>
  <c r="AF45" i="13"/>
  <c r="AI47" i="13"/>
  <c r="AI59" i="29" s="1"/>
  <c r="AH38" i="13"/>
  <c r="AH62" i="29" s="1"/>
  <c r="AD38" i="13"/>
  <c r="AD62" i="29" s="1"/>
  <c r="X85" i="15"/>
  <c r="AE85" i="15" s="1"/>
  <c r="X94" i="15"/>
  <c r="W84" i="15"/>
  <c r="P84" i="16"/>
  <c r="X84" i="16" s="1"/>
  <c r="AA84" i="16" s="1"/>
  <c r="AC84" i="15"/>
  <c r="R89" i="16"/>
  <c r="T89" i="15"/>
  <c r="T17" i="15"/>
  <c r="AA66" i="14"/>
  <c r="AF66" i="14" s="1"/>
  <c r="X74" i="15"/>
  <c r="AA74" i="15" s="1"/>
  <c r="AI74" i="15" s="1"/>
  <c r="AF51" i="15"/>
  <c r="AD27" i="15"/>
  <c r="T92" i="15"/>
  <c r="T77" i="15"/>
  <c r="AE95" i="15"/>
  <c r="AD95" i="15"/>
  <c r="P35" i="16"/>
  <c r="X35" i="16" s="1"/>
  <c r="AA35" i="16" s="1"/>
  <c r="AC85" i="16"/>
  <c r="S29" i="16"/>
  <c r="S29" i="19" s="1"/>
  <c r="R77" i="19"/>
  <c r="R77" i="26" s="1"/>
  <c r="T77" i="26" s="1"/>
  <c r="T50" i="16"/>
  <c r="AA98" i="14"/>
  <c r="AI98" i="14" s="1"/>
  <c r="AF37" i="15"/>
  <c r="W28" i="15"/>
  <c r="T57" i="15"/>
  <c r="AD70" i="13"/>
  <c r="AF105" i="13"/>
  <c r="AM45" i="13"/>
  <c r="AF97" i="13"/>
  <c r="Q61" i="9"/>
  <c r="R61" i="9" s="1"/>
  <c r="AL15" i="13"/>
  <c r="AN15" i="13" s="1"/>
  <c r="AL54" i="29"/>
  <c r="AN54" i="29" s="1"/>
  <c r="W85" i="15"/>
  <c r="R43" i="16"/>
  <c r="R43" i="19" s="1"/>
  <c r="R43" i="26" s="1"/>
  <c r="T43" i="26" s="1"/>
  <c r="AI95" i="15"/>
  <c r="AE34" i="29"/>
  <c r="U33" i="16"/>
  <c r="U33" i="19" s="1"/>
  <c r="AF8" i="14"/>
  <c r="AA61" i="15"/>
  <c r="AF61" i="15" s="1"/>
  <c r="AE54" i="14"/>
  <c r="AM27" i="15"/>
  <c r="T83" i="15"/>
  <c r="AC95" i="16"/>
  <c r="AA107" i="14"/>
  <c r="AD107" i="14" s="1"/>
  <c r="AH95" i="15"/>
  <c r="Q71" i="16"/>
  <c r="AA71" i="14"/>
  <c r="AH71" i="14" s="1"/>
  <c r="V98" i="15"/>
  <c r="Q107" i="9"/>
  <c r="R107" i="9" s="1"/>
  <c r="Q152" i="9"/>
  <c r="R152" i="9" s="1"/>
  <c r="Q64" i="9"/>
  <c r="R64" i="9" s="1"/>
  <c r="AM105" i="13"/>
  <c r="AI89" i="13"/>
  <c r="AI60" i="29" s="1"/>
  <c r="AD97" i="13"/>
  <c r="AE27" i="14"/>
  <c r="T69" i="15"/>
  <c r="AL41" i="13"/>
  <c r="AN41" i="13" s="1"/>
  <c r="AL115" i="13"/>
  <c r="AN115" i="13" s="1"/>
  <c r="AC85" i="15"/>
  <c r="X81" i="15"/>
  <c r="AE81" i="15" s="1"/>
  <c r="AE27" i="29"/>
  <c r="T84" i="15"/>
  <c r="R84" i="16"/>
  <c r="AL47" i="29"/>
  <c r="AN47" i="29" s="1"/>
  <c r="AL58" i="29"/>
  <c r="AN58" i="29" s="1"/>
  <c r="AL63" i="29"/>
  <c r="AN63" i="29" s="1"/>
  <c r="AL42" i="29"/>
  <c r="AN42" i="29" s="1"/>
  <c r="Q414" i="9"/>
  <c r="F30" i="2"/>
  <c r="V6" i="9"/>
  <c r="V6" i="10" s="1"/>
  <c r="I24" i="2"/>
  <c r="O6" i="7"/>
  <c r="R195" i="9"/>
  <c r="Z53" i="18"/>
  <c r="P160" i="18"/>
  <c r="AA49" i="14"/>
  <c r="AD49" i="14" s="1"/>
  <c r="AE49" i="14"/>
  <c r="AD45" i="14"/>
  <c r="AI45" i="14"/>
  <c r="AH45" i="14"/>
  <c r="AM45" i="14"/>
  <c r="AF45" i="14"/>
  <c r="AE34" i="14"/>
  <c r="AA34" i="14"/>
  <c r="AI34" i="14" s="1"/>
  <c r="AA44" i="26"/>
  <c r="AI44" i="26" s="1"/>
  <c r="AE44" i="26"/>
  <c r="AD39" i="13"/>
  <c r="AD9" i="29" s="1"/>
  <c r="AA9" i="29"/>
  <c r="AM9" i="29" s="1"/>
  <c r="T53" i="15"/>
  <c r="AE93" i="14"/>
  <c r="W99" i="15"/>
  <c r="W87" i="16"/>
  <c r="W22" i="16"/>
  <c r="R16" i="19"/>
  <c r="R16" i="26" s="1"/>
  <c r="T16" i="26" s="1"/>
  <c r="AL112" i="13"/>
  <c r="AN112" i="13" s="1"/>
  <c r="Q132" i="9"/>
  <c r="R132" i="9" s="1"/>
  <c r="AF24" i="13"/>
  <c r="AF33" i="13"/>
  <c r="AF21" i="29" s="1"/>
  <c r="AD33" i="13"/>
  <c r="AD21" i="29" s="1"/>
  <c r="AD7" i="13"/>
  <c r="AH86" i="13"/>
  <c r="AH55" i="29" s="1"/>
  <c r="AF23" i="13"/>
  <c r="AF29" i="13"/>
  <c r="AF17" i="29" s="1"/>
  <c r="AI93" i="13"/>
  <c r="AE17" i="29"/>
  <c r="AL65" i="13"/>
  <c r="AL98" i="29" s="1"/>
  <c r="AN98" i="29" s="1"/>
  <c r="AE28" i="29"/>
  <c r="AL28" i="29" s="1"/>
  <c r="AN28" i="29" s="1"/>
  <c r="AF66" i="13"/>
  <c r="AH32" i="13"/>
  <c r="AF47" i="13"/>
  <c r="AF59" i="29" s="1"/>
  <c r="AA59" i="29"/>
  <c r="AM59" i="29" s="1"/>
  <c r="AI79" i="13"/>
  <c r="AI11" i="29" s="1"/>
  <c r="AA11" i="29"/>
  <c r="AM11" i="29" s="1"/>
  <c r="AH91" i="13"/>
  <c r="AH65" i="29" s="1"/>
  <c r="AA65" i="29"/>
  <c r="AM65" i="29" s="1"/>
  <c r="AI101" i="14"/>
  <c r="AD87" i="13"/>
  <c r="AD68" i="29" s="1"/>
  <c r="AA68" i="29"/>
  <c r="AM68" i="29" s="1"/>
  <c r="AC70" i="29"/>
  <c r="T38" i="15"/>
  <c r="AF99" i="14"/>
  <c r="AC11" i="15"/>
  <c r="AM54" i="14"/>
  <c r="S57" i="19"/>
  <c r="S57" i="26" s="1"/>
  <c r="T57" i="26" s="1"/>
  <c r="V121" i="15"/>
  <c r="U40" i="16"/>
  <c r="V40" i="16" s="1"/>
  <c r="W40" i="16" s="1"/>
  <c r="X40" i="16" s="1"/>
  <c r="AA40" i="16" s="1"/>
  <c r="P11" i="16"/>
  <c r="P11" i="19" s="1"/>
  <c r="P11" i="26" s="1"/>
  <c r="W11" i="26" s="1"/>
  <c r="AI54" i="14"/>
  <c r="T53" i="26"/>
  <c r="AA38" i="15"/>
  <c r="AH38" i="15" s="1"/>
  <c r="AA75" i="14"/>
  <c r="S56" i="9" s="1"/>
  <c r="AE42" i="14"/>
  <c r="W12" i="15"/>
  <c r="U68" i="19"/>
  <c r="V68" i="19" s="1"/>
  <c r="W68" i="19" s="1"/>
  <c r="X68" i="19" s="1"/>
  <c r="AA82" i="14"/>
  <c r="AF82" i="14" s="1"/>
  <c r="V44" i="16"/>
  <c r="W44" i="16" s="1"/>
  <c r="X44" i="16" s="1"/>
  <c r="W13" i="15"/>
  <c r="V7" i="15"/>
  <c r="X7" i="15" s="1"/>
  <c r="AE7" i="15" s="1"/>
  <c r="N71" i="16"/>
  <c r="AI59" i="13"/>
  <c r="AI30" i="29" s="1"/>
  <c r="AH20" i="29"/>
  <c r="Q104" i="9"/>
  <c r="R104" i="9" s="1"/>
  <c r="AM86" i="13"/>
  <c r="AM129" i="29" s="1"/>
  <c r="AM130" i="29" s="1"/>
  <c r="AD23" i="13"/>
  <c r="AM29" i="13"/>
  <c r="AM85" i="29" s="1"/>
  <c r="AI87" i="13"/>
  <c r="AI68" i="29" s="1"/>
  <c r="AL48" i="13"/>
  <c r="AN48" i="13" s="1"/>
  <c r="AD66" i="13"/>
  <c r="AM81" i="13"/>
  <c r="AM125" i="29" s="1"/>
  <c r="AM126" i="29" s="1"/>
  <c r="AA49" i="29"/>
  <c r="AM49" i="29" s="1"/>
  <c r="AE8" i="29"/>
  <c r="AH23" i="13"/>
  <c r="AM23" i="13"/>
  <c r="AM94" i="13"/>
  <c r="AM27" i="13"/>
  <c r="AM87" i="29" s="1"/>
  <c r="AA20" i="29"/>
  <c r="AM20" i="29" s="1"/>
  <c r="AM64" i="13"/>
  <c r="AA27" i="29"/>
  <c r="AM27" i="29" s="1"/>
  <c r="AL109" i="13"/>
  <c r="AN109" i="13" s="1"/>
  <c r="V44" i="15"/>
  <c r="W44" i="15" s="1"/>
  <c r="X44" i="15" s="1"/>
  <c r="AE44" i="15" s="1"/>
  <c r="AF101" i="14"/>
  <c r="AD101" i="14"/>
  <c r="U121" i="19"/>
  <c r="V121" i="19" s="1"/>
  <c r="V63" i="15"/>
  <c r="W63" i="15" s="1"/>
  <c r="X63" i="15" s="1"/>
  <c r="AA63" i="15" s="1"/>
  <c r="AH87" i="14"/>
  <c r="AF54" i="14"/>
  <c r="AA57" i="14"/>
  <c r="AF57" i="14" s="1"/>
  <c r="AD9" i="14"/>
  <c r="AD104" i="15"/>
  <c r="T61" i="15"/>
  <c r="V44" i="19"/>
  <c r="W44" i="19" s="1"/>
  <c r="X44" i="19" s="1"/>
  <c r="AE44" i="19" s="1"/>
  <c r="Q162" i="9"/>
  <c r="R162" i="9" s="1"/>
  <c r="AC72" i="29"/>
  <c r="AM32" i="13"/>
  <c r="AI28" i="13"/>
  <c r="AD59" i="13"/>
  <c r="AD30" i="29" s="1"/>
  <c r="Q58" i="9"/>
  <c r="R58" i="9" s="1"/>
  <c r="AH7" i="13"/>
  <c r="AH25" i="29" s="1"/>
  <c r="AH33" i="13"/>
  <c r="AH21" i="29" s="1"/>
  <c r="AH68" i="13"/>
  <c r="AD93" i="13"/>
  <c r="Q55" i="9"/>
  <c r="R55" i="9" s="1"/>
  <c r="AL53" i="13"/>
  <c r="AL128" i="29" s="1"/>
  <c r="AD52" i="29"/>
  <c r="AD86" i="13"/>
  <c r="AD55" i="29" s="1"/>
  <c r="AF32" i="13"/>
  <c r="AF77" i="13"/>
  <c r="AF13" i="29" s="1"/>
  <c r="AA13" i="29"/>
  <c r="AM13" i="29" s="1"/>
  <c r="AA8" i="29"/>
  <c r="AM8" i="29" s="1"/>
  <c r="AH22" i="13"/>
  <c r="AA34" i="29"/>
  <c r="AM34" i="29" s="1"/>
  <c r="AA7" i="29"/>
  <c r="AM101" i="14"/>
  <c r="AF38" i="13"/>
  <c r="AF62" i="29" s="1"/>
  <c r="AA62" i="29"/>
  <c r="AM62" i="29" s="1"/>
  <c r="T86" i="16"/>
  <c r="R86" i="19"/>
  <c r="R86" i="26" s="1"/>
  <c r="T86" i="26" s="1"/>
  <c r="AF27" i="14"/>
  <c r="AD27" i="14"/>
  <c r="AH27" i="14"/>
  <c r="AD99" i="14"/>
  <c r="T40" i="16"/>
  <c r="AE58" i="14"/>
  <c r="AL58" i="14" s="1"/>
  <c r="AD24" i="13"/>
  <c r="AM24" i="13"/>
  <c r="AM108" i="29" s="1"/>
  <c r="AI24" i="13"/>
  <c r="AI35" i="29" s="1"/>
  <c r="Q93" i="9"/>
  <c r="R93" i="9" s="1"/>
  <c r="AL84" i="13"/>
  <c r="W90" i="19"/>
  <c r="AM99" i="14"/>
  <c r="AI64" i="14"/>
  <c r="AH85" i="14"/>
  <c r="AM58" i="14"/>
  <c r="T51" i="16"/>
  <c r="P78" i="16"/>
  <c r="P78" i="19" s="1"/>
  <c r="P78" i="26" s="1"/>
  <c r="AC78" i="26" s="1"/>
  <c r="X78" i="15"/>
  <c r="AA78" i="15" s="1"/>
  <c r="AM78" i="15" s="1"/>
  <c r="AH104" i="15"/>
  <c r="T24" i="15"/>
  <c r="AE33" i="15"/>
  <c r="T40" i="15"/>
  <c r="Q103" i="9"/>
  <c r="R103" i="9" s="1"/>
  <c r="Q147" i="9"/>
  <c r="R147" i="9" s="1"/>
  <c r="AM116" i="13"/>
  <c r="AM28" i="13"/>
  <c r="AH64" i="13"/>
  <c r="AH24" i="13"/>
  <c r="AM87" i="13"/>
  <c r="AD94" i="13"/>
  <c r="P45" i="16"/>
  <c r="W45" i="16" s="1"/>
  <c r="AI68" i="13"/>
  <c r="AI39" i="13"/>
  <c r="AI9" i="29" s="1"/>
  <c r="AF87" i="13"/>
  <c r="AF68" i="29" s="1"/>
  <c r="AH87" i="13"/>
  <c r="AH68" i="29" s="1"/>
  <c r="AD64" i="13"/>
  <c r="AC70" i="15"/>
  <c r="AH116" i="13"/>
  <c r="T86" i="15"/>
  <c r="U48" i="16"/>
  <c r="V48" i="15"/>
  <c r="AI58" i="13"/>
  <c r="AI31" i="29" s="1"/>
  <c r="AH58" i="13"/>
  <c r="AH31" i="29" s="1"/>
  <c r="AH99" i="14"/>
  <c r="AF85" i="14"/>
  <c r="T51" i="15"/>
  <c r="P95" i="19"/>
  <c r="W95" i="19" s="1"/>
  <c r="W48" i="15"/>
  <c r="AH28" i="13"/>
  <c r="AI94" i="13"/>
  <c r="AF94" i="13"/>
  <c r="AL8" i="13"/>
  <c r="AN8" i="13" s="1"/>
  <c r="X72" i="15"/>
  <c r="AC72" i="15"/>
  <c r="P72" i="16"/>
  <c r="W72" i="15"/>
  <c r="AD548" i="18"/>
  <c r="AE548" i="18" s="1"/>
  <c r="AF548" i="18" s="1"/>
  <c r="AL22" i="12"/>
  <c r="AN22" i="12" s="1"/>
  <c r="AI64" i="12"/>
  <c r="AI13" i="27" s="1"/>
  <c r="AA85" i="8"/>
  <c r="AM64" i="12"/>
  <c r="AA13" i="27"/>
  <c r="AM13" i="27" s="1"/>
  <c r="AD64" i="12"/>
  <c r="O85" i="9"/>
  <c r="P85" i="9" s="1"/>
  <c r="AH64" i="12"/>
  <c r="AH13" i="27" s="1"/>
  <c r="AF64" i="12"/>
  <c r="AF13" i="27" s="1"/>
  <c r="AL37" i="12"/>
  <c r="AN37" i="12" s="1"/>
  <c r="AH25" i="27"/>
  <c r="AD596" i="18"/>
  <c r="AE596" i="18" s="1"/>
  <c r="AF596" i="18" s="1"/>
  <c r="AC97" i="8"/>
  <c r="AA7" i="27"/>
  <c r="AD576" i="18"/>
  <c r="AE576" i="18" s="1"/>
  <c r="AF576" i="18" s="1"/>
  <c r="AM83" i="27"/>
  <c r="AD552" i="18"/>
  <c r="AE552" i="18" s="1"/>
  <c r="AF552" i="18" s="1"/>
  <c r="AF23" i="27"/>
  <c r="AD46" i="12"/>
  <c r="AM46" i="12"/>
  <c r="AD47" i="12"/>
  <c r="AF47" i="12"/>
  <c r="AM47" i="12"/>
  <c r="AI47" i="12"/>
  <c r="AH47" i="12"/>
  <c r="AI54" i="12"/>
  <c r="AH54" i="12"/>
  <c r="AF54" i="12"/>
  <c r="AM54" i="12"/>
  <c r="AD54" i="12"/>
  <c r="AL54" i="12" s="1"/>
  <c r="AN54" i="12" s="1"/>
  <c r="AC149" i="8"/>
  <c r="AN81" i="12"/>
  <c r="AL55" i="12"/>
  <c r="AN55" i="12" s="1"/>
  <c r="AL86" i="12"/>
  <c r="AN86" i="12" s="1"/>
  <c r="AL91" i="12"/>
  <c r="AN91" i="12" s="1"/>
  <c r="AA132" i="12"/>
  <c r="AL83" i="12"/>
  <c r="AF94" i="12"/>
  <c r="AM126" i="27"/>
  <c r="AL120" i="12"/>
  <c r="AN120" i="12" s="1"/>
  <c r="AL50" i="12"/>
  <c r="AD635" i="18"/>
  <c r="AE635" i="18" s="1"/>
  <c r="AF635" i="18" s="1"/>
  <c r="AL115" i="12"/>
  <c r="AN115" i="12" s="1"/>
  <c r="AD473" i="18"/>
  <c r="AE473" i="18" s="1"/>
  <c r="AF473" i="18" s="1"/>
  <c r="AD23" i="27"/>
  <c r="AF59" i="12"/>
  <c r="AL59" i="12" s="1"/>
  <c r="AN59" i="12" s="1"/>
  <c r="AH59" i="12"/>
  <c r="AA66" i="27"/>
  <c r="AM66" i="27" s="1"/>
  <c r="O93" i="9"/>
  <c r="P93" i="9" s="1"/>
  <c r="AH73" i="12"/>
  <c r="U174" i="9"/>
  <c r="V174" i="9" s="1"/>
  <c r="AD120" i="19"/>
  <c r="AM120" i="19"/>
  <c r="AH112" i="19"/>
  <c r="W102" i="19"/>
  <c r="AA57" i="19"/>
  <c r="AM57" i="19" s="1"/>
  <c r="X102" i="26"/>
  <c r="AA102" i="26" s="1"/>
  <c r="AD106" i="16"/>
  <c r="AF112" i="16"/>
  <c r="AL112" i="16" s="1"/>
  <c r="AN112" i="16" s="1"/>
  <c r="AI112" i="16"/>
  <c r="AC102" i="19"/>
  <c r="T51" i="19"/>
  <c r="AL127" i="16"/>
  <c r="AN127" i="16" s="1"/>
  <c r="AM115" i="16"/>
  <c r="AI115" i="16"/>
  <c r="AF115" i="16"/>
  <c r="AH115" i="16"/>
  <c r="AD115" i="16"/>
  <c r="AC90" i="19"/>
  <c r="V65" i="19"/>
  <c r="X65" i="19" s="1"/>
  <c r="AA65" i="19" s="1"/>
  <c r="U97" i="26"/>
  <c r="V97" i="26" s="1"/>
  <c r="AA73" i="16"/>
  <c r="AI73" i="16" s="1"/>
  <c r="T7" i="26"/>
  <c r="AC17" i="19"/>
  <c r="AL126" i="16"/>
  <c r="AN126" i="16" s="1"/>
  <c r="AI116" i="16"/>
  <c r="AD116" i="16"/>
  <c r="AH116" i="16"/>
  <c r="AF116" i="16"/>
  <c r="AC102" i="26"/>
  <c r="AL106" i="16"/>
  <c r="AN106" i="16" s="1"/>
  <c r="T53" i="19"/>
  <c r="T30" i="19"/>
  <c r="X102" i="19"/>
  <c r="AA102" i="19" s="1"/>
  <c r="X23" i="16"/>
  <c r="AE23" i="16" s="1"/>
  <c r="AH111" i="16"/>
  <c r="AF111" i="16"/>
  <c r="AL111" i="16" s="1"/>
  <c r="AN111" i="16" s="1"/>
  <c r="AM100" i="15"/>
  <c r="AM67" i="15"/>
  <c r="AH67" i="15"/>
  <c r="AF119" i="15"/>
  <c r="AL119" i="15" s="1"/>
  <c r="AN119" i="15" s="1"/>
  <c r="AM119" i="15"/>
  <c r="AL114" i="15"/>
  <c r="AN114" i="15" s="1"/>
  <c r="AN126" i="15"/>
  <c r="AI119" i="15"/>
  <c r="AI67" i="15"/>
  <c r="AF117" i="15"/>
  <c r="AI117" i="15"/>
  <c r="AL117" i="15" s="1"/>
  <c r="AN117" i="15" s="1"/>
  <c r="P104" i="19"/>
  <c r="W104" i="19" s="1"/>
  <c r="T7" i="19"/>
  <c r="AM30" i="15"/>
  <c r="X104" i="16"/>
  <c r="AA104" i="16" s="1"/>
  <c r="AF104" i="16" s="1"/>
  <c r="AI37" i="15"/>
  <c r="AC104" i="16"/>
  <c r="W88" i="16"/>
  <c r="R31" i="19"/>
  <c r="R31" i="26" s="1"/>
  <c r="T31" i="26" s="1"/>
  <c r="R92" i="19"/>
  <c r="R92" i="26" s="1"/>
  <c r="T92" i="26" s="1"/>
  <c r="G72" i="19"/>
  <c r="G72" i="26" s="1"/>
  <c r="AD37" i="15"/>
  <c r="AL106" i="15"/>
  <c r="AN106" i="15"/>
  <c r="AE82" i="15"/>
  <c r="AH37" i="15"/>
  <c r="AL120" i="15"/>
  <c r="AN120" i="15" s="1"/>
  <c r="AL122" i="15"/>
  <c r="AN122" i="15" s="1"/>
  <c r="P48" i="19"/>
  <c r="AC48" i="19" s="1"/>
  <c r="W48" i="16"/>
  <c r="AF41" i="14"/>
  <c r="AD41" i="14"/>
  <c r="W78" i="15"/>
  <c r="AC46" i="15"/>
  <c r="W100" i="19"/>
  <c r="P70" i="19"/>
  <c r="AC70" i="19" s="1"/>
  <c r="AF30" i="15"/>
  <c r="AH30" i="15"/>
  <c r="X45" i="15"/>
  <c r="AA45" i="15" s="1"/>
  <c r="AF45" i="15" s="1"/>
  <c r="AM80" i="14"/>
  <c r="AI23" i="14"/>
  <c r="T25" i="15"/>
  <c r="AM73" i="15"/>
  <c r="P46" i="16"/>
  <c r="P46" i="19" s="1"/>
  <c r="P46" i="26" s="1"/>
  <c r="W46" i="26" s="1"/>
  <c r="V69" i="15"/>
  <c r="X69" i="15" s="1"/>
  <c r="W70" i="16"/>
  <c r="R79" i="19"/>
  <c r="T79" i="19" s="1"/>
  <c r="AC87" i="16"/>
  <c r="R48" i="19"/>
  <c r="T48" i="19" s="1"/>
  <c r="T59" i="16"/>
  <c r="AA19" i="15"/>
  <c r="AD19" i="15" s="1"/>
  <c r="P20" i="16"/>
  <c r="P20" i="19" s="1"/>
  <c r="W20" i="19" s="1"/>
  <c r="AE30" i="15"/>
  <c r="S27" i="16"/>
  <c r="T27" i="16" s="1"/>
  <c r="AI30" i="15"/>
  <c r="AC48" i="15"/>
  <c r="X18" i="15"/>
  <c r="AA18" i="15" s="1"/>
  <c r="AM18" i="15" s="1"/>
  <c r="AA14" i="14"/>
  <c r="AI14" i="14" s="1"/>
  <c r="X48" i="15"/>
  <c r="AA48" i="15" s="1"/>
  <c r="AD48" i="15" s="1"/>
  <c r="W45" i="15"/>
  <c r="X70" i="15"/>
  <c r="AA70" i="15" s="1"/>
  <c r="AH70" i="15" s="1"/>
  <c r="W70" i="15"/>
  <c r="P54" i="16"/>
  <c r="P54" i="19" s="1"/>
  <c r="P54" i="26" s="1"/>
  <c r="W54" i="26" s="1"/>
  <c r="X54" i="26" s="1"/>
  <c r="AA54" i="26" s="1"/>
  <c r="AI54" i="26" s="1"/>
  <c r="AM41" i="14"/>
  <c r="X58" i="15"/>
  <c r="AA58" i="15" s="1"/>
  <c r="AF125" i="26"/>
  <c r="AH41" i="14"/>
  <c r="AH80" i="14"/>
  <c r="AH23" i="14"/>
  <c r="AD116" i="14"/>
  <c r="V43" i="19"/>
  <c r="AD31" i="15"/>
  <c r="AN126" i="14"/>
  <c r="AL113" i="14"/>
  <c r="AN113" i="14" s="1"/>
  <c r="P88" i="19"/>
  <c r="AC88" i="19" s="1"/>
  <c r="AL127" i="14"/>
  <c r="AN127" i="14" s="1"/>
  <c r="AL40" i="13"/>
  <c r="AL96" i="13"/>
  <c r="AN96" i="13" s="1"/>
  <c r="P80" i="26"/>
  <c r="AC80" i="26" s="1"/>
  <c r="X80" i="19"/>
  <c r="AI86" i="13"/>
  <c r="AI55" i="29" s="1"/>
  <c r="Q129" i="9"/>
  <c r="R129" i="9" s="1"/>
  <c r="AH66" i="13"/>
  <c r="AI66" i="13"/>
  <c r="P96" i="16"/>
  <c r="W96" i="15"/>
  <c r="AC96" i="15"/>
  <c r="X96" i="15"/>
  <c r="AA96" i="15" s="1"/>
  <c r="X97" i="15"/>
  <c r="P97" i="16"/>
  <c r="AC97" i="15"/>
  <c r="AL126" i="13"/>
  <c r="AN126" i="13" s="1"/>
  <c r="AE51" i="15"/>
  <c r="AL99" i="13"/>
  <c r="AN99" i="13" s="1"/>
  <c r="AL82" i="13"/>
  <c r="AL98" i="13"/>
  <c r="AN98" i="13" s="1"/>
  <c r="W54" i="15"/>
  <c r="X54" i="15" s="1"/>
  <c r="AA54" i="15" s="1"/>
  <c r="AI54" i="15" s="1"/>
  <c r="AL127" i="13"/>
  <c r="AN127" i="13" s="1"/>
  <c r="AD29" i="14"/>
  <c r="AF29" i="14"/>
  <c r="AH47" i="13"/>
  <c r="AM47" i="13"/>
  <c r="AM134" i="29" s="1"/>
  <c r="X43" i="15"/>
  <c r="AA43" i="15" s="1"/>
  <c r="AC43" i="15"/>
  <c r="P43" i="16"/>
  <c r="W43" i="15"/>
  <c r="AL120" i="13"/>
  <c r="AN120" i="13" s="1"/>
  <c r="AF27" i="13"/>
  <c r="AI27" i="13"/>
  <c r="AD27" i="13"/>
  <c r="AL83" i="13"/>
  <c r="AN83" i="13" s="1"/>
  <c r="AD100" i="13"/>
  <c r="AM100" i="13"/>
  <c r="AI100" i="13"/>
  <c r="AH100" i="13"/>
  <c r="AF100" i="13"/>
  <c r="AL72" i="13"/>
  <c r="AN72" i="13" s="1"/>
  <c r="AL18" i="27"/>
  <c r="AN18" i="27" s="1"/>
  <c r="AM6" i="27"/>
  <c r="AH6" i="27"/>
  <c r="AF6" i="27"/>
  <c r="AL6" i="27" s="1"/>
  <c r="AN6" i="27" s="1"/>
  <c r="S396" i="9"/>
  <c r="T396" i="9" s="1"/>
  <c r="U396" i="9" s="1"/>
  <c r="V396" i="9" s="1"/>
  <c r="W396" i="9" s="1"/>
  <c r="R396" i="9"/>
  <c r="S387" i="9"/>
  <c r="T387" i="9" s="1"/>
  <c r="U387" i="9" s="1"/>
  <c r="V387" i="9" s="1"/>
  <c r="W387" i="9" s="1"/>
  <c r="R387" i="9"/>
  <c r="S407" i="9"/>
  <c r="T407" i="9" s="1"/>
  <c r="U407" i="9" s="1"/>
  <c r="V407" i="9" s="1"/>
  <c r="W407" i="9" s="1"/>
  <c r="R407" i="9"/>
  <c r="S384" i="9"/>
  <c r="T384" i="9" s="1"/>
  <c r="U384" i="9" s="1"/>
  <c r="V384" i="9" s="1"/>
  <c r="W384" i="9" s="1"/>
  <c r="R384" i="9"/>
  <c r="S399" i="9"/>
  <c r="T399" i="9" s="1"/>
  <c r="U399" i="9" s="1"/>
  <c r="V399" i="9" s="1"/>
  <c r="W399" i="9" s="1"/>
  <c r="R399" i="9"/>
  <c r="S398" i="9"/>
  <c r="T398" i="9" s="1"/>
  <c r="U398" i="9" s="1"/>
  <c r="V398" i="9" s="1"/>
  <c r="W398" i="9" s="1"/>
  <c r="R398" i="9"/>
  <c r="S382" i="9"/>
  <c r="T382" i="9" s="1"/>
  <c r="U382" i="9" s="1"/>
  <c r="V382" i="9" s="1"/>
  <c r="W382" i="9" s="1"/>
  <c r="R382" i="9"/>
  <c r="S385" i="9"/>
  <c r="T385" i="9" s="1"/>
  <c r="U385" i="9" s="1"/>
  <c r="V385" i="9" s="1"/>
  <c r="W385" i="9" s="1"/>
  <c r="R385" i="9"/>
  <c r="S380" i="9"/>
  <c r="T380" i="9" s="1"/>
  <c r="U380" i="9" s="1"/>
  <c r="V380" i="9" s="1"/>
  <c r="W380" i="9" s="1"/>
  <c r="R380" i="9"/>
  <c r="S405" i="9"/>
  <c r="T405" i="9" s="1"/>
  <c r="U405" i="9" s="1"/>
  <c r="V405" i="9" s="1"/>
  <c r="W405" i="9" s="1"/>
  <c r="R405" i="9"/>
  <c r="S389" i="9"/>
  <c r="T389" i="9" s="1"/>
  <c r="U389" i="9" s="1"/>
  <c r="V389" i="9" s="1"/>
  <c r="W389" i="9" s="1"/>
  <c r="R389" i="9"/>
  <c r="S386" i="9"/>
  <c r="T386" i="9" s="1"/>
  <c r="U386" i="9" s="1"/>
  <c r="V386" i="9" s="1"/>
  <c r="W386" i="9" s="1"/>
  <c r="R386" i="9"/>
  <c r="S376" i="9"/>
  <c r="T376" i="9" s="1"/>
  <c r="U376" i="9" s="1"/>
  <c r="V376" i="9" s="1"/>
  <c r="W376" i="9" s="1"/>
  <c r="R376" i="9"/>
  <c r="S378" i="9"/>
  <c r="T378" i="9" s="1"/>
  <c r="U378" i="9" s="1"/>
  <c r="V378" i="9" s="1"/>
  <c r="W378" i="9" s="1"/>
  <c r="R378" i="9"/>
  <c r="S321" i="9"/>
  <c r="T321" i="9" s="1"/>
  <c r="U321" i="9" s="1"/>
  <c r="V321" i="9" s="1"/>
  <c r="W321" i="9" s="1"/>
  <c r="R321" i="9"/>
  <c r="S308" i="9"/>
  <c r="T308" i="9" s="1"/>
  <c r="U308" i="9" s="1"/>
  <c r="V308" i="9" s="1"/>
  <c r="W308" i="9" s="1"/>
  <c r="R308" i="9"/>
  <c r="S303" i="9"/>
  <c r="T303" i="9" s="1"/>
  <c r="U303" i="9" s="1"/>
  <c r="V303" i="9" s="1"/>
  <c r="W303" i="9" s="1"/>
  <c r="R303" i="9"/>
  <c r="S296" i="9"/>
  <c r="T296" i="9" s="1"/>
  <c r="U296" i="9" s="1"/>
  <c r="V296" i="9" s="1"/>
  <c r="W296" i="9" s="1"/>
  <c r="R296" i="9"/>
  <c r="S357" i="9"/>
  <c r="T357" i="9" s="1"/>
  <c r="U357" i="9" s="1"/>
  <c r="V357" i="9" s="1"/>
  <c r="W357" i="9" s="1"/>
  <c r="R357" i="9"/>
  <c r="S315" i="9"/>
  <c r="T315" i="9" s="1"/>
  <c r="U315" i="9" s="1"/>
  <c r="V315" i="9" s="1"/>
  <c r="W315" i="9" s="1"/>
  <c r="R315" i="9"/>
  <c r="S351" i="9"/>
  <c r="T351" i="9" s="1"/>
  <c r="U351" i="9" s="1"/>
  <c r="V351" i="9" s="1"/>
  <c r="W351" i="9" s="1"/>
  <c r="R351" i="9"/>
  <c r="S324" i="9"/>
  <c r="T324" i="9" s="1"/>
  <c r="U324" i="9" s="1"/>
  <c r="V324" i="9" s="1"/>
  <c r="W324" i="9" s="1"/>
  <c r="R324" i="9"/>
  <c r="S328" i="9"/>
  <c r="T328" i="9" s="1"/>
  <c r="U328" i="9" s="1"/>
  <c r="V328" i="9" s="1"/>
  <c r="W328" i="9" s="1"/>
  <c r="R328" i="9"/>
  <c r="S297" i="9"/>
  <c r="T297" i="9" s="1"/>
  <c r="U297" i="9" s="1"/>
  <c r="V297" i="9" s="1"/>
  <c r="W297" i="9" s="1"/>
  <c r="R297" i="9"/>
  <c r="S325" i="9"/>
  <c r="T325" i="9" s="1"/>
  <c r="U325" i="9" s="1"/>
  <c r="V325" i="9" s="1"/>
  <c r="W325" i="9" s="1"/>
  <c r="R325" i="9"/>
  <c r="S294" i="9"/>
  <c r="T294" i="9" s="1"/>
  <c r="U294" i="9" s="1"/>
  <c r="V294" i="9" s="1"/>
  <c r="W294" i="9" s="1"/>
  <c r="R294" i="9"/>
  <c r="S333" i="9"/>
  <c r="T333" i="9" s="1"/>
  <c r="U333" i="9" s="1"/>
  <c r="V333" i="9" s="1"/>
  <c r="W333" i="9" s="1"/>
  <c r="R333" i="9"/>
  <c r="S313" i="9"/>
  <c r="T313" i="9" s="1"/>
  <c r="U313" i="9" s="1"/>
  <c r="V313" i="9" s="1"/>
  <c r="W313" i="9" s="1"/>
  <c r="R313" i="9"/>
  <c r="S312" i="9"/>
  <c r="T312" i="9" s="1"/>
  <c r="U312" i="9" s="1"/>
  <c r="V312" i="9" s="1"/>
  <c r="W312" i="9" s="1"/>
  <c r="R312" i="9"/>
  <c r="S334" i="9"/>
  <c r="T334" i="9" s="1"/>
  <c r="U334" i="9" s="1"/>
  <c r="V334" i="9" s="1"/>
  <c r="W334" i="9" s="1"/>
  <c r="R334" i="9"/>
  <c r="S341" i="9"/>
  <c r="T341" i="9" s="1"/>
  <c r="U341" i="9" s="1"/>
  <c r="V341" i="9" s="1"/>
  <c r="W341" i="9" s="1"/>
  <c r="R341" i="9"/>
  <c r="S326" i="9"/>
  <c r="T326" i="9" s="1"/>
  <c r="U326" i="9" s="1"/>
  <c r="V326" i="9" s="1"/>
  <c r="W326" i="9" s="1"/>
  <c r="R326" i="9"/>
  <c r="S353" i="9"/>
  <c r="T353" i="9" s="1"/>
  <c r="U353" i="9" s="1"/>
  <c r="V353" i="9" s="1"/>
  <c r="W353" i="9" s="1"/>
  <c r="R353" i="9"/>
  <c r="S368" i="9"/>
  <c r="T368" i="9" s="1"/>
  <c r="U368" i="9" s="1"/>
  <c r="V368" i="9" s="1"/>
  <c r="W368" i="9" s="1"/>
  <c r="R368" i="9"/>
  <c r="S355" i="9"/>
  <c r="T355" i="9" s="1"/>
  <c r="U355" i="9" s="1"/>
  <c r="V355" i="9" s="1"/>
  <c r="W355" i="9" s="1"/>
  <c r="R355" i="9"/>
  <c r="S314" i="9"/>
  <c r="T314" i="9" s="1"/>
  <c r="U314" i="9" s="1"/>
  <c r="V314" i="9" s="1"/>
  <c r="W314" i="9" s="1"/>
  <c r="R314" i="9"/>
  <c r="S361" i="9"/>
  <c r="T361" i="9" s="1"/>
  <c r="U361" i="9" s="1"/>
  <c r="V361" i="9" s="1"/>
  <c r="W361" i="9" s="1"/>
  <c r="R361" i="9"/>
  <c r="S305" i="9"/>
  <c r="T305" i="9" s="1"/>
  <c r="U305" i="9" s="1"/>
  <c r="V305" i="9" s="1"/>
  <c r="W305" i="9" s="1"/>
  <c r="R305" i="9"/>
  <c r="S301" i="9"/>
  <c r="T301" i="9" s="1"/>
  <c r="U301" i="9" s="1"/>
  <c r="V301" i="9" s="1"/>
  <c r="W301" i="9" s="1"/>
  <c r="R301" i="9"/>
  <c r="S299" i="9"/>
  <c r="T299" i="9" s="1"/>
  <c r="U299" i="9" s="1"/>
  <c r="V299" i="9" s="1"/>
  <c r="W299" i="9" s="1"/>
  <c r="R299" i="9"/>
  <c r="S309" i="9"/>
  <c r="T309" i="9" s="1"/>
  <c r="U309" i="9" s="1"/>
  <c r="V309" i="9" s="1"/>
  <c r="W309" i="9" s="1"/>
  <c r="R309" i="9"/>
  <c r="S356" i="9"/>
  <c r="T356" i="9" s="1"/>
  <c r="U356" i="9" s="1"/>
  <c r="V356" i="9" s="1"/>
  <c r="W356" i="9" s="1"/>
  <c r="R356" i="9"/>
  <c r="S306" i="9"/>
  <c r="T306" i="9" s="1"/>
  <c r="U306" i="9" s="1"/>
  <c r="V306" i="9" s="1"/>
  <c r="W306" i="9" s="1"/>
  <c r="R306" i="9"/>
  <c r="S329" i="9"/>
  <c r="T329" i="9" s="1"/>
  <c r="U329" i="9" s="1"/>
  <c r="V329" i="9" s="1"/>
  <c r="W329" i="9" s="1"/>
  <c r="R329" i="9"/>
  <c r="S317" i="9"/>
  <c r="T317" i="9" s="1"/>
  <c r="U317" i="9" s="1"/>
  <c r="V317" i="9" s="1"/>
  <c r="W317" i="9" s="1"/>
  <c r="R317" i="9"/>
  <c r="S360" i="9"/>
  <c r="T360" i="9" s="1"/>
  <c r="U360" i="9" s="1"/>
  <c r="V360" i="9" s="1"/>
  <c r="W360" i="9" s="1"/>
  <c r="R360" i="9"/>
  <c r="S322" i="9"/>
  <c r="T322" i="9" s="1"/>
  <c r="U322" i="9" s="1"/>
  <c r="V322" i="9" s="1"/>
  <c r="W322" i="9" s="1"/>
  <c r="R322" i="9"/>
  <c r="S362" i="9"/>
  <c r="T362" i="9" s="1"/>
  <c r="U362" i="9" s="1"/>
  <c r="V362" i="9" s="1"/>
  <c r="W362" i="9" s="1"/>
  <c r="R362" i="9"/>
  <c r="S307" i="9"/>
  <c r="T307" i="9" s="1"/>
  <c r="U307" i="9" s="1"/>
  <c r="V307" i="9" s="1"/>
  <c r="W307" i="9" s="1"/>
  <c r="R307" i="9"/>
  <c r="S337" i="9"/>
  <c r="T337" i="9" s="1"/>
  <c r="U337" i="9" s="1"/>
  <c r="V337" i="9" s="1"/>
  <c r="W337" i="9" s="1"/>
  <c r="R337" i="9"/>
  <c r="S332" i="9"/>
  <c r="T332" i="9" s="1"/>
  <c r="U332" i="9" s="1"/>
  <c r="V332" i="9" s="1"/>
  <c r="W332" i="9" s="1"/>
  <c r="R332" i="9"/>
  <c r="S319" i="9"/>
  <c r="T319" i="9" s="1"/>
  <c r="U319" i="9" s="1"/>
  <c r="V319" i="9" s="1"/>
  <c r="W319" i="9" s="1"/>
  <c r="R319" i="9"/>
  <c r="S327" i="9"/>
  <c r="T327" i="9" s="1"/>
  <c r="U327" i="9" s="1"/>
  <c r="V327" i="9" s="1"/>
  <c r="W327" i="9" s="1"/>
  <c r="R327" i="9"/>
  <c r="S343" i="9"/>
  <c r="T343" i="9" s="1"/>
  <c r="U343" i="9" s="1"/>
  <c r="V343" i="9" s="1"/>
  <c r="W343" i="9" s="1"/>
  <c r="R343" i="9"/>
  <c r="W371" i="9"/>
  <c r="S256" i="9"/>
  <c r="T256" i="9" s="1"/>
  <c r="U256" i="9" s="1"/>
  <c r="V256" i="9" s="1"/>
  <c r="W256" i="9" s="1"/>
  <c r="R256" i="9"/>
  <c r="S250" i="9"/>
  <c r="T250" i="9" s="1"/>
  <c r="U250" i="9" s="1"/>
  <c r="V250" i="9" s="1"/>
  <c r="W250" i="9" s="1"/>
  <c r="R250" i="9"/>
  <c r="S238" i="9"/>
  <c r="T238" i="9" s="1"/>
  <c r="U238" i="9" s="1"/>
  <c r="V238" i="9" s="1"/>
  <c r="W238" i="9" s="1"/>
  <c r="R238" i="9"/>
  <c r="S194" i="9"/>
  <c r="T194" i="9" s="1"/>
  <c r="U194" i="9" s="1"/>
  <c r="V194" i="9" s="1"/>
  <c r="W194" i="9" s="1"/>
  <c r="R194" i="9"/>
  <c r="S230" i="9"/>
  <c r="T230" i="9" s="1"/>
  <c r="U230" i="9" s="1"/>
  <c r="V230" i="9" s="1"/>
  <c r="W230" i="9" s="1"/>
  <c r="R230" i="9"/>
  <c r="S190" i="9"/>
  <c r="T190" i="9" s="1"/>
  <c r="U190" i="9" s="1"/>
  <c r="V190" i="9" s="1"/>
  <c r="W190" i="9" s="1"/>
  <c r="R190" i="9"/>
  <c r="S201" i="9"/>
  <c r="T201" i="9" s="1"/>
  <c r="U201" i="9" s="1"/>
  <c r="V201" i="9" s="1"/>
  <c r="W201" i="9" s="1"/>
  <c r="R201" i="9"/>
  <c r="S228" i="9"/>
  <c r="T228" i="9" s="1"/>
  <c r="U228" i="9" s="1"/>
  <c r="V228" i="9" s="1"/>
  <c r="W228" i="9" s="1"/>
  <c r="R228" i="9"/>
  <c r="S214" i="9"/>
  <c r="T214" i="9" s="1"/>
  <c r="U214" i="9" s="1"/>
  <c r="V214" i="9" s="1"/>
  <c r="W214" i="9" s="1"/>
  <c r="R214" i="9"/>
  <c r="S177" i="9"/>
  <c r="T177" i="9" s="1"/>
  <c r="U177" i="9" s="1"/>
  <c r="V177" i="9" s="1"/>
  <c r="W177" i="9" s="1"/>
  <c r="R177" i="9"/>
  <c r="S244" i="9"/>
  <c r="T244" i="9" s="1"/>
  <c r="U244" i="9" s="1"/>
  <c r="V244" i="9" s="1"/>
  <c r="W244" i="9" s="1"/>
  <c r="R244" i="9"/>
  <c r="S272" i="9"/>
  <c r="T272" i="9" s="1"/>
  <c r="U272" i="9" s="1"/>
  <c r="V272" i="9" s="1"/>
  <c r="W272" i="9" s="1"/>
  <c r="R272" i="9"/>
  <c r="S225" i="9"/>
  <c r="T225" i="9" s="1"/>
  <c r="U225" i="9" s="1"/>
  <c r="V225" i="9" s="1"/>
  <c r="W225" i="9" s="1"/>
  <c r="R225" i="9"/>
  <c r="S196" i="9"/>
  <c r="T196" i="9" s="1"/>
  <c r="U196" i="9" s="1"/>
  <c r="V196" i="9" s="1"/>
  <c r="W196" i="9" s="1"/>
  <c r="R196" i="9"/>
  <c r="S186" i="9"/>
  <c r="T186" i="9" s="1"/>
  <c r="U186" i="9" s="1"/>
  <c r="V186" i="9" s="1"/>
  <c r="W186" i="9" s="1"/>
  <c r="R186" i="9"/>
  <c r="S252" i="9"/>
  <c r="T252" i="9" s="1"/>
  <c r="U252" i="9" s="1"/>
  <c r="V252" i="9" s="1"/>
  <c r="W252" i="9" s="1"/>
  <c r="R252" i="9"/>
  <c r="S223" i="9"/>
  <c r="R223" i="9"/>
  <c r="S226" i="9"/>
  <c r="T226" i="9" s="1"/>
  <c r="U226" i="9" s="1"/>
  <c r="V226" i="9" s="1"/>
  <c r="W226" i="9" s="1"/>
  <c r="R226" i="9"/>
  <c r="S257" i="9"/>
  <c r="T257" i="9" s="1"/>
  <c r="U257" i="9" s="1"/>
  <c r="V257" i="9" s="1"/>
  <c r="W257" i="9" s="1"/>
  <c r="R257" i="9"/>
  <c r="S221" i="9"/>
  <c r="T221" i="9" s="1"/>
  <c r="U221" i="9" s="1"/>
  <c r="V221" i="9" s="1"/>
  <c r="W221" i="9" s="1"/>
  <c r="R221" i="9"/>
  <c r="S216" i="9"/>
  <c r="T216" i="9" s="1"/>
  <c r="U216" i="9" s="1"/>
  <c r="V216" i="9" s="1"/>
  <c r="W216" i="9" s="1"/>
  <c r="R216" i="9"/>
  <c r="S277" i="9"/>
  <c r="T277" i="9" s="1"/>
  <c r="U277" i="9" s="1"/>
  <c r="V277" i="9" s="1"/>
  <c r="W277" i="9" s="1"/>
  <c r="R277" i="9"/>
  <c r="S275" i="9"/>
  <c r="T275" i="9" s="1"/>
  <c r="U275" i="9" s="1"/>
  <c r="V275" i="9" s="1"/>
  <c r="W275" i="9" s="1"/>
  <c r="R275" i="9"/>
  <c r="S198" i="9"/>
  <c r="T198" i="9" s="1"/>
  <c r="U198" i="9" s="1"/>
  <c r="V198" i="9" s="1"/>
  <c r="W198" i="9" s="1"/>
  <c r="R198" i="9"/>
  <c r="S232" i="9"/>
  <c r="T232" i="9" s="1"/>
  <c r="U232" i="9" s="1"/>
  <c r="V232" i="9" s="1"/>
  <c r="W232" i="9" s="1"/>
  <c r="R232" i="9"/>
  <c r="S189" i="9"/>
  <c r="T189" i="9" s="1"/>
  <c r="U189" i="9" s="1"/>
  <c r="V189" i="9" s="1"/>
  <c r="W189" i="9" s="1"/>
  <c r="R189" i="9"/>
  <c r="S263" i="9"/>
  <c r="T263" i="9" s="1"/>
  <c r="U263" i="9" s="1"/>
  <c r="V263" i="9" s="1"/>
  <c r="W263" i="9" s="1"/>
  <c r="R263" i="9"/>
  <c r="S274" i="9"/>
  <c r="T274" i="9" s="1"/>
  <c r="U274" i="9" s="1"/>
  <c r="V274" i="9" s="1"/>
  <c r="W274" i="9" s="1"/>
  <c r="R274" i="9"/>
  <c r="S229" i="9"/>
  <c r="T229" i="9" s="1"/>
  <c r="U229" i="9" s="1"/>
  <c r="V229" i="9" s="1"/>
  <c r="W229" i="9" s="1"/>
  <c r="R229" i="9"/>
  <c r="S247" i="9"/>
  <c r="T247" i="9" s="1"/>
  <c r="U247" i="9" s="1"/>
  <c r="V247" i="9" s="1"/>
  <c r="W247" i="9" s="1"/>
  <c r="R247" i="9"/>
  <c r="S253" i="9"/>
  <c r="T253" i="9" s="1"/>
  <c r="U253" i="9" s="1"/>
  <c r="V253" i="9" s="1"/>
  <c r="W253" i="9" s="1"/>
  <c r="R253" i="9"/>
  <c r="S197" i="9"/>
  <c r="T197" i="9" s="1"/>
  <c r="U197" i="9" s="1"/>
  <c r="V197" i="9" s="1"/>
  <c r="W197" i="9" s="1"/>
  <c r="R197" i="9"/>
  <c r="S191" i="9"/>
  <c r="T191" i="9" s="1"/>
  <c r="U191" i="9" s="1"/>
  <c r="V191" i="9" s="1"/>
  <c r="W191" i="9" s="1"/>
  <c r="R191" i="9"/>
  <c r="S179" i="9"/>
  <c r="T179" i="9" s="1"/>
  <c r="U179" i="9" s="1"/>
  <c r="V179" i="9" s="1"/>
  <c r="W179" i="9" s="1"/>
  <c r="R179" i="9"/>
  <c r="S183" i="9"/>
  <c r="T183" i="9" s="1"/>
  <c r="U183" i="9" s="1"/>
  <c r="V183" i="9" s="1"/>
  <c r="W183" i="9" s="1"/>
  <c r="Q10" i="10"/>
  <c r="R10" i="10" s="1"/>
  <c r="R38" i="9"/>
  <c r="Q11" i="10"/>
  <c r="R11" i="10" s="1"/>
  <c r="R52" i="9"/>
  <c r="S292" i="9"/>
  <c r="P9" i="22"/>
  <c r="P15" i="22" s="1"/>
  <c r="P20" i="22" s="1"/>
  <c r="S316" i="9"/>
  <c r="T211" i="9"/>
  <c r="T217" i="9"/>
  <c r="S199" i="9"/>
  <c r="AI107" i="19"/>
  <c r="AI110" i="19"/>
  <c r="AD120" i="16"/>
  <c r="AI120" i="16"/>
  <c r="AM120" i="16"/>
  <c r="AF120" i="16"/>
  <c r="AH120" i="16"/>
  <c r="AL110" i="16"/>
  <c r="AN110" i="16" s="1"/>
  <c r="AD117" i="16"/>
  <c r="AM117" i="16"/>
  <c r="AH117" i="16"/>
  <c r="AF117" i="16"/>
  <c r="AI117" i="16"/>
  <c r="AD118" i="16"/>
  <c r="AI118" i="16"/>
  <c r="AM118" i="16"/>
  <c r="AF118" i="16"/>
  <c r="AH118" i="16"/>
  <c r="AD119" i="16"/>
  <c r="AM119" i="16"/>
  <c r="AH119" i="16"/>
  <c r="AI119" i="16"/>
  <c r="AF119" i="16"/>
  <c r="AD108" i="16"/>
  <c r="AF108" i="16"/>
  <c r="AM108" i="16"/>
  <c r="AI108" i="16"/>
  <c r="AH108" i="16"/>
  <c r="AD59" i="16"/>
  <c r="AL122" i="16"/>
  <c r="AN122" i="16" s="1"/>
  <c r="AH113" i="16"/>
  <c r="AI113" i="16"/>
  <c r="AM113" i="16"/>
  <c r="AF113" i="16"/>
  <c r="AD113" i="16"/>
  <c r="AH114" i="16"/>
  <c r="AF114" i="16"/>
  <c r="AD114" i="16"/>
  <c r="AM114" i="16"/>
  <c r="AI114" i="16"/>
  <c r="AL128" i="16"/>
  <c r="AN128" i="16" s="1"/>
  <c r="X91" i="19"/>
  <c r="AA91" i="19" s="1"/>
  <c r="AH91" i="19" s="1"/>
  <c r="AD124" i="15"/>
  <c r="AH124" i="15"/>
  <c r="AM124" i="15"/>
  <c r="AD51" i="15"/>
  <c r="T40" i="19"/>
  <c r="AN127" i="15"/>
  <c r="AH110" i="15"/>
  <c r="AM110" i="15"/>
  <c r="AD110" i="15"/>
  <c r="AI110" i="15"/>
  <c r="AF110" i="15"/>
  <c r="AM51" i="15"/>
  <c r="T40" i="26"/>
  <c r="AF124" i="15"/>
  <c r="AH113" i="15"/>
  <c r="AF113" i="15"/>
  <c r="AM113" i="15"/>
  <c r="AD113" i="15"/>
  <c r="AI113" i="15"/>
  <c r="AI112" i="15"/>
  <c r="AD112" i="15"/>
  <c r="AM112" i="15"/>
  <c r="AH112" i="15"/>
  <c r="AF112" i="15"/>
  <c r="AI124" i="15"/>
  <c r="AL116" i="15"/>
  <c r="AN116" i="15" s="1"/>
  <c r="AH108" i="15"/>
  <c r="AI108" i="15"/>
  <c r="AD108" i="15"/>
  <c r="AM108" i="15"/>
  <c r="AF108" i="15"/>
  <c r="AL123" i="15"/>
  <c r="AN123" i="15" s="1"/>
  <c r="AL115" i="15"/>
  <c r="AN115" i="15" s="1"/>
  <c r="T416" i="8"/>
  <c r="AD53" i="18"/>
  <c r="Y53" i="18"/>
  <c r="W160" i="18"/>
  <c r="W172" i="18" s="1"/>
  <c r="W415" i="18" s="1"/>
  <c r="U416" i="8"/>
  <c r="AB144" i="8"/>
  <c r="AA53" i="18"/>
  <c r="V53" i="18"/>
  <c r="AA160" i="18"/>
  <c r="W53" i="18"/>
  <c r="N416" i="8"/>
  <c r="N429" i="8" s="1"/>
  <c r="N438" i="8" s="1"/>
  <c r="T53" i="18"/>
  <c r="R53" i="18"/>
  <c r="Q53" i="18"/>
  <c r="Q374" i="9"/>
  <c r="O160" i="18"/>
  <c r="O172" i="18" s="1"/>
  <c r="AA172" i="18"/>
  <c r="AA415" i="18" s="1"/>
  <c r="AA416" i="18" s="1"/>
  <c r="AC73" i="8"/>
  <c r="AB157" i="8"/>
  <c r="O21" i="10"/>
  <c r="AM120" i="27"/>
  <c r="AN32" i="27"/>
  <c r="G24" i="2"/>
  <c r="U6" i="9"/>
  <c r="T6" i="22" s="1"/>
  <c r="T19" i="22" s="1"/>
  <c r="H24" i="2"/>
  <c r="W6" i="9"/>
  <c r="V6" i="22" s="1"/>
  <c r="V19" i="22" s="1"/>
  <c r="G21" i="3"/>
  <c r="G30" i="3" s="1"/>
  <c r="H43" i="3"/>
  <c r="H52" i="3" s="1"/>
  <c r="O22" i="7" s="1"/>
  <c r="O38" i="7" s="1"/>
  <c r="H21" i="3"/>
  <c r="H22" i="3"/>
  <c r="F21" i="3"/>
  <c r="F22" i="3"/>
  <c r="G43" i="3"/>
  <c r="AL57" i="12"/>
  <c r="AN57" i="12" s="1"/>
  <c r="V7" i="16"/>
  <c r="U7" i="19"/>
  <c r="U7" i="26" s="1"/>
  <c r="V7" i="26" s="1"/>
  <c r="AC75" i="26"/>
  <c r="AI74" i="14"/>
  <c r="AD74" i="14"/>
  <c r="U21" i="16"/>
  <c r="V21" i="15"/>
  <c r="AE7" i="14"/>
  <c r="AF7" i="14"/>
  <c r="AH7" i="14"/>
  <c r="AI87" i="14"/>
  <c r="AH57" i="16"/>
  <c r="AM104" i="15"/>
  <c r="X79" i="15"/>
  <c r="AA79" i="15" s="1"/>
  <c r="AM32" i="14"/>
  <c r="X26" i="19"/>
  <c r="AA26" i="19" s="1"/>
  <c r="AF26" i="19" s="1"/>
  <c r="AE91" i="15"/>
  <c r="AL111" i="13"/>
  <c r="AN111" i="13" s="1"/>
  <c r="AL113" i="13"/>
  <c r="AN113" i="13" s="1"/>
  <c r="AI81" i="13"/>
  <c r="AI49" i="29" s="1"/>
  <c r="AH81" i="13"/>
  <c r="AH49" i="29" s="1"/>
  <c r="AI45" i="13"/>
  <c r="AF57" i="13"/>
  <c r="AF32" i="29" s="1"/>
  <c r="AI57" i="13"/>
  <c r="AI32" i="29" s="1"/>
  <c r="AF10" i="13"/>
  <c r="AF67" i="29" s="1"/>
  <c r="AD10" i="13"/>
  <c r="AD67" i="29" s="1"/>
  <c r="AH10" i="13"/>
  <c r="AH67" i="29" s="1"/>
  <c r="AH119" i="13"/>
  <c r="AD119" i="13"/>
  <c r="AM119" i="13"/>
  <c r="AI119" i="13"/>
  <c r="AF119" i="13"/>
  <c r="U80" i="16"/>
  <c r="V80" i="15"/>
  <c r="V13" i="15"/>
  <c r="U13" i="16"/>
  <c r="AM27" i="14"/>
  <c r="AI27" i="14"/>
  <c r="P16" i="16"/>
  <c r="AC16" i="15"/>
  <c r="W16" i="15"/>
  <c r="AH44" i="13"/>
  <c r="AH40" i="29" s="1"/>
  <c r="AM44" i="13"/>
  <c r="AM112" i="29" s="1"/>
  <c r="AD44" i="13"/>
  <c r="AD40" i="29" s="1"/>
  <c r="AI44" i="13"/>
  <c r="AI40" i="29" s="1"/>
  <c r="Q108" i="9"/>
  <c r="R108" i="9" s="1"/>
  <c r="AF44" i="13"/>
  <c r="AF40" i="29" s="1"/>
  <c r="AD89" i="13"/>
  <c r="AD60" i="29" s="1"/>
  <c r="AF89" i="13"/>
  <c r="AF60" i="29" s="1"/>
  <c r="AM49" i="13"/>
  <c r="AD49" i="13"/>
  <c r="AD50" i="13"/>
  <c r="AI50" i="13"/>
  <c r="AD51" i="13"/>
  <c r="AH51" i="13"/>
  <c r="AM51" i="13"/>
  <c r="AI51" i="13"/>
  <c r="AF51" i="13"/>
  <c r="AH18" i="13"/>
  <c r="AF18" i="13"/>
  <c r="AI18" i="13"/>
  <c r="AD18" i="13"/>
  <c r="AM18" i="13"/>
  <c r="U37" i="16"/>
  <c r="V37" i="15"/>
  <c r="AM46" i="13"/>
  <c r="AM111" i="29" s="1"/>
  <c r="AI46" i="13"/>
  <c r="AI39" i="29" s="1"/>
  <c r="AM129" i="13"/>
  <c r="AD129" i="13"/>
  <c r="AI129" i="13"/>
  <c r="AH129" i="13"/>
  <c r="AF129" i="13"/>
  <c r="AH36" i="13"/>
  <c r="AH19" i="29" s="1"/>
  <c r="AM36" i="13"/>
  <c r="AI36" i="13"/>
  <c r="AI19" i="29" s="1"/>
  <c r="AD95" i="13"/>
  <c r="AF95" i="13"/>
  <c r="AM64" i="14"/>
  <c r="AE32" i="14"/>
  <c r="AH102" i="15"/>
  <c r="W32" i="15"/>
  <c r="T31" i="15"/>
  <c r="AM121" i="14"/>
  <c r="AF42" i="14"/>
  <c r="AI55" i="14"/>
  <c r="AH64" i="14"/>
  <c r="AM85" i="14"/>
  <c r="AD50" i="14"/>
  <c r="AF33" i="14"/>
  <c r="AF73" i="15"/>
  <c r="AM50" i="14"/>
  <c r="AH27" i="15"/>
  <c r="AF27" i="15"/>
  <c r="AD7" i="14"/>
  <c r="AF125" i="16"/>
  <c r="X47" i="15"/>
  <c r="AA47" i="15" s="1"/>
  <c r="AI32" i="14"/>
  <c r="P9" i="16"/>
  <c r="X9" i="16" s="1"/>
  <c r="AA9" i="16" s="1"/>
  <c r="AD9" i="16" s="1"/>
  <c r="AL96" i="14"/>
  <c r="AN96" i="14" s="1"/>
  <c r="AF102" i="15"/>
  <c r="AE104" i="15"/>
  <c r="AA59" i="15"/>
  <c r="AH59" i="15" s="1"/>
  <c r="AC32" i="15"/>
  <c r="T59" i="15"/>
  <c r="AL62" i="13"/>
  <c r="AN62" i="13" s="1"/>
  <c r="AL13" i="13"/>
  <c r="AN13" i="13" s="1"/>
  <c r="AI49" i="13"/>
  <c r="AL128" i="13"/>
  <c r="AN128" i="13" s="1"/>
  <c r="Q89" i="9"/>
  <c r="R89" i="9" s="1"/>
  <c r="AF50" i="13"/>
  <c r="AF46" i="13"/>
  <c r="AF39" i="29" s="1"/>
  <c r="Q101" i="9"/>
  <c r="R101" i="9" s="1"/>
  <c r="Q106" i="9"/>
  <c r="R106" i="9" s="1"/>
  <c r="AH89" i="13"/>
  <c r="AH60" i="29" s="1"/>
  <c r="AL16" i="13"/>
  <c r="AN16" i="13" s="1"/>
  <c r="AL30" i="13"/>
  <c r="AN30" i="13" s="1"/>
  <c r="AH45" i="13"/>
  <c r="U38" i="19"/>
  <c r="V38" i="16"/>
  <c r="X38" i="16" s="1"/>
  <c r="AA38" i="16" s="1"/>
  <c r="AD38" i="16" s="1"/>
  <c r="AL110" i="13"/>
  <c r="AN110" i="13" s="1"/>
  <c r="AD31" i="13"/>
  <c r="AI31" i="13"/>
  <c r="AF31" i="13"/>
  <c r="AD61" i="13"/>
  <c r="AF61" i="13"/>
  <c r="AF18" i="29" s="1"/>
  <c r="AH61" i="13"/>
  <c r="AH18" i="29" s="1"/>
  <c r="AI61" i="13"/>
  <c r="AI18" i="29" s="1"/>
  <c r="AM61" i="13"/>
  <c r="V56" i="15"/>
  <c r="U56" i="16"/>
  <c r="AE89" i="14"/>
  <c r="AA89" i="14"/>
  <c r="V96" i="15"/>
  <c r="U96" i="16"/>
  <c r="U82" i="19"/>
  <c r="V82" i="16"/>
  <c r="X82" i="16" s="1"/>
  <c r="AD63" i="13"/>
  <c r="AD23" i="29" s="1"/>
  <c r="AM63" i="13"/>
  <c r="AM91" i="29" s="1"/>
  <c r="AM92" i="29" s="1"/>
  <c r="AI63" i="13"/>
  <c r="AI23" i="29" s="1"/>
  <c r="AM76" i="13"/>
  <c r="AM118" i="29" s="1"/>
  <c r="AM119" i="29" s="1"/>
  <c r="AF76" i="13"/>
  <c r="AF44" i="29" s="1"/>
  <c r="AI76" i="13"/>
  <c r="AI44" i="29" s="1"/>
  <c r="P89" i="16"/>
  <c r="W89" i="15"/>
  <c r="AC89" i="15"/>
  <c r="AH59" i="13"/>
  <c r="AH30" i="29" s="1"/>
  <c r="AM59" i="13"/>
  <c r="AM101" i="29" s="1"/>
  <c r="AF59" i="13"/>
  <c r="AM7" i="13"/>
  <c r="AM94" i="29" s="1"/>
  <c r="AM95" i="29" s="1"/>
  <c r="AF7" i="13"/>
  <c r="AI7" i="13"/>
  <c r="AM33" i="13"/>
  <c r="AM88" i="29" s="1"/>
  <c r="AI33" i="13"/>
  <c r="T90" i="15"/>
  <c r="R90" i="16"/>
  <c r="U75" i="16"/>
  <c r="V75" i="15"/>
  <c r="X75" i="15" s="1"/>
  <c r="T52" i="15"/>
  <c r="AE32" i="15"/>
  <c r="W9" i="15"/>
  <c r="T8" i="19"/>
  <c r="AH100" i="15"/>
  <c r="AI85" i="14"/>
  <c r="AE27" i="15"/>
  <c r="AH50" i="14"/>
  <c r="AF81" i="14"/>
  <c r="T83" i="19"/>
  <c r="AI104" i="15"/>
  <c r="AD102" i="15"/>
  <c r="T69" i="19"/>
  <c r="P22" i="19"/>
  <c r="AC22" i="19" s="1"/>
  <c r="R33" i="16"/>
  <c r="R33" i="19" s="1"/>
  <c r="T33" i="19" s="1"/>
  <c r="P28" i="19"/>
  <c r="AC28" i="19" s="1"/>
  <c r="T39" i="15"/>
  <c r="Q124" i="9"/>
  <c r="AL69" i="13"/>
  <c r="AN69" i="13" s="1"/>
  <c r="AL34" i="13"/>
  <c r="AN34" i="13" s="1"/>
  <c r="AF49" i="13"/>
  <c r="AM10" i="13"/>
  <c r="AH50" i="13"/>
  <c r="Q76" i="9"/>
  <c r="R76" i="9" s="1"/>
  <c r="AF36" i="13"/>
  <c r="AF19" i="29" s="1"/>
  <c r="AD36" i="13"/>
  <c r="AD19" i="29" s="1"/>
  <c r="AH46" i="13"/>
  <c r="AH39" i="29" s="1"/>
  <c r="AD57" i="13"/>
  <c r="AD32" i="29" s="1"/>
  <c r="AI95" i="13"/>
  <c r="AF81" i="13"/>
  <c r="AM89" i="13"/>
  <c r="AM135" i="29" s="1"/>
  <c r="AC18" i="15"/>
  <c r="P18" i="16"/>
  <c r="X16" i="15"/>
  <c r="AI29" i="13"/>
  <c r="AI17" i="29" s="1"/>
  <c r="AH29" i="13"/>
  <c r="AH17" i="29" s="1"/>
  <c r="AD29" i="13"/>
  <c r="AD17" i="29" s="1"/>
  <c r="AI75" i="13"/>
  <c r="AI15" i="29" s="1"/>
  <c r="AM75" i="13"/>
  <c r="AM82" i="29" s="1"/>
  <c r="AM83" i="29" s="1"/>
  <c r="AH75" i="13"/>
  <c r="AH15" i="29" s="1"/>
  <c r="AF75" i="13"/>
  <c r="AF15" i="29" s="1"/>
  <c r="AD75" i="13"/>
  <c r="AD15" i="29" s="1"/>
  <c r="Q56" i="9"/>
  <c r="R56" i="9" s="1"/>
  <c r="AF93" i="13"/>
  <c r="AH93" i="13"/>
  <c r="AH10" i="29" s="1"/>
  <c r="R88" i="19"/>
  <c r="T88" i="16"/>
  <c r="P34" i="16"/>
  <c r="AC34" i="15"/>
  <c r="AI103" i="14"/>
  <c r="AD103" i="14"/>
  <c r="U89" i="16"/>
  <c r="V89" i="15"/>
  <c r="X89" i="15" s="1"/>
  <c r="AL117" i="13"/>
  <c r="AN117" i="13" s="1"/>
  <c r="AL20" i="13"/>
  <c r="AN20" i="13" s="1"/>
  <c r="AH39" i="13"/>
  <c r="AH9" i="29" s="1"/>
  <c r="AF39" i="13"/>
  <c r="Q67" i="9"/>
  <c r="R67" i="9" s="1"/>
  <c r="P15" i="19"/>
  <c r="AC15" i="16"/>
  <c r="AF12" i="13"/>
  <c r="AF37" i="29" s="1"/>
  <c r="AI12" i="13"/>
  <c r="AI37" i="29" s="1"/>
  <c r="AM12" i="13"/>
  <c r="AM107" i="29" s="1"/>
  <c r="AD12" i="13"/>
  <c r="AD37" i="29" s="1"/>
  <c r="AH12" i="13"/>
  <c r="AH37" i="29" s="1"/>
  <c r="AI70" i="13"/>
  <c r="AM70" i="13"/>
  <c r="Y160" i="18"/>
  <c r="Y172" i="18" s="1"/>
  <c r="Y415" i="18" s="1"/>
  <c r="Y416" i="18" s="1"/>
  <c r="U53" i="18"/>
  <c r="P53" i="18"/>
  <c r="Q416" i="8"/>
  <c r="AB63" i="8"/>
  <c r="O53" i="18"/>
  <c r="AC76" i="8"/>
  <c r="AC108" i="8"/>
  <c r="S89" i="9"/>
  <c r="AF10" i="14"/>
  <c r="AH10" i="14"/>
  <c r="AI10" i="14"/>
  <c r="AM10" i="14"/>
  <c r="AD10" i="14"/>
  <c r="AA23" i="16"/>
  <c r="AM23" i="16" s="1"/>
  <c r="A71" i="16"/>
  <c r="A72" i="16"/>
  <c r="T82" i="15"/>
  <c r="R82" i="16"/>
  <c r="AA10" i="15"/>
  <c r="AE10" i="15"/>
  <c r="V58" i="19"/>
  <c r="AI33" i="14"/>
  <c r="X92" i="19"/>
  <c r="AA92" i="19" s="1"/>
  <c r="AH92" i="19" s="1"/>
  <c r="U72" i="16"/>
  <c r="V72" i="16" s="1"/>
  <c r="AE9" i="14"/>
  <c r="W66" i="16"/>
  <c r="W20" i="15"/>
  <c r="T70" i="15"/>
  <c r="R70" i="16"/>
  <c r="R80" i="16"/>
  <c r="T80" i="15"/>
  <c r="AD124" i="26"/>
  <c r="AF124" i="26"/>
  <c r="AI124" i="26"/>
  <c r="AM124" i="26"/>
  <c r="AH124" i="26"/>
  <c r="R76" i="16"/>
  <c r="T76" i="15"/>
  <c r="AL123" i="13"/>
  <c r="AN123" i="13" s="1"/>
  <c r="R96" i="19"/>
  <c r="T96" i="16"/>
  <c r="AD28" i="14"/>
  <c r="AM28" i="14"/>
  <c r="AF28" i="14"/>
  <c r="AI28" i="14"/>
  <c r="AH28" i="14"/>
  <c r="AL11" i="13"/>
  <c r="AN11" i="13" s="1"/>
  <c r="R130" i="16"/>
  <c r="T130" i="16" s="1"/>
  <c r="R130" i="26"/>
  <c r="T130" i="26" s="1"/>
  <c r="AM19" i="13"/>
  <c r="AI19" i="13"/>
  <c r="AD19" i="13"/>
  <c r="AF19" i="13"/>
  <c r="AH19" i="13"/>
  <c r="U10" i="19"/>
  <c r="V10" i="16"/>
  <c r="X10" i="16" s="1"/>
  <c r="AA10" i="16" s="1"/>
  <c r="AI10" i="16" s="1"/>
  <c r="T78" i="15"/>
  <c r="R78" i="16"/>
  <c r="AH9" i="14"/>
  <c r="AF9" i="14"/>
  <c r="AE57" i="15"/>
  <c r="AA57" i="15"/>
  <c r="AH124" i="16"/>
  <c r="AD124" i="16"/>
  <c r="AF124" i="16"/>
  <c r="AI124" i="16"/>
  <c r="AM124" i="16"/>
  <c r="X66" i="16"/>
  <c r="AA66" i="16" s="1"/>
  <c r="AC66" i="16"/>
  <c r="U14" i="16"/>
  <c r="V14" i="15"/>
  <c r="W14" i="15" s="1"/>
  <c r="X14" i="15" s="1"/>
  <c r="U19" i="19"/>
  <c r="V19" i="16"/>
  <c r="X19" i="16" s="1"/>
  <c r="AL88" i="13"/>
  <c r="U46" i="16"/>
  <c r="V46" i="15"/>
  <c r="X46" i="15" s="1"/>
  <c r="AE46" i="15" s="1"/>
  <c r="W47" i="15"/>
  <c r="AC77" i="19"/>
  <c r="S65" i="9"/>
  <c r="T8" i="16"/>
  <c r="AC47" i="15"/>
  <c r="AH33" i="14"/>
  <c r="AE107" i="26"/>
  <c r="R98" i="16"/>
  <c r="R98" i="19" s="1"/>
  <c r="V28" i="19"/>
  <c r="AE10" i="14"/>
  <c r="AI9" i="14"/>
  <c r="N71" i="19"/>
  <c r="R68" i="26"/>
  <c r="T68" i="26" s="1"/>
  <c r="T39" i="16"/>
  <c r="S44" i="19"/>
  <c r="AC28" i="16"/>
  <c r="AM33" i="14"/>
  <c r="T68" i="15"/>
  <c r="AL125" i="13"/>
  <c r="AN125" i="13" s="1"/>
  <c r="X13" i="15"/>
  <c r="AA13" i="15" s="1"/>
  <c r="AC13" i="15"/>
  <c r="P76" i="16"/>
  <c r="X76" i="16" s="1"/>
  <c r="AA76" i="16" s="1"/>
  <c r="W76" i="15"/>
  <c r="AC76" i="15"/>
  <c r="X76" i="15"/>
  <c r="W81" i="15"/>
  <c r="AC81" i="15"/>
  <c r="P81" i="16"/>
  <c r="T75" i="15"/>
  <c r="R75" i="16"/>
  <c r="T23" i="15"/>
  <c r="R23" i="16"/>
  <c r="U77" i="16"/>
  <c r="V77" i="15"/>
  <c r="X77" i="15" s="1"/>
  <c r="AL35" i="13"/>
  <c r="AN35" i="13" s="1"/>
  <c r="AA21" i="14"/>
  <c r="AE21" i="14"/>
  <c r="AI85" i="13"/>
  <c r="AI64" i="29" s="1"/>
  <c r="AM85" i="13"/>
  <c r="AD85" i="13"/>
  <c r="AD64" i="29" s="1"/>
  <c r="AH85" i="13"/>
  <c r="AH64" i="29" s="1"/>
  <c r="Q74" i="9"/>
  <c r="R74" i="9" s="1"/>
  <c r="AF85" i="13"/>
  <c r="AF64" i="29" s="1"/>
  <c r="AL55" i="13"/>
  <c r="AN55" i="13" s="1"/>
  <c r="AA40" i="14"/>
  <c r="S63" i="9" s="1"/>
  <c r="AE40" i="14"/>
  <c r="F6" i="16"/>
  <c r="F6" i="19"/>
  <c r="F6" i="26" s="1"/>
  <c r="W79" i="15"/>
  <c r="AC79" i="15"/>
  <c r="P79" i="16"/>
  <c r="AC83" i="15"/>
  <c r="P83" i="16"/>
  <c r="W83" i="15"/>
  <c r="X83" i="15"/>
  <c r="U35" i="16"/>
  <c r="U35" i="19" s="1"/>
  <c r="AL80" i="15"/>
  <c r="AN80" i="15" s="1"/>
  <c r="AE33" i="14"/>
  <c r="AL125" i="14"/>
  <c r="AN125" i="14" s="1"/>
  <c r="T28" i="16"/>
  <c r="AL72" i="14"/>
  <c r="AN72" i="14" s="1"/>
  <c r="W60" i="15"/>
  <c r="P60" i="16"/>
  <c r="X60" i="15"/>
  <c r="AC60" i="15"/>
  <c r="AC26" i="16"/>
  <c r="X26" i="16"/>
  <c r="AA26" i="16" s="1"/>
  <c r="P58" i="16"/>
  <c r="AC58" i="15"/>
  <c r="R13" i="16"/>
  <c r="T13" i="15"/>
  <c r="AD104" i="14"/>
  <c r="AH104" i="14"/>
  <c r="AM104" i="14"/>
  <c r="AF104" i="14"/>
  <c r="AI104" i="14"/>
  <c r="AL108" i="13"/>
  <c r="AN108" i="13" s="1"/>
  <c r="U26" i="16"/>
  <c r="V26" i="15"/>
  <c r="P21" i="16"/>
  <c r="X21" i="15"/>
  <c r="U88" i="16"/>
  <c r="V88" i="15"/>
  <c r="X88" i="15" s="1"/>
  <c r="AL67" i="13"/>
  <c r="AL107" i="13"/>
  <c r="AN107" i="13" s="1"/>
  <c r="AM42" i="13"/>
  <c r="AD42" i="13"/>
  <c r="AF42" i="13"/>
  <c r="AI42" i="13"/>
  <c r="AH42" i="13"/>
  <c r="X20" i="15"/>
  <c r="AA20" i="15" s="1"/>
  <c r="AF20" i="15" s="1"/>
  <c r="AL54" i="13"/>
  <c r="AN54" i="13" s="1"/>
  <c r="AL37" i="13"/>
  <c r="AN37" i="13" s="1"/>
  <c r="AI52" i="13"/>
  <c r="AH52" i="13"/>
  <c r="AM52" i="13"/>
  <c r="AD52" i="13"/>
  <c r="AF52" i="13"/>
  <c r="AD17" i="13"/>
  <c r="AM17" i="13"/>
  <c r="AH17" i="13"/>
  <c r="AI17" i="13"/>
  <c r="AF17" i="13"/>
  <c r="V64" i="15"/>
  <c r="W64" i="15" s="1"/>
  <c r="X64" i="15" s="1"/>
  <c r="U64" i="16"/>
  <c r="AL118" i="13"/>
  <c r="AN118" i="13" s="1"/>
  <c r="R6" i="16"/>
  <c r="T6" i="16" s="1"/>
  <c r="R6" i="19"/>
  <c r="T6" i="19" s="1"/>
  <c r="T6" i="15"/>
  <c r="AL89" i="27"/>
  <c r="AN21" i="12"/>
  <c r="O155" i="9"/>
  <c r="P155" i="9" s="1"/>
  <c r="AM76" i="12"/>
  <c r="AM129" i="27" s="1"/>
  <c r="AI47" i="27"/>
  <c r="AD649" i="18"/>
  <c r="AE649" i="18" s="1"/>
  <c r="AF649" i="18" s="1"/>
  <c r="AA60" i="27"/>
  <c r="AM60" i="27" s="1"/>
  <c r="AD31" i="12"/>
  <c r="O61" i="9"/>
  <c r="P61" i="9" s="1"/>
  <c r="AH31" i="12"/>
  <c r="AH60" i="27" s="1"/>
  <c r="AI31" i="12"/>
  <c r="AI60" i="27" s="1"/>
  <c r="AF31" i="12"/>
  <c r="AF60" i="27" s="1"/>
  <c r="AA61" i="8"/>
  <c r="AM31" i="12"/>
  <c r="AD659" i="18"/>
  <c r="AE659" i="18" s="1"/>
  <c r="AF659" i="18" s="1"/>
  <c r="AD510" i="18"/>
  <c r="AE510" i="18" s="1"/>
  <c r="AF510" i="18" s="1"/>
  <c r="AE21" i="27"/>
  <c r="AD657" i="18"/>
  <c r="AE657" i="18" s="1"/>
  <c r="AF657" i="18" s="1"/>
  <c r="AI61" i="27"/>
  <c r="AF109" i="12"/>
  <c r="AI109" i="12"/>
  <c r="AH109" i="12"/>
  <c r="AM109" i="12"/>
  <c r="AD109" i="12"/>
  <c r="AI125" i="26"/>
  <c r="AM125" i="26"/>
  <c r="AM107" i="19"/>
  <c r="AH125" i="16"/>
  <c r="AD107" i="19"/>
  <c r="AD462" i="18"/>
  <c r="AE462" i="18" s="1"/>
  <c r="AF462" i="18" s="1"/>
  <c r="AM125" i="16"/>
  <c r="AE7" i="27"/>
  <c r="AD76" i="12"/>
  <c r="AD25" i="27"/>
  <c r="AA129" i="8"/>
  <c r="O129" i="9"/>
  <c r="P129" i="9" s="1"/>
  <c r="AM92" i="12"/>
  <c r="AI92" i="12"/>
  <c r="AD92" i="12"/>
  <c r="AF92" i="12"/>
  <c r="AD47" i="27"/>
  <c r="AD488" i="18"/>
  <c r="AE488" i="18" s="1"/>
  <c r="AF488" i="18" s="1"/>
  <c r="AL108" i="12"/>
  <c r="AN108" i="12" s="1"/>
  <c r="AM93" i="12"/>
  <c r="AD93" i="12"/>
  <c r="AI93" i="12"/>
  <c r="AF93" i="12"/>
  <c r="AL73" i="12"/>
  <c r="AN73" i="12" s="1"/>
  <c r="AD532" i="18"/>
  <c r="AE532" i="18" s="1"/>
  <c r="AF532" i="18" s="1"/>
  <c r="AE58" i="27"/>
  <c r="O127" i="9"/>
  <c r="P127" i="9" s="1"/>
  <c r="AH49" i="12"/>
  <c r="AA127" i="8"/>
  <c r="AD49" i="12"/>
  <c r="AM49" i="12"/>
  <c r="AM125" i="27" s="1"/>
  <c r="AM127" i="27" s="1"/>
  <c r="AF49" i="12"/>
  <c r="AA50" i="27"/>
  <c r="AM50" i="27" s="1"/>
  <c r="AI49" i="12"/>
  <c r="AH28" i="12"/>
  <c r="AD28" i="12"/>
  <c r="AM28" i="12"/>
  <c r="AI28" i="12"/>
  <c r="AF28" i="12"/>
  <c r="AD474" i="18"/>
  <c r="AE474" i="18" s="1"/>
  <c r="AF474" i="18" s="1"/>
  <c r="AF38" i="27"/>
  <c r="AD562" i="18"/>
  <c r="AE562" i="18" s="1"/>
  <c r="AF562" i="18" s="1"/>
  <c r="AL10" i="12"/>
  <c r="AL116" i="12"/>
  <c r="AN116" i="12" s="1"/>
  <c r="AD592" i="18"/>
  <c r="AE592" i="18" s="1"/>
  <c r="AF592" i="18" s="1"/>
  <c r="AH19" i="27"/>
  <c r="AL30" i="12"/>
  <c r="AN30" i="12" s="1"/>
  <c r="AA64" i="8"/>
  <c r="AF32" i="12"/>
  <c r="AM32" i="12"/>
  <c r="AM105" i="27" s="1"/>
  <c r="AH32" i="12"/>
  <c r="AD496" i="18"/>
  <c r="AE496" i="18" s="1"/>
  <c r="AF496" i="18" s="1"/>
  <c r="AD61" i="27"/>
  <c r="AL39" i="12"/>
  <c r="U130" i="15"/>
  <c r="V130" i="14"/>
  <c r="AA37" i="27"/>
  <c r="AM37" i="27" s="1"/>
  <c r="AA106" i="8"/>
  <c r="AD52" i="12"/>
  <c r="AF52" i="12"/>
  <c r="O106" i="9"/>
  <c r="P106" i="9" s="1"/>
  <c r="AH52" i="12"/>
  <c r="AI52" i="12"/>
  <c r="AM52" i="12"/>
  <c r="AM108" i="27" s="1"/>
  <c r="AM110" i="27" s="1"/>
  <c r="AD631" i="18"/>
  <c r="AE631" i="18" s="1"/>
  <c r="AF631" i="18" s="1"/>
  <c r="AC89" i="8"/>
  <c r="T6" i="14"/>
  <c r="AH76" i="12"/>
  <c r="AF76" i="12"/>
  <c r="AI94" i="12"/>
  <c r="AL114" i="12"/>
  <c r="AN114" i="12" s="1"/>
  <c r="AE53" i="27"/>
  <c r="AD528" i="18"/>
  <c r="AE528" i="18" s="1"/>
  <c r="AF528" i="18" s="1"/>
  <c r="AM124" i="12"/>
  <c r="AD124" i="12"/>
  <c r="AI124" i="12"/>
  <c r="AF124" i="12"/>
  <c r="AF47" i="27"/>
  <c r="AD567" i="18"/>
  <c r="AE567" i="18" s="1"/>
  <c r="AF567" i="18" s="1"/>
  <c r="AF98" i="12"/>
  <c r="AM98" i="12"/>
  <c r="AD98" i="12"/>
  <c r="AI98" i="12"/>
  <c r="AL93" i="12"/>
  <c r="AN93" i="12" s="1"/>
  <c r="AH56" i="12"/>
  <c r="AF56" i="12"/>
  <c r="AD577" i="18"/>
  <c r="AE577" i="18" s="1"/>
  <c r="AF577" i="18" s="1"/>
  <c r="AF65" i="27"/>
  <c r="AD605" i="18"/>
  <c r="AE605" i="18" s="1"/>
  <c r="AF605" i="18" s="1"/>
  <c r="AH38" i="27"/>
  <c r="AL38" i="27" s="1"/>
  <c r="AN38" i="27" s="1"/>
  <c r="AE20" i="27"/>
  <c r="AD509" i="18"/>
  <c r="AE509" i="18" s="1"/>
  <c r="AF509" i="18" s="1"/>
  <c r="AN38" i="12"/>
  <c r="AL13" i="12"/>
  <c r="AN13" i="12" s="1"/>
  <c r="AD520" i="18"/>
  <c r="AE520" i="18" s="1"/>
  <c r="AF520" i="18" s="1"/>
  <c r="AE37" i="27"/>
  <c r="AM129" i="12"/>
  <c r="AD129" i="12"/>
  <c r="AH113" i="12"/>
  <c r="AI113" i="12"/>
  <c r="AD113" i="12"/>
  <c r="AF113" i="12"/>
  <c r="AM113" i="12"/>
  <c r="AE132" i="12"/>
  <c r="AA119" i="8"/>
  <c r="AH75" i="12"/>
  <c r="O119" i="9"/>
  <c r="P119" i="9" s="1"/>
  <c r="AA58" i="27"/>
  <c r="AM58" i="27" s="1"/>
  <c r="AD527" i="18"/>
  <c r="AE527" i="18" s="1"/>
  <c r="AF527" i="18" s="1"/>
  <c r="AE50" i="27"/>
  <c r="AH48" i="12"/>
  <c r="AM48" i="12"/>
  <c r="AL118" i="27"/>
  <c r="AN118" i="27" s="1"/>
  <c r="AN68" i="12"/>
  <c r="AD504" i="18"/>
  <c r="AE504" i="18" s="1"/>
  <c r="AF504" i="18" s="1"/>
  <c r="AE9" i="27"/>
  <c r="AH107" i="19"/>
  <c r="AD75" i="12"/>
  <c r="AL69" i="12"/>
  <c r="AD648" i="18"/>
  <c r="AE648" i="18" s="1"/>
  <c r="AF648" i="18" s="1"/>
  <c r="AL88" i="12"/>
  <c r="AN88" i="12" s="1"/>
  <c r="AI125" i="16"/>
  <c r="AH125" i="26"/>
  <c r="AE107" i="19"/>
  <c r="AC101" i="8"/>
  <c r="AL125" i="15"/>
  <c r="AN125" i="15" s="1"/>
  <c r="S74" i="9"/>
  <c r="AN96" i="12"/>
  <c r="AI75" i="12"/>
  <c r="AL121" i="13"/>
  <c r="AN121" i="13" s="1"/>
  <c r="AA155" i="8"/>
  <c r="AI76" i="12"/>
  <c r="AD94" i="12"/>
  <c r="AD503" i="18"/>
  <c r="AE503" i="18" s="1"/>
  <c r="AF503" i="18" s="1"/>
  <c r="AF48" i="12"/>
  <c r="AD647" i="18"/>
  <c r="AE647" i="18" s="1"/>
  <c r="AF647" i="18" s="1"/>
  <c r="AI45" i="27"/>
  <c r="AL45" i="27" s="1"/>
  <c r="AN45" i="27" s="1"/>
  <c r="AD529" i="18"/>
  <c r="AE529" i="18" s="1"/>
  <c r="AF529" i="18" s="1"/>
  <c r="AE55" i="27"/>
  <c r="AM105" i="12"/>
  <c r="AI105" i="12"/>
  <c r="AD105" i="12"/>
  <c r="AF105" i="12"/>
  <c r="AI6" i="12"/>
  <c r="AD6" i="12"/>
  <c r="AM6" i="12"/>
  <c r="AF6" i="12"/>
  <c r="AH6" i="12"/>
  <c r="AD595" i="18"/>
  <c r="AE595" i="18" s="1"/>
  <c r="AF595" i="18" s="1"/>
  <c r="AH23" i="27"/>
  <c r="AL23" i="27" s="1"/>
  <c r="AN23" i="27" s="1"/>
  <c r="AM89" i="12"/>
  <c r="AF89" i="12"/>
  <c r="AM97" i="12"/>
  <c r="AD97" i="12"/>
  <c r="AI97" i="12"/>
  <c r="AF97" i="12"/>
  <c r="AI90" i="12"/>
  <c r="AL90" i="12" s="1"/>
  <c r="AN90" i="12" s="1"/>
  <c r="AF90" i="12"/>
  <c r="AN50" i="12"/>
  <c r="AL119" i="12"/>
  <c r="AN119" i="12" s="1"/>
  <c r="AM140" i="27"/>
  <c r="AM141" i="27" s="1"/>
  <c r="AF25" i="27"/>
  <c r="AD609" i="18"/>
  <c r="AE609" i="18" s="1"/>
  <c r="AF609" i="18" s="1"/>
  <c r="AH44" i="27"/>
  <c r="AA67" i="8"/>
  <c r="AH36" i="12"/>
  <c r="AH9" i="27" s="1"/>
  <c r="AA9" i="27"/>
  <c r="AM9" i="27" s="1"/>
  <c r="AI36" i="12"/>
  <c r="AI9" i="27" s="1"/>
  <c r="AM36" i="12"/>
  <c r="AD36" i="12"/>
  <c r="AF36" i="12"/>
  <c r="AF9" i="27" s="1"/>
  <c r="O67" i="9"/>
  <c r="P67" i="9" s="1"/>
  <c r="AD19" i="27"/>
  <c r="AL19" i="27" s="1"/>
  <c r="AN19" i="27" s="1"/>
  <c r="AL19" i="12"/>
  <c r="AN19" i="12" s="1"/>
  <c r="AA20" i="27"/>
  <c r="AM20" i="27" s="1"/>
  <c r="AI11" i="12"/>
  <c r="AD11" i="12"/>
  <c r="AA103" i="8"/>
  <c r="AH11" i="12"/>
  <c r="O103" i="9"/>
  <c r="P103" i="9" s="1"/>
  <c r="AM11" i="12"/>
  <c r="AM85" i="27" s="1"/>
  <c r="AF11" i="12"/>
  <c r="AF20" i="27" s="1"/>
  <c r="AI87" i="12"/>
  <c r="AM87" i="12"/>
  <c r="AF87" i="12"/>
  <c r="AL87" i="12" s="1"/>
  <c r="AD87" i="12"/>
  <c r="AA21" i="27"/>
  <c r="AM21" i="27" s="1"/>
  <c r="AF7" i="12"/>
  <c r="AH7" i="12"/>
  <c r="AA104" i="8"/>
  <c r="AM7" i="12"/>
  <c r="AM86" i="27" s="1"/>
  <c r="AI7" i="12"/>
  <c r="O104" i="9"/>
  <c r="P104" i="9" s="1"/>
  <c r="AD7" i="12"/>
  <c r="AI45" i="12"/>
  <c r="AM45" i="12"/>
  <c r="AD45" i="12"/>
  <c r="AF45" i="12"/>
  <c r="AH45" i="12"/>
  <c r="AL18" i="12"/>
  <c r="AN18" i="12" s="1"/>
  <c r="AL80" i="12"/>
  <c r="AN80" i="12" s="1"/>
  <c r="AD588" i="18"/>
  <c r="AE588" i="18" s="1"/>
  <c r="AF588" i="18" s="1"/>
  <c r="AH10" i="27"/>
  <c r="AM7" i="27"/>
  <c r="AH47" i="27"/>
  <c r="AL47" i="27" s="1"/>
  <c r="AN47" i="27" s="1"/>
  <c r="AD610" i="18"/>
  <c r="AE610" i="18" s="1"/>
  <c r="AF610" i="18" s="1"/>
  <c r="AL67" i="12"/>
  <c r="AF58" i="27"/>
  <c r="AD573" i="18"/>
  <c r="AE573" i="18" s="1"/>
  <c r="AF573" i="18" s="1"/>
  <c r="U125" i="16"/>
  <c r="V125" i="16" s="1"/>
  <c r="U125" i="26"/>
  <c r="V125" i="26" s="1"/>
  <c r="V125" i="15"/>
  <c r="AM53" i="12"/>
  <c r="AM131" i="27" s="1"/>
  <c r="AF53" i="12"/>
  <c r="AI53" i="12"/>
  <c r="AA107" i="8"/>
  <c r="AD53" i="12"/>
  <c r="O107" i="9"/>
  <c r="P107" i="9" s="1"/>
  <c r="AH53" i="12"/>
  <c r="AA57" i="27"/>
  <c r="AM57" i="27" s="1"/>
  <c r="AD63" i="27"/>
  <c r="AL63" i="27" s="1"/>
  <c r="AN63" i="27" s="1"/>
  <c r="AL77" i="12"/>
  <c r="AD497" i="18"/>
  <c r="AE497" i="18" s="1"/>
  <c r="AF497" i="18" s="1"/>
  <c r="AD522" i="18"/>
  <c r="AE522" i="18" s="1"/>
  <c r="AF522" i="18" s="1"/>
  <c r="AE40" i="27"/>
  <c r="AD74" i="12"/>
  <c r="AH74" i="12"/>
  <c r="AF74" i="12"/>
  <c r="O115" i="9"/>
  <c r="P115" i="9" s="1"/>
  <c r="AI74" i="12"/>
  <c r="AM74" i="12"/>
  <c r="AM130" i="27" s="1"/>
  <c r="AA56" i="27"/>
  <c r="AM56" i="27" s="1"/>
  <c r="AA115" i="8"/>
  <c r="AI128" i="12"/>
  <c r="AF128" i="12"/>
  <c r="AM128" i="12"/>
  <c r="AD128" i="12"/>
  <c r="AA34" i="27"/>
  <c r="AM34" i="27" s="1"/>
  <c r="O58" i="9"/>
  <c r="P58" i="9" s="1"/>
  <c r="AA58" i="8"/>
  <c r="S108" i="9"/>
  <c r="AD476" i="18"/>
  <c r="AE476" i="18" s="1"/>
  <c r="AF476" i="18" s="1"/>
  <c r="AD28" i="27"/>
  <c r="AL24" i="12"/>
  <c r="AL27" i="12"/>
  <c r="AL29" i="12"/>
  <c r="AA15" i="27"/>
  <c r="AM15" i="27" s="1"/>
  <c r="AF62" i="12"/>
  <c r="AM62" i="12"/>
  <c r="AM80" i="27" s="1"/>
  <c r="AM81" i="27" s="1"/>
  <c r="AA56" i="8"/>
  <c r="AI62" i="12"/>
  <c r="AH62" i="12"/>
  <c r="O56" i="9"/>
  <c r="P56" i="9" s="1"/>
  <c r="AD62" i="12"/>
  <c r="AN99" i="12"/>
  <c r="AF44" i="27"/>
  <c r="AD566" i="18"/>
  <c r="AE566" i="18" s="1"/>
  <c r="AF566" i="18" s="1"/>
  <c r="AL51" i="12"/>
  <c r="AM82" i="12"/>
  <c r="AD82" i="12"/>
  <c r="AF82" i="12"/>
  <c r="AI82" i="12"/>
  <c r="AH82" i="12"/>
  <c r="AD55" i="27"/>
  <c r="AD491" i="18"/>
  <c r="AE491" i="18" s="1"/>
  <c r="AF491" i="18" s="1"/>
  <c r="AL76" i="12"/>
  <c r="AD61" i="12"/>
  <c r="AF61" i="12"/>
  <c r="AM61" i="12"/>
  <c r="AI61" i="12"/>
  <c r="AE8" i="27"/>
  <c r="X130" i="14"/>
  <c r="AA130" i="14" s="1"/>
  <c r="AI130" i="14" s="1"/>
  <c r="AC130" i="14"/>
  <c r="AC131" i="14" s="1"/>
  <c r="S162" i="9" s="1"/>
  <c r="W130" i="14"/>
  <c r="P130" i="15"/>
  <c r="S93" i="9"/>
  <c r="S61" i="9"/>
  <c r="AD121" i="26"/>
  <c r="AI126" i="12"/>
  <c r="AF126" i="12"/>
  <c r="AM126" i="12"/>
  <c r="AD126" i="12"/>
  <c r="AN111" i="12"/>
  <c r="AD101" i="12"/>
  <c r="AM101" i="12"/>
  <c r="AF101" i="12"/>
  <c r="AH101" i="12"/>
  <c r="AI101" i="12"/>
  <c r="AD531" i="18"/>
  <c r="AE531" i="18" s="1"/>
  <c r="AF531" i="18" s="1"/>
  <c r="AE57" i="27"/>
  <c r="AE62" i="27"/>
  <c r="AD533" i="18"/>
  <c r="AE533" i="18" s="1"/>
  <c r="AF533" i="18" s="1"/>
  <c r="AD613" i="18"/>
  <c r="AE613" i="18" s="1"/>
  <c r="AF613" i="18" s="1"/>
  <c r="AH55" i="27"/>
  <c r="AD570" i="18"/>
  <c r="AE570" i="18" s="1"/>
  <c r="AF570" i="18" s="1"/>
  <c r="AF55" i="27"/>
  <c r="AD515" i="18"/>
  <c r="AE515" i="18" s="1"/>
  <c r="AF515" i="18" s="1"/>
  <c r="AE30" i="27"/>
  <c r="AI44" i="12"/>
  <c r="AI8" i="27" s="1"/>
  <c r="AM44" i="12"/>
  <c r="AD44" i="12"/>
  <c r="AF44" i="12"/>
  <c r="AF8" i="27" s="1"/>
  <c r="AH44" i="12"/>
  <c r="AH8" i="27" s="1"/>
  <c r="O124" i="9"/>
  <c r="AA8" i="27"/>
  <c r="AM8" i="27" s="1"/>
  <c r="AA124" i="8"/>
  <c r="AE42" i="27"/>
  <c r="AD523" i="18"/>
  <c r="AE523" i="18" s="1"/>
  <c r="AF523" i="18" s="1"/>
  <c r="AA130" i="13"/>
  <c r="AE130" i="13"/>
  <c r="AA6" i="13"/>
  <c r="AE6" i="13"/>
  <c r="X133" i="13"/>
  <c r="AL102" i="12"/>
  <c r="AN102" i="12" s="1"/>
  <c r="AI52" i="27"/>
  <c r="AD651" i="18"/>
  <c r="AE651" i="18" s="1"/>
  <c r="AF651" i="18" s="1"/>
  <c r="AD555" i="18"/>
  <c r="AE555" i="18" s="1"/>
  <c r="AF555" i="18" s="1"/>
  <c r="AF28" i="27"/>
  <c r="AH17" i="27"/>
  <c r="AD591" i="18"/>
  <c r="AE591" i="18" s="1"/>
  <c r="AF591" i="18" s="1"/>
  <c r="AD65" i="27"/>
  <c r="AD498" i="18"/>
  <c r="AE498" i="18" s="1"/>
  <c r="AF498" i="18" s="1"/>
  <c r="AL12" i="12"/>
  <c r="AN9" i="12"/>
  <c r="AD642" i="18"/>
  <c r="AE642" i="18" s="1"/>
  <c r="AF642" i="18" s="1"/>
  <c r="AI35" i="27"/>
  <c r="AD78" i="12"/>
  <c r="AF78" i="12"/>
  <c r="AM78" i="12"/>
  <c r="AI78" i="12"/>
  <c r="AI121" i="26"/>
  <c r="AL20" i="12"/>
  <c r="AN20" i="12" s="1"/>
  <c r="AL72" i="12"/>
  <c r="AN72" i="12" s="1"/>
  <c r="AD53" i="27"/>
  <c r="AD490" i="18"/>
  <c r="AE490" i="18" s="1"/>
  <c r="AF490" i="18" s="1"/>
  <c r="S87" i="9"/>
  <c r="S151" i="9"/>
  <c r="AM121" i="16"/>
  <c r="AM121" i="26"/>
  <c r="AL89" i="12"/>
  <c r="AN89" i="12" s="1"/>
  <c r="AF11" i="27"/>
  <c r="AD546" i="18"/>
  <c r="AE546" i="18" s="1"/>
  <c r="AF546" i="18" s="1"/>
  <c r="AM95" i="12"/>
  <c r="AD95" i="12"/>
  <c r="AF95" i="12"/>
  <c r="AI95" i="12"/>
  <c r="AF10" i="27"/>
  <c r="AL10" i="27" s="1"/>
  <c r="AN10" i="27" s="1"/>
  <c r="AL79" i="12"/>
  <c r="AD545" i="18"/>
  <c r="AE545" i="18" s="1"/>
  <c r="AF545" i="18" s="1"/>
  <c r="AD494" i="18"/>
  <c r="AE494" i="18" s="1"/>
  <c r="AF494" i="18" s="1"/>
  <c r="AL75" i="12"/>
  <c r="AD58" i="27"/>
  <c r="AN69" i="12"/>
  <c r="AL110" i="12"/>
  <c r="AN110" i="12" s="1"/>
  <c r="AL127" i="12"/>
  <c r="AN127" i="12" s="1"/>
  <c r="AM71" i="12"/>
  <c r="AM135" i="27" s="1"/>
  <c r="AM138" i="27" s="1"/>
  <c r="AH71" i="12"/>
  <c r="AF71" i="12"/>
  <c r="AA62" i="27"/>
  <c r="AM62" i="27" s="1"/>
  <c r="AI71" i="12"/>
  <c r="AA74" i="8"/>
  <c r="AD71" i="12"/>
  <c r="O74" i="9"/>
  <c r="P74" i="9" s="1"/>
  <c r="AD652" i="18"/>
  <c r="AE652" i="18" s="1"/>
  <c r="AF652" i="18" s="1"/>
  <c r="AI55" i="27"/>
  <c r="AH20" i="27"/>
  <c r="AD593" i="18"/>
  <c r="AE593" i="18" s="1"/>
  <c r="AF593" i="18" s="1"/>
  <c r="AD632" i="18"/>
  <c r="AE632" i="18" s="1"/>
  <c r="AF632" i="18" s="1"/>
  <c r="AI20" i="27"/>
  <c r="AA30" i="27"/>
  <c r="AM30" i="27" s="1"/>
  <c r="AI16" i="12"/>
  <c r="AM16" i="12"/>
  <c r="AM99" i="27" s="1"/>
  <c r="AA132" i="8"/>
  <c r="AH16" i="12"/>
  <c r="AD16" i="12"/>
  <c r="AF16" i="12"/>
  <c r="O132" i="9"/>
  <c r="P132" i="9" s="1"/>
  <c r="AL46" i="12"/>
  <c r="AN46" i="12" s="1"/>
  <c r="AD63" i="12"/>
  <c r="AA42" i="27"/>
  <c r="AM42" i="27" s="1"/>
  <c r="AI63" i="12"/>
  <c r="AM63" i="12"/>
  <c r="AM115" i="27" s="1"/>
  <c r="AM116" i="27" s="1"/>
  <c r="O65" i="9"/>
  <c r="P65" i="9" s="1"/>
  <c r="AH63" i="12"/>
  <c r="AF63" i="12"/>
  <c r="AA65" i="8"/>
  <c r="AL94" i="12"/>
  <c r="AN94" i="12" s="1"/>
  <c r="AF52" i="27"/>
  <c r="AL70" i="12"/>
  <c r="AD569" i="18"/>
  <c r="AE569" i="18" s="1"/>
  <c r="AF569" i="18" s="1"/>
  <c r="AA31" i="27"/>
  <c r="AM31" i="27" s="1"/>
  <c r="AA151" i="8"/>
  <c r="AI15" i="12"/>
  <c r="AD15" i="12"/>
  <c r="AA130" i="12"/>
  <c r="AM15" i="12"/>
  <c r="O151" i="9"/>
  <c r="P151" i="9" s="1"/>
  <c r="AH15" i="12"/>
  <c r="AF15" i="12"/>
  <c r="AL100" i="12"/>
  <c r="AN100" i="12" s="1"/>
  <c r="AD637" i="18"/>
  <c r="AE637" i="18" s="1"/>
  <c r="AF637" i="18" s="1"/>
  <c r="AI28" i="27"/>
  <c r="AD513" i="18"/>
  <c r="AE513" i="18" s="1"/>
  <c r="AF513" i="18" s="1"/>
  <c r="AE27" i="27"/>
  <c r="AL48" i="12"/>
  <c r="AN48" i="12" s="1"/>
  <c r="AI17" i="27"/>
  <c r="AD630" i="18"/>
  <c r="AE630" i="18" s="1"/>
  <c r="AF630" i="18" s="1"/>
  <c r="AF34" i="27"/>
  <c r="AD559" i="18"/>
  <c r="AE559" i="18" s="1"/>
  <c r="AF559" i="18" s="1"/>
  <c r="AC68" i="27"/>
  <c r="AL84" i="27"/>
  <c r="AN84" i="27" s="1"/>
  <c r="AN41" i="12"/>
  <c r="AN17" i="12"/>
  <c r="AL101" i="27"/>
  <c r="AN101" i="27" s="1"/>
  <c r="AD550" i="18"/>
  <c r="AE550" i="18" s="1"/>
  <c r="AF550" i="18" s="1"/>
  <c r="AM76" i="27"/>
  <c r="AD505" i="18"/>
  <c r="AE505" i="18" s="1"/>
  <c r="AF505" i="18" s="1"/>
  <c r="AL66" i="12"/>
  <c r="AE11" i="27"/>
  <c r="AI58" i="27"/>
  <c r="AD655" i="18"/>
  <c r="AE655" i="18" s="1"/>
  <c r="AF655" i="18" s="1"/>
  <c r="AI123" i="12"/>
  <c r="AF123" i="12"/>
  <c r="AM123" i="12"/>
  <c r="AD123" i="12"/>
  <c r="AM121" i="12"/>
  <c r="AD121" i="12"/>
  <c r="AI121" i="12"/>
  <c r="AF121" i="12"/>
  <c r="AI43" i="12"/>
  <c r="AD43" i="12"/>
  <c r="AA148" i="8"/>
  <c r="AM43" i="12"/>
  <c r="AM112" i="27" s="1"/>
  <c r="AM113" i="27" s="1"/>
  <c r="AA40" i="27"/>
  <c r="AM40" i="27" s="1"/>
  <c r="AF43" i="12"/>
  <c r="O148" i="9"/>
  <c r="P148" i="9" s="1"/>
  <c r="AH43" i="12"/>
  <c r="AE56" i="27"/>
  <c r="AD530" i="18"/>
  <c r="AE530" i="18" s="1"/>
  <c r="AF530" i="18" s="1"/>
  <c r="AH53" i="27"/>
  <c r="AD612" i="18"/>
  <c r="AE612" i="18" s="1"/>
  <c r="AF612" i="18" s="1"/>
  <c r="S79" i="9"/>
  <c r="S92" i="9"/>
  <c r="S81" i="9"/>
  <c r="S137" i="9"/>
  <c r="S100" i="9"/>
  <c r="S72" i="9"/>
  <c r="S121" i="9"/>
  <c r="S86" i="9"/>
  <c r="S138" i="9"/>
  <c r="S95" i="9"/>
  <c r="S136" i="9"/>
  <c r="S62" i="9"/>
  <c r="S68" i="9"/>
  <c r="S135" i="9"/>
  <c r="S153" i="9"/>
  <c r="S114" i="9"/>
  <c r="S80" i="9"/>
  <c r="S118" i="9"/>
  <c r="S154" i="9"/>
  <c r="S117" i="9"/>
  <c r="S150" i="9"/>
  <c r="S112" i="9"/>
  <c r="S84" i="9"/>
  <c r="S134" i="9"/>
  <c r="S91" i="9"/>
  <c r="S156" i="9"/>
  <c r="S111" i="9"/>
  <c r="S69" i="9"/>
  <c r="S99" i="9"/>
  <c r="S83" i="9"/>
  <c r="S146" i="9"/>
  <c r="S98" i="9"/>
  <c r="S78" i="9"/>
  <c r="S128" i="9"/>
  <c r="S59" i="9"/>
  <c r="S71" i="9"/>
  <c r="S90" i="9"/>
  <c r="S105" i="9"/>
  <c r="S123" i="9"/>
  <c r="S66" i="9"/>
  <c r="S120" i="9"/>
  <c r="S116" i="9"/>
  <c r="S139" i="9"/>
  <c r="S60" i="9"/>
  <c r="S75" i="9"/>
  <c r="S94" i="9"/>
  <c r="S109" i="9"/>
  <c r="S140" i="9"/>
  <c r="B6" i="15"/>
  <c r="T63" i="9" s="1"/>
  <c r="S82" i="9"/>
  <c r="S96" i="9"/>
  <c r="S113" i="9"/>
  <c r="S131" i="9"/>
  <c r="S125" i="9"/>
  <c r="S57" i="9"/>
  <c r="S142" i="9"/>
  <c r="S149" i="9"/>
  <c r="S88" i="9"/>
  <c r="S102" i="9"/>
  <c r="S126" i="9"/>
  <c r="S110" i="9"/>
  <c r="S158" i="9"/>
  <c r="S130" i="9"/>
  <c r="AL129" i="12"/>
  <c r="AN129" i="12" s="1"/>
  <c r="AL106" i="12"/>
  <c r="AN106" i="12" s="1"/>
  <c r="AN83" i="12"/>
  <c r="AH33" i="12"/>
  <c r="AI33" i="12"/>
  <c r="AF33" i="12"/>
  <c r="AD544" i="18" s="1"/>
  <c r="AM33" i="12"/>
  <c r="AM75" i="27" s="1"/>
  <c r="AM78" i="27" s="1"/>
  <c r="AA55" i="8"/>
  <c r="AD33" i="12"/>
  <c r="AD7" i="27" s="1"/>
  <c r="O55" i="9"/>
  <c r="AD516" i="18"/>
  <c r="AE516" i="18" s="1"/>
  <c r="AF516" i="18" s="1"/>
  <c r="AE31" i="27"/>
  <c r="AE130" i="12"/>
  <c r="AH34" i="27"/>
  <c r="AD602" i="18"/>
  <c r="AE602" i="18" s="1"/>
  <c r="AF602" i="18" s="1"/>
  <c r="AI23" i="12"/>
  <c r="O147" i="9"/>
  <c r="AM23" i="12"/>
  <c r="AM95" i="27" s="1"/>
  <c r="AM97" i="27" s="1"/>
  <c r="AA147" i="8"/>
  <c r="AF23" i="12"/>
  <c r="AH23" i="12"/>
  <c r="AD23" i="12"/>
  <c r="AA27" i="27"/>
  <c r="AM27" i="27" s="1"/>
  <c r="AM104" i="27"/>
  <c r="AD506" i="18"/>
  <c r="AE506" i="18" s="1"/>
  <c r="AF506" i="18" s="1"/>
  <c r="AE15" i="27"/>
  <c r="AL58" i="12"/>
  <c r="AN58" i="12" s="1"/>
  <c r="AL92" i="27"/>
  <c r="AN8" i="12"/>
  <c r="AD481" i="18"/>
  <c r="AD35" i="27"/>
  <c r="AL32" i="12"/>
  <c r="AD469" i="18"/>
  <c r="AE469" i="18" s="1"/>
  <c r="AF469" i="18" s="1"/>
  <c r="AF74" i="14"/>
  <c r="AI93" i="14"/>
  <c r="S70" i="9"/>
  <c r="W85" i="19"/>
  <c r="AH41" i="15"/>
  <c r="AH74" i="14"/>
  <c r="AC92" i="19"/>
  <c r="AI42" i="14"/>
  <c r="AH93" i="14"/>
  <c r="AD57" i="16"/>
  <c r="AE29" i="15"/>
  <c r="AD23" i="15"/>
  <c r="P49" i="26"/>
  <c r="AH122" i="14"/>
  <c r="AD122" i="14"/>
  <c r="AL122" i="14" s="1"/>
  <c r="AF122" i="14"/>
  <c r="AM122" i="14"/>
  <c r="AI122" i="14"/>
  <c r="AC8" i="16"/>
  <c r="AM13" i="14"/>
  <c r="AH13" i="14"/>
  <c r="AI13" i="14"/>
  <c r="AD13" i="14"/>
  <c r="AF13" i="14"/>
  <c r="U103" i="19"/>
  <c r="V103" i="16"/>
  <c r="AH11" i="14"/>
  <c r="AM74" i="14"/>
  <c r="AF8" i="15"/>
  <c r="AF57" i="16"/>
  <c r="AF93" i="14"/>
  <c r="AE40" i="15"/>
  <c r="W75" i="26"/>
  <c r="AE49" i="15"/>
  <c r="AN110" i="14"/>
  <c r="T22" i="19"/>
  <c r="T36" i="19"/>
  <c r="AF129" i="14"/>
  <c r="AD121" i="16"/>
  <c r="AD61" i="14"/>
  <c r="S141" i="9"/>
  <c r="AE52" i="15"/>
  <c r="AF50" i="15"/>
  <c r="R10" i="19"/>
  <c r="R10" i="26" s="1"/>
  <c r="T10" i="26" s="1"/>
  <c r="T12" i="16"/>
  <c r="AC49" i="19"/>
  <c r="U49" i="19"/>
  <c r="V49" i="16"/>
  <c r="W49" i="16" s="1"/>
  <c r="X49" i="16" s="1"/>
  <c r="AI31" i="15"/>
  <c r="AF31" i="15"/>
  <c r="T54" i="26"/>
  <c r="AD124" i="14"/>
  <c r="AI121" i="16"/>
  <c r="AE57" i="16"/>
  <c r="AD100" i="15"/>
  <c r="AC13" i="16"/>
  <c r="W13" i="16"/>
  <c r="AI125" i="19"/>
  <c r="W62" i="26"/>
  <c r="AI100" i="15"/>
  <c r="AD47" i="14"/>
  <c r="AE36" i="15"/>
  <c r="AD93" i="14"/>
  <c r="AI57" i="16"/>
  <c r="T7" i="16"/>
  <c r="AH121" i="16"/>
  <c r="X28" i="16"/>
  <c r="AA28" i="16" s="1"/>
  <c r="X13" i="16"/>
  <c r="AA13" i="16" s="1"/>
  <c r="U93" i="19"/>
  <c r="V93" i="16"/>
  <c r="X93" i="16" s="1"/>
  <c r="AA93" i="16" s="1"/>
  <c r="AD93" i="16" s="1"/>
  <c r="X48" i="16"/>
  <c r="AA48" i="16" s="1"/>
  <c r="AC48" i="16"/>
  <c r="U101" i="19"/>
  <c r="V101" i="16"/>
  <c r="AH118" i="14"/>
  <c r="AD118" i="14"/>
  <c r="AI118" i="14"/>
  <c r="AM118" i="14"/>
  <c r="AF118" i="14"/>
  <c r="AH111" i="14"/>
  <c r="AD111" i="14"/>
  <c r="AL111" i="14" s="1"/>
  <c r="AN111" i="14" s="1"/>
  <c r="AI111" i="14"/>
  <c r="U20" i="26"/>
  <c r="V20" i="26" s="1"/>
  <c r="V20" i="19"/>
  <c r="AH56" i="14"/>
  <c r="AI56" i="14"/>
  <c r="AM56" i="14"/>
  <c r="AF56" i="14"/>
  <c r="AI121" i="14"/>
  <c r="AF121" i="14"/>
  <c r="AD121" i="14"/>
  <c r="P27" i="19"/>
  <c r="AC27" i="16"/>
  <c r="AM87" i="14"/>
  <c r="AF87" i="14"/>
  <c r="P68" i="26"/>
  <c r="AC68" i="26" s="1"/>
  <c r="AC68" i="19"/>
  <c r="V22" i="16"/>
  <c r="X22" i="16" s="1"/>
  <c r="U22" i="19"/>
  <c r="V79" i="16"/>
  <c r="U79" i="19"/>
  <c r="F104" i="19"/>
  <c r="F104" i="26" s="1"/>
  <c r="T60" i="19"/>
  <c r="R60" i="26"/>
  <c r="T60" i="26" s="1"/>
  <c r="R104" i="26"/>
  <c r="T104" i="26" s="1"/>
  <c r="W101" i="26"/>
  <c r="O71" i="19"/>
  <c r="O72" i="19"/>
  <c r="W19" i="26"/>
  <c r="AC19" i="26"/>
  <c r="U59" i="26"/>
  <c r="V59" i="26" s="1"/>
  <c r="V59" i="19"/>
  <c r="R32" i="26"/>
  <c r="T32" i="26" s="1"/>
  <c r="W23" i="16"/>
  <c r="P23" i="19"/>
  <c r="AC23" i="16"/>
  <c r="U76" i="26"/>
  <c r="V76" i="26" s="1"/>
  <c r="V76" i="19"/>
  <c r="R85" i="26"/>
  <c r="T85" i="26" s="1"/>
  <c r="T85" i="19"/>
  <c r="Q72" i="19"/>
  <c r="Q71" i="19"/>
  <c r="U62" i="26"/>
  <c r="V62" i="26" s="1"/>
  <c r="V62" i="19"/>
  <c r="W57" i="26"/>
  <c r="X57" i="26" s="1"/>
  <c r="V95" i="16"/>
  <c r="X95" i="16" s="1"/>
  <c r="U95" i="19"/>
  <c r="AH116" i="14"/>
  <c r="AI116" i="14"/>
  <c r="R61" i="19"/>
  <c r="T61" i="16"/>
  <c r="P13" i="26"/>
  <c r="AC13" i="19"/>
  <c r="W13" i="19"/>
  <c r="X13" i="19"/>
  <c r="S58" i="26"/>
  <c r="T58" i="26" s="1"/>
  <c r="T58" i="19"/>
  <c r="W52" i="16"/>
  <c r="X52" i="16" s="1"/>
  <c r="AA52" i="16" s="1"/>
  <c r="AD52" i="16" s="1"/>
  <c r="T35" i="16"/>
  <c r="R35" i="19"/>
  <c r="AC98" i="16"/>
  <c r="U15" i="26"/>
  <c r="V15" i="26" s="1"/>
  <c r="V15" i="19"/>
  <c r="AI73" i="15"/>
  <c r="AH73" i="15"/>
  <c r="AE23" i="15"/>
  <c r="F97" i="19"/>
  <c r="F97" i="26" s="1"/>
  <c r="F89" i="19"/>
  <c r="F89" i="26" s="1"/>
  <c r="W47" i="26"/>
  <c r="T19" i="16"/>
  <c r="S19" i="19"/>
  <c r="T47" i="16"/>
  <c r="S47" i="19"/>
  <c r="T63" i="19"/>
  <c r="S63" i="26"/>
  <c r="T63" i="26" s="1"/>
  <c r="T102" i="16"/>
  <c r="R102" i="19"/>
  <c r="AE37" i="16"/>
  <c r="AL119" i="14"/>
  <c r="AN119" i="14" s="1"/>
  <c r="K71" i="19"/>
  <c r="K72" i="19"/>
  <c r="V69" i="16"/>
  <c r="U69" i="19"/>
  <c r="T34" i="16"/>
  <c r="R34" i="19"/>
  <c r="V47" i="16"/>
  <c r="X47" i="16" s="1"/>
  <c r="AA47" i="16" s="1"/>
  <c r="U47" i="19"/>
  <c r="V6" i="19"/>
  <c r="U6" i="26"/>
  <c r="V6" i="26" s="1"/>
  <c r="N71" i="26"/>
  <c r="N72" i="26"/>
  <c r="P82" i="26"/>
  <c r="R87" i="26"/>
  <c r="T87" i="26" s="1"/>
  <c r="T87" i="19"/>
  <c r="P37" i="26"/>
  <c r="AC37" i="19"/>
  <c r="X37" i="19"/>
  <c r="AA37" i="19" s="1"/>
  <c r="AD37" i="19" s="1"/>
  <c r="W37" i="19"/>
  <c r="P50" i="26"/>
  <c r="W50" i="19"/>
  <c r="AC50" i="19"/>
  <c r="W87" i="19"/>
  <c r="P87" i="26"/>
  <c r="AC87" i="19"/>
  <c r="B72" i="26"/>
  <c r="B71" i="26"/>
  <c r="AM83" i="14"/>
  <c r="AF83" i="14"/>
  <c r="AH83" i="14"/>
  <c r="AD83" i="14"/>
  <c r="AI83" i="14"/>
  <c r="T59" i="19"/>
  <c r="S59" i="26"/>
  <c r="T59" i="26" s="1"/>
  <c r="W51" i="19"/>
  <c r="X51" i="19" s="1"/>
  <c r="R41" i="19"/>
  <c r="T41" i="16"/>
  <c r="E71" i="26"/>
  <c r="E72" i="26"/>
  <c r="U67" i="19"/>
  <c r="V67" i="16"/>
  <c r="W67" i="16" s="1"/>
  <c r="X67" i="16" s="1"/>
  <c r="AC73" i="19"/>
  <c r="P73" i="26"/>
  <c r="W73" i="19"/>
  <c r="V74" i="16"/>
  <c r="U74" i="19"/>
  <c r="X73" i="19"/>
  <c r="AH105" i="16"/>
  <c r="AI105" i="16"/>
  <c r="AM105" i="16"/>
  <c r="AF105" i="16"/>
  <c r="AD105" i="16"/>
  <c r="S50" i="26"/>
  <c r="T50" i="26" s="1"/>
  <c r="T50" i="19"/>
  <c r="AA65" i="16"/>
  <c r="AE65" i="16"/>
  <c r="V31" i="16"/>
  <c r="W31" i="16" s="1"/>
  <c r="X31" i="16" s="1"/>
  <c r="AE31" i="16" s="1"/>
  <c r="U31" i="19"/>
  <c r="V17" i="16"/>
  <c r="W17" i="16" s="1"/>
  <c r="X17" i="16" s="1"/>
  <c r="AA17" i="16" s="1"/>
  <c r="U17" i="19"/>
  <c r="V11" i="16"/>
  <c r="U11" i="19"/>
  <c r="V50" i="16"/>
  <c r="X50" i="16" s="1"/>
  <c r="AA50" i="16" s="1"/>
  <c r="U50" i="19"/>
  <c r="W77" i="19"/>
  <c r="V92" i="16"/>
  <c r="U92" i="19"/>
  <c r="T99" i="16"/>
  <c r="R99" i="19"/>
  <c r="T18" i="16"/>
  <c r="R18" i="19"/>
  <c r="T17" i="16"/>
  <c r="S17" i="19"/>
  <c r="V42" i="16"/>
  <c r="U42" i="19"/>
  <c r="V87" i="16"/>
  <c r="X87" i="16" s="1"/>
  <c r="AA87" i="16" s="1"/>
  <c r="U87" i="19"/>
  <c r="X62" i="26"/>
  <c r="AA62" i="26" s="1"/>
  <c r="AD62" i="26" s="1"/>
  <c r="V81" i="16"/>
  <c r="V41" i="16"/>
  <c r="U41" i="19"/>
  <c r="V25" i="16"/>
  <c r="X25" i="16" s="1"/>
  <c r="AA25" i="16" s="1"/>
  <c r="AD25" i="16" s="1"/>
  <c r="U25" i="19"/>
  <c r="V83" i="16"/>
  <c r="U83" i="19"/>
  <c r="F67" i="19"/>
  <c r="F67" i="26" s="1"/>
  <c r="T42" i="16"/>
  <c r="R42" i="19"/>
  <c r="AI124" i="14"/>
  <c r="AL124" i="14" s="1"/>
  <c r="AN124" i="14" s="1"/>
  <c r="AF124" i="14"/>
  <c r="T53" i="16"/>
  <c r="R71" i="19"/>
  <c r="T71" i="19" s="1"/>
  <c r="AC55" i="16"/>
  <c r="P55" i="19"/>
  <c r="AC51" i="19"/>
  <c r="P51" i="26"/>
  <c r="AC51" i="26" s="1"/>
  <c r="V36" i="16"/>
  <c r="W36" i="16" s="1"/>
  <c r="X36" i="16" s="1"/>
  <c r="AA36" i="16" s="1"/>
  <c r="U36" i="19"/>
  <c r="V85" i="16"/>
  <c r="X85" i="16" s="1"/>
  <c r="AE85" i="16" s="1"/>
  <c r="U85" i="19"/>
  <c r="V18" i="16"/>
  <c r="U18" i="19"/>
  <c r="V12" i="16"/>
  <c r="X12" i="16" s="1"/>
  <c r="AE12" i="16" s="1"/>
  <c r="U12" i="19"/>
  <c r="AF121" i="26"/>
  <c r="R26" i="26"/>
  <c r="T26" i="26" s="1"/>
  <c r="T26" i="19"/>
  <c r="R101" i="26"/>
  <c r="T101" i="26" s="1"/>
  <c r="T101" i="19"/>
  <c r="J71" i="26"/>
  <c r="J72" i="26"/>
  <c r="P86" i="26"/>
  <c r="W86" i="19"/>
  <c r="F71" i="26"/>
  <c r="F72" i="26"/>
  <c r="AH102" i="14"/>
  <c r="AI102" i="14"/>
  <c r="T73" i="16"/>
  <c r="R73" i="19"/>
  <c r="AC14" i="26"/>
  <c r="R12" i="26"/>
  <c r="T12" i="26" s="1"/>
  <c r="T12" i="19"/>
  <c r="W10" i="26"/>
  <c r="AC10" i="26"/>
  <c r="S71" i="26"/>
  <c r="S72" i="26"/>
  <c r="P66" i="26"/>
  <c r="W66" i="19"/>
  <c r="U78" i="26"/>
  <c r="V78" i="26" s="1"/>
  <c r="V78" i="19"/>
  <c r="U27" i="26"/>
  <c r="V27" i="26" s="1"/>
  <c r="V27" i="19"/>
  <c r="T11" i="19"/>
  <c r="R11" i="26"/>
  <c r="T11" i="26" s="1"/>
  <c r="W100" i="26"/>
  <c r="U84" i="26"/>
  <c r="V84" i="26" s="1"/>
  <c r="V84" i="19"/>
  <c r="U94" i="26"/>
  <c r="V94" i="26" s="1"/>
  <c r="X94" i="26" s="1"/>
  <c r="V94" i="19"/>
  <c r="X94" i="19" s="1"/>
  <c r="AA94" i="19" s="1"/>
  <c r="U90" i="26"/>
  <c r="V90" i="26" s="1"/>
  <c r="X90" i="26" s="1"/>
  <c r="V90" i="19"/>
  <c r="X90" i="19" s="1"/>
  <c r="AA90" i="19" s="1"/>
  <c r="AH91" i="15"/>
  <c r="AM91" i="15"/>
  <c r="AI91" i="15"/>
  <c r="AD91" i="15"/>
  <c r="AF91" i="15"/>
  <c r="F101" i="19"/>
  <c r="F101" i="26" s="1"/>
  <c r="T14" i="16"/>
  <c r="R14" i="19"/>
  <c r="V63" i="16"/>
  <c r="W63" i="16" s="1"/>
  <c r="X63" i="16" s="1"/>
  <c r="U63" i="19"/>
  <c r="F83" i="19"/>
  <c r="F83" i="26" s="1"/>
  <c r="T62" i="16"/>
  <c r="R62" i="19"/>
  <c r="AI100" i="16"/>
  <c r="F100" i="19"/>
  <c r="F100" i="26" s="1"/>
  <c r="V86" i="16"/>
  <c r="X86" i="16" s="1"/>
  <c r="AA86" i="16" s="1"/>
  <c r="U86" i="19"/>
  <c r="F79" i="19"/>
  <c r="F79" i="26" s="1"/>
  <c r="T74" i="16"/>
  <c r="R74" i="19"/>
  <c r="T25" i="16"/>
  <c r="R25" i="19"/>
  <c r="F103" i="19"/>
  <c r="F103" i="26" s="1"/>
  <c r="T38" i="16"/>
  <c r="R38" i="19"/>
  <c r="AE56" i="15"/>
  <c r="T65" i="16"/>
  <c r="R65" i="19"/>
  <c r="T56" i="16"/>
  <c r="R56" i="19"/>
  <c r="T97" i="16"/>
  <c r="R97" i="19"/>
  <c r="T66" i="16"/>
  <c r="S66" i="19"/>
  <c r="V30" i="16"/>
  <c r="W30" i="16" s="1"/>
  <c r="X30" i="16" s="1"/>
  <c r="AE30" i="16" s="1"/>
  <c r="U30" i="19"/>
  <c r="V29" i="16"/>
  <c r="X29" i="16" s="1"/>
  <c r="AE29" i="16" s="1"/>
  <c r="U29" i="19"/>
  <c r="V61" i="16"/>
  <c r="X61" i="16" s="1"/>
  <c r="AE61" i="16" s="1"/>
  <c r="V99" i="16"/>
  <c r="U99" i="19"/>
  <c r="T64" i="16"/>
  <c r="R64" i="19"/>
  <c r="T94" i="16"/>
  <c r="R94" i="19"/>
  <c r="T91" i="16"/>
  <c r="R91" i="19"/>
  <c r="F65" i="19"/>
  <c r="F65" i="26" s="1"/>
  <c r="T52" i="16"/>
  <c r="R52" i="19"/>
  <c r="V53" i="16"/>
  <c r="W53" i="16" s="1"/>
  <c r="X53" i="16" s="1"/>
  <c r="AA53" i="16" s="1"/>
  <c r="U53" i="19"/>
  <c r="AL6" i="14"/>
  <c r="AN6" i="14" s="1"/>
  <c r="T55" i="16"/>
  <c r="S55" i="19"/>
  <c r="S55" i="26" s="1"/>
  <c r="T24" i="16"/>
  <c r="S24" i="19"/>
  <c r="X90" i="16"/>
  <c r="T37" i="19"/>
  <c r="L72" i="26"/>
  <c r="L71" i="26"/>
  <c r="W26" i="19"/>
  <c r="P26" i="26"/>
  <c r="AC26" i="19"/>
  <c r="R28" i="26"/>
  <c r="T28" i="26" s="1"/>
  <c r="T28" i="19"/>
  <c r="T21" i="19"/>
  <c r="R21" i="26"/>
  <c r="T21" i="26" s="1"/>
  <c r="T39" i="19"/>
  <c r="R39" i="26"/>
  <c r="T39" i="26" s="1"/>
  <c r="AF23" i="15"/>
  <c r="AM23" i="15"/>
  <c r="AH23" i="15"/>
  <c r="P12" i="19"/>
  <c r="W12" i="16"/>
  <c r="AC12" i="16"/>
  <c r="AI129" i="14"/>
  <c r="AD129" i="14"/>
  <c r="AL129" i="14" s="1"/>
  <c r="AN129" i="14" s="1"/>
  <c r="W61" i="16"/>
  <c r="P61" i="19"/>
  <c r="AC61" i="16"/>
  <c r="AE100" i="15"/>
  <c r="P52" i="19"/>
  <c r="P52" i="26" s="1"/>
  <c r="AC52" i="26" s="1"/>
  <c r="AC52" i="16"/>
  <c r="T100" i="19"/>
  <c r="R100" i="26"/>
  <c r="T100" i="26" s="1"/>
  <c r="U52" i="26"/>
  <c r="V52" i="26" s="1"/>
  <c r="P41" i="19"/>
  <c r="X41" i="16"/>
  <c r="AA41" i="16" s="1"/>
  <c r="W41" i="16"/>
  <c r="AC41" i="16"/>
  <c r="R103" i="19"/>
  <c r="T103" i="16"/>
  <c r="R20" i="26"/>
  <c r="T20" i="26" s="1"/>
  <c r="T20" i="19"/>
  <c r="X66" i="19"/>
  <c r="AM50" i="15"/>
  <c r="AH50" i="15"/>
  <c r="AI50" i="15"/>
  <c r="Z160" i="18"/>
  <c r="Z172" i="18" s="1"/>
  <c r="Z415" i="18" s="1"/>
  <c r="Z416" i="18" s="1"/>
  <c r="S416" i="8"/>
  <c r="P172" i="18"/>
  <c r="P415" i="18" s="1"/>
  <c r="P416" i="18" s="1"/>
  <c r="O15" i="22"/>
  <c r="AD160" i="18"/>
  <c r="AD172" i="18" s="1"/>
  <c r="P416" i="8"/>
  <c r="R160" i="18"/>
  <c r="R172" i="18" s="1"/>
  <c r="R415" i="18" s="1"/>
  <c r="U160" i="18"/>
  <c r="U172" i="18" s="1"/>
  <c r="U415" i="18" s="1"/>
  <c r="S53" i="18"/>
  <c r="R416" i="8"/>
  <c r="AC38" i="8"/>
  <c r="AB38" i="8"/>
  <c r="S160" i="18"/>
  <c r="S172" i="18" s="1"/>
  <c r="S415" i="18" s="1"/>
  <c r="S416" i="18" s="1"/>
  <c r="X53" i="18"/>
  <c r="T160" i="18"/>
  <c r="T172" i="18" s="1"/>
  <c r="T415" i="18" s="1"/>
  <c r="T416" i="18" s="1"/>
  <c r="AB52" i="8"/>
  <c r="AE374" i="18"/>
  <c r="AF371" i="18"/>
  <c r="O415" i="18"/>
  <c r="AC374" i="18"/>
  <c r="J23" i="10"/>
  <c r="O19" i="10"/>
  <c r="O52" i="9"/>
  <c r="P52" i="9" s="1"/>
  <c r="P11" i="10" s="1"/>
  <c r="Q160" i="18"/>
  <c r="Q172" i="18" s="1"/>
  <c r="Q415" i="18" s="1"/>
  <c r="X160" i="8"/>
  <c r="Y160" i="8" s="1"/>
  <c r="V160" i="18"/>
  <c r="V172" i="18" s="1"/>
  <c r="V415" i="18" s="1"/>
  <c r="X160" i="18"/>
  <c r="X172" i="18" s="1"/>
  <c r="X415" i="18" s="1"/>
  <c r="AE171" i="18"/>
  <c r="AF18" i="18"/>
  <c r="AE39" i="18"/>
  <c r="AC52" i="18"/>
  <c r="Y52" i="8"/>
  <c r="AC52" i="8"/>
  <c r="X53" i="8"/>
  <c r="Y53" i="8" s="1"/>
  <c r="AC369" i="18"/>
  <c r="AC171" i="18"/>
  <c r="AE175" i="18"/>
  <c r="AF175" i="18" s="1"/>
  <c r="AC283" i="18"/>
  <c r="AE27" i="18"/>
  <c r="AC38" i="18"/>
  <c r="AE55" i="18"/>
  <c r="AF55" i="18" s="1"/>
  <c r="AC122" i="18"/>
  <c r="AC18" i="18"/>
  <c r="AC159" i="18"/>
  <c r="AE159" i="18" s="1"/>
  <c r="AF159" i="18" s="1"/>
  <c r="AE124" i="18"/>
  <c r="AF124" i="18" s="1"/>
  <c r="P25" i="9"/>
  <c r="O38" i="9"/>
  <c r="AE414" i="18"/>
  <c r="AF288" i="18"/>
  <c r="AE369" i="18"/>
  <c r="AE18" i="18"/>
  <c r="AC414" i="18"/>
  <c r="N17" i="10"/>
  <c r="N22" i="10" s="1"/>
  <c r="N23" i="10" s="1"/>
  <c r="F8" i="3"/>
  <c r="E10" i="3"/>
  <c r="R5" i="22"/>
  <c r="S5" i="10"/>
  <c r="E30" i="2"/>
  <c r="H67" i="3"/>
  <c r="G27" i="3"/>
  <c r="G31" i="3"/>
  <c r="N13" i="7" s="1"/>
  <c r="V13" i="9" s="1"/>
  <c r="H65" i="3"/>
  <c r="H64" i="3"/>
  <c r="H68" i="3"/>
  <c r="H28" i="3"/>
  <c r="K6" i="7"/>
  <c r="S6" i="9"/>
  <c r="D12" i="3"/>
  <c r="F24" i="2"/>
  <c r="E12" i="3"/>
  <c r="T6" i="9"/>
  <c r="L6" i="7"/>
  <c r="F28" i="3"/>
  <c r="W22" i="9"/>
  <c r="W38" i="9" s="1"/>
  <c r="O6" i="9"/>
  <c r="I6" i="7"/>
  <c r="C24" i="2"/>
  <c r="B12" i="3"/>
  <c r="AA6" i="8"/>
  <c r="K6" i="9" s="1"/>
  <c r="J6" i="7"/>
  <c r="Q6" i="9"/>
  <c r="D24" i="2"/>
  <c r="E24" i="2"/>
  <c r="C12" i="3"/>
  <c r="D43" i="3" s="1"/>
  <c r="L23" i="10"/>
  <c r="R9" i="16"/>
  <c r="T9" i="15"/>
  <c r="AF9" i="15"/>
  <c r="V9" i="16"/>
  <c r="U9" i="19"/>
  <c r="AF112" i="19"/>
  <c r="AI106" i="19"/>
  <c r="AD112" i="19"/>
  <c r="AD110" i="19"/>
  <c r="AI112" i="19"/>
  <c r="AH106" i="19"/>
  <c r="AF110" i="19"/>
  <c r="AI120" i="19"/>
  <c r="AL120" i="19" s="1"/>
  <c r="AN120" i="19" s="1"/>
  <c r="AH110" i="19"/>
  <c r="AD113" i="19"/>
  <c r="AL111" i="19"/>
  <c r="AN111" i="19" s="1"/>
  <c r="AL126" i="19"/>
  <c r="AN126" i="19" s="1"/>
  <c r="AI108" i="19"/>
  <c r="AH113" i="19"/>
  <c r="AL127" i="19"/>
  <c r="AN127" i="19" s="1"/>
  <c r="AL129" i="19"/>
  <c r="AN129" i="19" s="1"/>
  <c r="AD108" i="19"/>
  <c r="AI113" i="19"/>
  <c r="AD114" i="19"/>
  <c r="AI114" i="19"/>
  <c r="AH114" i="19"/>
  <c r="AF114" i="19"/>
  <c r="AD123" i="19"/>
  <c r="AI123" i="19"/>
  <c r="AH123" i="19"/>
  <c r="AF123" i="19"/>
  <c r="AM123" i="19"/>
  <c r="AL121" i="19"/>
  <c r="AN121" i="19" s="1"/>
  <c r="AM124" i="19"/>
  <c r="AF124" i="19"/>
  <c r="AD124" i="19"/>
  <c r="AI124" i="19"/>
  <c r="AH124" i="19"/>
  <c r="AN128" i="19"/>
  <c r="AM117" i="19"/>
  <c r="AF117" i="19"/>
  <c r="AD117" i="19"/>
  <c r="AI117" i="19"/>
  <c r="AH117" i="19"/>
  <c r="AD122" i="19"/>
  <c r="AI122" i="19"/>
  <c r="AH122" i="19"/>
  <c r="AF122" i="19"/>
  <c r="AM122" i="19"/>
  <c r="AF118" i="19"/>
  <c r="AI118" i="19"/>
  <c r="AD118" i="19"/>
  <c r="AH118" i="19"/>
  <c r="AM118" i="19"/>
  <c r="AL116" i="19"/>
  <c r="AN116" i="19" s="1"/>
  <c r="AD119" i="19"/>
  <c r="AH119" i="19"/>
  <c r="AM119" i="19"/>
  <c r="AF119" i="19"/>
  <c r="AI119" i="19"/>
  <c r="AD115" i="19"/>
  <c r="AI115" i="19"/>
  <c r="AM115" i="19"/>
  <c r="AF115" i="19"/>
  <c r="AH115" i="19"/>
  <c r="AM42" i="15"/>
  <c r="AM33" i="15"/>
  <c r="AD33" i="15"/>
  <c r="AI33" i="15"/>
  <c r="AH33" i="15"/>
  <c r="AF33" i="15"/>
  <c r="AH78" i="14"/>
  <c r="AM78" i="14"/>
  <c r="AF78" i="14"/>
  <c r="AD78" i="14"/>
  <c r="AI78" i="14"/>
  <c r="AI84" i="15"/>
  <c r="AD46" i="14"/>
  <c r="W71" i="16"/>
  <c r="X71" i="16"/>
  <c r="AA71" i="16" s="1"/>
  <c r="AC71" i="16"/>
  <c r="W91" i="19"/>
  <c r="AC91" i="19"/>
  <c r="AC46" i="16"/>
  <c r="AH92" i="14"/>
  <c r="AM92" i="14"/>
  <c r="AF92" i="14"/>
  <c r="AD92" i="14"/>
  <c r="AI92" i="14"/>
  <c r="AD109" i="19"/>
  <c r="W92" i="19"/>
  <c r="AI61" i="14"/>
  <c r="W94" i="16"/>
  <c r="AC94" i="16"/>
  <c r="X94" i="16"/>
  <c r="AA94" i="16" s="1"/>
  <c r="AD94" i="16" s="1"/>
  <c r="W94" i="26"/>
  <c r="AC94" i="26"/>
  <c r="T63" i="16"/>
  <c r="AE53" i="15"/>
  <c r="AA53" i="15"/>
  <c r="W55" i="16"/>
  <c r="X55" i="16" s="1"/>
  <c r="AH31" i="14"/>
  <c r="AM31" i="14"/>
  <c r="AF31" i="14"/>
  <c r="S103" i="9"/>
  <c r="AD31" i="14"/>
  <c r="AI31" i="14"/>
  <c r="AD8" i="15"/>
  <c r="AC94" i="19"/>
  <c r="W94" i="19"/>
  <c r="W91" i="26"/>
  <c r="AC91" i="26"/>
  <c r="X91" i="26"/>
  <c r="AA91" i="26" s="1"/>
  <c r="AI91" i="26" s="1"/>
  <c r="AC53" i="26"/>
  <c r="W51" i="16"/>
  <c r="X51" i="16" s="1"/>
  <c r="AA51" i="16" s="1"/>
  <c r="AD51" i="16" s="1"/>
  <c r="AC51" i="16"/>
  <c r="AD38" i="14"/>
  <c r="AF38" i="14"/>
  <c r="AM109" i="14"/>
  <c r="AF109" i="14"/>
  <c r="AL48" i="14"/>
  <c r="AN48" i="14" s="1"/>
  <c r="AH109" i="14"/>
  <c r="AL44" i="14"/>
  <c r="AN44" i="14" s="1"/>
  <c r="AI109" i="14"/>
  <c r="AH38" i="14"/>
  <c r="AE90" i="15"/>
  <c r="AD115" i="14"/>
  <c r="AM115" i="14"/>
  <c r="AF115" i="14"/>
  <c r="AH115" i="14"/>
  <c r="AI115" i="14"/>
  <c r="AC64" i="16"/>
  <c r="AF23" i="14"/>
  <c r="AD23" i="14"/>
  <c r="AF91" i="14"/>
  <c r="AM91" i="14"/>
  <c r="AI91" i="14"/>
  <c r="S157" i="9"/>
  <c r="AM73" i="14"/>
  <c r="AD73" i="14"/>
  <c r="AI73" i="14"/>
  <c r="AF73" i="14"/>
  <c r="S144" i="9"/>
  <c r="AH73" i="14"/>
  <c r="W90" i="26"/>
  <c r="AC90" i="26"/>
  <c r="AF17" i="14"/>
  <c r="AF47" i="14"/>
  <c r="AH47" i="14"/>
  <c r="S107" i="9"/>
  <c r="AM47" i="14"/>
  <c r="AI29" i="15"/>
  <c r="AH29" i="15"/>
  <c r="AM29" i="15"/>
  <c r="AF29" i="15"/>
  <c r="AD29" i="15"/>
  <c r="W92" i="16"/>
  <c r="AC92" i="16"/>
  <c r="X92" i="16"/>
  <c r="AA92" i="16" s="1"/>
  <c r="AD92" i="16" s="1"/>
  <c r="AH55" i="14"/>
  <c r="AD55" i="14"/>
  <c r="S143" i="9"/>
  <c r="AM61" i="14"/>
  <c r="AF52" i="15"/>
  <c r="AM52" i="15"/>
  <c r="AH52" i="15"/>
  <c r="AD52" i="15"/>
  <c r="AI52" i="15"/>
  <c r="AL97" i="14"/>
  <c r="AN97" i="14" s="1"/>
  <c r="AM55" i="14"/>
  <c r="AD109" i="14"/>
  <c r="AL105" i="14"/>
  <c r="AN105" i="14" s="1"/>
  <c r="AI38" i="14"/>
  <c r="AH61" i="14"/>
  <c r="AC19" i="19"/>
  <c r="W19" i="19"/>
  <c r="AC64" i="19"/>
  <c r="AM37" i="16"/>
  <c r="AH37" i="16"/>
  <c r="AI37" i="16"/>
  <c r="AF37" i="16"/>
  <c r="W92" i="26"/>
  <c r="X92" i="26"/>
  <c r="AC92" i="26"/>
  <c r="W91" i="16"/>
  <c r="AC91" i="16"/>
  <c r="X91" i="16"/>
  <c r="AA91" i="16" s="1"/>
  <c r="AC53" i="19"/>
  <c r="AH32" i="15"/>
  <c r="AD32" i="15"/>
  <c r="AI32" i="15"/>
  <c r="AF32" i="15"/>
  <c r="AM32" i="15"/>
  <c r="AF114" i="14"/>
  <c r="AI114" i="14"/>
  <c r="AM11" i="14"/>
  <c r="AF11" i="14"/>
  <c r="AI11" i="14"/>
  <c r="AA65" i="15"/>
  <c r="AE65" i="15"/>
  <c r="AD15" i="15"/>
  <c r="AH15" i="15"/>
  <c r="AF15" i="15"/>
  <c r="AM15" i="15"/>
  <c r="AI15" i="15"/>
  <c r="W90" i="16"/>
  <c r="AC90" i="16"/>
  <c r="AM41" i="15"/>
  <c r="AI41" i="15"/>
  <c r="AF41" i="15"/>
  <c r="AH42" i="14"/>
  <c r="AM42" i="14"/>
  <c r="AD94" i="14"/>
  <c r="AM94" i="14"/>
  <c r="AI94" i="14"/>
  <c r="AH94" i="14"/>
  <c r="AF94" i="14"/>
  <c r="AD82" i="15"/>
  <c r="AI82" i="15"/>
  <c r="AM82" i="15"/>
  <c r="AF82" i="15"/>
  <c r="AH82" i="15"/>
  <c r="AD43" i="14"/>
  <c r="AH43" i="14"/>
  <c r="AI43" i="14"/>
  <c r="AM43" i="14"/>
  <c r="AF43" i="14"/>
  <c r="AE62" i="15"/>
  <c r="W38" i="26"/>
  <c r="AC38" i="26"/>
  <c r="AH60" i="14"/>
  <c r="AF60" i="14"/>
  <c r="AM60" i="14"/>
  <c r="AD60" i="14"/>
  <c r="AI60" i="14"/>
  <c r="AE93" i="15"/>
  <c r="W93" i="16"/>
  <c r="AC93" i="16"/>
  <c r="AI40" i="15"/>
  <c r="AH40" i="15"/>
  <c r="AD40" i="15"/>
  <c r="AF40" i="15"/>
  <c r="AM40" i="15"/>
  <c r="AI22" i="14"/>
  <c r="AM22" i="14"/>
  <c r="AF22" i="14"/>
  <c r="AH22" i="14"/>
  <c r="AD22" i="14"/>
  <c r="AH62" i="15"/>
  <c r="AM62" i="15"/>
  <c r="AF62" i="15"/>
  <c r="AI62" i="15"/>
  <c r="W99" i="19"/>
  <c r="AC99" i="19"/>
  <c r="X99" i="19"/>
  <c r="AA99" i="19" s="1"/>
  <c r="AD62" i="15"/>
  <c r="AC77" i="16"/>
  <c r="W77" i="16"/>
  <c r="W39" i="26"/>
  <c r="X39" i="26" s="1"/>
  <c r="AC39" i="26"/>
  <c r="AC47" i="16"/>
  <c r="W47" i="16"/>
  <c r="AE107" i="16"/>
  <c r="AA107" i="16"/>
  <c r="AM84" i="14"/>
  <c r="AH84" i="14"/>
  <c r="AD84" i="14"/>
  <c r="S73" i="9"/>
  <c r="AI84" i="14"/>
  <c r="AF84" i="14"/>
  <c r="AH93" i="15"/>
  <c r="AF93" i="15"/>
  <c r="AD93" i="15"/>
  <c r="AM93" i="15"/>
  <c r="AI93" i="15"/>
  <c r="AM109" i="16"/>
  <c r="AH109" i="16"/>
  <c r="AF109" i="16"/>
  <c r="AI36" i="14"/>
  <c r="AF36" i="14"/>
  <c r="AD36" i="14"/>
  <c r="S101" i="9"/>
  <c r="AH36" i="14"/>
  <c r="AM36" i="14"/>
  <c r="AF69" i="14"/>
  <c r="AD69" i="14"/>
  <c r="AH69" i="14"/>
  <c r="AI69" i="14"/>
  <c r="AM69" i="14"/>
  <c r="AI15" i="14"/>
  <c r="AM15" i="14"/>
  <c r="AF15" i="14"/>
  <c r="AD15" i="14"/>
  <c r="AH15" i="14"/>
  <c r="W99" i="16"/>
  <c r="AC99" i="16"/>
  <c r="X99" i="16"/>
  <c r="AA99" i="16" s="1"/>
  <c r="W65" i="26"/>
  <c r="X65" i="26"/>
  <c r="AA65" i="26" s="1"/>
  <c r="AD65" i="26" s="1"/>
  <c r="AC65" i="26"/>
  <c r="W39" i="16"/>
  <c r="X39" i="16" s="1"/>
  <c r="AC39" i="16"/>
  <c r="W38" i="16"/>
  <c r="AC38" i="16"/>
  <c r="W47" i="19"/>
  <c r="AC47" i="19"/>
  <c r="AC63" i="16"/>
  <c r="AF101" i="15"/>
  <c r="AI101" i="15"/>
  <c r="AH101" i="15"/>
  <c r="AD101" i="15"/>
  <c r="AM101" i="15"/>
  <c r="AD125" i="19"/>
  <c r="AF125" i="19"/>
  <c r="AM125" i="19"/>
  <c r="AH125" i="19"/>
  <c r="M131" i="26"/>
  <c r="M133" i="26"/>
  <c r="AH51" i="14"/>
  <c r="AD51" i="14"/>
  <c r="AM51" i="14"/>
  <c r="AF51" i="14"/>
  <c r="AI51" i="14"/>
  <c r="AI120" i="14"/>
  <c r="AF120" i="14"/>
  <c r="AD120" i="14"/>
  <c r="AM120" i="14"/>
  <c r="AH120" i="14"/>
  <c r="AL114" i="14"/>
  <c r="AN114" i="14" s="1"/>
  <c r="AI52" i="14"/>
  <c r="M131" i="16"/>
  <c r="M133" i="16"/>
  <c r="W93" i="26"/>
  <c r="AC93" i="26"/>
  <c r="W25" i="26"/>
  <c r="AC25" i="26"/>
  <c r="AH53" i="14"/>
  <c r="AM53" i="14"/>
  <c r="AF53" i="14"/>
  <c r="AI53" i="14"/>
  <c r="S127" i="9"/>
  <c r="AD53" i="14"/>
  <c r="AH66" i="15"/>
  <c r="AF66" i="15"/>
  <c r="AI66" i="15"/>
  <c r="AM66" i="15"/>
  <c r="AD66" i="15"/>
  <c r="AL105" i="15"/>
  <c r="AN105" i="15" s="1"/>
  <c r="AD68" i="15"/>
  <c r="AM105" i="19"/>
  <c r="AF105" i="19"/>
  <c r="AH105" i="19"/>
  <c r="AD105" i="19"/>
  <c r="AI105" i="19"/>
  <c r="W99" i="26"/>
  <c r="X99" i="26"/>
  <c r="AA99" i="26" s="1"/>
  <c r="AC99" i="26"/>
  <c r="AC62" i="16"/>
  <c r="W62" i="16"/>
  <c r="X62" i="16"/>
  <c r="AA62" i="16" s="1"/>
  <c r="W62" i="19"/>
  <c r="AC62" i="19"/>
  <c r="X62" i="19"/>
  <c r="AA62" i="19" s="1"/>
  <c r="AD62" i="19" s="1"/>
  <c r="W77" i="26"/>
  <c r="AC77" i="26"/>
  <c r="W65" i="19"/>
  <c r="AC65" i="19"/>
  <c r="AH56" i="15"/>
  <c r="AM56" i="15"/>
  <c r="AF56" i="15"/>
  <c r="AI56" i="15"/>
  <c r="X56" i="16"/>
  <c r="AA56" i="16" s="1"/>
  <c r="AD56" i="16" s="1"/>
  <c r="W38" i="19"/>
  <c r="AC38" i="19"/>
  <c r="AL123" i="14"/>
  <c r="AN123" i="14" s="1"/>
  <c r="AC63" i="19"/>
  <c r="AE80" i="16"/>
  <c r="AF59" i="14"/>
  <c r="AD59" i="14"/>
  <c r="AH59" i="14"/>
  <c r="AI59" i="14"/>
  <c r="AM59" i="14"/>
  <c r="S132" i="9"/>
  <c r="AI39" i="14"/>
  <c r="AM39" i="14"/>
  <c r="AF39" i="14"/>
  <c r="S67" i="9"/>
  <c r="AH39" i="14"/>
  <c r="AD39" i="14"/>
  <c r="AI36" i="15"/>
  <c r="AH36" i="15"/>
  <c r="AD36" i="15"/>
  <c r="AF36" i="15"/>
  <c r="AM36" i="15"/>
  <c r="AH30" i="14"/>
  <c r="AD30" i="14"/>
  <c r="AI30" i="14"/>
  <c r="AF30" i="14"/>
  <c r="S97" i="9"/>
  <c r="AM30" i="14"/>
  <c r="AE86" i="15"/>
  <c r="AA86" i="15"/>
  <c r="AE25" i="15"/>
  <c r="AI105" i="26"/>
  <c r="AH105" i="26"/>
  <c r="AF105" i="26"/>
  <c r="AM105" i="26"/>
  <c r="AD105" i="26"/>
  <c r="AC93" i="19"/>
  <c r="W93" i="19"/>
  <c r="AC74" i="26"/>
  <c r="X74" i="19"/>
  <c r="AA74" i="19" s="1"/>
  <c r="AD74" i="19" s="1"/>
  <c r="W25" i="19"/>
  <c r="AC25" i="19"/>
  <c r="AI25" i="14"/>
  <c r="AF25" i="14"/>
  <c r="AD25" i="14"/>
  <c r="AM25" i="14"/>
  <c r="AH25" i="14"/>
  <c r="S64" i="9"/>
  <c r="AH90" i="14"/>
  <c r="AM90" i="15"/>
  <c r="AF90" i="15"/>
  <c r="AH90" i="15"/>
  <c r="AD90" i="15"/>
  <c r="AI90" i="15"/>
  <c r="AD55" i="15"/>
  <c r="AF55" i="15"/>
  <c r="AM55" i="15"/>
  <c r="AH55" i="15"/>
  <c r="AI55" i="15"/>
  <c r="AD68" i="14"/>
  <c r="AI68" i="14"/>
  <c r="AF68" i="14"/>
  <c r="AH68" i="14"/>
  <c r="AM68" i="14"/>
  <c r="AI20" i="14"/>
  <c r="AH20" i="14"/>
  <c r="AM20" i="14"/>
  <c r="AF20" i="14"/>
  <c r="AD20" i="14"/>
  <c r="W56" i="26"/>
  <c r="W39" i="19"/>
  <c r="X39" i="19" s="1"/>
  <c r="AC39" i="19"/>
  <c r="AH100" i="14"/>
  <c r="AM100" i="14"/>
  <c r="AD100" i="14"/>
  <c r="AI100" i="14"/>
  <c r="AF100" i="14"/>
  <c r="AA107" i="15"/>
  <c r="AE107" i="15"/>
  <c r="AM95" i="14"/>
  <c r="AD95" i="14"/>
  <c r="AF95" i="14"/>
  <c r="AH95" i="14"/>
  <c r="AI95" i="14"/>
  <c r="S76" i="9"/>
  <c r="AD12" i="14"/>
  <c r="AE22" i="15"/>
  <c r="AA22" i="15"/>
  <c r="AM25" i="15"/>
  <c r="AI25" i="15"/>
  <c r="AF25" i="15"/>
  <c r="AH25" i="15"/>
  <c r="AI86" i="14"/>
  <c r="AF106" i="14"/>
  <c r="AH106" i="14"/>
  <c r="AM106" i="14"/>
  <c r="AD106" i="14"/>
  <c r="AI106" i="14"/>
  <c r="W25" i="16"/>
  <c r="AC25" i="16"/>
  <c r="AM102" i="16"/>
  <c r="AD112" i="14"/>
  <c r="AF112" i="14"/>
  <c r="AH112" i="14"/>
  <c r="AM112" i="14"/>
  <c r="AI112" i="14"/>
  <c r="AI88" i="14"/>
  <c r="AD88" i="14"/>
  <c r="AF88" i="14"/>
  <c r="AM88" i="14"/>
  <c r="S115" i="9"/>
  <c r="AH88" i="14"/>
  <c r="AI49" i="15"/>
  <c r="AF49" i="15"/>
  <c r="AM49" i="15"/>
  <c r="AD49" i="15"/>
  <c r="AH49" i="15"/>
  <c r="AI68" i="16"/>
  <c r="AM107" i="26"/>
  <c r="AF107" i="26"/>
  <c r="AI107" i="26"/>
  <c r="AD107" i="26"/>
  <c r="AH107" i="26"/>
  <c r="AD108" i="14"/>
  <c r="AM108" i="14"/>
  <c r="AH108" i="14"/>
  <c r="AF108" i="14"/>
  <c r="AI108" i="14"/>
  <c r="N442" i="9"/>
  <c r="N33" i="10" s="1"/>
  <c r="J442" i="9"/>
  <c r="J33" i="10" s="1"/>
  <c r="J416" i="9"/>
  <c r="M23" i="10"/>
  <c r="W372" i="9"/>
  <c r="AE231" i="18"/>
  <c r="AD283" i="18"/>
  <c r="S302" i="9"/>
  <c r="K28" i="10"/>
  <c r="X193" i="8"/>
  <c r="X393" i="8"/>
  <c r="X378" i="8"/>
  <c r="X407" i="8"/>
  <c r="X303" i="8"/>
  <c r="X168" i="8"/>
  <c r="X265" i="8"/>
  <c r="X431" i="8"/>
  <c r="X198" i="8"/>
  <c r="X422" i="8"/>
  <c r="X345" i="8"/>
  <c r="X228" i="8"/>
  <c r="X194" i="8"/>
  <c r="X240" i="8"/>
  <c r="X396" i="8"/>
  <c r="X347" i="8"/>
  <c r="X376" i="8"/>
  <c r="X313" i="8"/>
  <c r="X312" i="8"/>
  <c r="X264" i="8"/>
  <c r="X263" i="8"/>
  <c r="X197" i="8"/>
  <c r="X307" i="8"/>
  <c r="X319" i="8"/>
  <c r="X181" i="8"/>
  <c r="X192" i="8"/>
  <c r="X210" i="8"/>
  <c r="X355" i="8"/>
  <c r="X221" i="8"/>
  <c r="X167" i="8"/>
  <c r="X204" i="8"/>
  <c r="X231" i="8"/>
  <c r="X309" i="8"/>
  <c r="X308" i="8"/>
  <c r="X274" i="8"/>
  <c r="X249" i="8"/>
  <c r="X435" i="8"/>
  <c r="X334" i="8"/>
  <c r="X297" i="8"/>
  <c r="X360" i="8"/>
  <c r="X424" i="8"/>
  <c r="X385" i="8"/>
  <c r="X301" i="8"/>
  <c r="X260" i="8"/>
  <c r="X399" i="8"/>
  <c r="X262" i="8"/>
  <c r="X257" i="8"/>
  <c r="X245" i="8"/>
  <c r="X250" i="8"/>
  <c r="X199" i="8"/>
  <c r="X225" i="8"/>
  <c r="X403" i="8"/>
  <c r="X280" i="8"/>
  <c r="X213" i="8"/>
  <c r="X351" i="8"/>
  <c r="X348" i="8"/>
  <c r="X384" i="8"/>
  <c r="X190" i="8"/>
  <c r="X182" i="8"/>
  <c r="X169" i="8"/>
  <c r="X285" i="8"/>
  <c r="X387" i="8"/>
  <c r="X270" i="8"/>
  <c r="X175" i="8"/>
  <c r="X183" i="8"/>
  <c r="X203" i="8"/>
  <c r="X436" i="8"/>
  <c r="X328" i="8"/>
  <c r="X196" i="8"/>
  <c r="X244" i="8"/>
  <c r="X434" i="8"/>
  <c r="X421" i="8"/>
  <c r="X337" i="8"/>
  <c r="X282" i="8"/>
  <c r="X346" i="8"/>
  <c r="X401" i="8"/>
  <c r="X361" i="8"/>
  <c r="X286" i="8"/>
  <c r="X343" i="8"/>
  <c r="X165" i="8"/>
  <c r="X202" i="8"/>
  <c r="X252" i="8"/>
  <c r="X177" i="8"/>
  <c r="X419" i="8"/>
  <c r="X184" i="8"/>
  <c r="X277" i="8"/>
  <c r="X321" i="8"/>
  <c r="X420" i="8"/>
  <c r="X359" i="8"/>
  <c r="X349" i="8"/>
  <c r="X164" i="8"/>
  <c r="X232" i="8"/>
  <c r="X353" i="8"/>
  <c r="X272" i="8"/>
  <c r="X356" i="8"/>
  <c r="X391" i="8"/>
  <c r="X413" i="8"/>
  <c r="X296" i="8"/>
  <c r="X366" i="8"/>
  <c r="X268" i="8"/>
  <c r="X186" i="8"/>
  <c r="X302" i="8"/>
  <c r="X234" i="8"/>
  <c r="X292" i="8"/>
  <c r="X261" i="8"/>
  <c r="X409" i="8"/>
  <c r="X311" i="8"/>
  <c r="X230" i="8"/>
  <c r="X288" i="8"/>
  <c r="X219" i="8"/>
  <c r="X428" i="8"/>
  <c r="X211" i="8"/>
  <c r="X329" i="8"/>
  <c r="X267" i="8"/>
  <c r="X315" i="8"/>
  <c r="X201" i="8"/>
  <c r="X289" i="8"/>
  <c r="X290" i="8"/>
  <c r="X189" i="8"/>
  <c r="X217" i="8"/>
  <c r="X207" i="8"/>
  <c r="X254" i="8"/>
  <c r="X327" i="8"/>
  <c r="X246" i="8"/>
  <c r="X426" i="8"/>
  <c r="X226" i="8"/>
  <c r="X430" i="8"/>
  <c r="X322" i="8"/>
  <c r="X242" i="8"/>
  <c r="X380" i="8"/>
  <c r="X326" i="8"/>
  <c r="X344" i="8"/>
  <c r="X209" i="8"/>
  <c r="X336" i="8"/>
  <c r="X372" i="8"/>
  <c r="X371" i="8"/>
  <c r="X293" i="8"/>
  <c r="X259" i="8"/>
  <c r="X253" i="8"/>
  <c r="X179" i="8"/>
  <c r="X163" i="8"/>
  <c r="X405" i="8"/>
  <c r="X330" i="8"/>
  <c r="X238" i="8"/>
  <c r="X200" i="8"/>
  <c r="X216" i="8"/>
  <c r="X432" i="8"/>
  <c r="X306" i="8"/>
  <c r="X223" i="8"/>
  <c r="X389" i="8"/>
  <c r="X425" i="8"/>
  <c r="X362" i="8"/>
  <c r="X187" i="8"/>
  <c r="X235" i="8"/>
  <c r="X215" i="8"/>
  <c r="X382" i="8"/>
  <c r="X281" i="8"/>
  <c r="X324" i="8"/>
  <c r="X256" i="8"/>
  <c r="X305" i="8"/>
  <c r="X386" i="8"/>
  <c r="X287" i="8"/>
  <c r="X205" i="8"/>
  <c r="X325" i="8"/>
  <c r="X247" i="8"/>
  <c r="X233" i="8"/>
  <c r="X427" i="8"/>
  <c r="X195" i="8"/>
  <c r="X174" i="8"/>
  <c r="X269" i="8"/>
  <c r="X398" i="8"/>
  <c r="X279" i="8"/>
  <c r="X294" i="8"/>
  <c r="X316" i="8"/>
  <c r="X333" i="8"/>
  <c r="X299" i="8"/>
  <c r="X275" i="8"/>
  <c r="X423" i="8"/>
  <c r="X214" i="8"/>
  <c r="X332" i="8"/>
  <c r="X170" i="8"/>
  <c r="X208" i="8"/>
  <c r="X191" i="8"/>
  <c r="X357" i="8"/>
  <c r="X341" i="8"/>
  <c r="X368" i="8"/>
  <c r="X314" i="8"/>
  <c r="X236" i="8"/>
  <c r="X317" i="8"/>
  <c r="X229" i="8"/>
  <c r="X166" i="8"/>
  <c r="X364" i="8"/>
  <c r="X162" i="8"/>
  <c r="P147" i="9" l="1"/>
  <c r="S155" i="9"/>
  <c r="AM90" i="14"/>
  <c r="AM9" i="15"/>
  <c r="X8" i="19"/>
  <c r="AA8" i="19" s="1"/>
  <c r="AM8" i="19" s="1"/>
  <c r="R72" i="19"/>
  <c r="R71" i="26" s="1"/>
  <c r="T71" i="26" s="1"/>
  <c r="W8" i="19"/>
  <c r="AL73" i="13"/>
  <c r="AH68" i="16"/>
  <c r="V98" i="19"/>
  <c r="T81" i="19"/>
  <c r="AE9" i="15"/>
  <c r="AL37" i="29"/>
  <c r="AN37" i="29" s="1"/>
  <c r="AC100" i="19"/>
  <c r="AD68" i="16"/>
  <c r="AF90" i="14"/>
  <c r="AF63" i="14"/>
  <c r="AA98" i="15"/>
  <c r="AF98" i="15" s="1"/>
  <c r="AM68" i="16"/>
  <c r="AI90" i="14"/>
  <c r="X100" i="26"/>
  <c r="V16" i="16"/>
  <c r="X16" i="16" s="1"/>
  <c r="AA16" i="16" s="1"/>
  <c r="AM16" i="16" s="1"/>
  <c r="X101" i="26"/>
  <c r="AA101" i="26" s="1"/>
  <c r="X8" i="16"/>
  <c r="AA8" i="16" s="1"/>
  <c r="S77" i="9"/>
  <c r="X100" i="19"/>
  <c r="AA100" i="19" s="1"/>
  <c r="AM100" i="19" s="1"/>
  <c r="AL46" i="29"/>
  <c r="AN46" i="29" s="1"/>
  <c r="AI11" i="15"/>
  <c r="AA101" i="16"/>
  <c r="AM101" i="16" s="1"/>
  <c r="AF102" i="14"/>
  <c r="T93" i="19"/>
  <c r="X24" i="19"/>
  <c r="AD81" i="14"/>
  <c r="AL81" i="14" s="1"/>
  <c r="AN81" i="14" s="1"/>
  <c r="AE11" i="15"/>
  <c r="AL116" i="13"/>
  <c r="AM12" i="14"/>
  <c r="W56" i="19"/>
  <c r="AI61" i="15"/>
  <c r="AM109" i="19"/>
  <c r="AH109" i="19"/>
  <c r="AH12" i="14"/>
  <c r="AL12" i="14" s="1"/>
  <c r="AN12" i="14" s="1"/>
  <c r="AI12" i="14"/>
  <c r="X56" i="26"/>
  <c r="AA56" i="26" s="1"/>
  <c r="AD56" i="26" s="1"/>
  <c r="X56" i="19"/>
  <c r="AA56" i="19" s="1"/>
  <c r="AD56" i="19" s="1"/>
  <c r="W56" i="16"/>
  <c r="AH11" i="15"/>
  <c r="AF109" i="19"/>
  <c r="S133" i="9"/>
  <c r="AC56" i="19"/>
  <c r="AC56" i="16"/>
  <c r="AM11" i="15"/>
  <c r="AM102" i="14"/>
  <c r="AC69" i="19"/>
  <c r="AM81" i="14"/>
  <c r="AI25" i="29"/>
  <c r="AE109" i="19"/>
  <c r="P24" i="26"/>
  <c r="AH81" i="14"/>
  <c r="AL76" i="14"/>
  <c r="AN76" i="14" s="1"/>
  <c r="AF24" i="15"/>
  <c r="AM19" i="14"/>
  <c r="AD27" i="29"/>
  <c r="AI102" i="16"/>
  <c r="AM86" i="14"/>
  <c r="AA17" i="15"/>
  <c r="AD17" i="15" s="1"/>
  <c r="AC42" i="26"/>
  <c r="AH59" i="16"/>
  <c r="AA34" i="15"/>
  <c r="W7" i="16"/>
  <c r="AA35" i="15"/>
  <c r="AM35" i="15" s="1"/>
  <c r="AD25" i="29"/>
  <c r="AD24" i="15"/>
  <c r="AM68" i="15"/>
  <c r="AF52" i="14"/>
  <c r="AA92" i="15"/>
  <c r="AI92" i="15" s="1"/>
  <c r="AL100" i="16"/>
  <c r="AN100" i="16" s="1"/>
  <c r="AF86" i="14"/>
  <c r="AL86" i="14" s="1"/>
  <c r="AN86" i="14" s="1"/>
  <c r="AH24" i="15"/>
  <c r="AI68" i="15"/>
  <c r="AD52" i="14"/>
  <c r="AH44" i="26"/>
  <c r="I71" i="19"/>
  <c r="AA101" i="19"/>
  <c r="AM101" i="19" s="1"/>
  <c r="AD98" i="14"/>
  <c r="AM59" i="16"/>
  <c r="T43" i="19"/>
  <c r="AH91" i="14"/>
  <c r="AE28" i="15"/>
  <c r="AE15" i="15"/>
  <c r="AL15" i="15" s="1"/>
  <c r="AN15" i="15" s="1"/>
  <c r="X15" i="16"/>
  <c r="X42" i="16"/>
  <c r="AE42" i="16" s="1"/>
  <c r="T95" i="16"/>
  <c r="T54" i="19"/>
  <c r="AH102" i="16"/>
  <c r="AH86" i="14"/>
  <c r="AE63" i="15"/>
  <c r="T54" i="16"/>
  <c r="AH68" i="15"/>
  <c r="AH52" i="14"/>
  <c r="AM62" i="14"/>
  <c r="W82" i="19"/>
  <c r="AH98" i="14"/>
  <c r="AC42" i="19"/>
  <c r="W42" i="19"/>
  <c r="AM98" i="14"/>
  <c r="AF59" i="16"/>
  <c r="AF98" i="14"/>
  <c r="AE59" i="16"/>
  <c r="T43" i="16"/>
  <c r="AA24" i="16"/>
  <c r="AM24" i="16" s="1"/>
  <c r="AC42" i="16"/>
  <c r="W42" i="16"/>
  <c r="AM8" i="14"/>
  <c r="AL71" i="15"/>
  <c r="AN71" i="15" s="1"/>
  <c r="AL14" i="13"/>
  <c r="AL78" i="13"/>
  <c r="AN78" i="13" s="1"/>
  <c r="T29" i="16"/>
  <c r="AF79" i="14"/>
  <c r="AM79" i="14"/>
  <c r="AA44" i="15"/>
  <c r="AH44" i="15" s="1"/>
  <c r="AD35" i="29"/>
  <c r="AD61" i="15"/>
  <c r="P8" i="26"/>
  <c r="X8" i="26" s="1"/>
  <c r="AA8" i="26" s="1"/>
  <c r="W8" i="16"/>
  <c r="AI71" i="14"/>
  <c r="AE68" i="16"/>
  <c r="AI9" i="15"/>
  <c r="AI79" i="14"/>
  <c r="AF35" i="29"/>
  <c r="AH9" i="15"/>
  <c r="AL9" i="15" s="1"/>
  <c r="AN9" i="15" s="1"/>
  <c r="AL22" i="13"/>
  <c r="W74" i="26"/>
  <c r="AD109" i="16"/>
  <c r="AH84" i="15"/>
  <c r="AI8" i="15"/>
  <c r="T45" i="19"/>
  <c r="W59" i="19"/>
  <c r="U72" i="19"/>
  <c r="X59" i="19"/>
  <c r="AA59" i="19" s="1"/>
  <c r="AH17" i="14"/>
  <c r="AH39" i="15"/>
  <c r="AH8" i="15"/>
  <c r="AM17" i="14"/>
  <c r="AL80" i="13"/>
  <c r="AN80" i="13" s="1"/>
  <c r="AL24" i="14"/>
  <c r="AN24" i="14" s="1"/>
  <c r="AL18" i="14"/>
  <c r="AN18" i="14" s="1"/>
  <c r="W74" i="19"/>
  <c r="X74" i="16"/>
  <c r="AA74" i="16" s="1"/>
  <c r="AI74" i="16" s="1"/>
  <c r="AM84" i="15"/>
  <c r="P59" i="26"/>
  <c r="R15" i="26"/>
  <c r="T15" i="26" s="1"/>
  <c r="AD39" i="15"/>
  <c r="AM39" i="15"/>
  <c r="AI39" i="15"/>
  <c r="AE8" i="15"/>
  <c r="AH18" i="15"/>
  <c r="AD17" i="14"/>
  <c r="AF84" i="15"/>
  <c r="P22" i="26"/>
  <c r="W22" i="26" s="1"/>
  <c r="S104" i="9"/>
  <c r="AL77" i="13"/>
  <c r="AN77" i="13" s="1"/>
  <c r="T45" i="16"/>
  <c r="AE109" i="16"/>
  <c r="AM66" i="14"/>
  <c r="S58" i="9"/>
  <c r="AA27" i="16"/>
  <c r="AM109" i="26"/>
  <c r="AF99" i="15"/>
  <c r="AH109" i="26"/>
  <c r="AD77" i="14"/>
  <c r="AH6" i="15"/>
  <c r="AH73" i="16"/>
  <c r="AL80" i="14"/>
  <c r="AN80" i="14" s="1"/>
  <c r="T86" i="19"/>
  <c r="AL11" i="29"/>
  <c r="AL92" i="13"/>
  <c r="AN92" i="13" s="1"/>
  <c r="AL101" i="13"/>
  <c r="AN101" i="13" s="1"/>
  <c r="S129" i="9"/>
  <c r="AF109" i="26"/>
  <c r="AH61" i="15"/>
  <c r="AF77" i="14"/>
  <c r="AM6" i="15"/>
  <c r="AI63" i="14"/>
  <c r="AH63" i="14"/>
  <c r="AI62" i="14"/>
  <c r="AH46" i="14"/>
  <c r="AF46" i="14"/>
  <c r="S106" i="9"/>
  <c r="AD42" i="15"/>
  <c r="AD44" i="26"/>
  <c r="AE84" i="16"/>
  <c r="X98" i="16"/>
  <c r="AE98" i="16" s="1"/>
  <c r="AD19" i="14"/>
  <c r="AI19" i="14"/>
  <c r="AM44" i="26"/>
  <c r="AA85" i="15"/>
  <c r="AF85" i="15" s="1"/>
  <c r="AC7" i="16"/>
  <c r="AL32" i="13"/>
  <c r="AN32" i="13" s="1"/>
  <c r="AM78" i="29"/>
  <c r="AL37" i="14"/>
  <c r="AN37" i="14" s="1"/>
  <c r="AL35" i="14"/>
  <c r="AN35" i="14" s="1"/>
  <c r="AM61" i="15"/>
  <c r="S85" i="9"/>
  <c r="AM77" i="14"/>
  <c r="AF6" i="15"/>
  <c r="AD63" i="14"/>
  <c r="AM63" i="14"/>
  <c r="AH62" i="14"/>
  <c r="AH42" i="15"/>
  <c r="AI42" i="15"/>
  <c r="AF71" i="14"/>
  <c r="S46" i="19"/>
  <c r="S46" i="26" s="1"/>
  <c r="T46" i="26" s="1"/>
  <c r="W98" i="16"/>
  <c r="AD71" i="14"/>
  <c r="AH19" i="14"/>
  <c r="AA12" i="15"/>
  <c r="AF12" i="15" s="1"/>
  <c r="V45" i="19"/>
  <c r="AA87" i="15"/>
  <c r="AD87" i="15" s="1"/>
  <c r="X7" i="16"/>
  <c r="AE7" i="16" s="1"/>
  <c r="AD109" i="26"/>
  <c r="AI77" i="14"/>
  <c r="AM46" i="14"/>
  <c r="AF62" i="14"/>
  <c r="AM71" i="14"/>
  <c r="P7" i="26"/>
  <c r="W7" i="26" s="1"/>
  <c r="W7" i="19"/>
  <c r="AC69" i="16"/>
  <c r="AE42" i="15"/>
  <c r="W78" i="16"/>
  <c r="X45" i="16"/>
  <c r="AA45" i="16" s="1"/>
  <c r="AD45" i="16" s="1"/>
  <c r="X78" i="26"/>
  <c r="AA78" i="26" s="1"/>
  <c r="AH78" i="26" s="1"/>
  <c r="AE47" i="15"/>
  <c r="T98" i="16"/>
  <c r="AD34" i="14"/>
  <c r="AN65" i="13"/>
  <c r="AE43" i="15"/>
  <c r="AM38" i="15"/>
  <c r="AL105" i="13"/>
  <c r="AL25" i="13"/>
  <c r="AN25" i="13" s="1"/>
  <c r="AL57" i="29"/>
  <c r="AN57" i="29" s="1"/>
  <c r="AL71" i="13"/>
  <c r="AN71" i="13" s="1"/>
  <c r="AL65" i="14"/>
  <c r="AN65" i="14" s="1"/>
  <c r="AL121" i="15"/>
  <c r="AN121" i="15" s="1"/>
  <c r="AL26" i="14"/>
  <c r="AN26" i="14" s="1"/>
  <c r="AD102" i="16"/>
  <c r="AC74" i="19"/>
  <c r="AM24" i="15"/>
  <c r="W74" i="16"/>
  <c r="AF11" i="15"/>
  <c r="AL11" i="15" s="1"/>
  <c r="AN11" i="15" s="1"/>
  <c r="W22" i="19"/>
  <c r="W24" i="19"/>
  <c r="AE102" i="16"/>
  <c r="S148" i="9"/>
  <c r="AH67" i="14"/>
  <c r="V32" i="19"/>
  <c r="AD67" i="14"/>
  <c r="AF67" i="14"/>
  <c r="AL90" i="13"/>
  <c r="AN90" i="13" s="1"/>
  <c r="S124" i="9"/>
  <c r="AM67" i="14"/>
  <c r="AD10" i="16"/>
  <c r="AF78" i="15"/>
  <c r="AI78" i="15"/>
  <c r="AI34" i="29"/>
  <c r="AL26" i="13"/>
  <c r="AL64" i="14"/>
  <c r="AN64" i="14" s="1"/>
  <c r="AL103" i="13"/>
  <c r="AN103" i="13" s="1"/>
  <c r="AN105" i="13"/>
  <c r="AI48" i="15"/>
  <c r="AM91" i="19"/>
  <c r="AD28" i="15"/>
  <c r="W29" i="19"/>
  <c r="AL45" i="13"/>
  <c r="AH8" i="14"/>
  <c r="AD8" i="14"/>
  <c r="AM104" i="16"/>
  <c r="S27" i="19"/>
  <c r="AI28" i="15"/>
  <c r="X6" i="19"/>
  <c r="AE6" i="19" s="1"/>
  <c r="AE6" i="15"/>
  <c r="AA81" i="15"/>
  <c r="T31" i="19"/>
  <c r="AL37" i="15"/>
  <c r="AN37" i="15" s="1"/>
  <c r="AD6" i="15"/>
  <c r="S152" i="9"/>
  <c r="AM28" i="15"/>
  <c r="W70" i="19"/>
  <c r="X32" i="16"/>
  <c r="AE32" i="16" s="1"/>
  <c r="AI20" i="15"/>
  <c r="AM74" i="15"/>
  <c r="AD104" i="16"/>
  <c r="AH28" i="15"/>
  <c r="AE104" i="16"/>
  <c r="AM82" i="14"/>
  <c r="AL13" i="29"/>
  <c r="AN13" i="29" s="1"/>
  <c r="W35" i="16"/>
  <c r="AL95" i="15"/>
  <c r="AN95" i="15" s="1"/>
  <c r="AH74" i="15"/>
  <c r="AA103" i="15"/>
  <c r="AH79" i="14"/>
  <c r="X11" i="26"/>
  <c r="AA11" i="26" s="1"/>
  <c r="AD11" i="26" s="1"/>
  <c r="AF18" i="15"/>
  <c r="W11" i="19"/>
  <c r="AE78" i="15"/>
  <c r="U68" i="26"/>
  <c r="V68" i="26" s="1"/>
  <c r="W68" i="26" s="1"/>
  <c r="X68" i="26" s="1"/>
  <c r="AA68" i="26" s="1"/>
  <c r="AD78" i="15"/>
  <c r="T155" i="9"/>
  <c r="AF74" i="15"/>
  <c r="AH78" i="15"/>
  <c r="AL68" i="13"/>
  <c r="AN68" i="13" s="1"/>
  <c r="AL16" i="14"/>
  <c r="AN16" i="14" s="1"/>
  <c r="AD18" i="15"/>
  <c r="AE58" i="15"/>
  <c r="AC74" i="16"/>
  <c r="S147" i="9"/>
  <c r="AD38" i="15"/>
  <c r="U40" i="19"/>
  <c r="X18" i="16"/>
  <c r="AA18" i="16" s="1"/>
  <c r="AH18" i="16" s="1"/>
  <c r="P32" i="19"/>
  <c r="P32" i="26" s="1"/>
  <c r="AA109" i="15"/>
  <c r="AH109" i="15" s="1"/>
  <c r="AC6" i="19"/>
  <c r="AL58" i="13"/>
  <c r="AN58" i="13" s="1"/>
  <c r="V7" i="19"/>
  <c r="X7" i="19" s="1"/>
  <c r="AA7" i="19" s="1"/>
  <c r="AI7" i="29"/>
  <c r="AM138" i="29"/>
  <c r="AM141" i="29" s="1"/>
  <c r="W32" i="16"/>
  <c r="P6" i="26"/>
  <c r="AC6" i="26" s="1"/>
  <c r="AN45" i="13"/>
  <c r="AH107" i="14"/>
  <c r="AI107" i="14"/>
  <c r="AL45" i="14"/>
  <c r="AN45" i="14" s="1"/>
  <c r="AE68" i="15"/>
  <c r="AI18" i="15"/>
  <c r="AF10" i="29"/>
  <c r="T104" i="9"/>
  <c r="AF44" i="26"/>
  <c r="AD70" i="14"/>
  <c r="W6" i="16"/>
  <c r="X6" i="16"/>
  <c r="AH26" i="15"/>
  <c r="P9" i="19"/>
  <c r="P9" i="26" s="1"/>
  <c r="AC85" i="26"/>
  <c r="AD99" i="15"/>
  <c r="AC78" i="19"/>
  <c r="P29" i="26"/>
  <c r="W29" i="26" s="1"/>
  <c r="W69" i="19"/>
  <c r="AI75" i="14"/>
  <c r="AH7" i="29"/>
  <c r="AM107" i="14"/>
  <c r="AC45" i="16"/>
  <c r="AA44" i="19"/>
  <c r="AH44" i="19" s="1"/>
  <c r="AL54" i="14"/>
  <c r="AN54" i="14" s="1"/>
  <c r="AF27" i="29"/>
  <c r="W69" i="16"/>
  <c r="X103" i="16"/>
  <c r="AA103" i="16" s="1"/>
  <c r="AD103" i="16" s="1"/>
  <c r="P103" i="19"/>
  <c r="W103" i="16"/>
  <c r="AM54" i="15"/>
  <c r="AH66" i="14"/>
  <c r="AF26" i="15"/>
  <c r="AM99" i="15"/>
  <c r="AM57" i="14"/>
  <c r="AI26" i="15"/>
  <c r="T77" i="19"/>
  <c r="AL91" i="13"/>
  <c r="AN91" i="13" s="1"/>
  <c r="P45" i="19"/>
  <c r="AC45" i="19" s="1"/>
  <c r="AL70" i="13"/>
  <c r="AN70" i="13" s="1"/>
  <c r="AI57" i="14"/>
  <c r="AL67" i="15"/>
  <c r="AN67" i="15" s="1"/>
  <c r="AL99" i="14"/>
  <c r="AN99" i="14" s="1"/>
  <c r="AL65" i="29"/>
  <c r="AN65" i="29" s="1"/>
  <c r="AF70" i="14"/>
  <c r="AN26" i="13"/>
  <c r="AI70" i="14"/>
  <c r="AD57" i="14"/>
  <c r="AF54" i="15"/>
  <c r="AI66" i="14"/>
  <c r="AD26" i="15"/>
  <c r="AE99" i="15"/>
  <c r="AI45" i="15"/>
  <c r="AD66" i="14"/>
  <c r="W54" i="16"/>
  <c r="X54" i="16" s="1"/>
  <c r="AE54" i="16" s="1"/>
  <c r="AH99" i="15"/>
  <c r="AH57" i="14"/>
  <c r="AH57" i="19"/>
  <c r="X69" i="16"/>
  <c r="AA69" i="16" s="1"/>
  <c r="R79" i="26"/>
  <c r="T79" i="26" s="1"/>
  <c r="AL87" i="14"/>
  <c r="AN87" i="14" s="1"/>
  <c r="AF107" i="14"/>
  <c r="AL28" i="13"/>
  <c r="AN28" i="13" s="1"/>
  <c r="AL31" i="29"/>
  <c r="AN31" i="29" s="1"/>
  <c r="AH35" i="29"/>
  <c r="AL52" i="29"/>
  <c r="AH70" i="14"/>
  <c r="AA70" i="29"/>
  <c r="AC11" i="26"/>
  <c r="W46" i="16"/>
  <c r="X48" i="19"/>
  <c r="AA48" i="19" s="1"/>
  <c r="AM143" i="29"/>
  <c r="AM144" i="29" s="1"/>
  <c r="AM49" i="14"/>
  <c r="AD130" i="14"/>
  <c r="AC11" i="16"/>
  <c r="AC11" i="19"/>
  <c r="T101" i="9"/>
  <c r="T64" i="9"/>
  <c r="W11" i="16"/>
  <c r="AM130" i="14"/>
  <c r="X15" i="19"/>
  <c r="AE15" i="19" s="1"/>
  <c r="AL32" i="14"/>
  <c r="AN32" i="14" s="1"/>
  <c r="AM113" i="29"/>
  <c r="AH49" i="14"/>
  <c r="AN116" i="13"/>
  <c r="AL97" i="13"/>
  <c r="AN97" i="13" s="1"/>
  <c r="AH48" i="15"/>
  <c r="AD54" i="15"/>
  <c r="AF48" i="15"/>
  <c r="AH54" i="15"/>
  <c r="X11" i="19"/>
  <c r="AA11" i="19" s="1"/>
  <c r="AD11" i="19" s="1"/>
  <c r="AC46" i="19"/>
  <c r="T73" i="9"/>
  <c r="AA7" i="15"/>
  <c r="T124" i="9"/>
  <c r="AH26" i="19"/>
  <c r="AN58" i="14"/>
  <c r="AM48" i="15"/>
  <c r="T76" i="9"/>
  <c r="X11" i="16"/>
  <c r="AA11" i="16" s="1"/>
  <c r="AD11" i="16" s="1"/>
  <c r="AC54" i="16"/>
  <c r="AD7" i="29"/>
  <c r="T16" i="19"/>
  <c r="AL103" i="14"/>
  <c r="AN103" i="14" s="1"/>
  <c r="AC104" i="19"/>
  <c r="AE70" i="29"/>
  <c r="AN11" i="29"/>
  <c r="AF35" i="15"/>
  <c r="AH75" i="14"/>
  <c r="AF70" i="15"/>
  <c r="P95" i="26"/>
  <c r="W95" i="26" s="1"/>
  <c r="V33" i="16"/>
  <c r="W33" i="16" s="1"/>
  <c r="X33" i="16" s="1"/>
  <c r="AE33" i="16" s="1"/>
  <c r="AC35" i="16"/>
  <c r="T57" i="19"/>
  <c r="R48" i="26"/>
  <c r="T48" i="26" s="1"/>
  <c r="AE102" i="26"/>
  <c r="AM34" i="14"/>
  <c r="AF34" i="14"/>
  <c r="AL7" i="14"/>
  <c r="AN7" i="14" s="1"/>
  <c r="AH27" i="29"/>
  <c r="AL62" i="29"/>
  <c r="AN62" i="29" s="1"/>
  <c r="AM97" i="29"/>
  <c r="AM99" i="29" s="1"/>
  <c r="AM106" i="29"/>
  <c r="AM109" i="29" s="1"/>
  <c r="P84" i="19"/>
  <c r="AC84" i="16"/>
  <c r="W84" i="16"/>
  <c r="AM70" i="15"/>
  <c r="AM75" i="14"/>
  <c r="AI70" i="15"/>
  <c r="AD70" i="15"/>
  <c r="AC95" i="19"/>
  <c r="P35" i="19"/>
  <c r="X35" i="19" s="1"/>
  <c r="AH8" i="29"/>
  <c r="AL23" i="29"/>
  <c r="AN23" i="29" s="1"/>
  <c r="AL29" i="14"/>
  <c r="AN29" i="14" s="1"/>
  <c r="AL51" i="15"/>
  <c r="AN51" i="15" s="1"/>
  <c r="AL41" i="14"/>
  <c r="AN41" i="14" s="1"/>
  <c r="AL85" i="14"/>
  <c r="AN85" i="14" s="1"/>
  <c r="AL102" i="15"/>
  <c r="AN102" i="15" s="1"/>
  <c r="AF7" i="29"/>
  <c r="AM77" i="29"/>
  <c r="AI27" i="29"/>
  <c r="T84" i="16"/>
  <c r="R84" i="19"/>
  <c r="T89" i="16"/>
  <c r="R89" i="19"/>
  <c r="AA94" i="15"/>
  <c r="AE94" i="15"/>
  <c r="AD74" i="15"/>
  <c r="AH34" i="14"/>
  <c r="AE74" i="15"/>
  <c r="X70" i="19"/>
  <c r="AE70" i="19" s="1"/>
  <c r="R33" i="26"/>
  <c r="T33" i="26" s="1"/>
  <c r="P70" i="26"/>
  <c r="W70" i="26" s="1"/>
  <c r="T33" i="16"/>
  <c r="AF34" i="29"/>
  <c r="AL86" i="13"/>
  <c r="AN86" i="13" s="1"/>
  <c r="AL39" i="29"/>
  <c r="AN39" i="29" s="1"/>
  <c r="AF20" i="29"/>
  <c r="AM136" i="29"/>
  <c r="AC73" i="29"/>
  <c r="C72" i="19"/>
  <c r="C71" i="19"/>
  <c r="AL60" i="29"/>
  <c r="AN60" i="29" s="1"/>
  <c r="AL40" i="29"/>
  <c r="AN40" i="29" s="1"/>
  <c r="AL64" i="29"/>
  <c r="AN64" i="29" s="1"/>
  <c r="AL17" i="29"/>
  <c r="AN17" i="29" s="1"/>
  <c r="P429" i="8"/>
  <c r="P438" i="8" s="1"/>
  <c r="R429" i="8"/>
  <c r="R438" i="8" s="1"/>
  <c r="S429" i="8"/>
  <c r="S438" i="8" s="1"/>
  <c r="Q429" i="8"/>
  <c r="Q438" i="8" s="1"/>
  <c r="U429" i="8"/>
  <c r="U438" i="8" s="1"/>
  <c r="T429" i="8"/>
  <c r="T438" i="8" s="1"/>
  <c r="U6" i="10"/>
  <c r="U6" i="22"/>
  <c r="U19" i="22" s="1"/>
  <c r="H66" i="3"/>
  <c r="H44" i="3"/>
  <c r="R416" i="18"/>
  <c r="Q416" i="18"/>
  <c r="U416" i="18"/>
  <c r="W6" i="10"/>
  <c r="O416" i="18"/>
  <c r="W416" i="18"/>
  <c r="V374" i="9"/>
  <c r="V20" i="10" s="1"/>
  <c r="U374" i="9"/>
  <c r="U20" i="10" s="1"/>
  <c r="S374" i="9"/>
  <c r="S20" i="10" s="1"/>
  <c r="AN22" i="13"/>
  <c r="AA31" i="16"/>
  <c r="AH31" i="16" s="1"/>
  <c r="AL42" i="14"/>
  <c r="AN42" i="14" s="1"/>
  <c r="AC78" i="16"/>
  <c r="W78" i="26"/>
  <c r="AF73" i="16"/>
  <c r="X78" i="19"/>
  <c r="AA78" i="19" s="1"/>
  <c r="AI78" i="19" s="1"/>
  <c r="AH14" i="14"/>
  <c r="AL140" i="29"/>
  <c r="AN140" i="29" s="1"/>
  <c r="AM73" i="16"/>
  <c r="AL81" i="13"/>
  <c r="AF49" i="29"/>
  <c r="AL49" i="29" s="1"/>
  <c r="AN49" i="29" s="1"/>
  <c r="AF8" i="29"/>
  <c r="AL59" i="13"/>
  <c r="AF30" i="29"/>
  <c r="AL30" i="29" s="1"/>
  <c r="AN30" i="29" s="1"/>
  <c r="AL61" i="13"/>
  <c r="AN61" i="13" s="1"/>
  <c r="AD18" i="29"/>
  <c r="AL18" i="29" s="1"/>
  <c r="AN18" i="29" s="1"/>
  <c r="AL87" i="13"/>
  <c r="AN87" i="13" s="1"/>
  <c r="AM86" i="29"/>
  <c r="AM89" i="29" s="1"/>
  <c r="AL27" i="14"/>
  <c r="AN27" i="14" s="1"/>
  <c r="AL67" i="29"/>
  <c r="AN67" i="29" s="1"/>
  <c r="AL38" i="13"/>
  <c r="AN82" i="13"/>
  <c r="AL121" i="29"/>
  <c r="AM7" i="29"/>
  <c r="AM70" i="29" s="1"/>
  <c r="AL55" i="29"/>
  <c r="AN55" i="29" s="1"/>
  <c r="AD10" i="29"/>
  <c r="AL101" i="14"/>
  <c r="AN101" i="14" s="1"/>
  <c r="AH82" i="14"/>
  <c r="AI82" i="14"/>
  <c r="AD82" i="14"/>
  <c r="AD75" i="14"/>
  <c r="AF75" i="14"/>
  <c r="AF49" i="14"/>
  <c r="AI49" i="14"/>
  <c r="AN67" i="13"/>
  <c r="AL115" i="29"/>
  <c r="AN88" i="13"/>
  <c r="AL133" i="29"/>
  <c r="AN133" i="29" s="1"/>
  <c r="AL15" i="29"/>
  <c r="AN15" i="29" s="1"/>
  <c r="AL7" i="13"/>
  <c r="AL94" i="29" s="1"/>
  <c r="AF25" i="29"/>
  <c r="AI8" i="29"/>
  <c r="AN84" i="13"/>
  <c r="AH34" i="29"/>
  <c r="S55" i="9"/>
  <c r="AH45" i="15"/>
  <c r="AA42" i="16"/>
  <c r="AI42" i="16" s="1"/>
  <c r="AM20" i="15"/>
  <c r="AF92" i="19"/>
  <c r="AD45" i="15"/>
  <c r="T61" i="9"/>
  <c r="W78" i="19"/>
  <c r="AF38" i="15"/>
  <c r="AD20" i="15"/>
  <c r="AH20" i="15"/>
  <c r="AE102" i="19"/>
  <c r="AM45" i="15"/>
  <c r="AI38" i="15"/>
  <c r="X78" i="16"/>
  <c r="AA78" i="16" s="1"/>
  <c r="AF78" i="16" s="1"/>
  <c r="AE79" i="15"/>
  <c r="G71" i="26"/>
  <c r="R6" i="26"/>
  <c r="T6" i="26" s="1"/>
  <c r="AF14" i="14"/>
  <c r="AL76" i="13"/>
  <c r="AL118" i="29" s="1"/>
  <c r="AA131" i="14"/>
  <c r="AN53" i="13"/>
  <c r="AN14" i="13"/>
  <c r="AL19" i="29"/>
  <c r="AN19" i="29" s="1"/>
  <c r="AL24" i="13"/>
  <c r="AL64" i="13"/>
  <c r="AD20" i="29"/>
  <c r="AL47" i="13"/>
  <c r="AH59" i="29"/>
  <c r="AL59" i="29" s="1"/>
  <c r="AN59" i="29" s="1"/>
  <c r="AL23" i="13"/>
  <c r="AN23" i="13" s="1"/>
  <c r="AI20" i="29"/>
  <c r="AN73" i="13"/>
  <c r="AL122" i="29"/>
  <c r="AN122" i="29" s="1"/>
  <c r="AN40" i="13"/>
  <c r="AL139" i="29"/>
  <c r="AN139" i="29" s="1"/>
  <c r="AN128" i="29"/>
  <c r="AD73" i="16"/>
  <c r="AL39" i="13"/>
  <c r="AF9" i="29"/>
  <c r="AL9" i="29" s="1"/>
  <c r="AN9" i="29" s="1"/>
  <c r="AL32" i="29"/>
  <c r="AN32" i="29" s="1"/>
  <c r="AL79" i="13"/>
  <c r="AL33" i="13"/>
  <c r="AI21" i="29"/>
  <c r="AL21" i="29" s="1"/>
  <c r="AN21" i="29" s="1"/>
  <c r="AL44" i="29"/>
  <c r="AN44" i="29" s="1"/>
  <c r="AD8" i="29"/>
  <c r="AE44" i="16"/>
  <c r="AA44" i="16"/>
  <c r="AL68" i="29"/>
  <c r="AN68" i="29" s="1"/>
  <c r="AI10" i="29"/>
  <c r="AD34" i="29"/>
  <c r="AH103" i="16"/>
  <c r="AL63" i="13"/>
  <c r="AL91" i="29" s="1"/>
  <c r="AL27" i="13"/>
  <c r="AL46" i="13"/>
  <c r="AL111" i="29" s="1"/>
  <c r="AA72" i="15"/>
  <c r="AE72" i="15"/>
  <c r="AL94" i="13"/>
  <c r="AN94" i="13" s="1"/>
  <c r="AL50" i="14"/>
  <c r="AN50" i="14" s="1"/>
  <c r="V48" i="16"/>
  <c r="U48" i="19"/>
  <c r="V35" i="16"/>
  <c r="AL93" i="13"/>
  <c r="AN93" i="13" s="1"/>
  <c r="AL66" i="13"/>
  <c r="AN66" i="13" s="1"/>
  <c r="AL30" i="15"/>
  <c r="AN30" i="15" s="1"/>
  <c r="X72" i="16"/>
  <c r="AA72" i="16" s="1"/>
  <c r="AC72" i="16"/>
  <c r="W72" i="16"/>
  <c r="P71" i="19"/>
  <c r="P72" i="19"/>
  <c r="AI34" i="27"/>
  <c r="AD627" i="18"/>
  <c r="AE627" i="18" s="1"/>
  <c r="AF627" i="18" s="1"/>
  <c r="AH66" i="27"/>
  <c r="AL66" i="27" s="1"/>
  <c r="AN66" i="27" s="1"/>
  <c r="AD620" i="18"/>
  <c r="AE620" i="18" s="1"/>
  <c r="AF620" i="18" s="1"/>
  <c r="AC85" i="8"/>
  <c r="AB85" i="8"/>
  <c r="AI132" i="12"/>
  <c r="AL92" i="12"/>
  <c r="AN92" i="12" s="1"/>
  <c r="AD13" i="27"/>
  <c r="AL13" i="27" s="1"/>
  <c r="AN13" i="27" s="1"/>
  <c r="AL64" i="12"/>
  <c r="AN64" i="12" s="1"/>
  <c r="AF132" i="12"/>
  <c r="AL128" i="12"/>
  <c r="AN128" i="12" s="1"/>
  <c r="AL56" i="12"/>
  <c r="AN56" i="12" s="1"/>
  <c r="AD626" i="18"/>
  <c r="AL47" i="12"/>
  <c r="AN47" i="12" s="1"/>
  <c r="AN87" i="12"/>
  <c r="AL11" i="12"/>
  <c r="AN11" i="12" s="1"/>
  <c r="AL6" i="12"/>
  <c r="AN6" i="12" s="1"/>
  <c r="AL113" i="12"/>
  <c r="AN113" i="12" s="1"/>
  <c r="W374" i="9"/>
  <c r="W20" i="10" s="1"/>
  <c r="S414" i="9"/>
  <c r="S21" i="10" s="1"/>
  <c r="V414" i="9"/>
  <c r="V21" i="10" s="1"/>
  <c r="T374" i="9"/>
  <c r="T20" i="10" s="1"/>
  <c r="T223" i="9"/>
  <c r="AL112" i="19"/>
  <c r="AN112" i="19" s="1"/>
  <c r="AI26" i="19"/>
  <c r="AM26" i="19"/>
  <c r="AD26" i="19"/>
  <c r="AI91" i="19"/>
  <c r="AH62" i="26"/>
  <c r="AC54" i="26"/>
  <c r="AD91" i="19"/>
  <c r="AF91" i="19"/>
  <c r="AE91" i="19"/>
  <c r="W46" i="19"/>
  <c r="AF57" i="19"/>
  <c r="AC54" i="19"/>
  <c r="AC46" i="26"/>
  <c r="P48" i="26"/>
  <c r="X48" i="26" s="1"/>
  <c r="AA70" i="16"/>
  <c r="W54" i="19"/>
  <c r="X54" i="19" s="1"/>
  <c r="AA54" i="19" s="1"/>
  <c r="W48" i="19"/>
  <c r="AD92" i="19"/>
  <c r="AD57" i="19"/>
  <c r="AI57" i="19"/>
  <c r="AD24" i="16"/>
  <c r="AA29" i="16"/>
  <c r="AH29" i="16" s="1"/>
  <c r="AH104" i="16"/>
  <c r="AF10" i="16"/>
  <c r="AE28" i="16"/>
  <c r="AI104" i="16"/>
  <c r="AL115" i="16"/>
  <c r="AN115" i="16" s="1"/>
  <c r="AL116" i="16"/>
  <c r="AN116" i="16" s="1"/>
  <c r="AF23" i="16"/>
  <c r="AA12" i="16"/>
  <c r="AD12" i="16" s="1"/>
  <c r="AM10" i="16"/>
  <c r="AE10" i="16"/>
  <c r="X20" i="19"/>
  <c r="AE20" i="19" s="1"/>
  <c r="AH10" i="16"/>
  <c r="AA46" i="15"/>
  <c r="AI46" i="15" s="1"/>
  <c r="P20" i="26"/>
  <c r="W20" i="26" s="1"/>
  <c r="X81" i="16"/>
  <c r="AA81" i="16" s="1"/>
  <c r="AH81" i="16" s="1"/>
  <c r="AC7" i="26"/>
  <c r="W20" i="16"/>
  <c r="AC20" i="19"/>
  <c r="W88" i="19"/>
  <c r="AM59" i="15"/>
  <c r="T92" i="19"/>
  <c r="X20" i="16"/>
  <c r="AA20" i="16" s="1"/>
  <c r="AI20" i="16" s="1"/>
  <c r="P88" i="26"/>
  <c r="W88" i="26" s="1"/>
  <c r="T10" i="19"/>
  <c r="AC20" i="16"/>
  <c r="AI8" i="19"/>
  <c r="P104" i="26"/>
  <c r="X104" i="19"/>
  <c r="AE18" i="15"/>
  <c r="AF19" i="15"/>
  <c r="AI19" i="15"/>
  <c r="AD14" i="14"/>
  <c r="AM14" i="14"/>
  <c r="AL118" i="14"/>
  <c r="AM19" i="15"/>
  <c r="AE48" i="15"/>
  <c r="AH19" i="15"/>
  <c r="AE54" i="15"/>
  <c r="AE45" i="15"/>
  <c r="AF8" i="19"/>
  <c r="AE130" i="14"/>
  <c r="AE131" i="14" s="1"/>
  <c r="S164" i="9" s="1"/>
  <c r="AE69" i="15"/>
  <c r="AA69" i="15"/>
  <c r="AE70" i="15"/>
  <c r="AL95" i="13"/>
  <c r="AN95" i="13" s="1"/>
  <c r="AL36" i="13"/>
  <c r="AL100" i="13"/>
  <c r="AN100" i="13" s="1"/>
  <c r="P43" i="19"/>
  <c r="AC43" i="16"/>
  <c r="W43" i="16"/>
  <c r="X43" i="16"/>
  <c r="AA80" i="19"/>
  <c r="AE80" i="19"/>
  <c r="AL29" i="13"/>
  <c r="AL57" i="13"/>
  <c r="AL104" i="15"/>
  <c r="AN104" i="15" s="1"/>
  <c r="AC97" i="16"/>
  <c r="W97" i="16"/>
  <c r="P97" i="19"/>
  <c r="X97" i="16"/>
  <c r="AE96" i="15"/>
  <c r="W80" i="26"/>
  <c r="X80" i="26"/>
  <c r="AL12" i="13"/>
  <c r="AD43" i="15"/>
  <c r="AH43" i="15"/>
  <c r="AI43" i="15"/>
  <c r="AM43" i="15"/>
  <c r="AF43" i="15"/>
  <c r="AA97" i="15"/>
  <c r="AE97" i="15"/>
  <c r="AL41" i="15"/>
  <c r="AL93" i="14"/>
  <c r="AN93" i="14" s="1"/>
  <c r="AE133" i="14"/>
  <c r="AL89" i="13"/>
  <c r="AL33" i="14"/>
  <c r="AN33" i="14" s="1"/>
  <c r="AL18" i="13"/>
  <c r="AN18" i="13" s="1"/>
  <c r="AL119" i="13"/>
  <c r="AN119" i="13" s="1"/>
  <c r="AD96" i="15"/>
  <c r="AM96" i="15"/>
  <c r="AF96" i="15"/>
  <c r="AH96" i="15"/>
  <c r="AI96" i="15"/>
  <c r="X96" i="16"/>
  <c r="AA96" i="16" s="1"/>
  <c r="AC96" i="16"/>
  <c r="P96" i="19"/>
  <c r="W96" i="16"/>
  <c r="AI34" i="15"/>
  <c r="AD34" i="15"/>
  <c r="AF34" i="15"/>
  <c r="AM34" i="15"/>
  <c r="AH34" i="15"/>
  <c r="AL44" i="27"/>
  <c r="AN44" i="27" s="1"/>
  <c r="Q20" i="10"/>
  <c r="R20" i="10" s="1"/>
  <c r="R374" i="9"/>
  <c r="Q159" i="9"/>
  <c r="R124" i="9"/>
  <c r="Y322" i="8"/>
  <c r="AC322" i="8"/>
  <c r="AC253" i="8"/>
  <c r="Y253" i="8"/>
  <c r="Y234" i="8"/>
  <c r="AC234" i="8"/>
  <c r="Y425" i="8"/>
  <c r="Y207" i="8"/>
  <c r="AC207" i="8"/>
  <c r="AC409" i="8"/>
  <c r="Y409" i="8"/>
  <c r="AC292" i="8"/>
  <c r="Y292" i="8"/>
  <c r="AC205" i="8"/>
  <c r="Y205" i="8"/>
  <c r="Y267" i="8"/>
  <c r="AC267" i="8"/>
  <c r="Y193" i="8"/>
  <c r="AC193" i="8"/>
  <c r="Y190" i="8"/>
  <c r="AC190" i="8"/>
  <c r="AC196" i="8"/>
  <c r="Y196" i="8"/>
  <c r="Y422" i="8"/>
  <c r="AC238" i="8"/>
  <c r="Y238" i="8"/>
  <c r="AC187" i="8"/>
  <c r="Y187" i="8"/>
  <c r="Y307" i="8"/>
  <c r="AC307" i="8"/>
  <c r="AC326" i="8"/>
  <c r="Y326" i="8"/>
  <c r="Y165" i="8"/>
  <c r="Y168" i="8"/>
  <c r="AC332" i="8"/>
  <c r="Y332" i="8"/>
  <c r="Y275" i="8"/>
  <c r="AC275" i="8"/>
  <c r="AC203" i="8"/>
  <c r="Y203" i="8"/>
  <c r="Y424" i="8"/>
  <c r="Y430" i="8"/>
  <c r="X433" i="8"/>
  <c r="AC199" i="8"/>
  <c r="Y199" i="8"/>
  <c r="AC211" i="8"/>
  <c r="Y211" i="8"/>
  <c r="Y197" i="8"/>
  <c r="AC197" i="8"/>
  <c r="AC382" i="8"/>
  <c r="Y382" i="8"/>
  <c r="Y393" i="8"/>
  <c r="AC393" i="8"/>
  <c r="AC174" i="8"/>
  <c r="Y174" i="8"/>
  <c r="X283" i="8"/>
  <c r="Y283" i="8" s="1"/>
  <c r="AC347" i="8"/>
  <c r="Y347" i="8"/>
  <c r="Y361" i="8"/>
  <c r="AC361" i="8"/>
  <c r="Y285" i="8"/>
  <c r="X369" i="8"/>
  <c r="Y369" i="8" s="1"/>
  <c r="AC285" i="8"/>
  <c r="Y192" i="8"/>
  <c r="AC192" i="8"/>
  <c r="Y311" i="8"/>
  <c r="AC311" i="8"/>
  <c r="AC403" i="8"/>
  <c r="Y403" i="8"/>
  <c r="AC346" i="8"/>
  <c r="Y346" i="8"/>
  <c r="Y213" i="8"/>
  <c r="AC213" i="8"/>
  <c r="AC290" i="8"/>
  <c r="Y290" i="8"/>
  <c r="Y242" i="8"/>
  <c r="AC242" i="8"/>
  <c r="AC293" i="8"/>
  <c r="Y293" i="8"/>
  <c r="AC389" i="8"/>
  <c r="Y389" i="8"/>
  <c r="AC315" i="8"/>
  <c r="Y315" i="8"/>
  <c r="Y247" i="8"/>
  <c r="AC247" i="8"/>
  <c r="X437" i="8"/>
  <c r="Y434" i="8"/>
  <c r="Y182" i="8"/>
  <c r="AC182" i="8"/>
  <c r="Y246" i="8"/>
  <c r="AC246" i="8"/>
  <c r="AC301" i="8"/>
  <c r="Y301" i="8"/>
  <c r="Y325" i="8"/>
  <c r="AC325" i="8"/>
  <c r="AC312" i="8"/>
  <c r="Y312" i="8"/>
  <c r="Y279" i="8"/>
  <c r="AC279" i="8"/>
  <c r="Y214" i="8"/>
  <c r="AC214" i="8"/>
  <c r="AC407" i="8"/>
  <c r="Y407" i="8"/>
  <c r="Y204" i="8"/>
  <c r="AC204" i="8"/>
  <c r="Y286" i="8"/>
  <c r="AC286" i="8"/>
  <c r="Y308" i="8"/>
  <c r="AC308" i="8"/>
  <c r="AC189" i="8"/>
  <c r="Y189" i="8"/>
  <c r="AC334" i="8"/>
  <c r="Y334" i="8"/>
  <c r="AC401" i="8"/>
  <c r="Y401" i="8"/>
  <c r="Y169" i="8"/>
  <c r="AC169" i="8"/>
  <c r="Y281" i="8"/>
  <c r="AC281" i="8"/>
  <c r="Y217" i="8"/>
  <c r="AC217" i="8"/>
  <c r="Y368" i="8"/>
  <c r="AC368" i="8"/>
  <c r="AC327" i="8"/>
  <c r="Y327" i="8"/>
  <c r="Y263" i="8"/>
  <c r="AC263" i="8"/>
  <c r="AC324" i="8"/>
  <c r="Y324" i="8"/>
  <c r="Y235" i="8"/>
  <c r="AC235" i="8"/>
  <c r="Y177" i="8"/>
  <c r="AC177" i="8"/>
  <c r="AC216" i="8"/>
  <c r="Y216" i="8"/>
  <c r="AC380" i="8"/>
  <c r="Y380" i="8"/>
  <c r="AC336" i="8"/>
  <c r="Y336" i="8"/>
  <c r="Y260" i="8"/>
  <c r="AC260" i="8"/>
  <c r="AC264" i="8"/>
  <c r="Y264" i="8"/>
  <c r="Y427" i="8"/>
  <c r="Y269" i="8"/>
  <c r="AC269" i="8"/>
  <c r="AC256" i="8"/>
  <c r="Y256" i="8"/>
  <c r="AC413" i="8"/>
  <c r="Y413" i="8"/>
  <c r="AC280" i="8"/>
  <c r="Y280" i="8"/>
  <c r="Y184" i="8"/>
  <c r="Y186" i="8"/>
  <c r="AC186" i="8"/>
  <c r="AC356" i="8"/>
  <c r="Y356" i="8"/>
  <c r="Y317" i="8"/>
  <c r="AC317" i="8"/>
  <c r="AC398" i="8"/>
  <c r="Y398" i="8"/>
  <c r="AC348" i="8"/>
  <c r="Y348" i="8"/>
  <c r="Y272" i="8"/>
  <c r="AC272" i="8"/>
  <c r="AC303" i="8"/>
  <c r="Y303" i="8"/>
  <c r="Y195" i="8"/>
  <c r="AC195" i="8"/>
  <c r="AC170" i="8"/>
  <c r="Y170" i="8"/>
  <c r="Y225" i="8"/>
  <c r="AC225" i="8"/>
  <c r="Y329" i="8"/>
  <c r="AC329" i="8"/>
  <c r="Y230" i="8"/>
  <c r="AC230" i="8"/>
  <c r="Y215" i="8"/>
  <c r="AC215" i="8"/>
  <c r="AC183" i="8"/>
  <c r="Y183" i="8"/>
  <c r="Y428" i="8"/>
  <c r="Y333" i="8"/>
  <c r="AC333" i="8"/>
  <c r="Y289" i="8"/>
  <c r="AC289" i="8"/>
  <c r="Y316" i="8"/>
  <c r="AC316" i="8"/>
  <c r="Y420" i="8"/>
  <c r="AC229" i="8"/>
  <c r="Y229" i="8"/>
  <c r="AC198" i="8"/>
  <c r="Y198" i="8"/>
  <c r="Y250" i="8"/>
  <c r="AC250" i="8"/>
  <c r="AC378" i="8"/>
  <c r="Y378" i="8"/>
  <c r="AC257" i="8"/>
  <c r="Y257" i="8"/>
  <c r="Y252" i="8"/>
  <c r="AC252" i="8"/>
  <c r="Y270" i="8"/>
  <c r="AC270" i="8"/>
  <c r="Y236" i="8"/>
  <c r="AC236" i="8"/>
  <c r="Y432" i="8"/>
  <c r="AC288" i="8"/>
  <c r="Y288" i="8"/>
  <c r="AC265" i="8"/>
  <c r="Y265" i="8"/>
  <c r="Y345" i="8"/>
  <c r="AC345" i="8"/>
  <c r="Y202" i="8"/>
  <c r="AC202" i="8"/>
  <c r="Y268" i="8"/>
  <c r="AC268" i="8"/>
  <c r="AC200" i="8"/>
  <c r="Y200" i="8"/>
  <c r="AC221" i="8"/>
  <c r="Y221" i="8"/>
  <c r="Y210" i="8"/>
  <c r="AC210" i="8"/>
  <c r="AC209" i="8"/>
  <c r="Y209" i="8"/>
  <c r="AC391" i="8"/>
  <c r="Y391" i="8"/>
  <c r="Y167" i="8"/>
  <c r="Y306" i="8"/>
  <c r="AC306" i="8"/>
  <c r="Y376" i="8"/>
  <c r="X414" i="8"/>
  <c r="AC414" i="8" s="1"/>
  <c r="AC376" i="8"/>
  <c r="AC302" i="8"/>
  <c r="Y302" i="8"/>
  <c r="Y240" i="8"/>
  <c r="AC240" i="8"/>
  <c r="Y175" i="8"/>
  <c r="AC175" i="8"/>
  <c r="AC299" i="8"/>
  <c r="Y299" i="8"/>
  <c r="Y421" i="8"/>
  <c r="AC351" i="8"/>
  <c r="Y351" i="8"/>
  <c r="AC166" i="8"/>
  <c r="Y166" i="8"/>
  <c r="Y287" i="8"/>
  <c r="AC287" i="8"/>
  <c r="Y296" i="8"/>
  <c r="AC296" i="8"/>
  <c r="Y344" i="8"/>
  <c r="AC344" i="8"/>
  <c r="AC328" i="8"/>
  <c r="Y328" i="8"/>
  <c r="AC359" i="8"/>
  <c r="Y359" i="8"/>
  <c r="Y426" i="8"/>
  <c r="Y385" i="8"/>
  <c r="AC385" i="8"/>
  <c r="Y364" i="8"/>
  <c r="AC364" i="8"/>
  <c r="AC219" i="8"/>
  <c r="Y219" i="8"/>
  <c r="Y163" i="8"/>
  <c r="Y162" i="8"/>
  <c r="AC162" i="8"/>
  <c r="X171" i="8"/>
  <c r="X172" i="8" s="1"/>
  <c r="AC343" i="8"/>
  <c r="Y343" i="8"/>
  <c r="Y294" i="8"/>
  <c r="AC294" i="8"/>
  <c r="Y274" i="8"/>
  <c r="AC274" i="8"/>
  <c r="AC387" i="8"/>
  <c r="Y387" i="8"/>
  <c r="AC362" i="8"/>
  <c r="Y362" i="8"/>
  <c r="AC262" i="8"/>
  <c r="Y262" i="8"/>
  <c r="AC319" i="8"/>
  <c r="Y319" i="8"/>
  <c r="Y261" i="8"/>
  <c r="AC261" i="8"/>
  <c r="AC353" i="8"/>
  <c r="Y353" i="8"/>
  <c r="Y349" i="8"/>
  <c r="AC349" i="8"/>
  <c r="Y396" i="8"/>
  <c r="AC396" i="8"/>
  <c r="Y366" i="8"/>
  <c r="AC366" i="8"/>
  <c r="Y314" i="8"/>
  <c r="AC314" i="8"/>
  <c r="AC355" i="8"/>
  <c r="Y355" i="8"/>
  <c r="Y282" i="8"/>
  <c r="AC282" i="8"/>
  <c r="Y179" i="8"/>
  <c r="AC179" i="8"/>
  <c r="Y431" i="8"/>
  <c r="Y254" i="8"/>
  <c r="AC254" i="8"/>
  <c r="AC337" i="8"/>
  <c r="Y337" i="8"/>
  <c r="AC360" i="8"/>
  <c r="Y360" i="8"/>
  <c r="Y228" i="8"/>
  <c r="AC228" i="8"/>
  <c r="AC191" i="8"/>
  <c r="Y191" i="8"/>
  <c r="AC233" i="8"/>
  <c r="Y233" i="8"/>
  <c r="AC371" i="8"/>
  <c r="Y371" i="8"/>
  <c r="X374" i="8"/>
  <c r="AC297" i="8"/>
  <c r="Y297" i="8"/>
  <c r="Y386" i="8"/>
  <c r="AC386" i="8"/>
  <c r="AC399" i="8"/>
  <c r="Y399" i="8"/>
  <c r="AC226" i="8"/>
  <c r="Y226" i="8"/>
  <c r="AC321" i="8"/>
  <c r="Y321" i="8"/>
  <c r="Y208" i="8"/>
  <c r="AC208" i="8"/>
  <c r="Y249" i="8"/>
  <c r="AC249" i="8"/>
  <c r="Y313" i="8"/>
  <c r="AC313" i="8"/>
  <c r="Y277" i="8"/>
  <c r="AC277" i="8"/>
  <c r="Y164" i="8"/>
  <c r="Y244" i="8"/>
  <c r="AC244" i="8"/>
  <c r="Y372" i="8"/>
  <c r="AC372" i="8"/>
  <c r="Y245" i="8"/>
  <c r="AC245" i="8"/>
  <c r="Y309" i="8"/>
  <c r="AC309" i="8"/>
  <c r="AC330" i="8"/>
  <c r="Y330" i="8"/>
  <c r="AC223" i="8"/>
  <c r="Y223" i="8"/>
  <c r="Y436" i="8"/>
  <c r="Y419" i="8"/>
  <c r="Y423" i="8"/>
  <c r="AC305" i="8"/>
  <c r="Y305" i="8"/>
  <c r="AC231" i="8"/>
  <c r="Y231" i="8"/>
  <c r="AC405" i="8"/>
  <c r="Y405" i="8"/>
  <c r="Y181" i="8"/>
  <c r="AC181" i="8"/>
  <c r="AC357" i="8"/>
  <c r="Y357" i="8"/>
  <c r="Y201" i="8"/>
  <c r="AC201" i="8"/>
  <c r="AC194" i="8"/>
  <c r="Y194" i="8"/>
  <c r="Y232" i="8"/>
  <c r="AC232" i="8"/>
  <c r="AC259" i="8"/>
  <c r="Y259" i="8"/>
  <c r="Y341" i="8"/>
  <c r="AC341" i="8"/>
  <c r="Y435" i="8"/>
  <c r="AC384" i="8"/>
  <c r="Y384" i="8"/>
  <c r="T292" i="9"/>
  <c r="T316" i="9"/>
  <c r="W174" i="9"/>
  <c r="U211" i="9"/>
  <c r="U217" i="9"/>
  <c r="T199" i="9"/>
  <c r="AL106" i="19"/>
  <c r="AN106" i="19" s="1"/>
  <c r="AL113" i="19"/>
  <c r="AN113" i="19" s="1"/>
  <c r="AL110" i="19"/>
  <c r="AN110" i="19" s="1"/>
  <c r="AE36" i="16"/>
  <c r="AL113" i="16"/>
  <c r="AN113" i="16" s="1"/>
  <c r="AL119" i="16"/>
  <c r="AN119" i="16" s="1"/>
  <c r="AL114" i="16"/>
  <c r="AN114" i="16" s="1"/>
  <c r="AI56" i="16"/>
  <c r="AI38" i="16"/>
  <c r="AL108" i="16"/>
  <c r="AN108" i="16" s="1"/>
  <c r="AL118" i="16"/>
  <c r="AN118" i="16" s="1"/>
  <c r="AL120" i="16"/>
  <c r="AN120" i="16" s="1"/>
  <c r="AE53" i="16"/>
  <c r="AL117" i="16"/>
  <c r="AN117" i="16" s="1"/>
  <c r="AL57" i="16"/>
  <c r="AN57" i="16" s="1"/>
  <c r="AA30" i="16"/>
  <c r="AD30" i="16" s="1"/>
  <c r="AD8" i="19"/>
  <c r="AL108" i="15"/>
  <c r="AN108" i="15" s="1"/>
  <c r="AL113" i="15"/>
  <c r="AN113" i="15" s="1"/>
  <c r="AL124" i="15"/>
  <c r="AN124" i="15" s="1"/>
  <c r="AE26" i="16"/>
  <c r="AL27" i="15"/>
  <c r="AN27" i="15" s="1"/>
  <c r="AL112" i="15"/>
  <c r="AN112" i="15" s="1"/>
  <c r="AL110" i="15"/>
  <c r="AN110" i="15" s="1"/>
  <c r="AC52" i="19"/>
  <c r="W51" i="26"/>
  <c r="X51" i="26" s="1"/>
  <c r="AE51" i="26" s="1"/>
  <c r="V416" i="18"/>
  <c r="AL11" i="27"/>
  <c r="AN11" i="27" s="1"/>
  <c r="AM87" i="27"/>
  <c r="AD463" i="18"/>
  <c r="B27" i="3"/>
  <c r="B26" i="3"/>
  <c r="G26" i="3"/>
  <c r="F43" i="3"/>
  <c r="E21" i="3"/>
  <c r="E22" i="3"/>
  <c r="D21" i="3"/>
  <c r="D26" i="3" s="1"/>
  <c r="D22" i="3"/>
  <c r="D27" i="3" s="1"/>
  <c r="E43" i="3"/>
  <c r="E44" i="3" s="1"/>
  <c r="AI53" i="16"/>
  <c r="AF53" i="16"/>
  <c r="AM53" i="16"/>
  <c r="AE75" i="15"/>
  <c r="AA75" i="15"/>
  <c r="AM62" i="26"/>
  <c r="AE62" i="26"/>
  <c r="X28" i="19"/>
  <c r="AE28" i="19" s="1"/>
  <c r="AE37" i="19"/>
  <c r="AL121" i="16"/>
  <c r="AN121" i="16" s="1"/>
  <c r="AL74" i="14"/>
  <c r="AN74" i="14" s="1"/>
  <c r="AL125" i="26"/>
  <c r="AN125" i="26" s="1"/>
  <c r="AL52" i="13"/>
  <c r="AN52" i="13" s="1"/>
  <c r="AC15" i="19"/>
  <c r="P15" i="26"/>
  <c r="X15" i="26" s="1"/>
  <c r="W15" i="19"/>
  <c r="R88" i="26"/>
  <c r="T88" i="26" s="1"/>
  <c r="T88" i="19"/>
  <c r="W18" i="16"/>
  <c r="AC18" i="16"/>
  <c r="P18" i="19"/>
  <c r="AL49" i="13"/>
  <c r="AN49" i="13" s="1"/>
  <c r="T90" i="16"/>
  <c r="R90" i="19"/>
  <c r="P89" i="19"/>
  <c r="W89" i="16"/>
  <c r="AC89" i="16"/>
  <c r="U82" i="26"/>
  <c r="V82" i="26" s="1"/>
  <c r="X82" i="26" s="1"/>
  <c r="V82" i="19"/>
  <c r="X82" i="19" s="1"/>
  <c r="AF59" i="15"/>
  <c r="AD59" i="15"/>
  <c r="AI59" i="15"/>
  <c r="AL129" i="13"/>
  <c r="AN129" i="13" s="1"/>
  <c r="AL51" i="13"/>
  <c r="AN51" i="13" s="1"/>
  <c r="AL10" i="13"/>
  <c r="V21" i="16"/>
  <c r="U21" i="19"/>
  <c r="U75" i="19"/>
  <c r="V75" i="16"/>
  <c r="X75" i="16" s="1"/>
  <c r="AA82" i="16"/>
  <c r="AE82" i="16"/>
  <c r="AD89" i="14"/>
  <c r="AM89" i="14"/>
  <c r="AH89" i="14"/>
  <c r="AI89" i="14"/>
  <c r="AF89" i="14"/>
  <c r="AM92" i="19"/>
  <c r="AF62" i="26"/>
  <c r="AH8" i="19"/>
  <c r="AI101" i="26"/>
  <c r="W28" i="19"/>
  <c r="AL31" i="15"/>
  <c r="AN31" i="15" s="1"/>
  <c r="S119" i="9"/>
  <c r="AL125" i="16"/>
  <c r="AN125" i="16" s="1"/>
  <c r="Q122" i="9"/>
  <c r="AE13" i="15"/>
  <c r="AL10" i="14"/>
  <c r="AN10" i="14" s="1"/>
  <c r="AA89" i="15"/>
  <c r="T119" i="9" s="1"/>
  <c r="AE89" i="15"/>
  <c r="AA16" i="15"/>
  <c r="AE16" i="15"/>
  <c r="U96" i="19"/>
  <c r="V96" i="16"/>
  <c r="V56" i="16"/>
  <c r="U56" i="19"/>
  <c r="V38" i="19"/>
  <c r="X38" i="19" s="1"/>
  <c r="AA38" i="19" s="1"/>
  <c r="AI38" i="19" s="1"/>
  <c r="U38" i="26"/>
  <c r="V38" i="26" s="1"/>
  <c r="X38" i="26" s="1"/>
  <c r="AA38" i="26" s="1"/>
  <c r="AI38" i="26" s="1"/>
  <c r="AC9" i="16"/>
  <c r="W9" i="16"/>
  <c r="U37" i="19"/>
  <c r="V37" i="16"/>
  <c r="AL44" i="13"/>
  <c r="U80" i="19"/>
  <c r="V80" i="16"/>
  <c r="AN46" i="13"/>
  <c r="AC16" i="16"/>
  <c r="P16" i="19"/>
  <c r="W16" i="16"/>
  <c r="AA133" i="14"/>
  <c r="AI92" i="19"/>
  <c r="AE92" i="19"/>
  <c r="AL23" i="14"/>
  <c r="AN23" i="14" s="1"/>
  <c r="AI62" i="26"/>
  <c r="AA61" i="16"/>
  <c r="AI61" i="16" s="1"/>
  <c r="AL55" i="14"/>
  <c r="AN55" i="14" s="1"/>
  <c r="AL100" i="15"/>
  <c r="AN100" i="15" s="1"/>
  <c r="W27" i="19"/>
  <c r="X27" i="19" s="1"/>
  <c r="AE27" i="19" s="1"/>
  <c r="P28" i="26"/>
  <c r="W28" i="26" s="1"/>
  <c r="AL73" i="15"/>
  <c r="AN73" i="15" s="1"/>
  <c r="X79" i="16"/>
  <c r="AE79" i="16" s="1"/>
  <c r="AL107" i="19"/>
  <c r="AN107" i="19" s="1"/>
  <c r="AE20" i="15"/>
  <c r="V89" i="16"/>
  <c r="X89" i="16" s="1"/>
  <c r="U89" i="19"/>
  <c r="P34" i="19"/>
  <c r="AC34" i="16"/>
  <c r="W34" i="16"/>
  <c r="X34" i="16" s="1"/>
  <c r="AL75" i="13"/>
  <c r="AM87" i="15"/>
  <c r="AI87" i="15"/>
  <c r="AH87" i="15"/>
  <c r="AL31" i="13"/>
  <c r="AN31" i="13" s="1"/>
  <c r="AL50" i="13"/>
  <c r="AN50" i="13" s="1"/>
  <c r="U13" i="19"/>
  <c r="V13" i="16"/>
  <c r="AE26" i="19"/>
  <c r="O11" i="10"/>
  <c r="AF94" i="19"/>
  <c r="AH94" i="19"/>
  <c r="AD94" i="19"/>
  <c r="AM94" i="19"/>
  <c r="AI94" i="19"/>
  <c r="V46" i="16"/>
  <c r="X46" i="16" s="1"/>
  <c r="AA46" i="16" s="1"/>
  <c r="AI46" i="16" s="1"/>
  <c r="U46" i="19"/>
  <c r="R76" i="19"/>
  <c r="T76" i="16"/>
  <c r="R70" i="19"/>
  <c r="T70" i="16"/>
  <c r="AH23" i="16"/>
  <c r="AI23" i="16"/>
  <c r="AF101" i="19"/>
  <c r="AH101" i="19"/>
  <c r="U71" i="19"/>
  <c r="V71" i="19" s="1"/>
  <c r="AE48" i="16"/>
  <c r="AL121" i="26"/>
  <c r="AN121" i="26" s="1"/>
  <c r="AL17" i="13"/>
  <c r="AN17" i="13" s="1"/>
  <c r="AE88" i="15"/>
  <c r="AA88" i="15"/>
  <c r="AL104" i="14"/>
  <c r="AN104" i="14" s="1"/>
  <c r="AC58" i="16"/>
  <c r="W58" i="16"/>
  <c r="P58" i="19"/>
  <c r="X83" i="16"/>
  <c r="AA83" i="16" s="1"/>
  <c r="AC83" i="16"/>
  <c r="W83" i="16"/>
  <c r="P83" i="19"/>
  <c r="V77" i="16"/>
  <c r="X77" i="16" s="1"/>
  <c r="AA77" i="16" s="1"/>
  <c r="AF77" i="16" s="1"/>
  <c r="U77" i="19"/>
  <c r="AE76" i="15"/>
  <c r="AA76" i="15"/>
  <c r="T65" i="9" s="1"/>
  <c r="V14" i="16"/>
  <c r="W14" i="16" s="1"/>
  <c r="X14" i="16" s="1"/>
  <c r="U14" i="19"/>
  <c r="AF66" i="16"/>
  <c r="AI66" i="16"/>
  <c r="AH66" i="16"/>
  <c r="AM66" i="16"/>
  <c r="AL124" i="16"/>
  <c r="AN124" i="16" s="1"/>
  <c r="T96" i="19"/>
  <c r="R96" i="26"/>
  <c r="T96" i="26" s="1"/>
  <c r="AL124" i="26"/>
  <c r="AN124" i="26" s="1"/>
  <c r="AH10" i="15"/>
  <c r="AD10" i="15"/>
  <c r="AI10" i="15"/>
  <c r="AM10" i="15"/>
  <c r="AF10" i="15"/>
  <c r="A72" i="19"/>
  <c r="A71" i="19"/>
  <c r="P21" i="19"/>
  <c r="W21" i="16"/>
  <c r="X21" i="16"/>
  <c r="AA21" i="16" s="1"/>
  <c r="AF21" i="16" s="1"/>
  <c r="AC21" i="16"/>
  <c r="AA77" i="15"/>
  <c r="T85" i="9" s="1"/>
  <c r="AE77" i="15"/>
  <c r="T75" i="16"/>
  <c r="R75" i="19"/>
  <c r="P76" i="19"/>
  <c r="X76" i="19" s="1"/>
  <c r="AA76" i="19" s="1"/>
  <c r="AC76" i="16"/>
  <c r="W76" i="16"/>
  <c r="AA14" i="15"/>
  <c r="AE14" i="15"/>
  <c r="AD23" i="16"/>
  <c r="AI101" i="19"/>
  <c r="AD101" i="19"/>
  <c r="AE8" i="19"/>
  <c r="AE76" i="16"/>
  <c r="U64" i="19"/>
  <c r="V64" i="16"/>
  <c r="W64" i="16" s="1"/>
  <c r="X64" i="16" s="1"/>
  <c r="U88" i="19"/>
  <c r="V88" i="16"/>
  <c r="X88" i="16" s="1"/>
  <c r="AI26" i="16"/>
  <c r="AH26" i="16"/>
  <c r="AM26" i="16"/>
  <c r="AF26" i="16"/>
  <c r="AD26" i="16"/>
  <c r="AE60" i="15"/>
  <c r="AA60" i="15"/>
  <c r="AM40" i="14"/>
  <c r="AH40" i="14"/>
  <c r="AD40" i="14"/>
  <c r="AF40" i="14"/>
  <c r="AI40" i="14"/>
  <c r="AM21" i="14"/>
  <c r="AI21" i="14"/>
  <c r="AH21" i="14"/>
  <c r="AD21" i="14"/>
  <c r="AF21" i="14"/>
  <c r="R23" i="19"/>
  <c r="T23" i="16"/>
  <c r="P81" i="19"/>
  <c r="AC81" i="16"/>
  <c r="W81" i="16"/>
  <c r="AE66" i="16"/>
  <c r="AL9" i="14"/>
  <c r="AN9" i="14" s="1"/>
  <c r="AA19" i="16"/>
  <c r="AE19" i="16"/>
  <c r="AM45" i="16"/>
  <c r="AF45" i="16"/>
  <c r="AA85" i="16"/>
  <c r="AM85" i="16" s="1"/>
  <c r="AE8" i="16"/>
  <c r="AL61" i="14"/>
  <c r="AN61" i="14" s="1"/>
  <c r="AE64" i="15"/>
  <c r="AA64" i="15"/>
  <c r="AL42" i="13"/>
  <c r="AN42" i="13" s="1"/>
  <c r="AA21" i="15"/>
  <c r="AE21" i="15"/>
  <c r="V26" i="16"/>
  <c r="U26" i="19"/>
  <c r="T13" i="16"/>
  <c r="R13" i="19"/>
  <c r="AC60" i="16"/>
  <c r="X60" i="16"/>
  <c r="AA60" i="16" s="1"/>
  <c r="W60" i="16"/>
  <c r="P60" i="19"/>
  <c r="AE83" i="15"/>
  <c r="AA83" i="15"/>
  <c r="W79" i="16"/>
  <c r="P79" i="19"/>
  <c r="AC79" i="16"/>
  <c r="AL85" i="13"/>
  <c r="AN85" i="13" s="1"/>
  <c r="AI13" i="15"/>
  <c r="AM13" i="15"/>
  <c r="AH13" i="15"/>
  <c r="AD13" i="15"/>
  <c r="AF13" i="15"/>
  <c r="S44" i="26"/>
  <c r="T44" i="26" s="1"/>
  <c r="T44" i="19"/>
  <c r="U19" i="26"/>
  <c r="V19" i="26" s="1"/>
  <c r="X19" i="26" s="1"/>
  <c r="AE19" i="26" s="1"/>
  <c r="V19" i="19"/>
  <c r="X19" i="19" s="1"/>
  <c r="AE19" i="19" s="1"/>
  <c r="AI57" i="15"/>
  <c r="AM57" i="15"/>
  <c r="AF57" i="15"/>
  <c r="AH57" i="15"/>
  <c r="AD57" i="15"/>
  <c r="R78" i="19"/>
  <c r="T78" i="16"/>
  <c r="U10" i="26"/>
  <c r="V10" i="26" s="1"/>
  <c r="X10" i="26" s="1"/>
  <c r="AA10" i="26" s="1"/>
  <c r="AI10" i="26" s="1"/>
  <c r="V10" i="19"/>
  <c r="X10" i="19" s="1"/>
  <c r="AL19" i="13"/>
  <c r="AN19" i="13" s="1"/>
  <c r="AL28" i="14"/>
  <c r="AN28" i="14" s="1"/>
  <c r="R80" i="19"/>
  <c r="T80" i="16"/>
  <c r="X58" i="16"/>
  <c r="R82" i="19"/>
  <c r="T82" i="16"/>
  <c r="AD66" i="16"/>
  <c r="AC67" i="8"/>
  <c r="AB67" i="8"/>
  <c r="AB119" i="8"/>
  <c r="AC119" i="8"/>
  <c r="AD471" i="18"/>
  <c r="AE471" i="18" s="1"/>
  <c r="AF471" i="18" s="1"/>
  <c r="AD132" i="12"/>
  <c r="AI21" i="27"/>
  <c r="AD633" i="18"/>
  <c r="AE633" i="18" s="1"/>
  <c r="AF633" i="18" s="1"/>
  <c r="AF21" i="27"/>
  <c r="AD551" i="18"/>
  <c r="AE551" i="18" s="1"/>
  <c r="AF551" i="18" s="1"/>
  <c r="AL124" i="12"/>
  <c r="AN124" i="12" s="1"/>
  <c r="AL61" i="27"/>
  <c r="AN61" i="27" s="1"/>
  <c r="AF35" i="27"/>
  <c r="AD560" i="18"/>
  <c r="AE560" i="18" s="1"/>
  <c r="AF560" i="18" s="1"/>
  <c r="AC127" i="8"/>
  <c r="AB127" i="8"/>
  <c r="AL25" i="27"/>
  <c r="AN25" i="27" s="1"/>
  <c r="AD594" i="18"/>
  <c r="AE594" i="18" s="1"/>
  <c r="AF594" i="18" s="1"/>
  <c r="AH21" i="27"/>
  <c r="AH37" i="27"/>
  <c r="AD604" i="18"/>
  <c r="AE604" i="18" s="1"/>
  <c r="AF604" i="18" s="1"/>
  <c r="AB129" i="8"/>
  <c r="AC129" i="8"/>
  <c r="AM106" i="27"/>
  <c r="AI7" i="27"/>
  <c r="AD20" i="27"/>
  <c r="AD641" i="18"/>
  <c r="AE641" i="18" s="1"/>
  <c r="AF641" i="18" s="1"/>
  <c r="AE68" i="27"/>
  <c r="AH132" i="12"/>
  <c r="AL45" i="12"/>
  <c r="AN45" i="12" s="1"/>
  <c r="AM132" i="12"/>
  <c r="AL98" i="12"/>
  <c r="AN98" i="12" s="1"/>
  <c r="AF37" i="27"/>
  <c r="AD561" i="18"/>
  <c r="AE561" i="18" s="1"/>
  <c r="AF561" i="18" s="1"/>
  <c r="AB64" i="8"/>
  <c r="AC64" i="8"/>
  <c r="AL28" i="12"/>
  <c r="AN28" i="12" s="1"/>
  <c r="AD568" i="18"/>
  <c r="AE568" i="18" s="1"/>
  <c r="AF568" i="18" s="1"/>
  <c r="AF50" i="27"/>
  <c r="AH50" i="27"/>
  <c r="AD611" i="18"/>
  <c r="AE611" i="18" s="1"/>
  <c r="AF611" i="18" s="1"/>
  <c r="AB61" i="8"/>
  <c r="AC61" i="8"/>
  <c r="AC106" i="8"/>
  <c r="AB106" i="8"/>
  <c r="AN39" i="12"/>
  <c r="AL136" i="27"/>
  <c r="AN136" i="27" s="1"/>
  <c r="AD650" i="18"/>
  <c r="AE650" i="18" s="1"/>
  <c r="AF650" i="18" s="1"/>
  <c r="AI50" i="27"/>
  <c r="AD50" i="27"/>
  <c r="AL49" i="12"/>
  <c r="AD489" i="18"/>
  <c r="AE489" i="18" s="1"/>
  <c r="AF489" i="18" s="1"/>
  <c r="AL90" i="27"/>
  <c r="AN89" i="27"/>
  <c r="AN90" i="27" s="1"/>
  <c r="AD587" i="18"/>
  <c r="AE587" i="18" s="1"/>
  <c r="AF587" i="18" s="1"/>
  <c r="AL123" i="12"/>
  <c r="AN123" i="12" s="1"/>
  <c r="AL52" i="27"/>
  <c r="AN52" i="27" s="1"/>
  <c r="AL65" i="27"/>
  <c r="AN65" i="27" s="1"/>
  <c r="AD472" i="18"/>
  <c r="AE472" i="18" s="1"/>
  <c r="AF472" i="18" s="1"/>
  <c r="AD21" i="27"/>
  <c r="AL7" i="12"/>
  <c r="AB104" i="8"/>
  <c r="AC104" i="8"/>
  <c r="AB103" i="8"/>
  <c r="AC103" i="8"/>
  <c r="AD466" i="18"/>
  <c r="AE466" i="18" s="1"/>
  <c r="AF466" i="18" s="1"/>
  <c r="AL36" i="12"/>
  <c r="AN36" i="12" s="1"/>
  <c r="AD9" i="27"/>
  <c r="AL9" i="27" s="1"/>
  <c r="AN9" i="27" s="1"/>
  <c r="AL97" i="12"/>
  <c r="AN97" i="12" s="1"/>
  <c r="AL105" i="12"/>
  <c r="AN105" i="12" s="1"/>
  <c r="AB155" i="8"/>
  <c r="AC155" i="8"/>
  <c r="AD616" i="18"/>
  <c r="AE616" i="18" s="1"/>
  <c r="AF616" i="18" s="1"/>
  <c r="AH58" i="27"/>
  <c r="AI37" i="27"/>
  <c r="AD643" i="18"/>
  <c r="AE643" i="18" s="1"/>
  <c r="AF643" i="18" s="1"/>
  <c r="AD482" i="18"/>
  <c r="AE482" i="18" s="1"/>
  <c r="AF482" i="18" s="1"/>
  <c r="AL52" i="12"/>
  <c r="AD37" i="27"/>
  <c r="U130" i="26"/>
  <c r="V130" i="26" s="1"/>
  <c r="U130" i="19"/>
  <c r="V130" i="19" s="1"/>
  <c r="U130" i="16"/>
  <c r="V130" i="16" s="1"/>
  <c r="AH35" i="27"/>
  <c r="AD603" i="18"/>
  <c r="AE603" i="18" s="1"/>
  <c r="AF603" i="18" s="1"/>
  <c r="AN10" i="12"/>
  <c r="AL109" i="27"/>
  <c r="AN109" i="27" s="1"/>
  <c r="AL109" i="12"/>
  <c r="AN109" i="12" s="1"/>
  <c r="AD60" i="27"/>
  <c r="AL60" i="27" s="1"/>
  <c r="AN60" i="27" s="1"/>
  <c r="AL31" i="12"/>
  <c r="AN31" i="12" s="1"/>
  <c r="AL17" i="27"/>
  <c r="AN17" i="27" s="1"/>
  <c r="AE544" i="18"/>
  <c r="AF544" i="18" s="1"/>
  <c r="AN32" i="12"/>
  <c r="AL105" i="27"/>
  <c r="AN105" i="27" s="1"/>
  <c r="AB55" i="8"/>
  <c r="AC55" i="8"/>
  <c r="AA122" i="8"/>
  <c r="AD597" i="18"/>
  <c r="AE597" i="18" s="1"/>
  <c r="AF597" i="18" s="1"/>
  <c r="AH27" i="27"/>
  <c r="O164" i="9"/>
  <c r="P164" i="9" s="1"/>
  <c r="AA164" i="8"/>
  <c r="AL33" i="12"/>
  <c r="AN33" i="12" s="1"/>
  <c r="AI40" i="27"/>
  <c r="AD645" i="18"/>
  <c r="AE645" i="18" s="1"/>
  <c r="AF645" i="18" s="1"/>
  <c r="AL77" i="27"/>
  <c r="AN77" i="27" s="1"/>
  <c r="AN66" i="12"/>
  <c r="AM100" i="27"/>
  <c r="AM102" i="27" s="1"/>
  <c r="AM130" i="12"/>
  <c r="AB151" i="8"/>
  <c r="AC151" i="8"/>
  <c r="AD607" i="18"/>
  <c r="AE607" i="18" s="1"/>
  <c r="AF607" i="18" s="1"/>
  <c r="AH42" i="27"/>
  <c r="AF30" i="27"/>
  <c r="AD556" i="18"/>
  <c r="AE556" i="18" s="1"/>
  <c r="AF556" i="18" s="1"/>
  <c r="AI62" i="27"/>
  <c r="AD656" i="18"/>
  <c r="AE656" i="18" s="1"/>
  <c r="AF656" i="18" s="1"/>
  <c r="AL58" i="27"/>
  <c r="AN58" i="27" s="1"/>
  <c r="AN79" i="12"/>
  <c r="AL76" i="27"/>
  <c r="AN76" i="27" s="1"/>
  <c r="AL95" i="12"/>
  <c r="AN95" i="12" s="1"/>
  <c r="AL20" i="27"/>
  <c r="AN20" i="27" s="1"/>
  <c r="AH7" i="27"/>
  <c r="AN12" i="12"/>
  <c r="AL140" i="27"/>
  <c r="AM130" i="13"/>
  <c r="AI130" i="13"/>
  <c r="AF130" i="13"/>
  <c r="AD130" i="13"/>
  <c r="AH130" i="13"/>
  <c r="AD8" i="27"/>
  <c r="AL8" i="27" s="1"/>
  <c r="AN8" i="27" s="1"/>
  <c r="AL44" i="12"/>
  <c r="AN44" i="12" s="1"/>
  <c r="P130" i="16"/>
  <c r="AC130" i="15"/>
  <c r="W130" i="15"/>
  <c r="P130" i="26"/>
  <c r="P130" i="19"/>
  <c r="X130" i="15"/>
  <c r="AL61" i="12"/>
  <c r="AN61" i="12" s="1"/>
  <c r="AD590" i="18"/>
  <c r="AE590" i="18" s="1"/>
  <c r="AF590" i="18" s="1"/>
  <c r="AH15" i="27"/>
  <c r="AD547" i="18"/>
  <c r="AE547" i="18" s="1"/>
  <c r="AF547" i="18" s="1"/>
  <c r="AF15" i="27"/>
  <c r="AN29" i="12"/>
  <c r="AL104" i="27"/>
  <c r="AL96" i="27"/>
  <c r="AN96" i="27" s="1"/>
  <c r="AN24" i="12"/>
  <c r="AC115" i="8"/>
  <c r="AB115" i="8"/>
  <c r="AD493" i="18"/>
  <c r="AD57" i="27"/>
  <c r="AL53" i="12"/>
  <c r="AC133" i="14"/>
  <c r="AD557" i="18"/>
  <c r="AE557" i="18" s="1"/>
  <c r="AF557" i="18" s="1"/>
  <c r="AF31" i="27"/>
  <c r="AF130" i="12"/>
  <c r="AD42" i="27"/>
  <c r="AL63" i="12"/>
  <c r="AD485" i="18"/>
  <c r="AE485" i="18" s="1"/>
  <c r="AF485" i="18" s="1"/>
  <c r="AL16" i="12"/>
  <c r="AD477" i="18"/>
  <c r="AD30" i="27"/>
  <c r="AD638" i="18"/>
  <c r="AE638" i="18" s="1"/>
  <c r="AF638" i="18" s="1"/>
  <c r="AI30" i="27"/>
  <c r="AN75" i="12"/>
  <c r="AL132" i="27"/>
  <c r="AN132" i="27" s="1"/>
  <c r="AF7" i="27"/>
  <c r="AE131" i="13"/>
  <c r="AE133" i="13"/>
  <c r="P124" i="9"/>
  <c r="O159" i="9"/>
  <c r="AL101" i="12"/>
  <c r="AN101" i="12" s="1"/>
  <c r="AL129" i="27"/>
  <c r="AN76" i="12"/>
  <c r="AL119" i="27"/>
  <c r="AN51" i="12"/>
  <c r="AI15" i="27"/>
  <c r="AD629" i="18"/>
  <c r="AE629" i="18" s="1"/>
  <c r="AF629" i="18" s="1"/>
  <c r="AD465" i="18"/>
  <c r="AB58" i="8"/>
  <c r="AC58" i="8"/>
  <c r="AF56" i="27"/>
  <c r="AD571" i="18"/>
  <c r="AE571" i="18" s="1"/>
  <c r="AF571" i="18" s="1"/>
  <c r="AB107" i="8"/>
  <c r="AC107" i="8"/>
  <c r="AD541" i="18"/>
  <c r="AL93" i="27"/>
  <c r="AN92" i="27"/>
  <c r="AN93" i="27" s="1"/>
  <c r="AE626" i="18"/>
  <c r="AF626" i="18" s="1"/>
  <c r="AD554" i="18"/>
  <c r="AE554" i="18" s="1"/>
  <c r="AF554" i="18" s="1"/>
  <c r="AF27" i="27"/>
  <c r="AI27" i="27"/>
  <c r="AD636" i="18"/>
  <c r="AE636" i="18" s="1"/>
  <c r="AF636" i="18" s="1"/>
  <c r="AL121" i="14"/>
  <c r="AN121" i="14" s="1"/>
  <c r="AB147" i="8"/>
  <c r="AC147" i="8"/>
  <c r="AB148" i="8"/>
  <c r="AC148" i="8"/>
  <c r="T97" i="9"/>
  <c r="AH31" i="27"/>
  <c r="AD600" i="18"/>
  <c r="AE600" i="18" s="1"/>
  <c r="AF600" i="18" s="1"/>
  <c r="AH130" i="12"/>
  <c r="AL15" i="12"/>
  <c r="AD31" i="27"/>
  <c r="AD478" i="18"/>
  <c r="AE478" i="18" s="1"/>
  <c r="AF478" i="18" s="1"/>
  <c r="AB65" i="8"/>
  <c r="AC65" i="8"/>
  <c r="AH30" i="27"/>
  <c r="AD599" i="18"/>
  <c r="AE599" i="18" s="1"/>
  <c r="AF599" i="18" s="1"/>
  <c r="AD62" i="27"/>
  <c r="AL71" i="12"/>
  <c r="AD495" i="18"/>
  <c r="AE495" i="18" s="1"/>
  <c r="AF495" i="18" s="1"/>
  <c r="AF62" i="27"/>
  <c r="AD574" i="18"/>
  <c r="AE574" i="18" s="1"/>
  <c r="AF574" i="18" s="1"/>
  <c r="AL53" i="27"/>
  <c r="AN53" i="27" s="1"/>
  <c r="AL83" i="27"/>
  <c r="AD130" i="12"/>
  <c r="AM6" i="13"/>
  <c r="AD6" i="13"/>
  <c r="AA133" i="13"/>
  <c r="AF6" i="13"/>
  <c r="AH6" i="13"/>
  <c r="AA131" i="13"/>
  <c r="AA72" i="29" s="1"/>
  <c r="AI6" i="13"/>
  <c r="AL85" i="27"/>
  <c r="AN85" i="27" s="1"/>
  <c r="AL62" i="12"/>
  <c r="AD468" i="18"/>
  <c r="AE468" i="18" s="1"/>
  <c r="AF468" i="18" s="1"/>
  <c r="AD15" i="27"/>
  <c r="AB56" i="8"/>
  <c r="AC56" i="8"/>
  <c r="AD34" i="27"/>
  <c r="AL34" i="27" s="1"/>
  <c r="AN34" i="27" s="1"/>
  <c r="AN27" i="12"/>
  <c r="AL28" i="27"/>
  <c r="AN28" i="27" s="1"/>
  <c r="AM133" i="27"/>
  <c r="AD614" i="18"/>
  <c r="AE614" i="18" s="1"/>
  <c r="AF614" i="18" s="1"/>
  <c r="AH56" i="27"/>
  <c r="AH57" i="27"/>
  <c r="AD615" i="18"/>
  <c r="AE615" i="18" s="1"/>
  <c r="AF615" i="18" s="1"/>
  <c r="AD654" i="18"/>
  <c r="AE654" i="18" s="1"/>
  <c r="AF654" i="18" s="1"/>
  <c r="AI57" i="27"/>
  <c r="AN67" i="12"/>
  <c r="AL122" i="27"/>
  <c r="AM68" i="27"/>
  <c r="AD606" i="18"/>
  <c r="AE606" i="18" s="1"/>
  <c r="AF606" i="18" s="1"/>
  <c r="AH40" i="27"/>
  <c r="AD475" i="18"/>
  <c r="AE475" i="18" s="1"/>
  <c r="AF475" i="18" s="1"/>
  <c r="AD27" i="27"/>
  <c r="AL27" i="27" s="1"/>
  <c r="AN27" i="27" s="1"/>
  <c r="AL23" i="12"/>
  <c r="P55" i="9"/>
  <c r="O122" i="9"/>
  <c r="B6" i="19"/>
  <c r="V113" i="9" s="1"/>
  <c r="T130" i="9"/>
  <c r="T140" i="9"/>
  <c r="T88" i="9"/>
  <c r="T146" i="9"/>
  <c r="T137" i="9"/>
  <c r="T148" i="9"/>
  <c r="T67" i="9"/>
  <c r="T83" i="9"/>
  <c r="T91" i="9"/>
  <c r="T68" i="9"/>
  <c r="T78" i="9"/>
  <c r="T125" i="9"/>
  <c r="T117" i="9"/>
  <c r="T142" i="9"/>
  <c r="T98" i="9"/>
  <c r="T128" i="9"/>
  <c r="T158" i="9"/>
  <c r="T110" i="9"/>
  <c r="T134" i="9"/>
  <c r="T132" i="9"/>
  <c r="T69" i="9"/>
  <c r="T62" i="9"/>
  <c r="T89" i="9"/>
  <c r="T156" i="9"/>
  <c r="T66" i="9"/>
  <c r="T80" i="9"/>
  <c r="T105" i="9"/>
  <c r="T121" i="9"/>
  <c r="T157" i="9"/>
  <c r="T120" i="9"/>
  <c r="T102" i="9"/>
  <c r="T138" i="9"/>
  <c r="T79" i="9"/>
  <c r="T136" i="9"/>
  <c r="T116" i="9"/>
  <c r="T126" i="9"/>
  <c r="T92" i="9"/>
  <c r="T131" i="9"/>
  <c r="T84" i="9"/>
  <c r="T60" i="9"/>
  <c r="T152" i="9"/>
  <c r="T143" i="9"/>
  <c r="T96" i="9"/>
  <c r="T111" i="9"/>
  <c r="T90" i="9"/>
  <c r="T123" i="9"/>
  <c r="T153" i="9"/>
  <c r="T139" i="9"/>
  <c r="T103" i="9"/>
  <c r="T93" i="9"/>
  <c r="T71" i="9"/>
  <c r="T94" i="9"/>
  <c r="T81" i="9"/>
  <c r="T135" i="9"/>
  <c r="T144" i="9"/>
  <c r="T82" i="9"/>
  <c r="T86" i="9"/>
  <c r="T150" i="9"/>
  <c r="T72" i="9"/>
  <c r="T112" i="9"/>
  <c r="T100" i="9"/>
  <c r="T118" i="9"/>
  <c r="T99" i="9"/>
  <c r="T59" i="9"/>
  <c r="T95" i="9"/>
  <c r="T113" i="9"/>
  <c r="T109" i="9"/>
  <c r="T114" i="9"/>
  <c r="T57" i="9"/>
  <c r="B6" i="16"/>
  <c r="U93" i="9" s="1"/>
  <c r="T75" i="9"/>
  <c r="T154" i="9"/>
  <c r="AD563" i="18"/>
  <c r="AE563" i="18" s="1"/>
  <c r="AF563" i="18" s="1"/>
  <c r="AF40" i="27"/>
  <c r="AD40" i="27"/>
  <c r="AD484" i="18"/>
  <c r="AE484" i="18" s="1"/>
  <c r="AF484" i="18" s="1"/>
  <c r="AL43" i="12"/>
  <c r="AL121" i="12"/>
  <c r="AN121" i="12" s="1"/>
  <c r="T141" i="9"/>
  <c r="AI31" i="27"/>
  <c r="AD639" i="18"/>
  <c r="AE639" i="18" s="1"/>
  <c r="AF639" i="18" s="1"/>
  <c r="AI130" i="12"/>
  <c r="AL126" i="27"/>
  <c r="AN126" i="27" s="1"/>
  <c r="AN70" i="12"/>
  <c r="AF42" i="27"/>
  <c r="AD564" i="18"/>
  <c r="AE564" i="18" s="1"/>
  <c r="AF564" i="18" s="1"/>
  <c r="AI42" i="27"/>
  <c r="AD646" i="18"/>
  <c r="AE646" i="18" s="1"/>
  <c r="AF646" i="18" s="1"/>
  <c r="AB132" i="8"/>
  <c r="AC132" i="8"/>
  <c r="AC74" i="8"/>
  <c r="AB74" i="8"/>
  <c r="AH62" i="27"/>
  <c r="AD617" i="18"/>
  <c r="AE617" i="18" s="1"/>
  <c r="AF617" i="18" s="1"/>
  <c r="AL78" i="12"/>
  <c r="AN78" i="12" s="1"/>
  <c r="AB124" i="8"/>
  <c r="AA159" i="8"/>
  <c r="AC124" i="8"/>
  <c r="AL126" i="12"/>
  <c r="AN126" i="12" s="1"/>
  <c r="AF130" i="14"/>
  <c r="AH130" i="14"/>
  <c r="AL55" i="27"/>
  <c r="AN55" i="27" s="1"/>
  <c r="AL82" i="12"/>
  <c r="AN82" i="12" s="1"/>
  <c r="AD480" i="18"/>
  <c r="AE480" i="18" s="1"/>
  <c r="AF480" i="18" s="1"/>
  <c r="AI56" i="27"/>
  <c r="AD653" i="18"/>
  <c r="AE653" i="18" s="1"/>
  <c r="AF653" i="18" s="1"/>
  <c r="AD492" i="18"/>
  <c r="AE492" i="18" s="1"/>
  <c r="AF492" i="18" s="1"/>
  <c r="AD56" i="27"/>
  <c r="AL74" i="12"/>
  <c r="AL137" i="27"/>
  <c r="AN137" i="27" s="1"/>
  <c r="AN77" i="12"/>
  <c r="AD572" i="18"/>
  <c r="AE572" i="18" s="1"/>
  <c r="AF572" i="18" s="1"/>
  <c r="AF57" i="27"/>
  <c r="AA68" i="27"/>
  <c r="AD28" i="16"/>
  <c r="AM28" i="16"/>
  <c r="AI28" i="16"/>
  <c r="AH28" i="16"/>
  <c r="AF28" i="16"/>
  <c r="U49" i="26"/>
  <c r="V49" i="26" s="1"/>
  <c r="W49" i="26" s="1"/>
  <c r="X49" i="26" s="1"/>
  <c r="AA49" i="26" s="1"/>
  <c r="V49" i="19"/>
  <c r="W49" i="19" s="1"/>
  <c r="X49" i="19" s="1"/>
  <c r="AH53" i="16"/>
  <c r="AE17" i="16"/>
  <c r="AL91" i="15"/>
  <c r="AN91" i="15" s="1"/>
  <c r="AL116" i="14"/>
  <c r="AN116" i="14" s="1"/>
  <c r="U101" i="26"/>
  <c r="V101" i="26" s="1"/>
  <c r="V101" i="19"/>
  <c r="AE24" i="19"/>
  <c r="AA24" i="19"/>
  <c r="AM7" i="15"/>
  <c r="AF7" i="15"/>
  <c r="T87" i="9"/>
  <c r="AD7" i="15"/>
  <c r="AH7" i="15"/>
  <c r="AI7" i="15"/>
  <c r="AL13" i="14"/>
  <c r="AN13" i="14" s="1"/>
  <c r="AD8" i="16"/>
  <c r="AM8" i="16"/>
  <c r="AH8" i="16"/>
  <c r="AI8" i="16"/>
  <c r="AF8" i="16"/>
  <c r="AE40" i="16"/>
  <c r="AD53" i="16"/>
  <c r="AL93" i="15"/>
  <c r="AN93" i="15" s="1"/>
  <c r="AE50" i="16"/>
  <c r="AE87" i="16"/>
  <c r="AE92" i="16"/>
  <c r="AL91" i="14"/>
  <c r="AN91" i="14" s="1"/>
  <c r="AL23" i="15"/>
  <c r="AN23" i="15" s="1"/>
  <c r="P27" i="26"/>
  <c r="AC27" i="26" s="1"/>
  <c r="AC27" i="19"/>
  <c r="AL56" i="14"/>
  <c r="AN56" i="14" s="1"/>
  <c r="AN118" i="14"/>
  <c r="U93" i="26"/>
  <c r="V93" i="26" s="1"/>
  <c r="X93" i="26" s="1"/>
  <c r="AA93" i="26" s="1"/>
  <c r="AH93" i="26" s="1"/>
  <c r="V93" i="19"/>
  <c r="X93" i="19" s="1"/>
  <c r="AA93" i="19" s="1"/>
  <c r="AF93" i="19" s="1"/>
  <c r="AH102" i="26"/>
  <c r="AM102" i="26"/>
  <c r="AD102" i="26"/>
  <c r="AI102" i="26"/>
  <c r="AF102" i="26"/>
  <c r="AN122" i="14"/>
  <c r="AC49" i="26"/>
  <c r="AE13" i="16"/>
  <c r="AI94" i="16"/>
  <c r="AL84" i="15"/>
  <c r="AL50" i="15"/>
  <c r="AN50" i="15" s="1"/>
  <c r="AE35" i="16"/>
  <c r="AH48" i="16"/>
  <c r="AM48" i="16"/>
  <c r="AD48" i="16"/>
  <c r="AF48" i="16"/>
  <c r="AI48" i="16"/>
  <c r="AM13" i="16"/>
  <c r="AH13" i="16"/>
  <c r="AD13" i="16"/>
  <c r="AI13" i="16"/>
  <c r="AF13" i="16"/>
  <c r="AE49" i="16"/>
  <c r="AA49" i="16"/>
  <c r="V103" i="19"/>
  <c r="U103" i="26"/>
  <c r="V103" i="26" s="1"/>
  <c r="AD47" i="16"/>
  <c r="AM8" i="26"/>
  <c r="AF8" i="26"/>
  <c r="AH8" i="26"/>
  <c r="AI8" i="26"/>
  <c r="AF41" i="16"/>
  <c r="AI41" i="16"/>
  <c r="AM41" i="16"/>
  <c r="AD41" i="16"/>
  <c r="AH41" i="16"/>
  <c r="AI27" i="16"/>
  <c r="AM27" i="16"/>
  <c r="AD27" i="16"/>
  <c r="AF27" i="16"/>
  <c r="AH27" i="16"/>
  <c r="W59" i="26"/>
  <c r="AC59" i="26"/>
  <c r="S24" i="26"/>
  <c r="T24" i="26" s="1"/>
  <c r="T24" i="19"/>
  <c r="R91" i="26"/>
  <c r="T91" i="26" s="1"/>
  <c r="T91" i="19"/>
  <c r="R74" i="26"/>
  <c r="T74" i="26" s="1"/>
  <c r="T74" i="19"/>
  <c r="U86" i="26"/>
  <c r="V86" i="26" s="1"/>
  <c r="X86" i="26" s="1"/>
  <c r="V86" i="19"/>
  <c r="X86" i="19" s="1"/>
  <c r="R14" i="26"/>
  <c r="T14" i="26" s="1"/>
  <c r="T14" i="19"/>
  <c r="W66" i="26"/>
  <c r="AC66" i="26"/>
  <c r="X66" i="26"/>
  <c r="U81" i="26"/>
  <c r="V81" i="26" s="1"/>
  <c r="V81" i="19"/>
  <c r="U33" i="26"/>
  <c r="V33" i="26" s="1"/>
  <c r="W33" i="26" s="1"/>
  <c r="X33" i="26" s="1"/>
  <c r="V33" i="19"/>
  <c r="W33" i="19" s="1"/>
  <c r="X33" i="19" s="1"/>
  <c r="U92" i="26"/>
  <c r="V92" i="26" s="1"/>
  <c r="V92" i="19"/>
  <c r="P35" i="26"/>
  <c r="AF52" i="16"/>
  <c r="AH52" i="16"/>
  <c r="AM52" i="16"/>
  <c r="AI52" i="16"/>
  <c r="R95" i="26"/>
  <c r="T95" i="26" s="1"/>
  <c r="T95" i="19"/>
  <c r="AL11" i="14"/>
  <c r="AN11" i="14" s="1"/>
  <c r="AD84" i="16"/>
  <c r="AI84" i="16"/>
  <c r="AH84" i="16"/>
  <c r="AM84" i="16"/>
  <c r="AF84" i="16"/>
  <c r="AC41" i="19"/>
  <c r="P41" i="26"/>
  <c r="W41" i="19"/>
  <c r="X41" i="19"/>
  <c r="AD101" i="16"/>
  <c r="AC26" i="26"/>
  <c r="X26" i="26"/>
  <c r="AA26" i="26" s="1"/>
  <c r="W26" i="26"/>
  <c r="U53" i="26"/>
  <c r="V53" i="26" s="1"/>
  <c r="W53" i="26" s="1"/>
  <c r="X53" i="26" s="1"/>
  <c r="AA53" i="26" s="1"/>
  <c r="V53" i="19"/>
  <c r="W53" i="19" s="1"/>
  <c r="X53" i="19" s="1"/>
  <c r="AE53" i="19" s="1"/>
  <c r="U30" i="26"/>
  <c r="V30" i="26" s="1"/>
  <c r="W30" i="26" s="1"/>
  <c r="X30" i="26" s="1"/>
  <c r="V30" i="19"/>
  <c r="W30" i="19" s="1"/>
  <c r="X30" i="19" s="1"/>
  <c r="R97" i="26"/>
  <c r="T97" i="26" s="1"/>
  <c r="T97" i="19"/>
  <c r="AE7" i="19"/>
  <c r="U12" i="26"/>
  <c r="V12" i="26" s="1"/>
  <c r="V12" i="19"/>
  <c r="X12" i="19" s="1"/>
  <c r="AA12" i="19" s="1"/>
  <c r="U25" i="26"/>
  <c r="V25" i="26" s="1"/>
  <c r="X25" i="26" s="1"/>
  <c r="AA25" i="26" s="1"/>
  <c r="AF25" i="26" s="1"/>
  <c r="V25" i="19"/>
  <c r="X25" i="19" s="1"/>
  <c r="AA25" i="19" s="1"/>
  <c r="AI25" i="19" s="1"/>
  <c r="U50" i="26"/>
  <c r="V50" i="26" s="1"/>
  <c r="X50" i="26" s="1"/>
  <c r="AA50" i="26" s="1"/>
  <c r="V50" i="19"/>
  <c r="X50" i="19" s="1"/>
  <c r="U17" i="26"/>
  <c r="V17" i="26" s="1"/>
  <c r="W17" i="26" s="1"/>
  <c r="X17" i="26" s="1"/>
  <c r="V17" i="19"/>
  <c r="W17" i="19" s="1"/>
  <c r="X17" i="19" s="1"/>
  <c r="AD98" i="15"/>
  <c r="AE68" i="19"/>
  <c r="AA68" i="19"/>
  <c r="U67" i="26"/>
  <c r="V67" i="26" s="1"/>
  <c r="W67" i="26" s="1"/>
  <c r="X67" i="26" s="1"/>
  <c r="V67" i="19"/>
  <c r="W67" i="19" s="1"/>
  <c r="X67" i="19" s="1"/>
  <c r="W87" i="26"/>
  <c r="AC87" i="26"/>
  <c r="W50" i="26"/>
  <c r="AC50" i="26"/>
  <c r="AC37" i="26"/>
  <c r="X37" i="26"/>
  <c r="AA37" i="26" s="1"/>
  <c r="AH37" i="26" s="1"/>
  <c r="W37" i="26"/>
  <c r="W82" i="26"/>
  <c r="AC82" i="26"/>
  <c r="R34" i="26"/>
  <c r="T34" i="26" s="1"/>
  <c r="T34" i="19"/>
  <c r="T102" i="19"/>
  <c r="R102" i="26"/>
  <c r="T102" i="26" s="1"/>
  <c r="S47" i="26"/>
  <c r="T47" i="26" s="1"/>
  <c r="T47" i="19"/>
  <c r="S19" i="26"/>
  <c r="T19" i="26" s="1"/>
  <c r="T19" i="19"/>
  <c r="U16" i="26"/>
  <c r="V16" i="26" s="1"/>
  <c r="V16" i="19"/>
  <c r="U95" i="26"/>
  <c r="V95" i="26" s="1"/>
  <c r="V95" i="19"/>
  <c r="X95" i="19" s="1"/>
  <c r="Q72" i="26"/>
  <c r="Q71" i="26"/>
  <c r="O72" i="26"/>
  <c r="O71" i="26"/>
  <c r="W69" i="26"/>
  <c r="AC69" i="26"/>
  <c r="W12" i="19"/>
  <c r="P12" i="26"/>
  <c r="AC12" i="19"/>
  <c r="U72" i="26"/>
  <c r="V72" i="26" s="1"/>
  <c r="U71" i="26"/>
  <c r="V71" i="26" s="1"/>
  <c r="V72" i="19"/>
  <c r="R98" i="26"/>
  <c r="T98" i="26" s="1"/>
  <c r="T98" i="19"/>
  <c r="U36" i="26"/>
  <c r="V36" i="26" s="1"/>
  <c r="W36" i="26" s="1"/>
  <c r="X36" i="26" s="1"/>
  <c r="V36" i="19"/>
  <c r="W36" i="19" s="1"/>
  <c r="X36" i="19" s="1"/>
  <c r="U87" i="26"/>
  <c r="V87" i="26" s="1"/>
  <c r="X87" i="26" s="1"/>
  <c r="AA87" i="26" s="1"/>
  <c r="AD87" i="26" s="1"/>
  <c r="V87" i="19"/>
  <c r="X87" i="19" s="1"/>
  <c r="R18" i="26"/>
  <c r="T18" i="26" s="1"/>
  <c r="T18" i="19"/>
  <c r="AD65" i="16"/>
  <c r="AH65" i="16"/>
  <c r="AF65" i="16"/>
  <c r="AM65" i="16"/>
  <c r="AE67" i="16"/>
  <c r="AA67" i="16"/>
  <c r="AA51" i="19"/>
  <c r="AE51" i="19"/>
  <c r="AC8" i="26"/>
  <c r="W8" i="26"/>
  <c r="AE8" i="26"/>
  <c r="P98" i="26"/>
  <c r="X98" i="19"/>
  <c r="AA98" i="19" s="1"/>
  <c r="AD98" i="19" s="1"/>
  <c r="W98" i="19"/>
  <c r="AC98" i="19"/>
  <c r="T35" i="19"/>
  <c r="R35" i="26"/>
  <c r="T35" i="26" s="1"/>
  <c r="R61" i="26"/>
  <c r="T61" i="26" s="1"/>
  <c r="T61" i="19"/>
  <c r="X59" i="26"/>
  <c r="AA59" i="26" s="1"/>
  <c r="U79" i="26"/>
  <c r="V79" i="26" s="1"/>
  <c r="V79" i="19"/>
  <c r="AL105" i="26"/>
  <c r="AN105" i="26" s="1"/>
  <c r="U149" i="9"/>
  <c r="AE86" i="16"/>
  <c r="AL94" i="14"/>
  <c r="AN94" i="14" s="1"/>
  <c r="W52" i="19"/>
  <c r="X52" i="19" s="1"/>
  <c r="AA52" i="19" s="1"/>
  <c r="AD52" i="19" s="1"/>
  <c r="AL37" i="16"/>
  <c r="AN37" i="16" s="1"/>
  <c r="AL52" i="15"/>
  <c r="AN52" i="15" s="1"/>
  <c r="AL29" i="15"/>
  <c r="AN29" i="15" s="1"/>
  <c r="AL47" i="14"/>
  <c r="AN47" i="14" s="1"/>
  <c r="AE9" i="16"/>
  <c r="AE52" i="16"/>
  <c r="W61" i="19"/>
  <c r="P61" i="26"/>
  <c r="AC61" i="19"/>
  <c r="AA90" i="16"/>
  <c r="AE90" i="16"/>
  <c r="T94" i="19"/>
  <c r="R94" i="26"/>
  <c r="T94" i="26" s="1"/>
  <c r="R64" i="26"/>
  <c r="T64" i="26" s="1"/>
  <c r="T64" i="19"/>
  <c r="U99" i="26"/>
  <c r="V99" i="26" s="1"/>
  <c r="V99" i="19"/>
  <c r="R65" i="26"/>
  <c r="T65" i="26" s="1"/>
  <c r="T65" i="19"/>
  <c r="R38" i="26"/>
  <c r="T38" i="26" s="1"/>
  <c r="T38" i="19"/>
  <c r="R25" i="26"/>
  <c r="T25" i="26" s="1"/>
  <c r="T25" i="19"/>
  <c r="U40" i="26"/>
  <c r="V40" i="26" s="1"/>
  <c r="W40" i="26" s="1"/>
  <c r="X40" i="26" s="1"/>
  <c r="V40" i="19"/>
  <c r="W40" i="19" s="1"/>
  <c r="X40" i="19" s="1"/>
  <c r="R62" i="26"/>
  <c r="T62" i="26" s="1"/>
  <c r="T62" i="19"/>
  <c r="U63" i="26"/>
  <c r="V63" i="26" s="1"/>
  <c r="W63" i="26" s="1"/>
  <c r="X63" i="26" s="1"/>
  <c r="V63" i="19"/>
  <c r="W63" i="19" s="1"/>
  <c r="X63" i="19" s="1"/>
  <c r="AA63" i="19" s="1"/>
  <c r="AE100" i="26"/>
  <c r="AA100" i="26"/>
  <c r="AI100" i="26" s="1"/>
  <c r="S27" i="26"/>
  <c r="T27" i="26" s="1"/>
  <c r="T27" i="19"/>
  <c r="W86" i="26"/>
  <c r="AC86" i="26"/>
  <c r="V85" i="19"/>
  <c r="X85" i="19" s="1"/>
  <c r="U85" i="26"/>
  <c r="V85" i="26" s="1"/>
  <c r="X85" i="26" s="1"/>
  <c r="U42" i="26"/>
  <c r="V42" i="26" s="1"/>
  <c r="X42" i="26" s="1"/>
  <c r="V42" i="19"/>
  <c r="X42" i="19" s="1"/>
  <c r="S17" i="26"/>
  <c r="T17" i="26" s="1"/>
  <c r="T17" i="19"/>
  <c r="R99" i="26"/>
  <c r="T99" i="26" s="1"/>
  <c r="T99" i="19"/>
  <c r="W73" i="26"/>
  <c r="AC73" i="26"/>
  <c r="X73" i="26"/>
  <c r="AA73" i="26" s="1"/>
  <c r="AD76" i="16"/>
  <c r="AF76" i="16"/>
  <c r="AI76" i="16"/>
  <c r="AM76" i="16"/>
  <c r="AH76" i="16"/>
  <c r="AF35" i="16"/>
  <c r="AD35" i="16"/>
  <c r="AM35" i="16"/>
  <c r="AH35" i="16"/>
  <c r="AI35" i="16"/>
  <c r="AC22" i="26"/>
  <c r="AA32" i="16"/>
  <c r="W13" i="26"/>
  <c r="X13" i="26"/>
  <c r="AA13" i="26" s="1"/>
  <c r="AD13" i="26" s="1"/>
  <c r="AC13" i="26"/>
  <c r="S29" i="26"/>
  <c r="T29" i="26" s="1"/>
  <c r="T29" i="19"/>
  <c r="AA95" i="16"/>
  <c r="AE95" i="16"/>
  <c r="P23" i="26"/>
  <c r="W23" i="19"/>
  <c r="AC23" i="19"/>
  <c r="X23" i="19"/>
  <c r="AA23" i="19" s="1"/>
  <c r="AE101" i="26"/>
  <c r="U22" i="26"/>
  <c r="V22" i="26" s="1"/>
  <c r="V22" i="19"/>
  <c r="X22" i="19" s="1"/>
  <c r="AA66" i="19"/>
  <c r="AE66" i="19"/>
  <c r="R103" i="26"/>
  <c r="T103" i="26" s="1"/>
  <c r="T103" i="19"/>
  <c r="R52" i="26"/>
  <c r="T52" i="26" s="1"/>
  <c r="T52" i="19"/>
  <c r="U61" i="26"/>
  <c r="V61" i="26" s="1"/>
  <c r="V61" i="19"/>
  <c r="X61" i="19" s="1"/>
  <c r="R56" i="26"/>
  <c r="T56" i="26" s="1"/>
  <c r="T56" i="19"/>
  <c r="AM46" i="15"/>
  <c r="P55" i="26"/>
  <c r="AC55" i="19"/>
  <c r="AA73" i="19"/>
  <c r="AE73" i="19"/>
  <c r="R41" i="26"/>
  <c r="T41" i="26" s="1"/>
  <c r="T41" i="19"/>
  <c r="AL120" i="14"/>
  <c r="AN120" i="14" s="1"/>
  <c r="AD8" i="26"/>
  <c r="W52" i="26"/>
  <c r="X52" i="26" s="1"/>
  <c r="AA52" i="26" s="1"/>
  <c r="AE51" i="16"/>
  <c r="AL31" i="14"/>
  <c r="AN31" i="14" s="1"/>
  <c r="W55" i="19"/>
  <c r="X55" i="19" s="1"/>
  <c r="AE55" i="19" s="1"/>
  <c r="AE41" i="16"/>
  <c r="AI65" i="16"/>
  <c r="U29" i="26"/>
  <c r="V29" i="26" s="1"/>
  <c r="V29" i="19"/>
  <c r="X29" i="19" s="1"/>
  <c r="S66" i="26"/>
  <c r="T66" i="26" s="1"/>
  <c r="T66" i="19"/>
  <c r="R73" i="26"/>
  <c r="T73" i="26" s="1"/>
  <c r="T73" i="19"/>
  <c r="AL102" i="14"/>
  <c r="AN102" i="14" s="1"/>
  <c r="V18" i="19"/>
  <c r="U18" i="26"/>
  <c r="V18" i="26" s="1"/>
  <c r="R42" i="26"/>
  <c r="T42" i="26" s="1"/>
  <c r="T42" i="19"/>
  <c r="U83" i="26"/>
  <c r="V83" i="26" s="1"/>
  <c r="V83" i="19"/>
  <c r="U41" i="26"/>
  <c r="V41" i="26" s="1"/>
  <c r="V41" i="19"/>
  <c r="U11" i="26"/>
  <c r="V11" i="26" s="1"/>
  <c r="V11" i="19"/>
  <c r="U31" i="26"/>
  <c r="V31" i="26" s="1"/>
  <c r="W31" i="26" s="1"/>
  <c r="X31" i="26" s="1"/>
  <c r="V31" i="19"/>
  <c r="W31" i="19" s="1"/>
  <c r="X31" i="19" s="1"/>
  <c r="AL105" i="16"/>
  <c r="AN105" i="16" s="1"/>
  <c r="U74" i="26"/>
  <c r="V74" i="26" s="1"/>
  <c r="V74" i="19"/>
  <c r="AL83" i="14"/>
  <c r="AN83" i="14" s="1"/>
  <c r="I72" i="26"/>
  <c r="I71" i="26"/>
  <c r="AM37" i="19"/>
  <c r="AF37" i="19"/>
  <c r="AH37" i="19"/>
  <c r="AI37" i="19"/>
  <c r="U47" i="26"/>
  <c r="V47" i="26" s="1"/>
  <c r="X47" i="26" s="1"/>
  <c r="V47" i="19"/>
  <c r="X47" i="19" s="1"/>
  <c r="AA47" i="19" s="1"/>
  <c r="AI47" i="19" s="1"/>
  <c r="U69" i="26"/>
  <c r="V69" i="26" s="1"/>
  <c r="X69" i="26" s="1"/>
  <c r="V69" i="19"/>
  <c r="X69" i="19" s="1"/>
  <c r="K72" i="26"/>
  <c r="K71" i="26"/>
  <c r="U35" i="26"/>
  <c r="V35" i="26" s="1"/>
  <c r="V35" i="19"/>
  <c r="AE13" i="19"/>
  <c r="AA13" i="19"/>
  <c r="AE57" i="26"/>
  <c r="AA57" i="26"/>
  <c r="AE59" i="19"/>
  <c r="AM101" i="26"/>
  <c r="AF101" i="26"/>
  <c r="AD101" i="26"/>
  <c r="AH101" i="26"/>
  <c r="AE22" i="16"/>
  <c r="AA22" i="16"/>
  <c r="X416" i="18"/>
  <c r="AC53" i="18"/>
  <c r="P38" i="9"/>
  <c r="P10" i="10" s="1"/>
  <c r="O10" i="10"/>
  <c r="AE122" i="18"/>
  <c r="AF122" i="18" s="1"/>
  <c r="AC160" i="18"/>
  <c r="AE160" i="18" s="1"/>
  <c r="AF160" i="18" s="1"/>
  <c r="AF39" i="18"/>
  <c r="AF52" i="18" s="1"/>
  <c r="AE52" i="18"/>
  <c r="AF27" i="18"/>
  <c r="AF38" i="18" s="1"/>
  <c r="AE38" i="18"/>
  <c r="L5" i="7"/>
  <c r="T5" i="9"/>
  <c r="G8" i="3"/>
  <c r="F10" i="3"/>
  <c r="W10" i="10"/>
  <c r="G67" i="3"/>
  <c r="G68" i="3"/>
  <c r="F31" i="3"/>
  <c r="M13" i="7" s="1"/>
  <c r="U13" i="9" s="1"/>
  <c r="G65" i="3"/>
  <c r="F27" i="3"/>
  <c r="G64" i="3"/>
  <c r="E13" i="3"/>
  <c r="L9" i="7" s="1"/>
  <c r="E28" i="3"/>
  <c r="D28" i="3"/>
  <c r="D13" i="3"/>
  <c r="K9" i="7" s="1"/>
  <c r="S9" i="9" s="1"/>
  <c r="H26" i="3"/>
  <c r="H30" i="3"/>
  <c r="G34" i="3"/>
  <c r="N12" i="7"/>
  <c r="V12" i="9" s="1"/>
  <c r="F30" i="3"/>
  <c r="G66" i="3"/>
  <c r="F26" i="3"/>
  <c r="G52" i="3"/>
  <c r="N22" i="7" s="1"/>
  <c r="G44" i="3"/>
  <c r="S6" i="10"/>
  <c r="R6" i="22"/>
  <c r="R19" i="22" s="1"/>
  <c r="H27" i="3"/>
  <c r="H31" i="3"/>
  <c r="O13" i="7" s="1"/>
  <c r="W13" i="9" s="1"/>
  <c r="S6" i="22"/>
  <c r="S19" i="22" s="1"/>
  <c r="T6" i="10"/>
  <c r="H45" i="3"/>
  <c r="H48" i="3" s="1"/>
  <c r="K6" i="10"/>
  <c r="L6" i="22"/>
  <c r="L19" i="22" s="1"/>
  <c r="L20" i="22" s="1"/>
  <c r="O6" i="22"/>
  <c r="O19" i="22" s="1"/>
  <c r="O20" i="22" s="1"/>
  <c r="O6" i="10"/>
  <c r="B28" i="3"/>
  <c r="B44" i="3"/>
  <c r="B13" i="3"/>
  <c r="I9" i="7" s="1"/>
  <c r="Q6" i="10"/>
  <c r="Q6" i="22"/>
  <c r="C28" i="3"/>
  <c r="C44" i="3"/>
  <c r="C26" i="3"/>
  <c r="C13" i="3"/>
  <c r="J9" i="7" s="1"/>
  <c r="C27" i="3"/>
  <c r="AM9" i="16"/>
  <c r="AI9" i="16"/>
  <c r="AF9" i="16"/>
  <c r="AH9" i="16"/>
  <c r="U9" i="26"/>
  <c r="V9" i="26" s="1"/>
  <c r="V9" i="19"/>
  <c r="T9" i="16"/>
  <c r="R9" i="19"/>
  <c r="AE11" i="26"/>
  <c r="AE91" i="26"/>
  <c r="AL108" i="19"/>
  <c r="AN108" i="19" s="1"/>
  <c r="AL114" i="19"/>
  <c r="AN114" i="19" s="1"/>
  <c r="AL115" i="19"/>
  <c r="AN115" i="19" s="1"/>
  <c r="AL117" i="19"/>
  <c r="AN117" i="19" s="1"/>
  <c r="AL124" i="19"/>
  <c r="AN124" i="19" s="1"/>
  <c r="AE62" i="19"/>
  <c r="AL109" i="19"/>
  <c r="AN109" i="19" s="1"/>
  <c r="AL122" i="19"/>
  <c r="AN122" i="19" s="1"/>
  <c r="AL118" i="19"/>
  <c r="AN118" i="19" s="1"/>
  <c r="AL123" i="19"/>
  <c r="AN123" i="19" s="1"/>
  <c r="AL119" i="19"/>
  <c r="AN119" i="19" s="1"/>
  <c r="AL88" i="14"/>
  <c r="AN88" i="14" s="1"/>
  <c r="AM91" i="16"/>
  <c r="AH91" i="16"/>
  <c r="AF91" i="16"/>
  <c r="AA92" i="26"/>
  <c r="AE92" i="26"/>
  <c r="AL115" i="14"/>
  <c r="AN115" i="14" s="1"/>
  <c r="AH78" i="16"/>
  <c r="AF90" i="19"/>
  <c r="AI90" i="19"/>
  <c r="AH90" i="19"/>
  <c r="AM90" i="19"/>
  <c r="AD90" i="19"/>
  <c r="AD53" i="15"/>
  <c r="AI53" i="15"/>
  <c r="AF53" i="15"/>
  <c r="AH53" i="15"/>
  <c r="T127" i="9"/>
  <c r="AM53" i="15"/>
  <c r="AH71" i="16"/>
  <c r="AM71" i="16"/>
  <c r="AF71" i="16"/>
  <c r="AI47" i="15"/>
  <c r="AF47" i="15"/>
  <c r="AH47" i="15"/>
  <c r="AM47" i="15"/>
  <c r="AD47" i="15"/>
  <c r="T107" i="9"/>
  <c r="AL68" i="16"/>
  <c r="AN68" i="16" s="1"/>
  <c r="AL49" i="15"/>
  <c r="AN49" i="15" s="1"/>
  <c r="AE74" i="26"/>
  <c r="AL25" i="15"/>
  <c r="AN25" i="15" s="1"/>
  <c r="AL101" i="15"/>
  <c r="AN101" i="15" s="1"/>
  <c r="AL32" i="15"/>
  <c r="AN32" i="15" s="1"/>
  <c r="AF92" i="16"/>
  <c r="AM92" i="16"/>
  <c r="AH92" i="16"/>
  <c r="AI92" i="16"/>
  <c r="AE94" i="19"/>
  <c r="AH51" i="16"/>
  <c r="AM51" i="16"/>
  <c r="AI51" i="16"/>
  <c r="AF51" i="16"/>
  <c r="AM91" i="26"/>
  <c r="AH91" i="26"/>
  <c r="AF91" i="26"/>
  <c r="AD91" i="26"/>
  <c r="AM79" i="15"/>
  <c r="AF79" i="15"/>
  <c r="AD79" i="15"/>
  <c r="T77" i="9"/>
  <c r="AH79" i="15"/>
  <c r="AI79" i="15"/>
  <c r="AE94" i="26"/>
  <c r="AA94" i="26"/>
  <c r="AE94" i="16"/>
  <c r="AD71" i="16"/>
  <c r="AL78" i="14"/>
  <c r="AN78" i="14" s="1"/>
  <c r="AL68" i="14"/>
  <c r="AN68" i="14" s="1"/>
  <c r="AL36" i="15"/>
  <c r="AN36" i="15" s="1"/>
  <c r="AL90" i="14"/>
  <c r="AN90" i="14" s="1"/>
  <c r="AE56" i="19"/>
  <c r="AL56" i="15"/>
  <c r="AN56" i="15" s="1"/>
  <c r="AL24" i="15"/>
  <c r="AE65" i="26"/>
  <c r="AL40" i="15"/>
  <c r="AN40" i="15" s="1"/>
  <c r="AE91" i="16"/>
  <c r="AM92" i="15"/>
  <c r="AH92" i="15"/>
  <c r="AL109" i="14"/>
  <c r="AN109" i="14" s="1"/>
  <c r="AE90" i="26"/>
  <c r="AA90" i="26"/>
  <c r="AL38" i="14"/>
  <c r="AN38" i="14" s="1"/>
  <c r="AL8" i="15"/>
  <c r="AN8" i="15" s="1"/>
  <c r="AH12" i="16"/>
  <c r="AD36" i="16"/>
  <c r="AH36" i="16"/>
  <c r="AF36" i="16"/>
  <c r="AI36" i="16"/>
  <c r="AM36" i="16"/>
  <c r="AM94" i="16"/>
  <c r="AH94" i="16"/>
  <c r="AF94" i="16"/>
  <c r="AE71" i="16"/>
  <c r="AL33" i="15"/>
  <c r="AN33" i="15" s="1"/>
  <c r="AL15" i="14"/>
  <c r="AN15" i="14" s="1"/>
  <c r="AN41" i="15"/>
  <c r="AE93" i="16"/>
  <c r="AL82" i="15"/>
  <c r="AN82" i="15" s="1"/>
  <c r="AD65" i="15"/>
  <c r="AF65" i="15"/>
  <c r="AI65" i="15"/>
  <c r="AM65" i="15"/>
  <c r="AH65" i="15"/>
  <c r="T149" i="9"/>
  <c r="AD91" i="16"/>
  <c r="AL73" i="14"/>
  <c r="AN73" i="14" s="1"/>
  <c r="AI91" i="16"/>
  <c r="AE78" i="16"/>
  <c r="AE90" i="19"/>
  <c r="AA55" i="16"/>
  <c r="AE55" i="16"/>
  <c r="AI71" i="16"/>
  <c r="AL92" i="14"/>
  <c r="AN92" i="14" s="1"/>
  <c r="AA63" i="16"/>
  <c r="AE63" i="16"/>
  <c r="AA39" i="16"/>
  <c r="AE39" i="16"/>
  <c r="AA39" i="19"/>
  <c r="AE39" i="19"/>
  <c r="AA39" i="26"/>
  <c r="AE39" i="26"/>
  <c r="AF54" i="26"/>
  <c r="AH54" i="26"/>
  <c r="AM54" i="26"/>
  <c r="AI99" i="16"/>
  <c r="AH99" i="16"/>
  <c r="AM99" i="16"/>
  <c r="AF99" i="16"/>
  <c r="AH99" i="19"/>
  <c r="AM99" i="19"/>
  <c r="AF99" i="19"/>
  <c r="AL43" i="14"/>
  <c r="AN43" i="14" s="1"/>
  <c r="AE74" i="19"/>
  <c r="AI58" i="15"/>
  <c r="AH58" i="15"/>
  <c r="AM58" i="15"/>
  <c r="AD58" i="15"/>
  <c r="AF58" i="15"/>
  <c r="T151" i="9"/>
  <c r="AM80" i="16"/>
  <c r="AH80" i="16"/>
  <c r="AF80" i="16"/>
  <c r="AI80" i="16"/>
  <c r="AD80" i="16"/>
  <c r="AM99" i="26"/>
  <c r="AF99" i="26"/>
  <c r="AH99" i="26"/>
  <c r="AM29" i="16"/>
  <c r="AE25" i="16"/>
  <c r="AH17" i="16"/>
  <c r="AM17" i="16"/>
  <c r="AD17" i="16"/>
  <c r="AF17" i="16"/>
  <c r="AI17" i="16"/>
  <c r="AF81" i="16"/>
  <c r="AH11" i="26"/>
  <c r="AM11" i="26"/>
  <c r="AF11" i="26"/>
  <c r="AI11" i="26"/>
  <c r="AF102" i="19"/>
  <c r="AM102" i="19"/>
  <c r="AH102" i="19"/>
  <c r="AI102" i="19"/>
  <c r="AD102" i="19"/>
  <c r="AE56" i="26"/>
  <c r="AF56" i="19"/>
  <c r="AH56" i="19"/>
  <c r="AM56" i="19"/>
  <c r="AL20" i="14"/>
  <c r="AN20" i="14" s="1"/>
  <c r="AL55" i="15"/>
  <c r="AN55" i="15" s="1"/>
  <c r="AL90" i="15"/>
  <c r="AN90" i="15" s="1"/>
  <c r="AI25" i="16"/>
  <c r="AM74" i="26"/>
  <c r="AH74" i="26"/>
  <c r="AF74" i="26"/>
  <c r="AL30" i="14"/>
  <c r="AN30" i="14" s="1"/>
  <c r="AL39" i="14"/>
  <c r="AN39" i="14" s="1"/>
  <c r="AE65" i="19"/>
  <c r="AF62" i="19"/>
  <c r="AM62" i="19"/>
  <c r="AI62" i="19"/>
  <c r="AH62" i="19"/>
  <c r="AD99" i="26"/>
  <c r="AI74" i="26"/>
  <c r="AL77" i="14"/>
  <c r="AL125" i="19"/>
  <c r="AN125" i="19" s="1"/>
  <c r="AM38" i="16"/>
  <c r="AH38" i="16"/>
  <c r="AF38" i="16"/>
  <c r="AE54" i="26"/>
  <c r="AL36" i="14"/>
  <c r="AN36" i="14" s="1"/>
  <c r="AI86" i="16"/>
  <c r="AF86" i="16"/>
  <c r="AM86" i="16"/>
  <c r="AD86" i="16"/>
  <c r="AH86" i="16"/>
  <c r="AH50" i="16"/>
  <c r="AF50" i="16"/>
  <c r="AI50" i="16"/>
  <c r="AD50" i="16"/>
  <c r="AM50" i="16"/>
  <c r="AE47" i="16"/>
  <c r="AD99" i="19"/>
  <c r="AL22" i="14"/>
  <c r="AN22" i="14" s="1"/>
  <c r="AL60" i="14"/>
  <c r="AN60" i="14" s="1"/>
  <c r="AF74" i="19"/>
  <c r="AM74" i="19"/>
  <c r="AH74" i="19"/>
  <c r="AF56" i="16"/>
  <c r="AH56" i="16"/>
  <c r="AM56" i="16"/>
  <c r="AH62" i="16"/>
  <c r="AF62" i="16"/>
  <c r="AI62" i="16"/>
  <c r="AM62" i="16"/>
  <c r="AI99" i="26"/>
  <c r="AL107" i="26"/>
  <c r="AN107" i="26" s="1"/>
  <c r="AL106" i="14"/>
  <c r="AN106" i="14" s="1"/>
  <c r="AF17" i="15"/>
  <c r="AL95" i="14"/>
  <c r="AN95" i="14" s="1"/>
  <c r="AD40" i="16"/>
  <c r="AH40" i="16"/>
  <c r="AF40" i="16"/>
  <c r="AM40" i="16"/>
  <c r="AI40" i="16"/>
  <c r="AL100" i="14"/>
  <c r="AN100" i="14" s="1"/>
  <c r="AE56" i="16"/>
  <c r="AD65" i="19"/>
  <c r="AD62" i="16"/>
  <c r="AL66" i="15"/>
  <c r="AN66" i="15" s="1"/>
  <c r="AL51" i="14"/>
  <c r="AN51" i="14" s="1"/>
  <c r="AE38" i="16"/>
  <c r="AD54" i="26"/>
  <c r="AI99" i="19"/>
  <c r="AD99" i="16"/>
  <c r="AL109" i="16"/>
  <c r="AN109" i="16" s="1"/>
  <c r="AF107" i="16"/>
  <c r="AI107" i="16"/>
  <c r="AD107" i="16"/>
  <c r="AM107" i="16"/>
  <c r="AH107" i="16"/>
  <c r="AD42" i="16"/>
  <c r="AE99" i="19"/>
  <c r="AF93" i="16"/>
  <c r="AI93" i="16"/>
  <c r="AH93" i="16"/>
  <c r="AM93" i="16"/>
  <c r="AH25" i="16"/>
  <c r="AF25" i="16"/>
  <c r="AM25" i="16"/>
  <c r="AD63" i="15"/>
  <c r="AF63" i="15"/>
  <c r="AM63" i="15"/>
  <c r="T145" i="9"/>
  <c r="AI63" i="15"/>
  <c r="AH63" i="15"/>
  <c r="AL112" i="14"/>
  <c r="AN112" i="14" s="1"/>
  <c r="AM22" i="15"/>
  <c r="AI22" i="15"/>
  <c r="AF22" i="15"/>
  <c r="AD22" i="15"/>
  <c r="AH22" i="15"/>
  <c r="T58" i="9"/>
  <c r="AM107" i="15"/>
  <c r="AI107" i="15"/>
  <c r="AH107" i="15"/>
  <c r="AD107" i="15"/>
  <c r="AF107" i="15"/>
  <c r="AF56" i="26"/>
  <c r="AH56" i="26"/>
  <c r="AL25" i="14"/>
  <c r="AN25" i="14" s="1"/>
  <c r="AM86" i="15"/>
  <c r="AH86" i="15"/>
  <c r="AI86" i="15"/>
  <c r="AD86" i="15"/>
  <c r="AF86" i="15"/>
  <c r="T129" i="9"/>
  <c r="AL59" i="14"/>
  <c r="AN59" i="14" s="1"/>
  <c r="AF100" i="19"/>
  <c r="AH65" i="19"/>
  <c r="AF65" i="19"/>
  <c r="AI65" i="19"/>
  <c r="AM65" i="19"/>
  <c r="AE62" i="16"/>
  <c r="AE99" i="26"/>
  <c r="AL105" i="19"/>
  <c r="AN105" i="19" s="1"/>
  <c r="AL53" i="14"/>
  <c r="AN53" i="14" s="1"/>
  <c r="AD81" i="15"/>
  <c r="AI81" i="15"/>
  <c r="AF81" i="15"/>
  <c r="AM81" i="15"/>
  <c r="AH81" i="15"/>
  <c r="AI56" i="19"/>
  <c r="AF65" i="26"/>
  <c r="AH65" i="26"/>
  <c r="AM65" i="26"/>
  <c r="AI65" i="26"/>
  <c r="AE99" i="16"/>
  <c r="AL69" i="14"/>
  <c r="AN69" i="14" s="1"/>
  <c r="AI74" i="19"/>
  <c r="AL84" i="14"/>
  <c r="AN84" i="14" s="1"/>
  <c r="AF11" i="16"/>
  <c r="AH47" i="16"/>
  <c r="AM47" i="16"/>
  <c r="AF47" i="16"/>
  <c r="AI47" i="16"/>
  <c r="AL62" i="15"/>
  <c r="AN62" i="15" s="1"/>
  <c r="AF11" i="19"/>
  <c r="AI87" i="16"/>
  <c r="AD87" i="16"/>
  <c r="AM87" i="16"/>
  <c r="AF87" i="16"/>
  <c r="AH87" i="16"/>
  <c r="AI56" i="26"/>
  <c r="AL108" i="14"/>
  <c r="J445" i="9"/>
  <c r="J36" i="10" s="1"/>
  <c r="J429" i="9"/>
  <c r="N445" i="9"/>
  <c r="N36" i="10" s="1"/>
  <c r="N429" i="9"/>
  <c r="AF231" i="18"/>
  <c r="AE283" i="18"/>
  <c r="T302" i="9"/>
  <c r="AM11" i="19" l="1"/>
  <c r="AD100" i="19"/>
  <c r="AH17" i="15"/>
  <c r="T72" i="19"/>
  <c r="AI101" i="16"/>
  <c r="AI98" i="15"/>
  <c r="AH101" i="16"/>
  <c r="AN12" i="13"/>
  <c r="AL107" i="29"/>
  <c r="AN107" i="29" s="1"/>
  <c r="AH11" i="19"/>
  <c r="AH100" i="19"/>
  <c r="AL100" i="19" s="1"/>
  <c r="AN100" i="19" s="1"/>
  <c r="AE11" i="19"/>
  <c r="AE48" i="19"/>
  <c r="AF44" i="15"/>
  <c r="AD44" i="15"/>
  <c r="AL44" i="15" s="1"/>
  <c r="AN44" i="15" s="1"/>
  <c r="AE100" i="19"/>
  <c r="AI12" i="15"/>
  <c r="AL59" i="16"/>
  <c r="AL98" i="14"/>
  <c r="AN98" i="14" s="1"/>
  <c r="X24" i="26"/>
  <c r="AA24" i="26" s="1"/>
  <c r="AI17" i="15"/>
  <c r="AM17" i="15"/>
  <c r="AC24" i="26"/>
  <c r="R72" i="26"/>
  <c r="T72" i="26" s="1"/>
  <c r="AM98" i="15"/>
  <c r="AF101" i="16"/>
  <c r="AI11" i="19"/>
  <c r="AI100" i="19"/>
  <c r="W24" i="26"/>
  <c r="AH98" i="15"/>
  <c r="T133" i="9"/>
  <c r="AA6" i="19"/>
  <c r="AA15" i="19"/>
  <c r="AF15" i="19" s="1"/>
  <c r="AI24" i="26"/>
  <c r="AI109" i="15"/>
  <c r="AI45" i="16"/>
  <c r="AF87" i="15"/>
  <c r="AL87" i="15" s="1"/>
  <c r="AN87" i="15" s="1"/>
  <c r="AE45" i="16"/>
  <c r="AF24" i="16"/>
  <c r="AL67" i="14"/>
  <c r="AN67" i="14" s="1"/>
  <c r="AL102" i="16"/>
  <c r="AN102" i="16" s="1"/>
  <c r="AL42" i="15"/>
  <c r="AN42" i="15" s="1"/>
  <c r="AL63" i="14"/>
  <c r="AL61" i="15"/>
  <c r="AN61" i="15" s="1"/>
  <c r="AL39" i="15"/>
  <c r="AN39" i="15" s="1"/>
  <c r="AL17" i="14"/>
  <c r="AL52" i="14"/>
  <c r="AN52" i="14" s="1"/>
  <c r="AM56" i="26"/>
  <c r="AF92" i="15"/>
  <c r="AL92" i="15" s="1"/>
  <c r="AN92" i="15" s="1"/>
  <c r="AD92" i="15"/>
  <c r="AE24" i="26"/>
  <c r="AN84" i="15"/>
  <c r="AH45" i="16"/>
  <c r="AL45" i="16" s="1"/>
  <c r="AN45" i="16" s="1"/>
  <c r="AD109" i="15"/>
  <c r="W6" i="26"/>
  <c r="AN76" i="13"/>
  <c r="X7" i="26"/>
  <c r="AA7" i="26" s="1"/>
  <c r="AM109" i="15"/>
  <c r="AI24" i="16"/>
  <c r="AH24" i="16"/>
  <c r="AL44" i="26"/>
  <c r="AN44" i="26" s="1"/>
  <c r="AL19" i="14"/>
  <c r="AN19" i="14" s="1"/>
  <c r="AF109" i="15"/>
  <c r="X6" i="26"/>
  <c r="AA6" i="26" s="1"/>
  <c r="AL25" i="29"/>
  <c r="AN25" i="29" s="1"/>
  <c r="AL68" i="15"/>
  <c r="AN68" i="15" s="1"/>
  <c r="AF61" i="16"/>
  <c r="AC9" i="19"/>
  <c r="W32" i="19"/>
  <c r="AD46" i="15"/>
  <c r="AM85" i="15"/>
  <c r="S159" i="9"/>
  <c r="S14" i="10" s="1"/>
  <c r="AA70" i="19"/>
  <c r="AD70" i="19" s="1"/>
  <c r="AH61" i="16"/>
  <c r="T55" i="9"/>
  <c r="AE74" i="16"/>
  <c r="AM42" i="16"/>
  <c r="AE11" i="16"/>
  <c r="AM78" i="16"/>
  <c r="W9" i="19"/>
  <c r="AC32" i="19"/>
  <c r="AA33" i="16"/>
  <c r="AM33" i="16" s="1"/>
  <c r="AM12" i="15"/>
  <c r="AL54" i="15"/>
  <c r="AN54" i="15" s="1"/>
  <c r="AN59" i="16"/>
  <c r="T74" i="9"/>
  <c r="AH131" i="14"/>
  <c r="S167" i="9" s="1"/>
  <c r="AL62" i="14"/>
  <c r="AN62" i="14" s="1"/>
  <c r="AL71" i="14"/>
  <c r="AN71" i="14" s="1"/>
  <c r="AL46" i="14"/>
  <c r="AN46" i="14" s="1"/>
  <c r="AL109" i="26"/>
  <c r="AN109" i="26" s="1"/>
  <c r="AL6" i="15"/>
  <c r="AL79" i="14"/>
  <c r="AN79" i="14" s="1"/>
  <c r="AN77" i="14"/>
  <c r="AF74" i="16"/>
  <c r="AI85" i="16"/>
  <c r="AI78" i="16"/>
  <c r="X9" i="19"/>
  <c r="AA9" i="19" s="1"/>
  <c r="AD9" i="19" s="1"/>
  <c r="X32" i="19"/>
  <c r="AA32" i="19" s="1"/>
  <c r="AD32" i="19" s="1"/>
  <c r="T46" i="19"/>
  <c r="AA98" i="16"/>
  <c r="AM98" i="16" s="1"/>
  <c r="AC29" i="26"/>
  <c r="AD12" i="15"/>
  <c r="AL12" i="15" s="1"/>
  <c r="AN12" i="15" s="1"/>
  <c r="AI85" i="15"/>
  <c r="AL104" i="16"/>
  <c r="AN104" i="16" s="1"/>
  <c r="AH35" i="15"/>
  <c r="AD85" i="15"/>
  <c r="AM74" i="16"/>
  <c r="AH42" i="16"/>
  <c r="AF42" i="16"/>
  <c r="AD74" i="16"/>
  <c r="AM11" i="16"/>
  <c r="AH74" i="16"/>
  <c r="AD78" i="16"/>
  <c r="X29" i="26"/>
  <c r="AA29" i="26" s="1"/>
  <c r="AH29" i="26" s="1"/>
  <c r="AH12" i="15"/>
  <c r="AH85" i="15"/>
  <c r="AL85" i="15" s="1"/>
  <c r="AN85" i="15" s="1"/>
  <c r="AI35" i="15"/>
  <c r="AD35" i="15"/>
  <c r="AL35" i="29"/>
  <c r="AN35" i="29" s="1"/>
  <c r="AA15" i="16"/>
  <c r="AE15" i="16"/>
  <c r="AM78" i="26"/>
  <c r="AC95" i="26"/>
  <c r="T108" i="9"/>
  <c r="AI44" i="15"/>
  <c r="AI78" i="26"/>
  <c r="X70" i="26"/>
  <c r="AA70" i="26" s="1"/>
  <c r="AD70" i="26" s="1"/>
  <c r="AE69" i="16"/>
  <c r="AF78" i="19"/>
  <c r="AC70" i="26"/>
  <c r="X22" i="26"/>
  <c r="AA54" i="16"/>
  <c r="AH54" i="16" s="1"/>
  <c r="AN17" i="14"/>
  <c r="AM44" i="15"/>
  <c r="AL26" i="15"/>
  <c r="AN26" i="15" s="1"/>
  <c r="AL66" i="14"/>
  <c r="AN66" i="14" s="1"/>
  <c r="AL107" i="14"/>
  <c r="AN107" i="14" s="1"/>
  <c r="AL78" i="15"/>
  <c r="AN78" i="15" s="1"/>
  <c r="AL28" i="15"/>
  <c r="AN28" i="15" s="1"/>
  <c r="AD16" i="16"/>
  <c r="AD81" i="16"/>
  <c r="AF78" i="26"/>
  <c r="AI18" i="16"/>
  <c r="AE81" i="16"/>
  <c r="AE18" i="16"/>
  <c r="AL18" i="15"/>
  <c r="AN18" i="15" s="1"/>
  <c r="AL132" i="29"/>
  <c r="AN132" i="29" s="1"/>
  <c r="AH133" i="14"/>
  <c r="AM80" i="29"/>
  <c r="AM146" i="29" s="1"/>
  <c r="AM147" i="29" s="1"/>
  <c r="AI81" i="16"/>
  <c r="AF29" i="16"/>
  <c r="AF12" i="16"/>
  <c r="AC35" i="19"/>
  <c r="AM18" i="16"/>
  <c r="AL8" i="14"/>
  <c r="AN8" i="14" s="1"/>
  <c r="AN63" i="14"/>
  <c r="AE78" i="26"/>
  <c r="AI12" i="16"/>
  <c r="AN24" i="15"/>
  <c r="AD78" i="26"/>
  <c r="AA7" i="16"/>
  <c r="AD7" i="16" s="1"/>
  <c r="AF103" i="16"/>
  <c r="AH46" i="15"/>
  <c r="AF46" i="15"/>
  <c r="AL70" i="15"/>
  <c r="AN70" i="15" s="1"/>
  <c r="T106" i="9"/>
  <c r="AH103" i="15"/>
  <c r="AM103" i="15"/>
  <c r="AF103" i="15"/>
  <c r="AD103" i="15"/>
  <c r="AI103" i="15"/>
  <c r="AL99" i="15"/>
  <c r="AN99" i="15" s="1"/>
  <c r="AL57" i="14"/>
  <c r="AN57" i="14" s="1"/>
  <c r="AI11" i="16"/>
  <c r="AF31" i="16"/>
  <c r="AF18" i="16"/>
  <c r="AD44" i="19"/>
  <c r="AL57" i="19"/>
  <c r="AN57" i="19" s="1"/>
  <c r="AL73" i="16"/>
  <c r="AN73" i="16" s="1"/>
  <c r="AL34" i="14"/>
  <c r="AN34" i="14" s="1"/>
  <c r="AE83" i="16"/>
  <c r="AH11" i="16"/>
  <c r="AL102" i="29"/>
  <c r="AN102" i="29" s="1"/>
  <c r="AL75" i="14"/>
  <c r="AN75" i="14" s="1"/>
  <c r="AE103" i="16"/>
  <c r="AD18" i="16"/>
  <c r="AE77" i="16"/>
  <c r="W35" i="19"/>
  <c r="AM44" i="19"/>
  <c r="AN7" i="13"/>
  <c r="AI44" i="19"/>
  <c r="AN52" i="29"/>
  <c r="AI103" i="16"/>
  <c r="AM103" i="16"/>
  <c r="AA6" i="16"/>
  <c r="AE6" i="16"/>
  <c r="X95" i="26"/>
  <c r="AA95" i="26" s="1"/>
  <c r="AH95" i="26" s="1"/>
  <c r="W45" i="19"/>
  <c r="P45" i="26"/>
  <c r="AF44" i="19"/>
  <c r="AL70" i="14"/>
  <c r="AN70" i="14" s="1"/>
  <c r="X45" i="19"/>
  <c r="AA45" i="19" s="1"/>
  <c r="AL45" i="15"/>
  <c r="AN45" i="15" s="1"/>
  <c r="AL48" i="15"/>
  <c r="AN48" i="15" s="1"/>
  <c r="P103" i="26"/>
  <c r="AC103" i="19"/>
  <c r="X103" i="19"/>
  <c r="W103" i="19"/>
  <c r="AL27" i="29"/>
  <c r="AN27" i="29" s="1"/>
  <c r="AL7" i="29"/>
  <c r="AN7" i="29" s="1"/>
  <c r="AE21" i="16"/>
  <c r="AL74" i="15"/>
  <c r="AN74" i="15" s="1"/>
  <c r="AL91" i="19"/>
  <c r="AN91" i="19" s="1"/>
  <c r="AH70" i="29"/>
  <c r="U70" i="9"/>
  <c r="AL10" i="16"/>
  <c r="AI31" i="16"/>
  <c r="AM31" i="16"/>
  <c r="AA28" i="19"/>
  <c r="AF28" i="19" s="1"/>
  <c r="W48" i="26"/>
  <c r="V99" i="9"/>
  <c r="AA20" i="19"/>
  <c r="AF20" i="19" s="1"/>
  <c r="AL14" i="14"/>
  <c r="AN14" i="14" s="1"/>
  <c r="AN10" i="16"/>
  <c r="AL26" i="19"/>
  <c r="AN26" i="19" s="1"/>
  <c r="AE72" i="16"/>
  <c r="AL38" i="15"/>
  <c r="AN38" i="15" s="1"/>
  <c r="R84" i="26"/>
  <c r="T84" i="26" s="1"/>
  <c r="T84" i="19"/>
  <c r="P84" i="26"/>
  <c r="W84" i="19"/>
  <c r="AC84" i="19"/>
  <c r="AF94" i="15"/>
  <c r="AD94" i="15"/>
  <c r="AI94" i="15"/>
  <c r="AH94" i="15"/>
  <c r="AM94" i="15"/>
  <c r="AI93" i="19"/>
  <c r="AD31" i="16"/>
  <c r="AC48" i="26"/>
  <c r="AL20" i="15"/>
  <c r="AN20" i="15" s="1"/>
  <c r="AL129" i="29"/>
  <c r="AA73" i="29"/>
  <c r="R89" i="26"/>
  <c r="T89" i="26" s="1"/>
  <c r="T89" i="19"/>
  <c r="T70" i="9"/>
  <c r="AN63" i="13"/>
  <c r="C72" i="26"/>
  <c r="C71" i="26"/>
  <c r="X84" i="19"/>
  <c r="AD70" i="29"/>
  <c r="AI70" i="29"/>
  <c r="AL10" i="29"/>
  <c r="AN10" i="29" s="1"/>
  <c r="AB436" i="8"/>
  <c r="AB435" i="8"/>
  <c r="AA437" i="8"/>
  <c r="O430" i="9"/>
  <c r="AA433" i="8"/>
  <c r="AB430" i="8"/>
  <c r="AB432" i="8"/>
  <c r="O432" i="9"/>
  <c r="AB431" i="8"/>
  <c r="O431" i="9"/>
  <c r="AB424" i="8"/>
  <c r="O424" i="9"/>
  <c r="AB426" i="8"/>
  <c r="O426" i="9"/>
  <c r="O427" i="9"/>
  <c r="AB427" i="8"/>
  <c r="AB421" i="8"/>
  <c r="O421" i="9"/>
  <c r="O422" i="9"/>
  <c r="AB422" i="8"/>
  <c r="O420" i="9"/>
  <c r="AB420" i="8"/>
  <c r="AB428" i="8"/>
  <c r="O428" i="9"/>
  <c r="O423" i="9"/>
  <c r="AB423" i="8"/>
  <c r="O425" i="9"/>
  <c r="AB425" i="8"/>
  <c r="AB419" i="8"/>
  <c r="O419" i="9"/>
  <c r="AN57" i="13"/>
  <c r="AL103" i="29"/>
  <c r="AN103" i="29" s="1"/>
  <c r="AH44" i="16"/>
  <c r="AI44" i="16"/>
  <c r="AM44" i="16"/>
  <c r="AF44" i="16"/>
  <c r="AD44" i="16"/>
  <c r="AN33" i="13"/>
  <c r="AL88" i="29"/>
  <c r="AN88" i="29" s="1"/>
  <c r="AL123" i="29"/>
  <c r="AN121" i="29"/>
  <c r="AN123" i="29" s="1"/>
  <c r="AN59" i="13"/>
  <c r="AL101" i="29"/>
  <c r="AM78" i="19"/>
  <c r="AL8" i="29"/>
  <c r="AN8" i="29" s="1"/>
  <c r="AN64" i="13"/>
  <c r="AL97" i="29"/>
  <c r="AL119" i="29"/>
  <c r="AN118" i="29"/>
  <c r="AN119" i="29" s="1"/>
  <c r="AH78" i="19"/>
  <c r="V133" i="9"/>
  <c r="AN29" i="13"/>
  <c r="AL85" i="29"/>
  <c r="AN36" i="13"/>
  <c r="AL86" i="29"/>
  <c r="AN86" i="29" s="1"/>
  <c r="AN27" i="13"/>
  <c r="AL87" i="29"/>
  <c r="AN87" i="29" s="1"/>
  <c r="AL34" i="29"/>
  <c r="AN34" i="29" s="1"/>
  <c r="AN24" i="13"/>
  <c r="AL108" i="29"/>
  <c r="AN108" i="29" s="1"/>
  <c r="AM81" i="16"/>
  <c r="AI29" i="16"/>
  <c r="AM12" i="16"/>
  <c r="AD78" i="19"/>
  <c r="X18" i="19"/>
  <c r="AA18" i="19" s="1"/>
  <c r="V94" i="9"/>
  <c r="AN75" i="13"/>
  <c r="AL82" i="29"/>
  <c r="S122" i="9"/>
  <c r="S13" i="10" s="1"/>
  <c r="AN89" i="13"/>
  <c r="AL135" i="29"/>
  <c r="AN135" i="29" s="1"/>
  <c r="AL92" i="29"/>
  <c r="AN91" i="29"/>
  <c r="AN92" i="29" s="1"/>
  <c r="AN79" i="13"/>
  <c r="AL79" i="29"/>
  <c r="AN79" i="29" s="1"/>
  <c r="AN39" i="13"/>
  <c r="AL78" i="29"/>
  <c r="AN78" i="29" s="1"/>
  <c r="AN47" i="13"/>
  <c r="AL134" i="29"/>
  <c r="AN134" i="29" s="1"/>
  <c r="AL95" i="29"/>
  <c r="AN94" i="29"/>
  <c r="AN95" i="29" s="1"/>
  <c r="AL116" i="29"/>
  <c r="AN115" i="29"/>
  <c r="AN116" i="29" s="1"/>
  <c r="AL49" i="14"/>
  <c r="AN49" i="14" s="1"/>
  <c r="AN38" i="13"/>
  <c r="AL138" i="29"/>
  <c r="AF70" i="29"/>
  <c r="AL106" i="29"/>
  <c r="AA51" i="26"/>
  <c r="AM51" i="26" s="1"/>
  <c r="AD131" i="14"/>
  <c r="S163" i="9" s="1"/>
  <c r="AM61" i="16"/>
  <c r="AD29" i="16"/>
  <c r="AF10" i="26"/>
  <c r="Q164" i="9"/>
  <c r="R164" i="9" s="1"/>
  <c r="AE72" i="29"/>
  <c r="AE73" i="29" s="1"/>
  <c r="AE78" i="19"/>
  <c r="AN44" i="13"/>
  <c r="AL112" i="29"/>
  <c r="AN112" i="29" s="1"/>
  <c r="AN10" i="13"/>
  <c r="AL143" i="29"/>
  <c r="AN111" i="29"/>
  <c r="AL20" i="29"/>
  <c r="AN20" i="29" s="1"/>
  <c r="AL77" i="29"/>
  <c r="AL82" i="14"/>
  <c r="AN82" i="14" s="1"/>
  <c r="AN81" i="13"/>
  <c r="AL125" i="29"/>
  <c r="U107" i="9"/>
  <c r="U103" i="9"/>
  <c r="AL24" i="16"/>
  <c r="AN24" i="16" s="1"/>
  <c r="AH46" i="16"/>
  <c r="AF20" i="16"/>
  <c r="U64" i="9"/>
  <c r="P72" i="26"/>
  <c r="W72" i="19"/>
  <c r="AC72" i="19"/>
  <c r="P71" i="26"/>
  <c r="X72" i="19"/>
  <c r="U48" i="26"/>
  <c r="V48" i="26" s="1"/>
  <c r="V48" i="19"/>
  <c r="AC71" i="19"/>
  <c r="W71" i="19"/>
  <c r="X71" i="19"/>
  <c r="AI72" i="16"/>
  <c r="AH72" i="16"/>
  <c r="AD72" i="16"/>
  <c r="AM72" i="16"/>
  <c r="AF72" i="16"/>
  <c r="AH72" i="15"/>
  <c r="AM72" i="15"/>
  <c r="AF72" i="15"/>
  <c r="AD72" i="15"/>
  <c r="AI72" i="15"/>
  <c r="U97" i="9"/>
  <c r="U223" i="9"/>
  <c r="AH38" i="26"/>
  <c r="AE76" i="19"/>
  <c r="AD38" i="26"/>
  <c r="AF38" i="26"/>
  <c r="AE38" i="26"/>
  <c r="AA27" i="19"/>
  <c r="AF27" i="19" s="1"/>
  <c r="AM38" i="26"/>
  <c r="X61" i="26"/>
  <c r="AA61" i="26" s="1"/>
  <c r="AH61" i="26" s="1"/>
  <c r="AE93" i="19"/>
  <c r="AM93" i="19"/>
  <c r="AF85" i="16"/>
  <c r="AM10" i="26"/>
  <c r="AE68" i="26"/>
  <c r="AC88" i="26"/>
  <c r="AE54" i="19"/>
  <c r="AA19" i="19"/>
  <c r="AH19" i="19" s="1"/>
  <c r="AE10" i="26"/>
  <c r="AH10" i="26"/>
  <c r="AC28" i="26"/>
  <c r="AF70" i="16"/>
  <c r="AM70" i="16"/>
  <c r="AI70" i="16"/>
  <c r="AD70" i="16"/>
  <c r="AH70" i="16"/>
  <c r="AD93" i="19"/>
  <c r="AH93" i="19"/>
  <c r="AH85" i="16"/>
  <c r="AD10" i="26"/>
  <c r="AL23" i="16"/>
  <c r="AN23" i="16" s="1"/>
  <c r="AD61" i="16"/>
  <c r="AM77" i="16"/>
  <c r="AL8" i="19"/>
  <c r="AN8" i="19" s="1"/>
  <c r="AL62" i="26"/>
  <c r="AN62" i="26" s="1"/>
  <c r="AC20" i="26"/>
  <c r="AM38" i="19"/>
  <c r="AH16" i="16"/>
  <c r="AF16" i="16"/>
  <c r="AM30" i="16"/>
  <c r="AD20" i="16"/>
  <c r="AM20" i="16"/>
  <c r="X79" i="19"/>
  <c r="AA79" i="19" s="1"/>
  <c r="X20" i="26"/>
  <c r="AA20" i="26" s="1"/>
  <c r="AD20" i="26" s="1"/>
  <c r="AE20" i="16"/>
  <c r="AI30" i="16"/>
  <c r="AH20" i="16"/>
  <c r="AI16" i="16"/>
  <c r="AD33" i="16"/>
  <c r="AH30" i="16"/>
  <c r="AF30" i="16"/>
  <c r="AI21" i="16"/>
  <c r="AM12" i="19"/>
  <c r="AA104" i="19"/>
  <c r="AE104" i="19"/>
  <c r="AC104" i="26"/>
  <c r="X104" i="26"/>
  <c r="W104" i="26"/>
  <c r="U127" i="9"/>
  <c r="AL96" i="15"/>
  <c r="AN96" i="15" s="1"/>
  <c r="AD69" i="15"/>
  <c r="AF69" i="15"/>
  <c r="AI69" i="15"/>
  <c r="AH69" i="15"/>
  <c r="AM69" i="15"/>
  <c r="AL19" i="15"/>
  <c r="AN19" i="15" s="1"/>
  <c r="AL34" i="15"/>
  <c r="AN34" i="15" s="1"/>
  <c r="AC96" i="19"/>
  <c r="X96" i="19"/>
  <c r="P96" i="26"/>
  <c r="W96" i="19"/>
  <c r="AA43" i="16"/>
  <c r="AE43" i="16"/>
  <c r="AL13" i="15"/>
  <c r="AN13" i="15" s="1"/>
  <c r="AM133" i="14"/>
  <c r="AL89" i="14"/>
  <c r="AN89" i="14" s="1"/>
  <c r="AE6" i="26"/>
  <c r="AI96" i="16"/>
  <c r="AH96" i="16"/>
  <c r="AM96" i="16"/>
  <c r="AF96" i="16"/>
  <c r="AD96" i="16"/>
  <c r="AA97" i="16"/>
  <c r="AE97" i="16"/>
  <c r="AE96" i="16"/>
  <c r="AM97" i="15"/>
  <c r="AI97" i="15"/>
  <c r="AD97" i="15"/>
  <c r="AF97" i="15"/>
  <c r="AH97" i="15"/>
  <c r="AL43" i="15"/>
  <c r="AN43" i="15" s="1"/>
  <c r="AA80" i="26"/>
  <c r="AE80" i="26"/>
  <c r="P97" i="26"/>
  <c r="X97" i="19"/>
  <c r="AA97" i="19" s="1"/>
  <c r="W97" i="19"/>
  <c r="AC97" i="19"/>
  <c r="AF80" i="19"/>
  <c r="AM80" i="19"/>
  <c r="AD80" i="19"/>
  <c r="AH80" i="19"/>
  <c r="AI80" i="19"/>
  <c r="W43" i="19"/>
  <c r="P43" i="26"/>
  <c r="X43" i="19"/>
  <c r="AA43" i="19" s="1"/>
  <c r="AC43" i="19"/>
  <c r="Y171" i="8"/>
  <c r="Q14" i="10"/>
  <c r="R14" i="10" s="1"/>
  <c r="R159" i="9"/>
  <c r="Q13" i="10"/>
  <c r="R122" i="9"/>
  <c r="Y429" i="8"/>
  <c r="Y414" i="8"/>
  <c r="Y437" i="8"/>
  <c r="Y433" i="8"/>
  <c r="AC369" i="8"/>
  <c r="U292" i="9"/>
  <c r="U316" i="9"/>
  <c r="V211" i="9"/>
  <c r="V217" i="9"/>
  <c r="U199" i="9"/>
  <c r="AD47" i="19"/>
  <c r="AL101" i="19"/>
  <c r="AN101" i="19" s="1"/>
  <c r="AA15" i="26"/>
  <c r="AD15" i="26" s="1"/>
  <c r="AE15" i="26"/>
  <c r="AE63" i="19"/>
  <c r="AA55" i="19"/>
  <c r="AH55" i="19" s="1"/>
  <c r="AL37" i="19"/>
  <c r="AN37" i="19" s="1"/>
  <c r="AL59" i="15"/>
  <c r="AN59" i="15" s="1"/>
  <c r="AE16" i="16"/>
  <c r="AL92" i="19"/>
  <c r="AN92" i="19" s="1"/>
  <c r="Q160" i="9"/>
  <c r="R160" i="9" s="1"/>
  <c r="AL35" i="27"/>
  <c r="AN35" i="27" s="1"/>
  <c r="U89" i="26"/>
  <c r="V89" i="26" s="1"/>
  <c r="V89" i="19"/>
  <c r="X89" i="19" s="1"/>
  <c r="AM82" i="16"/>
  <c r="AH82" i="16"/>
  <c r="AF82" i="16"/>
  <c r="AI82" i="16"/>
  <c r="AD82" i="16"/>
  <c r="AM131" i="14"/>
  <c r="AE53" i="26"/>
  <c r="AA79" i="16"/>
  <c r="AM79" i="16" s="1"/>
  <c r="AA34" i="16"/>
  <c r="AE34" i="16"/>
  <c r="AE89" i="16"/>
  <c r="AA89" i="16"/>
  <c r="U119" i="9" s="1"/>
  <c r="AM6" i="26"/>
  <c r="AH6" i="26"/>
  <c r="AF6" i="26"/>
  <c r="AI6" i="26"/>
  <c r="U80" i="26"/>
  <c r="V80" i="26" s="1"/>
  <c r="V80" i="19"/>
  <c r="V56" i="19"/>
  <c r="U56" i="26"/>
  <c r="V56" i="26" s="1"/>
  <c r="AA75" i="16"/>
  <c r="U56" i="9" s="1"/>
  <c r="AE75" i="16"/>
  <c r="W16" i="19"/>
  <c r="P16" i="26"/>
  <c r="AC16" i="19"/>
  <c r="U37" i="26"/>
  <c r="V37" i="26" s="1"/>
  <c r="V37" i="19"/>
  <c r="U96" i="26"/>
  <c r="V96" i="26" s="1"/>
  <c r="V96" i="19"/>
  <c r="AI89" i="15"/>
  <c r="AD89" i="15"/>
  <c r="AH89" i="15"/>
  <c r="AM89" i="15"/>
  <c r="AF89" i="15"/>
  <c r="R90" i="26"/>
  <c r="T90" i="26" s="1"/>
  <c r="T90" i="19"/>
  <c r="AM6" i="19"/>
  <c r="AD6" i="19"/>
  <c r="AF6" i="19"/>
  <c r="AI6" i="19"/>
  <c r="AH6" i="19"/>
  <c r="AL93" i="16"/>
  <c r="AN93" i="16" s="1"/>
  <c r="AH38" i="19"/>
  <c r="AH25" i="19"/>
  <c r="AD38" i="19"/>
  <c r="X28" i="26"/>
  <c r="AA28" i="26" s="1"/>
  <c r="AL53" i="16"/>
  <c r="AN53" i="16" s="1"/>
  <c r="AL66" i="16"/>
  <c r="AN66" i="16" s="1"/>
  <c r="AI133" i="14"/>
  <c r="AL40" i="14"/>
  <c r="AN40" i="14" s="1"/>
  <c r="AL10" i="15"/>
  <c r="AN10" i="15" s="1"/>
  <c r="AD6" i="26"/>
  <c r="AD16" i="15"/>
  <c r="AI16" i="15"/>
  <c r="AH16" i="15"/>
  <c r="AF16" i="15"/>
  <c r="AM16" i="15"/>
  <c r="U75" i="26"/>
  <c r="V75" i="26" s="1"/>
  <c r="X75" i="26" s="1"/>
  <c r="V75" i="19"/>
  <c r="X75" i="19" s="1"/>
  <c r="AF38" i="19"/>
  <c r="AM52" i="19"/>
  <c r="AE38" i="19"/>
  <c r="X16" i="19"/>
  <c r="AA16" i="19" s="1"/>
  <c r="X81" i="19"/>
  <c r="AA81" i="19" s="1"/>
  <c r="AL48" i="16"/>
  <c r="AN48" i="16" s="1"/>
  <c r="V13" i="19"/>
  <c r="U13" i="26"/>
  <c r="V13" i="26" s="1"/>
  <c r="AC34" i="19"/>
  <c r="P34" i="26"/>
  <c r="W34" i="19"/>
  <c r="X34" i="19" s="1"/>
  <c r="AA34" i="19" s="1"/>
  <c r="AE7" i="26"/>
  <c r="U21" i="26"/>
  <c r="V21" i="26" s="1"/>
  <c r="V21" i="19"/>
  <c r="AA82" i="19"/>
  <c r="AE82" i="19"/>
  <c r="AC89" i="19"/>
  <c r="W89" i="19"/>
  <c r="P89" i="26"/>
  <c r="AC18" i="19"/>
  <c r="W18" i="19"/>
  <c r="P18" i="26"/>
  <c r="AC15" i="26"/>
  <c r="W15" i="26"/>
  <c r="AI75" i="15"/>
  <c r="T56" i="9"/>
  <c r="AD75" i="15"/>
  <c r="AH75" i="15"/>
  <c r="AM75" i="15"/>
  <c r="AF75" i="15"/>
  <c r="T82" i="19"/>
  <c r="R82" i="26"/>
  <c r="T82" i="26" s="1"/>
  <c r="AI83" i="15"/>
  <c r="AD83" i="15"/>
  <c r="AF83" i="15"/>
  <c r="AH83" i="15"/>
  <c r="AM83" i="15"/>
  <c r="R23" i="26"/>
  <c r="T23" i="26" s="1"/>
  <c r="T23" i="19"/>
  <c r="AH21" i="16"/>
  <c r="AE58" i="16"/>
  <c r="AA58" i="16"/>
  <c r="U151" i="9" s="1"/>
  <c r="T78" i="19"/>
  <c r="R78" i="26"/>
  <c r="T78" i="26" s="1"/>
  <c r="AM60" i="16"/>
  <c r="AH60" i="16"/>
  <c r="AF60" i="16"/>
  <c r="AI60" i="16"/>
  <c r="AD60" i="16"/>
  <c r="V26" i="19"/>
  <c r="U26" i="26"/>
  <c r="V26" i="26" s="1"/>
  <c r="AL26" i="16"/>
  <c r="AN26" i="16" s="1"/>
  <c r="U64" i="26"/>
  <c r="V64" i="26" s="1"/>
  <c r="W64" i="26" s="1"/>
  <c r="X64" i="26" s="1"/>
  <c r="V64" i="19"/>
  <c r="W64" i="19" s="1"/>
  <c r="X64" i="19" s="1"/>
  <c r="AF14" i="15"/>
  <c r="AH14" i="15"/>
  <c r="AD14" i="15"/>
  <c r="AI14" i="15"/>
  <c r="AM14" i="15"/>
  <c r="AI76" i="15"/>
  <c r="AH76" i="15"/>
  <c r="AF76" i="15"/>
  <c r="AM76" i="15"/>
  <c r="AD76" i="15"/>
  <c r="AM83" i="16"/>
  <c r="AI83" i="16"/>
  <c r="AH83" i="16"/>
  <c r="AD83" i="16"/>
  <c r="AF83" i="16"/>
  <c r="AI21" i="15"/>
  <c r="AF21" i="15"/>
  <c r="AH21" i="15"/>
  <c r="AD21" i="15"/>
  <c r="AM21" i="15"/>
  <c r="AA64" i="16"/>
  <c r="U147" i="9" s="1"/>
  <c r="AE64" i="16"/>
  <c r="A72" i="26"/>
  <c r="A71" i="26"/>
  <c r="T70" i="19"/>
  <c r="R70" i="26"/>
  <c r="T70" i="26" s="1"/>
  <c r="AD133" i="14"/>
  <c r="AM93" i="26"/>
  <c r="AI77" i="16"/>
  <c r="AH77" i="16"/>
  <c r="AI131" i="14"/>
  <c r="S168" i="9" s="1"/>
  <c r="AI93" i="26"/>
  <c r="AD77" i="16"/>
  <c r="AE47" i="19"/>
  <c r="AM21" i="16"/>
  <c r="AF25" i="19"/>
  <c r="AF46" i="16"/>
  <c r="AA53" i="19"/>
  <c r="AI53" i="19" s="1"/>
  <c r="AI37" i="26"/>
  <c r="AE52" i="26"/>
  <c r="AD85" i="16"/>
  <c r="AE13" i="26"/>
  <c r="AE98" i="19"/>
  <c r="AE50" i="26"/>
  <c r="AA19" i="26"/>
  <c r="AM19" i="26" s="1"/>
  <c r="AL28" i="16"/>
  <c r="AN28" i="16" s="1"/>
  <c r="AA10" i="19"/>
  <c r="V89" i="9" s="1"/>
  <c r="AE10" i="19"/>
  <c r="AC79" i="19"/>
  <c r="W79" i="19"/>
  <c r="P79" i="26"/>
  <c r="X79" i="26" s="1"/>
  <c r="AE60" i="16"/>
  <c r="AD64" i="15"/>
  <c r="AF64" i="15"/>
  <c r="AI64" i="15"/>
  <c r="AM64" i="15"/>
  <c r="T147" i="9"/>
  <c r="AH64" i="15"/>
  <c r="P81" i="26"/>
  <c r="AC81" i="19"/>
  <c r="W81" i="19"/>
  <c r="AL21" i="14"/>
  <c r="AN21" i="14" s="1"/>
  <c r="AE88" i="16"/>
  <c r="AA88" i="16"/>
  <c r="U115" i="9" s="1"/>
  <c r="AL109" i="15"/>
  <c r="AN109" i="15" s="1"/>
  <c r="P76" i="26"/>
  <c r="W76" i="19"/>
  <c r="AC76" i="19"/>
  <c r="AH77" i="15"/>
  <c r="AD77" i="15"/>
  <c r="AF77" i="15"/>
  <c r="AM77" i="15"/>
  <c r="AI77" i="15"/>
  <c r="P21" i="26"/>
  <c r="X21" i="19"/>
  <c r="AA21" i="19" s="1"/>
  <c r="AD21" i="19" s="1"/>
  <c r="W21" i="19"/>
  <c r="AC21" i="19"/>
  <c r="V14" i="19"/>
  <c r="W14" i="19" s="1"/>
  <c r="X14" i="19" s="1"/>
  <c r="U14" i="26"/>
  <c r="V14" i="26" s="1"/>
  <c r="W14" i="26" s="1"/>
  <c r="X14" i="26" s="1"/>
  <c r="X83" i="19"/>
  <c r="P83" i="26"/>
  <c r="W83" i="19"/>
  <c r="AC83" i="19"/>
  <c r="AC58" i="19"/>
  <c r="P58" i="26"/>
  <c r="X58" i="19"/>
  <c r="W58" i="19"/>
  <c r="AF88" i="15"/>
  <c r="AH88" i="15"/>
  <c r="AI88" i="15"/>
  <c r="AD88" i="15"/>
  <c r="T115" i="9"/>
  <c r="AM88" i="15"/>
  <c r="R76" i="26"/>
  <c r="T76" i="26" s="1"/>
  <c r="T76" i="19"/>
  <c r="AL99" i="26"/>
  <c r="AN99" i="26" s="1"/>
  <c r="AL94" i="19"/>
  <c r="AN94" i="19" s="1"/>
  <c r="AE46" i="16"/>
  <c r="AD21" i="16"/>
  <c r="AM25" i="19"/>
  <c r="AM47" i="19"/>
  <c r="AM46" i="16"/>
  <c r="AD46" i="16"/>
  <c r="AL8" i="26"/>
  <c r="AN8" i="26" s="1"/>
  <c r="AL52" i="16"/>
  <c r="AN52" i="16" s="1"/>
  <c r="AL13" i="16"/>
  <c r="AN13" i="16" s="1"/>
  <c r="AL102" i="26"/>
  <c r="AN102" i="26" s="1"/>
  <c r="AF131" i="14"/>
  <c r="S165" i="9" s="1"/>
  <c r="R80" i="26"/>
  <c r="T80" i="26" s="1"/>
  <c r="T80" i="19"/>
  <c r="AL57" i="15"/>
  <c r="AN57" i="15" s="1"/>
  <c r="AC60" i="19"/>
  <c r="P60" i="26"/>
  <c r="X60" i="19"/>
  <c r="W60" i="19"/>
  <c r="R13" i="26"/>
  <c r="T13" i="26" s="1"/>
  <c r="T13" i="19"/>
  <c r="AH19" i="16"/>
  <c r="AI19" i="16"/>
  <c r="AM19" i="16"/>
  <c r="AD19" i="16"/>
  <c r="AF19" i="16"/>
  <c r="AI60" i="15"/>
  <c r="AF60" i="15"/>
  <c r="AM60" i="15"/>
  <c r="AD60" i="15"/>
  <c r="AH60" i="15"/>
  <c r="U88" i="26"/>
  <c r="V88" i="26" s="1"/>
  <c r="X88" i="26" s="1"/>
  <c r="V88" i="19"/>
  <c r="X88" i="19" s="1"/>
  <c r="R75" i="26"/>
  <c r="T75" i="26" s="1"/>
  <c r="T75" i="19"/>
  <c r="AE14" i="16"/>
  <c r="AA14" i="16"/>
  <c r="V77" i="19"/>
  <c r="X77" i="19" s="1"/>
  <c r="U77" i="26"/>
  <c r="V77" i="26" s="1"/>
  <c r="X77" i="26" s="1"/>
  <c r="U46" i="26"/>
  <c r="V46" i="26" s="1"/>
  <c r="X46" i="26" s="1"/>
  <c r="V46" i="19"/>
  <c r="X46" i="19" s="1"/>
  <c r="AL86" i="27"/>
  <c r="AN86" i="27" s="1"/>
  <c r="AN7" i="12"/>
  <c r="V134" i="9"/>
  <c r="V157" i="9"/>
  <c r="V137" i="9"/>
  <c r="AM143" i="27"/>
  <c r="AL130" i="13"/>
  <c r="AN130" i="13" s="1"/>
  <c r="AL37" i="27"/>
  <c r="AN37" i="27" s="1"/>
  <c r="AL21" i="27"/>
  <c r="AN21" i="27" s="1"/>
  <c r="AL130" i="12"/>
  <c r="V107" i="9"/>
  <c r="V61" i="9"/>
  <c r="V116" i="9"/>
  <c r="V105" i="9"/>
  <c r="V112" i="9"/>
  <c r="V92" i="9"/>
  <c r="AL130" i="14"/>
  <c r="AN130" i="14" s="1"/>
  <c r="AL132" i="12"/>
  <c r="AL108" i="27"/>
  <c r="AN52" i="12"/>
  <c r="AN49" i="12"/>
  <c r="AL125" i="27"/>
  <c r="AN125" i="27" s="1"/>
  <c r="AF133" i="14"/>
  <c r="V64" i="9"/>
  <c r="V78" i="9"/>
  <c r="V146" i="9"/>
  <c r="V109" i="9"/>
  <c r="V91" i="9"/>
  <c r="AL50" i="27"/>
  <c r="AN50" i="27" s="1"/>
  <c r="AI68" i="27"/>
  <c r="AL56" i="27"/>
  <c r="AN56" i="27" s="1"/>
  <c r="AL30" i="27"/>
  <c r="AN30" i="27" s="1"/>
  <c r="AL62" i="27"/>
  <c r="AN62" i="27" s="1"/>
  <c r="AE465" i="18"/>
  <c r="AF465" i="18" s="1"/>
  <c r="AD500" i="18"/>
  <c r="AL115" i="27"/>
  <c r="AN63" i="12"/>
  <c r="AL131" i="27"/>
  <c r="AN131" i="27" s="1"/>
  <c r="AN53" i="12"/>
  <c r="AL106" i="27"/>
  <c r="AN104" i="27"/>
  <c r="AN106" i="27" s="1"/>
  <c r="AC130" i="19"/>
  <c r="W130" i="19"/>
  <c r="X130" i="19"/>
  <c r="AC130" i="16"/>
  <c r="X130" i="16"/>
  <c r="AA130" i="16" s="1"/>
  <c r="W130" i="16"/>
  <c r="AL141" i="27"/>
  <c r="AN140" i="27"/>
  <c r="AN141" i="27" s="1"/>
  <c r="AN62" i="12"/>
  <c r="AL80" i="27"/>
  <c r="AH131" i="13"/>
  <c r="AH133" i="13"/>
  <c r="AM131" i="13"/>
  <c r="AM72" i="29" s="1"/>
  <c r="AM73" i="29" s="1"/>
  <c r="AM133" i="13"/>
  <c r="AA167" i="8"/>
  <c r="O167" i="9"/>
  <c r="P167" i="9" s="1"/>
  <c r="AD68" i="27"/>
  <c r="AN74" i="12"/>
  <c r="AL130" i="27"/>
  <c r="AN130" i="27" s="1"/>
  <c r="AA160" i="8"/>
  <c r="AB159" i="8"/>
  <c r="AC159" i="8"/>
  <c r="AN43" i="12"/>
  <c r="AL112" i="27"/>
  <c r="U156" i="9"/>
  <c r="U137" i="9"/>
  <c r="U114" i="9"/>
  <c r="U110" i="9"/>
  <c r="U73" i="9"/>
  <c r="U144" i="9"/>
  <c r="U138" i="9"/>
  <c r="U89" i="9"/>
  <c r="U83" i="9"/>
  <c r="U106" i="9"/>
  <c r="U117" i="9"/>
  <c r="U130" i="9"/>
  <c r="U61" i="9"/>
  <c r="U126" i="9"/>
  <c r="U134" i="9"/>
  <c r="U60" i="9"/>
  <c r="U82" i="9"/>
  <c r="U98" i="9"/>
  <c r="U153" i="9"/>
  <c r="U68" i="9"/>
  <c r="U108" i="9"/>
  <c r="U69" i="9"/>
  <c r="U75" i="9"/>
  <c r="U57" i="9"/>
  <c r="U158" i="9"/>
  <c r="U132" i="9"/>
  <c r="U72" i="9"/>
  <c r="U135" i="9"/>
  <c r="U92" i="9"/>
  <c r="U99" i="9"/>
  <c r="U74" i="9"/>
  <c r="U102" i="9"/>
  <c r="U105" i="9"/>
  <c r="U84" i="9"/>
  <c r="U80" i="9"/>
  <c r="U78" i="9"/>
  <c r="U128" i="9"/>
  <c r="U152" i="9"/>
  <c r="U113" i="9"/>
  <c r="U109" i="9"/>
  <c r="U131" i="9"/>
  <c r="U66" i="9"/>
  <c r="U118" i="9"/>
  <c r="U86" i="9"/>
  <c r="U91" i="9"/>
  <c r="U95" i="9"/>
  <c r="U139" i="9"/>
  <c r="U146" i="9"/>
  <c r="U88" i="9"/>
  <c r="U71" i="9"/>
  <c r="U154" i="9"/>
  <c r="U62" i="9"/>
  <c r="U79" i="9"/>
  <c r="U112" i="9"/>
  <c r="U120" i="9"/>
  <c r="U123" i="9"/>
  <c r="U136" i="9"/>
  <c r="U90" i="9"/>
  <c r="U111" i="9"/>
  <c r="U157" i="9"/>
  <c r="U150" i="9"/>
  <c r="U96" i="9"/>
  <c r="U140" i="9"/>
  <c r="U121" i="9"/>
  <c r="U125" i="9"/>
  <c r="U143" i="9"/>
  <c r="U116" i="9"/>
  <c r="U100" i="9"/>
  <c r="U94" i="9"/>
  <c r="U81" i="9"/>
  <c r="U59" i="9"/>
  <c r="U142" i="9"/>
  <c r="U87" i="9"/>
  <c r="AN23" i="12"/>
  <c r="AL95" i="27"/>
  <c r="U101" i="9"/>
  <c r="AM144" i="27"/>
  <c r="AL75" i="27"/>
  <c r="AF133" i="13"/>
  <c r="AF131" i="13"/>
  <c r="O163" i="9"/>
  <c r="AA163" i="8"/>
  <c r="AD662" i="18"/>
  <c r="AD542" i="18"/>
  <c r="AE541" i="18"/>
  <c r="AF541" i="18" s="1"/>
  <c r="AN129" i="27"/>
  <c r="AL42" i="27"/>
  <c r="AN42" i="27" s="1"/>
  <c r="U133" i="9"/>
  <c r="AL57" i="27"/>
  <c r="AN57" i="27" s="1"/>
  <c r="W130" i="26"/>
  <c r="AC130" i="26"/>
  <c r="X130" i="26"/>
  <c r="U141" i="9"/>
  <c r="U63" i="9"/>
  <c r="B6" i="26"/>
  <c r="W152" i="9" s="1"/>
  <c r="V118" i="9"/>
  <c r="V59" i="9"/>
  <c r="V111" i="9"/>
  <c r="V125" i="9"/>
  <c r="V98" i="9"/>
  <c r="V81" i="9"/>
  <c r="V150" i="9"/>
  <c r="V57" i="9"/>
  <c r="V152" i="9"/>
  <c r="V154" i="9"/>
  <c r="V110" i="9"/>
  <c r="V82" i="9"/>
  <c r="V68" i="9"/>
  <c r="V83" i="9"/>
  <c r="V95" i="9"/>
  <c r="V84" i="9"/>
  <c r="V72" i="9"/>
  <c r="V136" i="9"/>
  <c r="V100" i="9"/>
  <c r="V108" i="9"/>
  <c r="V114" i="9"/>
  <c r="V138" i="9"/>
  <c r="V128" i="9"/>
  <c r="V126" i="9"/>
  <c r="V80" i="9"/>
  <c r="V139" i="9"/>
  <c r="V90" i="9"/>
  <c r="V66" i="9"/>
  <c r="V86" i="9"/>
  <c r="V121" i="9"/>
  <c r="V88" i="9"/>
  <c r="V96" i="9"/>
  <c r="V140" i="9"/>
  <c r="V117" i="9"/>
  <c r="V102" i="9"/>
  <c r="V123" i="9"/>
  <c r="V142" i="9"/>
  <c r="V75" i="9"/>
  <c r="V62" i="9"/>
  <c r="V69" i="9"/>
  <c r="V158" i="9"/>
  <c r="V156" i="9"/>
  <c r="V71" i="9"/>
  <c r="V153" i="9"/>
  <c r="V60" i="9"/>
  <c r="V135" i="9"/>
  <c r="V131" i="9"/>
  <c r="V120" i="9"/>
  <c r="V130" i="9"/>
  <c r="V79" i="9"/>
  <c r="U129" i="9"/>
  <c r="AL15" i="27"/>
  <c r="AN15" i="27" s="1"/>
  <c r="AI133" i="13"/>
  <c r="AI131" i="13"/>
  <c r="AN83" i="27"/>
  <c r="AN87" i="27" s="1"/>
  <c r="AL87" i="27"/>
  <c r="AL31" i="27"/>
  <c r="AN31" i="27" s="1"/>
  <c r="AL99" i="27"/>
  <c r="AN16" i="12"/>
  <c r="O165" i="9"/>
  <c r="P165" i="9" s="1"/>
  <c r="AA165" i="8"/>
  <c r="V155" i="9"/>
  <c r="AH68" i="27"/>
  <c r="V149" i="9"/>
  <c r="U85" i="9"/>
  <c r="AD584" i="18"/>
  <c r="AA168" i="8"/>
  <c r="O168" i="9"/>
  <c r="P168" i="9" s="1"/>
  <c r="AL40" i="27"/>
  <c r="AN40" i="27" s="1"/>
  <c r="O160" i="9"/>
  <c r="P160" i="9" s="1"/>
  <c r="P122" i="9"/>
  <c r="P13" i="10" s="1"/>
  <c r="O13" i="10"/>
  <c r="AN122" i="27"/>
  <c r="AN123" i="27" s="1"/>
  <c r="AL123" i="27"/>
  <c r="AL6" i="13"/>
  <c r="AD133" i="13"/>
  <c r="AD131" i="13"/>
  <c r="AN71" i="12"/>
  <c r="AL135" i="27"/>
  <c r="AN15" i="12"/>
  <c r="AN132" i="12" s="1"/>
  <c r="AL100" i="27"/>
  <c r="AN100" i="27" s="1"/>
  <c r="AN127" i="27"/>
  <c r="AN119" i="27"/>
  <c r="AN120" i="27" s="1"/>
  <c r="AL120" i="27"/>
  <c r="P159" i="9"/>
  <c r="P14" i="10" s="1"/>
  <c r="O14" i="10"/>
  <c r="AF68" i="27"/>
  <c r="AL7" i="27"/>
  <c r="AA130" i="15"/>
  <c r="AE130" i="15"/>
  <c r="AC133" i="15"/>
  <c r="AC131" i="15"/>
  <c r="T162" i="9" s="1"/>
  <c r="AB164" i="8"/>
  <c r="AC164" i="8"/>
  <c r="U65" i="9"/>
  <c r="AB122" i="8"/>
  <c r="AC122" i="8"/>
  <c r="AD623" i="18"/>
  <c r="AA49" i="19"/>
  <c r="AE49" i="19"/>
  <c r="AF93" i="26"/>
  <c r="AH25" i="26"/>
  <c r="AD93" i="26"/>
  <c r="AD25" i="19"/>
  <c r="AF47" i="19"/>
  <c r="AE25" i="19"/>
  <c r="AE26" i="26"/>
  <c r="AE49" i="26"/>
  <c r="W27" i="26"/>
  <c r="X27" i="26" s="1"/>
  <c r="AA27" i="26" s="1"/>
  <c r="AH27" i="26" s="1"/>
  <c r="AM25" i="26"/>
  <c r="AE25" i="26"/>
  <c r="AH47" i="19"/>
  <c r="AL71" i="16"/>
  <c r="AN71" i="16" s="1"/>
  <c r="AE93" i="26"/>
  <c r="AI49" i="16"/>
  <c r="AF49" i="16"/>
  <c r="AH49" i="16"/>
  <c r="AM49" i="16"/>
  <c r="AD49" i="16"/>
  <c r="AM49" i="26"/>
  <c r="AH49" i="26"/>
  <c r="AD49" i="26"/>
  <c r="AI49" i="26"/>
  <c r="AF49" i="26"/>
  <c r="AL8" i="16"/>
  <c r="AN8" i="16" s="1"/>
  <c r="AL7" i="15"/>
  <c r="AN7" i="15" s="1"/>
  <c r="AD25" i="26"/>
  <c r="AI25" i="26"/>
  <c r="AL101" i="26"/>
  <c r="AN101" i="26" s="1"/>
  <c r="AE23" i="19"/>
  <c r="AD24" i="19"/>
  <c r="AM24" i="19"/>
  <c r="AI24" i="19"/>
  <c r="AF24" i="19"/>
  <c r="AH24" i="19"/>
  <c r="AE69" i="19"/>
  <c r="AA69" i="19"/>
  <c r="AE29" i="26"/>
  <c r="AA22" i="26"/>
  <c r="AE22" i="26"/>
  <c r="W23" i="26"/>
  <c r="AC23" i="26"/>
  <c r="X23" i="26"/>
  <c r="AA23" i="26" s="1"/>
  <c r="AD23" i="26" s="1"/>
  <c r="AI98" i="16"/>
  <c r="AH98" i="16"/>
  <c r="AF98" i="16"/>
  <c r="AD98" i="16"/>
  <c r="AA42" i="19"/>
  <c r="AE42" i="19"/>
  <c r="AE48" i="26"/>
  <c r="AA48" i="26"/>
  <c r="AF59" i="26"/>
  <c r="AI59" i="26"/>
  <c r="AM59" i="26"/>
  <c r="AH59" i="26"/>
  <c r="W98" i="26"/>
  <c r="AC98" i="26"/>
  <c r="X98" i="26"/>
  <c r="AA98" i="26" s="1"/>
  <c r="AD69" i="16"/>
  <c r="AM69" i="16"/>
  <c r="AH69" i="16"/>
  <c r="AI69" i="16"/>
  <c r="AF69" i="16"/>
  <c r="AE36" i="19"/>
  <c r="AA36" i="19"/>
  <c r="AC12" i="26"/>
  <c r="W12" i="26"/>
  <c r="AE82" i="26"/>
  <c r="AA82" i="26"/>
  <c r="AA67" i="19"/>
  <c r="AE67" i="19"/>
  <c r="AE50" i="19"/>
  <c r="AA50" i="19"/>
  <c r="AE35" i="19"/>
  <c r="AA35" i="19"/>
  <c r="AA33" i="19"/>
  <c r="AE33" i="19"/>
  <c r="AD59" i="26"/>
  <c r="AL62" i="16"/>
  <c r="AN62" i="16" s="1"/>
  <c r="AD29" i="26"/>
  <c r="AD37" i="26"/>
  <c r="AF37" i="26"/>
  <c r="AF12" i="19"/>
  <c r="AI52" i="19"/>
  <c r="AF52" i="19"/>
  <c r="AH22" i="16"/>
  <c r="AF22" i="16"/>
  <c r="AD22" i="16"/>
  <c r="U58" i="9"/>
  <c r="AI22" i="16"/>
  <c r="AM22" i="16"/>
  <c r="AE32" i="19"/>
  <c r="AA69" i="26"/>
  <c r="AE69" i="26"/>
  <c r="AE37" i="26"/>
  <c r="AC55" i="26"/>
  <c r="W55" i="26"/>
  <c r="X55" i="26" s="1"/>
  <c r="AM23" i="19"/>
  <c r="AI23" i="19"/>
  <c r="AD23" i="19"/>
  <c r="AF23" i="19"/>
  <c r="AH23" i="19"/>
  <c r="AL76" i="16"/>
  <c r="AN76" i="16" s="1"/>
  <c r="AA42" i="26"/>
  <c r="AE42" i="26"/>
  <c r="AM100" i="26"/>
  <c r="AH100" i="26"/>
  <c r="AD100" i="26"/>
  <c r="AF100" i="26"/>
  <c r="AE40" i="19"/>
  <c r="AA40" i="19"/>
  <c r="AD15" i="19"/>
  <c r="AH15" i="19"/>
  <c r="AM15" i="19"/>
  <c r="AI15" i="19"/>
  <c r="AD51" i="19"/>
  <c r="AM51" i="19"/>
  <c r="AI51" i="19"/>
  <c r="AF51" i="19"/>
  <c r="AH51" i="19"/>
  <c r="AE36" i="26"/>
  <c r="AA36" i="26"/>
  <c r="AE87" i="26"/>
  <c r="AE67" i="26"/>
  <c r="AA67" i="26"/>
  <c r="AL98" i="15"/>
  <c r="AN98" i="15" s="1"/>
  <c r="AM50" i="26"/>
  <c r="AH50" i="26"/>
  <c r="AI50" i="26"/>
  <c r="AD50" i="26"/>
  <c r="AF50" i="26"/>
  <c r="X12" i="26"/>
  <c r="AA12" i="26" s="1"/>
  <c r="AD12" i="26" s="1"/>
  <c r="AA30" i="19"/>
  <c r="AE30" i="19"/>
  <c r="AC41" i="26"/>
  <c r="W41" i="26"/>
  <c r="X41" i="26"/>
  <c r="AA41" i="26" s="1"/>
  <c r="AD41" i="26" s="1"/>
  <c r="AC35" i="26"/>
  <c r="W35" i="26"/>
  <c r="X35" i="26"/>
  <c r="AA35" i="26" s="1"/>
  <c r="AD35" i="26" s="1"/>
  <c r="AE33" i="26"/>
  <c r="AA33" i="26"/>
  <c r="AE59" i="26"/>
  <c r="AL41" i="16"/>
  <c r="AN41" i="16" s="1"/>
  <c r="AE95" i="26"/>
  <c r="AM29" i="26"/>
  <c r="AM37" i="26"/>
  <c r="AL51" i="16"/>
  <c r="AN51" i="16" s="1"/>
  <c r="AI12" i="19"/>
  <c r="AH12" i="19"/>
  <c r="AH52" i="19"/>
  <c r="AD13" i="19"/>
  <c r="AI13" i="19"/>
  <c r="AH13" i="19"/>
  <c r="AF13" i="19"/>
  <c r="AM13" i="19"/>
  <c r="AI52" i="26"/>
  <c r="AM52" i="26"/>
  <c r="AF52" i="26"/>
  <c r="AD52" i="26"/>
  <c r="AH52" i="26"/>
  <c r="AH66" i="19"/>
  <c r="AD66" i="19"/>
  <c r="AM66" i="19"/>
  <c r="AF66" i="19"/>
  <c r="AI66" i="19"/>
  <c r="AF95" i="16"/>
  <c r="AD95" i="16"/>
  <c r="AH95" i="16"/>
  <c r="AI95" i="16"/>
  <c r="U76" i="9"/>
  <c r="AM95" i="16"/>
  <c r="AI13" i="26"/>
  <c r="AH13" i="26"/>
  <c r="AM13" i="26"/>
  <c r="AF13" i="26"/>
  <c r="AE73" i="26"/>
  <c r="AI68" i="26"/>
  <c r="AD68" i="26"/>
  <c r="AF68" i="26"/>
  <c r="AM68" i="26"/>
  <c r="AH68" i="26"/>
  <c r="AE85" i="26"/>
  <c r="AA85" i="26"/>
  <c r="AA63" i="26"/>
  <c r="AE63" i="26"/>
  <c r="AE40" i="26"/>
  <c r="AA40" i="26"/>
  <c r="AF90" i="16"/>
  <c r="AI90" i="16"/>
  <c r="U155" i="9"/>
  <c r="AD90" i="16"/>
  <c r="AM90" i="16"/>
  <c r="AH90" i="16"/>
  <c r="AH76" i="19"/>
  <c r="AD76" i="19"/>
  <c r="AI76" i="19"/>
  <c r="AM76" i="19"/>
  <c r="AF76" i="19"/>
  <c r="V65" i="9"/>
  <c r="AD67" i="16"/>
  <c r="AI67" i="16"/>
  <c r="AF67" i="16"/>
  <c r="AM67" i="16"/>
  <c r="AH67" i="16"/>
  <c r="U148" i="9"/>
  <c r="AA87" i="19"/>
  <c r="AE87" i="19"/>
  <c r="AA95" i="19"/>
  <c r="V70" i="9" s="1"/>
  <c r="AE95" i="19"/>
  <c r="AH68" i="19"/>
  <c r="AM68" i="19"/>
  <c r="AI68" i="19"/>
  <c r="AF68" i="19"/>
  <c r="AD68" i="19"/>
  <c r="AE17" i="19"/>
  <c r="AA17" i="19"/>
  <c r="AI70" i="19"/>
  <c r="AF70" i="19"/>
  <c r="AM70" i="19"/>
  <c r="AH70" i="19"/>
  <c r="AA30" i="26"/>
  <c r="AE30" i="26"/>
  <c r="AM26" i="26"/>
  <c r="AH26" i="26"/>
  <c r="AD26" i="26"/>
  <c r="AF26" i="26"/>
  <c r="AI26" i="26"/>
  <c r="AL84" i="16"/>
  <c r="AN84" i="16" s="1"/>
  <c r="AE66" i="26"/>
  <c r="AA66" i="26"/>
  <c r="AE86" i="19"/>
  <c r="AA86" i="19"/>
  <c r="AL27" i="16"/>
  <c r="AN27" i="16" s="1"/>
  <c r="AE12" i="19"/>
  <c r="AH57" i="26"/>
  <c r="AM57" i="26"/>
  <c r="AD57" i="26"/>
  <c r="AI57" i="26"/>
  <c r="AF57" i="26"/>
  <c r="AC32" i="26"/>
  <c r="X32" i="26"/>
  <c r="AA32" i="26" s="1"/>
  <c r="W32" i="26"/>
  <c r="AI70" i="26"/>
  <c r="AF70" i="26"/>
  <c r="AH70" i="26"/>
  <c r="AE31" i="26"/>
  <c r="AA31" i="26"/>
  <c r="AL25" i="16"/>
  <c r="AN25" i="16" s="1"/>
  <c r="AL56" i="16"/>
  <c r="AN56" i="16" s="1"/>
  <c r="AF29" i="26"/>
  <c r="AI29" i="26"/>
  <c r="AL12" i="16"/>
  <c r="AD12" i="19"/>
  <c r="AE52" i="19"/>
  <c r="AD59" i="19"/>
  <c r="AH59" i="19"/>
  <c r="AF59" i="19"/>
  <c r="AI59" i="19"/>
  <c r="AM59" i="19"/>
  <c r="V132" i="9"/>
  <c r="AF32" i="19"/>
  <c r="AM32" i="19"/>
  <c r="AI32" i="19"/>
  <c r="AH32" i="19"/>
  <c r="AA47" i="26"/>
  <c r="AE47" i="26"/>
  <c r="AE70" i="26"/>
  <c r="AE31" i="19"/>
  <c r="AA31" i="19"/>
  <c r="AA29" i="19"/>
  <c r="AE29" i="19"/>
  <c r="AM73" i="19"/>
  <c r="AI73" i="19"/>
  <c r="V144" i="9"/>
  <c r="AD73" i="19"/>
  <c r="AF73" i="19"/>
  <c r="AH73" i="19"/>
  <c r="AE61" i="19"/>
  <c r="AA61" i="19"/>
  <c r="V141" i="9" s="1"/>
  <c r="AE22" i="19"/>
  <c r="AA22" i="19"/>
  <c r="AF32" i="16"/>
  <c r="AM32" i="16"/>
  <c r="AH32" i="16"/>
  <c r="AD32" i="16"/>
  <c r="AI32" i="16"/>
  <c r="AL35" i="16"/>
  <c r="AN35" i="16" s="1"/>
  <c r="AH73" i="26"/>
  <c r="AD73" i="26"/>
  <c r="AI73" i="26"/>
  <c r="AM73" i="26"/>
  <c r="AF73" i="26"/>
  <c r="AA85" i="19"/>
  <c r="AE85" i="19"/>
  <c r="W61" i="26"/>
  <c r="AC61" i="26"/>
  <c r="AF98" i="19"/>
  <c r="AI98" i="19"/>
  <c r="AH98" i="19"/>
  <c r="AM98" i="19"/>
  <c r="AL65" i="16"/>
  <c r="AN65" i="16" s="1"/>
  <c r="AI87" i="26"/>
  <c r="AF87" i="26"/>
  <c r="AH87" i="26"/>
  <c r="AM87" i="26"/>
  <c r="AA17" i="26"/>
  <c r="AE17" i="26"/>
  <c r="AH7" i="19"/>
  <c r="AM7" i="19"/>
  <c r="AF7" i="19"/>
  <c r="AD7" i="19"/>
  <c r="AI7" i="19"/>
  <c r="V87" i="9"/>
  <c r="AL101" i="16"/>
  <c r="AN101" i="16" s="1"/>
  <c r="AA41" i="19"/>
  <c r="AE41" i="19"/>
  <c r="AA86" i="26"/>
  <c r="AE86" i="26"/>
  <c r="AI48" i="19"/>
  <c r="AF48" i="19"/>
  <c r="AH48" i="19"/>
  <c r="AM48" i="19"/>
  <c r="AD48" i="19"/>
  <c r="AE172" i="18"/>
  <c r="AE53" i="18"/>
  <c r="Y172" i="8"/>
  <c r="AF53" i="18"/>
  <c r="AC172" i="18"/>
  <c r="H8" i="3"/>
  <c r="H10" i="3" s="1"/>
  <c r="G10" i="3"/>
  <c r="T5" i="10"/>
  <c r="S5" i="22"/>
  <c r="M5" i="7"/>
  <c r="U5" i="9"/>
  <c r="F13" i="3"/>
  <c r="M9" i="7" s="1"/>
  <c r="U9" i="9" s="1"/>
  <c r="U443" i="9" s="1"/>
  <c r="U34" i="10" s="1"/>
  <c r="H34" i="3"/>
  <c r="O12" i="7"/>
  <c r="W12" i="9" s="1"/>
  <c r="E52" i="3"/>
  <c r="L22" i="7" s="1"/>
  <c r="F52" i="3"/>
  <c r="M22" i="7" s="1"/>
  <c r="F44" i="3"/>
  <c r="H46" i="3"/>
  <c r="H49" i="3" s="1"/>
  <c r="H50" i="3" s="1"/>
  <c r="G45" i="3"/>
  <c r="G48" i="3" s="1"/>
  <c r="F34" i="3"/>
  <c r="M12" i="7"/>
  <c r="U12" i="9" s="1"/>
  <c r="T9" i="9"/>
  <c r="V22" i="9"/>
  <c r="V38" i="9" s="1"/>
  <c r="V10" i="10" s="1"/>
  <c r="N38" i="7"/>
  <c r="S184" i="9"/>
  <c r="S443" i="9"/>
  <c r="S34" i="10" s="1"/>
  <c r="E66" i="3"/>
  <c r="D30" i="3"/>
  <c r="F67" i="3"/>
  <c r="F64" i="3"/>
  <c r="F68" i="3"/>
  <c r="E27" i="3"/>
  <c r="E31" i="3"/>
  <c r="L13" i="7" s="1"/>
  <c r="T13" i="9" s="1"/>
  <c r="F65" i="3"/>
  <c r="E67" i="3"/>
  <c r="E65" i="3"/>
  <c r="D31" i="3"/>
  <c r="K13" i="7" s="1"/>
  <c r="S13" i="9" s="1"/>
  <c r="E64" i="3"/>
  <c r="E68" i="3"/>
  <c r="E26" i="3"/>
  <c r="F66" i="3"/>
  <c r="E30" i="3"/>
  <c r="B45" i="3"/>
  <c r="B48" i="3" s="1"/>
  <c r="AA9" i="8"/>
  <c r="C45" i="3"/>
  <c r="C48" i="3" s="1"/>
  <c r="Q9" i="9"/>
  <c r="R9" i="9" s="1"/>
  <c r="Q19" i="22"/>
  <c r="D44" i="3"/>
  <c r="D52" i="3"/>
  <c r="K22" i="7" s="1"/>
  <c r="AL9" i="16"/>
  <c r="AN9" i="16" s="1"/>
  <c r="R9" i="26"/>
  <c r="T9" i="26" s="1"/>
  <c r="T9" i="19"/>
  <c r="AF9" i="19"/>
  <c r="AM9" i="19"/>
  <c r="AH9" i="19"/>
  <c r="X9" i="26"/>
  <c r="AA9" i="26" s="1"/>
  <c r="AD9" i="26" s="1"/>
  <c r="W9" i="26"/>
  <c r="AC9" i="26"/>
  <c r="AL74" i="26"/>
  <c r="AN74" i="26" s="1"/>
  <c r="AL78" i="26"/>
  <c r="AN78" i="26" s="1"/>
  <c r="AL11" i="26"/>
  <c r="AN11" i="26" s="1"/>
  <c r="AL54" i="26"/>
  <c r="AN54" i="26" s="1"/>
  <c r="AL74" i="19"/>
  <c r="AN74" i="19" s="1"/>
  <c r="AL62" i="19"/>
  <c r="AN62" i="19" s="1"/>
  <c r="AL56" i="19"/>
  <c r="AN56" i="19" s="1"/>
  <c r="AD55" i="16"/>
  <c r="AF55" i="16"/>
  <c r="U124" i="9"/>
  <c r="AH55" i="16"/>
  <c r="AI55" i="16"/>
  <c r="AM55" i="16"/>
  <c r="AL11" i="16"/>
  <c r="AN11" i="16" s="1"/>
  <c r="AL56" i="26"/>
  <c r="AN56" i="26" s="1"/>
  <c r="AL99" i="19"/>
  <c r="AN99" i="19" s="1"/>
  <c r="AL65" i="15"/>
  <c r="AN65" i="15" s="1"/>
  <c r="AL92" i="16"/>
  <c r="AN92" i="16" s="1"/>
  <c r="AM53" i="26"/>
  <c r="AF53" i="26"/>
  <c r="AH53" i="26"/>
  <c r="AD53" i="26"/>
  <c r="AI53" i="26"/>
  <c r="AL90" i="19"/>
  <c r="AN90" i="19" s="1"/>
  <c r="AM92" i="26"/>
  <c r="AF92" i="26"/>
  <c r="AI92" i="26"/>
  <c r="AD92" i="26"/>
  <c r="AH92" i="26"/>
  <c r="AL74" i="16"/>
  <c r="AN74" i="16" s="1"/>
  <c r="AL36" i="16"/>
  <c r="AN36" i="16" s="1"/>
  <c r="AF90" i="26"/>
  <c r="AH90" i="26"/>
  <c r="AM90" i="26"/>
  <c r="AD90" i="26"/>
  <c r="AI90" i="26"/>
  <c r="AL79" i="15"/>
  <c r="AN79" i="15" s="1"/>
  <c r="AL47" i="15"/>
  <c r="AN47" i="15" s="1"/>
  <c r="AH94" i="26"/>
  <c r="AF94" i="26"/>
  <c r="AM94" i="26"/>
  <c r="AD94" i="26"/>
  <c r="AI94" i="26"/>
  <c r="AL65" i="26"/>
  <c r="AN65" i="26" s="1"/>
  <c r="AL107" i="15"/>
  <c r="AN107" i="15" s="1"/>
  <c r="AL99" i="16"/>
  <c r="AN99" i="16" s="1"/>
  <c r="AL65" i="19"/>
  <c r="AN65" i="19" s="1"/>
  <c r="AL47" i="16"/>
  <c r="AN47" i="16" s="1"/>
  <c r="AL91" i="16"/>
  <c r="AN91" i="16" s="1"/>
  <c r="AL94" i="16"/>
  <c r="AN94" i="16" s="1"/>
  <c r="AL91" i="26"/>
  <c r="AN91" i="26" s="1"/>
  <c r="AL53" i="15"/>
  <c r="AN53" i="15" s="1"/>
  <c r="AL42" i="16"/>
  <c r="AN42" i="16" s="1"/>
  <c r="AM63" i="19"/>
  <c r="AI63" i="19"/>
  <c r="AF63" i="19"/>
  <c r="AH63" i="19"/>
  <c r="V145" i="9"/>
  <c r="AD63" i="19"/>
  <c r="AL107" i="16"/>
  <c r="AN107" i="16" s="1"/>
  <c r="AL17" i="15"/>
  <c r="AN17" i="15" s="1"/>
  <c r="AL50" i="16"/>
  <c r="AN50" i="16" s="1"/>
  <c r="AL86" i="16"/>
  <c r="AN86" i="16" s="1"/>
  <c r="AL102" i="19"/>
  <c r="AN102" i="19" s="1"/>
  <c r="AL17" i="16"/>
  <c r="AN17" i="16" s="1"/>
  <c r="AL58" i="15"/>
  <c r="AN58" i="15" s="1"/>
  <c r="AF39" i="19"/>
  <c r="AM39" i="19"/>
  <c r="AH39" i="19"/>
  <c r="AI39" i="19"/>
  <c r="AD39" i="19"/>
  <c r="V67" i="9"/>
  <c r="AN6" i="15"/>
  <c r="AL87" i="16"/>
  <c r="AN87" i="16" s="1"/>
  <c r="AL81" i="15"/>
  <c r="AN81" i="15" s="1"/>
  <c r="AL38" i="16"/>
  <c r="AN38" i="16" s="1"/>
  <c r="AL86" i="15"/>
  <c r="AN86" i="15" s="1"/>
  <c r="AL22" i="15"/>
  <c r="AN22" i="15" s="1"/>
  <c r="AL63" i="15"/>
  <c r="AN63" i="15" s="1"/>
  <c r="AL11" i="19"/>
  <c r="AL40" i="16"/>
  <c r="AN40" i="16" s="1"/>
  <c r="AL80" i="16"/>
  <c r="AN80" i="16" s="1"/>
  <c r="AF39" i="16"/>
  <c r="AH39" i="16"/>
  <c r="AM39" i="16"/>
  <c r="AD39" i="16"/>
  <c r="AI39" i="16"/>
  <c r="U67" i="9"/>
  <c r="AI63" i="16"/>
  <c r="AM63" i="16"/>
  <c r="AF63" i="16"/>
  <c r="AH63" i="16"/>
  <c r="AD63" i="16"/>
  <c r="U145" i="9"/>
  <c r="AF39" i="26"/>
  <c r="AM39" i="26"/>
  <c r="AH39" i="26"/>
  <c r="AI39" i="26"/>
  <c r="AD39" i="26"/>
  <c r="AH54" i="19"/>
  <c r="AM54" i="19"/>
  <c r="AF54" i="19"/>
  <c r="AI54" i="19"/>
  <c r="AD54" i="19"/>
  <c r="AN108" i="14"/>
  <c r="J26" i="10"/>
  <c r="J29" i="10" s="1"/>
  <c r="J31" i="10" s="1"/>
  <c r="J438" i="9"/>
  <c r="J440" i="9" s="1"/>
  <c r="J444" i="9" s="1"/>
  <c r="J35" i="10" s="1"/>
  <c r="N26" i="10"/>
  <c r="N29" i="10" s="1"/>
  <c r="N31" i="10" s="1"/>
  <c r="N438" i="9"/>
  <c r="N440" i="9" s="1"/>
  <c r="Q439" i="9" s="1"/>
  <c r="U302" i="9"/>
  <c r="S15" i="10" l="1"/>
  <c r="AM70" i="26"/>
  <c r="T159" i="9"/>
  <c r="T14" i="10" s="1"/>
  <c r="AL78" i="16"/>
  <c r="AN78" i="16" s="1"/>
  <c r="AL35" i="15"/>
  <c r="AN35" i="15" s="1"/>
  <c r="AH24" i="26"/>
  <c r="AF24" i="26"/>
  <c r="AM24" i="26"/>
  <c r="AD24" i="26"/>
  <c r="AL24" i="26" s="1"/>
  <c r="AN24" i="26" s="1"/>
  <c r="AN12" i="16"/>
  <c r="AD54" i="16"/>
  <c r="AE9" i="19"/>
  <c r="AF54" i="16"/>
  <c r="AM54" i="16"/>
  <c r="AI9" i="19"/>
  <c r="AI54" i="16"/>
  <c r="AH33" i="16"/>
  <c r="AL61" i="16"/>
  <c r="AF33" i="16"/>
  <c r="U104" i="9"/>
  <c r="AI7" i="16"/>
  <c r="AI33" i="16"/>
  <c r="AF15" i="16"/>
  <c r="AD15" i="16"/>
  <c r="AM15" i="16"/>
  <c r="AI15" i="16"/>
  <c r="AH15" i="16"/>
  <c r="AL46" i="15"/>
  <c r="AN46" i="15" s="1"/>
  <c r="AL81" i="16"/>
  <c r="AL103" i="16"/>
  <c r="AN103" i="16" s="1"/>
  <c r="AF61" i="26"/>
  <c r="AI95" i="26"/>
  <c r="AL20" i="16"/>
  <c r="AN20" i="16" s="1"/>
  <c r="AE18" i="19"/>
  <c r="AL18" i="16"/>
  <c r="AN18" i="16" s="1"/>
  <c r="AL103" i="15"/>
  <c r="AN103" i="15" s="1"/>
  <c r="AM7" i="16"/>
  <c r="AH7" i="16"/>
  <c r="AF7" i="16"/>
  <c r="AI51" i="26"/>
  <c r="AE79" i="19"/>
  <c r="AD51" i="26"/>
  <c r="AH28" i="19"/>
  <c r="AL133" i="14"/>
  <c r="AM28" i="19"/>
  <c r="AI55" i="19"/>
  <c r="AD19" i="19"/>
  <c r="AD61" i="26"/>
  <c r="AI20" i="19"/>
  <c r="AL29" i="16"/>
  <c r="AN29" i="16" s="1"/>
  <c r="AM15" i="26"/>
  <c r="AL31" i="16"/>
  <c r="AN31" i="16" s="1"/>
  <c r="AD20" i="19"/>
  <c r="AM95" i="26"/>
  <c r="AF95" i="26"/>
  <c r="AD53" i="19"/>
  <c r="AF51" i="26"/>
  <c r="AH27" i="19"/>
  <c r="AE20" i="26"/>
  <c r="AD28" i="19"/>
  <c r="AH20" i="19"/>
  <c r="AE45" i="19"/>
  <c r="AL44" i="19"/>
  <c r="AN44" i="19" s="1"/>
  <c r="AH51" i="26"/>
  <c r="AI27" i="19"/>
  <c r="AI20" i="26"/>
  <c r="AI28" i="19"/>
  <c r="AM20" i="19"/>
  <c r="AD95" i="26"/>
  <c r="AM6" i="16"/>
  <c r="AD6" i="16"/>
  <c r="AH6" i="16"/>
  <c r="AI6" i="16"/>
  <c r="AF6" i="16"/>
  <c r="AM27" i="19"/>
  <c r="AH20" i="26"/>
  <c r="AL21" i="16"/>
  <c r="AN21" i="16" s="1"/>
  <c r="AL93" i="19"/>
  <c r="AN93" i="19" s="1"/>
  <c r="AA103" i="19"/>
  <c r="AE103" i="19"/>
  <c r="W45" i="26"/>
  <c r="X45" i="26"/>
  <c r="AA45" i="26" s="1"/>
  <c r="AN81" i="16"/>
  <c r="AC45" i="26"/>
  <c r="AC103" i="26"/>
  <c r="W103" i="26"/>
  <c r="X103" i="26"/>
  <c r="AA103" i="26" s="1"/>
  <c r="AD103" i="26" s="1"/>
  <c r="AD27" i="19"/>
  <c r="AM20" i="26"/>
  <c r="AD45" i="26"/>
  <c r="AF20" i="26"/>
  <c r="AL72" i="16"/>
  <c r="AN72" i="16" s="1"/>
  <c r="AI15" i="26"/>
  <c r="AA133" i="16"/>
  <c r="AL30" i="16"/>
  <c r="AL136" i="29"/>
  <c r="AH53" i="19"/>
  <c r="V127" i="9"/>
  <c r="AE81" i="19"/>
  <c r="AH19" i="26"/>
  <c r="AF53" i="19"/>
  <c r="AL53" i="19" s="1"/>
  <c r="AN113" i="29"/>
  <c r="AL113" i="29"/>
  <c r="AN129" i="29"/>
  <c r="AN130" i="29" s="1"/>
  <c r="AL130" i="29"/>
  <c r="AL85" i="16"/>
  <c r="AN85" i="16" s="1"/>
  <c r="AN30" i="16"/>
  <c r="AL10" i="26"/>
  <c r="AN10" i="26" s="1"/>
  <c r="AL38" i="26"/>
  <c r="AN38" i="26" s="1"/>
  <c r="AL78" i="19"/>
  <c r="AN78" i="19" s="1"/>
  <c r="AL94" i="15"/>
  <c r="AN94" i="15" s="1"/>
  <c r="AC84" i="26"/>
  <c r="W84" i="26"/>
  <c r="X84" i="26"/>
  <c r="AA84" i="26" s="1"/>
  <c r="AA84" i="19"/>
  <c r="AE84" i="19"/>
  <c r="AN61" i="16"/>
  <c r="AB437" i="8"/>
  <c r="O437" i="9"/>
  <c r="AB433" i="8"/>
  <c r="O433" i="9"/>
  <c r="O27" i="10" s="1"/>
  <c r="S160" i="9"/>
  <c r="Q165" i="9"/>
  <c r="R165" i="9" s="1"/>
  <c r="AF72" i="29"/>
  <c r="AF73" i="29" s="1"/>
  <c r="AL109" i="29"/>
  <c r="AN106" i="29"/>
  <c r="AN109" i="29" s="1"/>
  <c r="AN138" i="29"/>
  <c r="AN141" i="29" s="1"/>
  <c r="AL141" i="29"/>
  <c r="AL70" i="16"/>
  <c r="AN70" i="16" s="1"/>
  <c r="AN136" i="29"/>
  <c r="AL70" i="29"/>
  <c r="AL89" i="29"/>
  <c r="AN85" i="29"/>
  <c r="AN89" i="29" s="1"/>
  <c r="AL44" i="16"/>
  <c r="AN44" i="16" s="1"/>
  <c r="Q163" i="9"/>
  <c r="R163" i="9" s="1"/>
  <c r="AD72" i="29"/>
  <c r="AD73" i="29" s="1"/>
  <c r="AL144" i="29"/>
  <c r="AN143" i="29"/>
  <c r="AN144" i="29" s="1"/>
  <c r="AM55" i="19"/>
  <c r="AD55" i="19"/>
  <c r="AE61" i="26"/>
  <c r="AF55" i="19"/>
  <c r="AI19" i="19"/>
  <c r="AF19" i="19"/>
  <c r="AD79" i="16"/>
  <c r="AM61" i="26"/>
  <c r="AN125" i="29"/>
  <c r="AN126" i="29" s="1"/>
  <c r="AL126" i="29"/>
  <c r="AN70" i="29"/>
  <c r="AN77" i="29"/>
  <c r="AN80" i="29" s="1"/>
  <c r="AL80" i="29"/>
  <c r="AL83" i="29"/>
  <c r="AN82" i="29"/>
  <c r="AN83" i="29" s="1"/>
  <c r="AM19" i="19"/>
  <c r="AI61" i="26"/>
  <c r="Q168" i="9"/>
  <c r="R168" i="9" s="1"/>
  <c r="AI72" i="29"/>
  <c r="AI73" i="29" s="1"/>
  <c r="Q167" i="9"/>
  <c r="R167" i="9" s="1"/>
  <c r="AH72" i="29"/>
  <c r="AH73" i="29" s="1"/>
  <c r="AL99" i="29"/>
  <c r="AN97" i="29"/>
  <c r="AN99" i="29" s="1"/>
  <c r="AN101" i="29"/>
  <c r="AN104" i="29" s="1"/>
  <c r="AL131" i="14"/>
  <c r="AC71" i="26"/>
  <c r="X71" i="26"/>
  <c r="W71" i="26"/>
  <c r="S171" i="9"/>
  <c r="S16" i="10" s="1"/>
  <c r="S17" i="10" s="1"/>
  <c r="AL72" i="15"/>
  <c r="AN72" i="15" s="1"/>
  <c r="AA71" i="19"/>
  <c r="AE71" i="19"/>
  <c r="AA72" i="19"/>
  <c r="AE72" i="19"/>
  <c r="W72" i="26"/>
  <c r="AC72" i="26"/>
  <c r="X72" i="26"/>
  <c r="V223" i="9"/>
  <c r="W144" i="9"/>
  <c r="AL16" i="16"/>
  <c r="AN16" i="16" s="1"/>
  <c r="AH15" i="26"/>
  <c r="AI27" i="26"/>
  <c r="AE104" i="26"/>
  <c r="AA104" i="26"/>
  <c r="AF15" i="26"/>
  <c r="AL46" i="16"/>
  <c r="AN46" i="16" s="1"/>
  <c r="AL38" i="19"/>
  <c r="AN38" i="19" s="1"/>
  <c r="AH104" i="19"/>
  <c r="AM104" i="19"/>
  <c r="AD104" i="19"/>
  <c r="AF104" i="19"/>
  <c r="AI104" i="19"/>
  <c r="AL96" i="16"/>
  <c r="AN96" i="16" s="1"/>
  <c r="AD27" i="26"/>
  <c r="AL80" i="19"/>
  <c r="AN80" i="19" s="1"/>
  <c r="AL69" i="15"/>
  <c r="AN69" i="15" s="1"/>
  <c r="V124" i="9"/>
  <c r="AC131" i="19"/>
  <c r="V162" i="9" s="1"/>
  <c r="AL82" i="16"/>
  <c r="AN82" i="16" s="1"/>
  <c r="AE43" i="19"/>
  <c r="X96" i="26"/>
  <c r="W96" i="26"/>
  <c r="AC96" i="26"/>
  <c r="AM53" i="19"/>
  <c r="AF27" i="26"/>
  <c r="AF97" i="19"/>
  <c r="AM97" i="19"/>
  <c r="AH97" i="19"/>
  <c r="AI97" i="19"/>
  <c r="AM80" i="26"/>
  <c r="AH80" i="26"/>
  <c r="AF80" i="26"/>
  <c r="AD80" i="26"/>
  <c r="AI80" i="26"/>
  <c r="AL97" i="15"/>
  <c r="AN97" i="15" s="1"/>
  <c r="AA96" i="19"/>
  <c r="AE96" i="19"/>
  <c r="AD43" i="19"/>
  <c r="AM43" i="19"/>
  <c r="AH43" i="19"/>
  <c r="AI43" i="19"/>
  <c r="AF43" i="19"/>
  <c r="AE97" i="19"/>
  <c r="AD97" i="19"/>
  <c r="AF43" i="16"/>
  <c r="AI43" i="16"/>
  <c r="AM43" i="16"/>
  <c r="AD43" i="16"/>
  <c r="AH43" i="16"/>
  <c r="AL47" i="19"/>
  <c r="AN47" i="19" s="1"/>
  <c r="AL25" i="19"/>
  <c r="AN25" i="19" s="1"/>
  <c r="X43" i="26"/>
  <c r="AA43" i="26" s="1"/>
  <c r="W43" i="26"/>
  <c r="AC43" i="26"/>
  <c r="X97" i="26"/>
  <c r="AA97" i="26" s="1"/>
  <c r="AD97" i="26" s="1"/>
  <c r="AC97" i="26"/>
  <c r="W97" i="26"/>
  <c r="AH97" i="16"/>
  <c r="AD97" i="16"/>
  <c r="AM97" i="16"/>
  <c r="AI97" i="16"/>
  <c r="AF97" i="16"/>
  <c r="Q15" i="10"/>
  <c r="R15" i="10" s="1"/>
  <c r="R13" i="10"/>
  <c r="Y438" i="8"/>
  <c r="Y440" i="8" s="1"/>
  <c r="V292" i="9"/>
  <c r="T122" i="9"/>
  <c r="T13" i="10" s="1"/>
  <c r="V316" i="9"/>
  <c r="S283" i="9"/>
  <c r="S18" i="10" s="1"/>
  <c r="W211" i="9"/>
  <c r="W217" i="9"/>
  <c r="V199" i="9"/>
  <c r="AE32" i="26"/>
  <c r="AC133" i="19"/>
  <c r="W67" i="9"/>
  <c r="AL83" i="15"/>
  <c r="AN83" i="15" s="1"/>
  <c r="AL64" i="15"/>
  <c r="AN64" i="15" s="1"/>
  <c r="AL33" i="16"/>
  <c r="AN33" i="16" s="1"/>
  <c r="AL77" i="16"/>
  <c r="AN77" i="16" s="1"/>
  <c r="AL83" i="16"/>
  <c r="AN83" i="16" s="1"/>
  <c r="AL133" i="27"/>
  <c r="AN133" i="27"/>
  <c r="AL127" i="27"/>
  <c r="AC18" i="26"/>
  <c r="W18" i="26"/>
  <c r="AD34" i="19"/>
  <c r="AI34" i="19"/>
  <c r="AH34" i="19"/>
  <c r="AM34" i="19"/>
  <c r="AF34" i="19"/>
  <c r="AA75" i="19"/>
  <c r="AE75" i="19"/>
  <c r="W16" i="26"/>
  <c r="AC16" i="26"/>
  <c r="AH89" i="16"/>
  <c r="AF89" i="16"/>
  <c r="AI89" i="16"/>
  <c r="AD89" i="16"/>
  <c r="AM89" i="16"/>
  <c r="W127" i="9"/>
  <c r="AE16" i="19"/>
  <c r="U77" i="9"/>
  <c r="AF79" i="16"/>
  <c r="AI19" i="26"/>
  <c r="AD19" i="26"/>
  <c r="AM27" i="26"/>
  <c r="AE28" i="26"/>
  <c r="AE34" i="19"/>
  <c r="AE75" i="26"/>
  <c r="AA75" i="26"/>
  <c r="W56" i="9" s="1"/>
  <c r="AL89" i="15"/>
  <c r="AN89" i="15" s="1"/>
  <c r="X18" i="26"/>
  <c r="AA18" i="26" s="1"/>
  <c r="AE89" i="19"/>
  <c r="AA89" i="19"/>
  <c r="AL12" i="19"/>
  <c r="AN12" i="19" s="1"/>
  <c r="AH79" i="16"/>
  <c r="AI79" i="16"/>
  <c r="AF19" i="26"/>
  <c r="AA131" i="16"/>
  <c r="AL60" i="15"/>
  <c r="AN60" i="15" s="1"/>
  <c r="AC34" i="26"/>
  <c r="W34" i="26"/>
  <c r="X34" i="26" s="1"/>
  <c r="AA34" i="26" s="1"/>
  <c r="AD34" i="26" s="1"/>
  <c r="AL16" i="15"/>
  <c r="AN16" i="15" s="1"/>
  <c r="AL6" i="19"/>
  <c r="AN6" i="19" s="1"/>
  <c r="X89" i="26"/>
  <c r="AA89" i="26" s="1"/>
  <c r="W119" i="9" s="1"/>
  <c r="AL21" i="15"/>
  <c r="AN21" i="15" s="1"/>
  <c r="AL14" i="15"/>
  <c r="AN14" i="15" s="1"/>
  <c r="AL75" i="15"/>
  <c r="AN75" i="15" s="1"/>
  <c r="W89" i="26"/>
  <c r="AC89" i="26"/>
  <c r="AF82" i="19"/>
  <c r="AM82" i="19"/>
  <c r="AH82" i="19"/>
  <c r="AD82" i="19"/>
  <c r="AI82" i="19"/>
  <c r="AI7" i="26"/>
  <c r="AM7" i="26"/>
  <c r="AH7" i="26"/>
  <c r="AF7" i="26"/>
  <c r="AD7" i="26"/>
  <c r="AL6" i="26"/>
  <c r="AN6" i="26" s="1"/>
  <c r="AH75" i="16"/>
  <c r="AI75" i="16"/>
  <c r="AD75" i="16"/>
  <c r="AM75" i="16"/>
  <c r="AF75" i="16"/>
  <c r="AD34" i="16"/>
  <c r="AH34" i="16"/>
  <c r="AM34" i="16"/>
  <c r="AF34" i="16"/>
  <c r="AI34" i="16"/>
  <c r="X16" i="26"/>
  <c r="AA79" i="26"/>
  <c r="AE79" i="26"/>
  <c r="AL59" i="26"/>
  <c r="AN59" i="26" s="1"/>
  <c r="AA77" i="19"/>
  <c r="AE77" i="19"/>
  <c r="AA60" i="19"/>
  <c r="AE60" i="19"/>
  <c r="AC58" i="26"/>
  <c r="W58" i="26"/>
  <c r="X58" i="26"/>
  <c r="W83" i="26"/>
  <c r="X83" i="26"/>
  <c r="AC83" i="26"/>
  <c r="AH21" i="19"/>
  <c r="AI21" i="19"/>
  <c r="AF21" i="19"/>
  <c r="AM21" i="19"/>
  <c r="W81" i="26"/>
  <c r="AC81" i="26"/>
  <c r="X81" i="26"/>
  <c r="AA64" i="26"/>
  <c r="AE64" i="26"/>
  <c r="AL60" i="16"/>
  <c r="AN60" i="16" s="1"/>
  <c r="AL52" i="19"/>
  <c r="AN52" i="19" s="1"/>
  <c r="AE46" i="19"/>
  <c r="AA46" i="19"/>
  <c r="AI14" i="16"/>
  <c r="AD14" i="16"/>
  <c r="AF14" i="16"/>
  <c r="AH14" i="16"/>
  <c r="AM14" i="16"/>
  <c r="U55" i="9"/>
  <c r="AA88" i="19"/>
  <c r="AE88" i="19"/>
  <c r="AL19" i="16"/>
  <c r="AN19" i="16" s="1"/>
  <c r="AC60" i="26"/>
  <c r="X60" i="26"/>
  <c r="W60" i="26"/>
  <c r="AA83" i="19"/>
  <c r="AE83" i="19"/>
  <c r="W21" i="26"/>
  <c r="X21" i="26"/>
  <c r="AA21" i="26" s="1"/>
  <c r="AC21" i="26"/>
  <c r="W76" i="26"/>
  <c r="AC76" i="26"/>
  <c r="X76" i="26"/>
  <c r="AA76" i="26" s="1"/>
  <c r="W65" i="9" s="1"/>
  <c r="AL76" i="15"/>
  <c r="AN76" i="15" s="1"/>
  <c r="AL13" i="26"/>
  <c r="AN13" i="26" s="1"/>
  <c r="AL93" i="26"/>
  <c r="AN93" i="26" s="1"/>
  <c r="AE130" i="16"/>
  <c r="AE131" i="16" s="1"/>
  <c r="U164" i="9" s="1"/>
  <c r="AE46" i="26"/>
  <c r="AA46" i="26"/>
  <c r="W106" i="9" s="1"/>
  <c r="AA88" i="26"/>
  <c r="W115" i="9" s="1"/>
  <c r="AE88" i="26"/>
  <c r="AL88" i="15"/>
  <c r="AN88" i="15" s="1"/>
  <c r="AA14" i="26"/>
  <c r="AE14" i="26"/>
  <c r="AL77" i="15"/>
  <c r="AN77" i="15" s="1"/>
  <c r="AH45" i="19"/>
  <c r="AM45" i="19"/>
  <c r="AF45" i="19"/>
  <c r="AD45" i="19"/>
  <c r="AI45" i="19"/>
  <c r="AC79" i="26"/>
  <c r="W79" i="26"/>
  <c r="AM10" i="19"/>
  <c r="AD10" i="19"/>
  <c r="AI10" i="19"/>
  <c r="AF10" i="19"/>
  <c r="AH10" i="19"/>
  <c r="AH64" i="16"/>
  <c r="AF64" i="16"/>
  <c r="AM64" i="16"/>
  <c r="AI64" i="16"/>
  <c r="AD64" i="16"/>
  <c r="AL32" i="19"/>
  <c r="AN32" i="19" s="1"/>
  <c r="AE35" i="26"/>
  <c r="AL37" i="26"/>
  <c r="AN37" i="26" s="1"/>
  <c r="AL25" i="26"/>
  <c r="AN25" i="26" s="1"/>
  <c r="AA77" i="26"/>
  <c r="AE77" i="26"/>
  <c r="AA58" i="19"/>
  <c r="AE58" i="19"/>
  <c r="AA14" i="19"/>
  <c r="AE14" i="19"/>
  <c r="AE21" i="19"/>
  <c r="AF88" i="16"/>
  <c r="AM88" i="16"/>
  <c r="AI88" i="16"/>
  <c r="AD88" i="16"/>
  <c r="AH88" i="16"/>
  <c r="AE64" i="19"/>
  <c r="AA64" i="19"/>
  <c r="AF58" i="16"/>
  <c r="AI58" i="16"/>
  <c r="AD58" i="16"/>
  <c r="AM58" i="16"/>
  <c r="AH58" i="16"/>
  <c r="AN108" i="27"/>
  <c r="AN110" i="27" s="1"/>
  <c r="AL110" i="27"/>
  <c r="AN130" i="12"/>
  <c r="AD501" i="18"/>
  <c r="AE500" i="18"/>
  <c r="AF500" i="18" s="1"/>
  <c r="AD130" i="15"/>
  <c r="AM130" i="15"/>
  <c r="AF130" i="15"/>
  <c r="AH130" i="15"/>
  <c r="AA133" i="15"/>
  <c r="AA131" i="15"/>
  <c r="AI130" i="15"/>
  <c r="AB168" i="8"/>
  <c r="AC168" i="8"/>
  <c r="W83" i="9"/>
  <c r="W139" i="9"/>
  <c r="W112" i="9"/>
  <c r="W86" i="9"/>
  <c r="W146" i="9"/>
  <c r="W82" i="9"/>
  <c r="W90" i="9"/>
  <c r="W88" i="9"/>
  <c r="W108" i="9"/>
  <c r="W128" i="9"/>
  <c r="W57" i="9"/>
  <c r="W92" i="9"/>
  <c r="W118" i="9"/>
  <c r="W71" i="9"/>
  <c r="W94" i="9"/>
  <c r="W117" i="9"/>
  <c r="W135" i="9"/>
  <c r="W131" i="9"/>
  <c r="W80" i="9"/>
  <c r="W60" i="9"/>
  <c r="W84" i="9"/>
  <c r="W98" i="9"/>
  <c r="W126" i="9"/>
  <c r="W153" i="9"/>
  <c r="W123" i="9"/>
  <c r="W125" i="9"/>
  <c r="W156" i="9"/>
  <c r="W142" i="9"/>
  <c r="W121" i="9"/>
  <c r="W62" i="9"/>
  <c r="W81" i="9"/>
  <c r="W109" i="9"/>
  <c r="W87" i="9"/>
  <c r="W61" i="9"/>
  <c r="W72" i="9"/>
  <c r="W110" i="9"/>
  <c r="W116" i="9"/>
  <c r="W105" i="9"/>
  <c r="W95" i="9"/>
  <c r="W69" i="9"/>
  <c r="W99" i="9"/>
  <c r="W140" i="9"/>
  <c r="W91" i="9"/>
  <c r="W66" i="9"/>
  <c r="W68" i="9"/>
  <c r="W134" i="9"/>
  <c r="W138" i="9"/>
  <c r="W96" i="9"/>
  <c r="W130" i="9"/>
  <c r="W79" i="9"/>
  <c r="W78" i="9"/>
  <c r="W102" i="9"/>
  <c r="W137" i="9"/>
  <c r="W100" i="9"/>
  <c r="W150" i="9"/>
  <c r="W59" i="9"/>
  <c r="W157" i="9"/>
  <c r="W158" i="9"/>
  <c r="W114" i="9"/>
  <c r="W136" i="9"/>
  <c r="W149" i="9"/>
  <c r="W120" i="9"/>
  <c r="W113" i="9"/>
  <c r="W75" i="9"/>
  <c r="W111" i="9"/>
  <c r="W154" i="9"/>
  <c r="W89" i="9"/>
  <c r="AN75" i="27"/>
  <c r="AN78" i="27" s="1"/>
  <c r="AL78" i="27"/>
  <c r="AL81" i="27"/>
  <c r="AN80" i="27"/>
  <c r="AN81" i="27" s="1"/>
  <c r="AA130" i="19"/>
  <c r="AE130" i="19"/>
  <c r="AL116" i="27"/>
  <c r="AN115" i="27"/>
  <c r="AN116" i="27" s="1"/>
  <c r="AD585" i="18"/>
  <c r="AE584" i="18"/>
  <c r="AF584" i="18" s="1"/>
  <c r="AL102" i="27"/>
  <c r="AN99" i="27"/>
  <c r="AN102" i="27" s="1"/>
  <c r="AE133" i="16"/>
  <c r="W73" i="9"/>
  <c r="W70" i="9"/>
  <c r="AN135" i="27"/>
  <c r="AN138" i="27" s="1"/>
  <c r="AL138" i="27"/>
  <c r="AL131" i="13"/>
  <c r="AL72" i="29" s="1"/>
  <c r="AL133" i="13"/>
  <c r="AN6" i="13"/>
  <c r="P15" i="10"/>
  <c r="AB165" i="8"/>
  <c r="AC165" i="8"/>
  <c r="W76" i="9"/>
  <c r="AL113" i="27"/>
  <c r="AN112" i="27"/>
  <c r="AN113" i="27" s="1"/>
  <c r="AB160" i="8"/>
  <c r="AC160" i="8"/>
  <c r="AI130" i="16"/>
  <c r="AH130" i="16"/>
  <c r="AM130" i="16"/>
  <c r="AD130" i="16"/>
  <c r="AF130" i="16"/>
  <c r="AB163" i="8"/>
  <c r="AA171" i="8"/>
  <c r="AC163" i="8"/>
  <c r="W93" i="9"/>
  <c r="W143" i="9"/>
  <c r="AL68" i="27"/>
  <c r="AN7" i="27"/>
  <c r="AN68" i="27" s="1"/>
  <c r="W64" i="9"/>
  <c r="AA130" i="26"/>
  <c r="AE130" i="26"/>
  <c r="P163" i="9"/>
  <c r="O171" i="9"/>
  <c r="W147" i="9"/>
  <c r="W155" i="9"/>
  <c r="W132" i="9"/>
  <c r="W141" i="9"/>
  <c r="AE623" i="18"/>
  <c r="AF623" i="18" s="1"/>
  <c r="AD624" i="18"/>
  <c r="AE131" i="15"/>
  <c r="T164" i="9" s="1"/>
  <c r="AE133" i="15"/>
  <c r="O15" i="10"/>
  <c r="AE662" i="18"/>
  <c r="AF662" i="18" s="1"/>
  <c r="AD663" i="18"/>
  <c r="AL97" i="27"/>
  <c r="AN95" i="27"/>
  <c r="AN97" i="27" s="1"/>
  <c r="AB167" i="8"/>
  <c r="AC167" i="8"/>
  <c r="AC131" i="16"/>
  <c r="U162" i="9" s="1"/>
  <c r="AC133" i="16"/>
  <c r="AL98" i="19"/>
  <c r="AN98" i="19" s="1"/>
  <c r="AL73" i="26"/>
  <c r="AN73" i="26" s="1"/>
  <c r="AL90" i="16"/>
  <c r="AN90" i="16" s="1"/>
  <c r="AE12" i="26"/>
  <c r="AL24" i="19"/>
  <c r="AN24" i="19" s="1"/>
  <c r="AE27" i="26"/>
  <c r="AL70" i="26"/>
  <c r="AN70" i="26" s="1"/>
  <c r="AL66" i="19"/>
  <c r="AN66" i="19" s="1"/>
  <c r="AL50" i="26"/>
  <c r="AN50" i="26" s="1"/>
  <c r="AL100" i="26"/>
  <c r="AN100" i="26" s="1"/>
  <c r="AL49" i="26"/>
  <c r="AN49" i="26" s="1"/>
  <c r="AM49" i="19"/>
  <c r="AH49" i="19"/>
  <c r="AI49" i="19"/>
  <c r="AF49" i="19"/>
  <c r="AD49" i="19"/>
  <c r="AL26" i="26"/>
  <c r="AN26" i="26" s="1"/>
  <c r="AL68" i="19"/>
  <c r="AN68" i="19" s="1"/>
  <c r="AL49" i="16"/>
  <c r="AN49" i="16" s="1"/>
  <c r="AL39" i="26"/>
  <c r="AN39" i="26" s="1"/>
  <c r="AL63" i="16"/>
  <c r="AN63" i="16" s="1"/>
  <c r="V143" i="9"/>
  <c r="AD61" i="19"/>
  <c r="AF61" i="19"/>
  <c r="AH61" i="19"/>
  <c r="AI61" i="19"/>
  <c r="AM61" i="19"/>
  <c r="V103" i="9"/>
  <c r="AF31" i="19"/>
  <c r="AI31" i="19"/>
  <c r="AM31" i="19"/>
  <c r="AD31" i="19"/>
  <c r="AH31" i="19"/>
  <c r="AH47" i="26"/>
  <c r="AD47" i="26"/>
  <c r="AF47" i="26"/>
  <c r="W107" i="9"/>
  <c r="AM47" i="26"/>
  <c r="AI47" i="26"/>
  <c r="AF81" i="19"/>
  <c r="AI81" i="19"/>
  <c r="AD81" i="19"/>
  <c r="AM81" i="19"/>
  <c r="AH81" i="19"/>
  <c r="AF30" i="26"/>
  <c r="AH30" i="26"/>
  <c r="AD30" i="26"/>
  <c r="AM30" i="26"/>
  <c r="AI30" i="26"/>
  <c r="AI95" i="19"/>
  <c r="AD95" i="19"/>
  <c r="AH95" i="19"/>
  <c r="AF95" i="19"/>
  <c r="AM95" i="19"/>
  <c r="V76" i="9"/>
  <c r="AL67" i="16"/>
  <c r="AN67" i="16" s="1"/>
  <c r="V77" i="9"/>
  <c r="AH79" i="19"/>
  <c r="AF79" i="19"/>
  <c r="AM79" i="19"/>
  <c r="AD79" i="19"/>
  <c r="AI79" i="19"/>
  <c r="AI63" i="26"/>
  <c r="AH63" i="26"/>
  <c r="AF63" i="26"/>
  <c r="AM63" i="26"/>
  <c r="W145" i="9"/>
  <c r="AD63" i="26"/>
  <c r="AH30" i="19"/>
  <c r="AF30" i="19"/>
  <c r="AM30" i="19"/>
  <c r="AD30" i="19"/>
  <c r="AI30" i="19"/>
  <c r="AM36" i="26"/>
  <c r="AF36" i="26"/>
  <c r="AI36" i="26"/>
  <c r="W101" i="9"/>
  <c r="AH36" i="26"/>
  <c r="AD36" i="26"/>
  <c r="AM42" i="26"/>
  <c r="AH42" i="26"/>
  <c r="AD42" i="26"/>
  <c r="AI42" i="26"/>
  <c r="AF42" i="26"/>
  <c r="AL29" i="26"/>
  <c r="AN29" i="26" s="1"/>
  <c r="AD33" i="19"/>
  <c r="AI33" i="19"/>
  <c r="AH33" i="19"/>
  <c r="V104" i="9"/>
  <c r="AM33" i="19"/>
  <c r="AF33" i="19"/>
  <c r="AF28" i="26"/>
  <c r="AH28" i="26"/>
  <c r="AM28" i="26"/>
  <c r="AI28" i="26"/>
  <c r="AD28" i="26"/>
  <c r="V148" i="9"/>
  <c r="AM67" i="19"/>
  <c r="AI67" i="19"/>
  <c r="AD67" i="19"/>
  <c r="AF67" i="19"/>
  <c r="AH67" i="19"/>
  <c r="AD98" i="26"/>
  <c r="AF98" i="26"/>
  <c r="AH98" i="26"/>
  <c r="AM98" i="26"/>
  <c r="AI98" i="26"/>
  <c r="AF48" i="26"/>
  <c r="AH48" i="26"/>
  <c r="AM48" i="26"/>
  <c r="AI48" i="26"/>
  <c r="AD48" i="26"/>
  <c r="W97" i="9"/>
  <c r="AH86" i="26"/>
  <c r="W129" i="9"/>
  <c r="AF86" i="26"/>
  <c r="AI86" i="26"/>
  <c r="AD86" i="26"/>
  <c r="AM86" i="26"/>
  <c r="AM41" i="19"/>
  <c r="AF41" i="19"/>
  <c r="AI41" i="19"/>
  <c r="AH41" i="19"/>
  <c r="AD41" i="19"/>
  <c r="AL7" i="19"/>
  <c r="AN7" i="19" s="1"/>
  <c r="AM85" i="19"/>
  <c r="AF85" i="19"/>
  <c r="AD85" i="19"/>
  <c r="AH85" i="19"/>
  <c r="AI85" i="19"/>
  <c r="V74" i="9"/>
  <c r="AL73" i="19"/>
  <c r="AN73" i="19" s="1"/>
  <c r="W103" i="9"/>
  <c r="AH31" i="26"/>
  <c r="AI31" i="26"/>
  <c r="AM31" i="26"/>
  <c r="AD31" i="26"/>
  <c r="AF31" i="26"/>
  <c r="AM32" i="26"/>
  <c r="AF32" i="26"/>
  <c r="AH32" i="26"/>
  <c r="AI32" i="26"/>
  <c r="AD32" i="26"/>
  <c r="AL57" i="26"/>
  <c r="AN57" i="26" s="1"/>
  <c r="AM66" i="26"/>
  <c r="AH66" i="26"/>
  <c r="AI66" i="26"/>
  <c r="AF66" i="26"/>
  <c r="AD66" i="26"/>
  <c r="AM17" i="19"/>
  <c r="AF17" i="19"/>
  <c r="AH17" i="19"/>
  <c r="AI17" i="19"/>
  <c r="AD17" i="19"/>
  <c r="AL76" i="19"/>
  <c r="AN76" i="19" s="1"/>
  <c r="AD40" i="26"/>
  <c r="AF40" i="26"/>
  <c r="AM40" i="26"/>
  <c r="AH40" i="26"/>
  <c r="AI40" i="26"/>
  <c r="W63" i="9"/>
  <c r="W74" i="9"/>
  <c r="AH85" i="26"/>
  <c r="AD85" i="26"/>
  <c r="AI85" i="26"/>
  <c r="AF85" i="26"/>
  <c r="AM85" i="26"/>
  <c r="AL13" i="19"/>
  <c r="AN13" i="19" s="1"/>
  <c r="AF33" i="26"/>
  <c r="W104" i="9"/>
  <c r="AH33" i="26"/>
  <c r="AI33" i="26"/>
  <c r="AM33" i="26"/>
  <c r="AD33" i="26"/>
  <c r="AM35" i="26"/>
  <c r="AH35" i="26"/>
  <c r="AF35" i="26"/>
  <c r="AI35" i="26"/>
  <c r="AE41" i="26"/>
  <c r="W148" i="9"/>
  <c r="AH67" i="26"/>
  <c r="AM67" i="26"/>
  <c r="AI67" i="26"/>
  <c r="AF67" i="26"/>
  <c r="AD67" i="26"/>
  <c r="V63" i="9"/>
  <c r="AH40" i="19"/>
  <c r="AM40" i="19"/>
  <c r="AF40" i="19"/>
  <c r="AI40" i="19"/>
  <c r="AD40" i="19"/>
  <c r="AL23" i="19"/>
  <c r="AN23" i="19" s="1"/>
  <c r="AE55" i="26"/>
  <c r="AA55" i="26"/>
  <c r="AF35" i="19"/>
  <c r="AM35" i="19"/>
  <c r="AH35" i="19"/>
  <c r="AI35" i="19"/>
  <c r="AD35" i="19"/>
  <c r="AF50" i="19"/>
  <c r="AH50" i="19"/>
  <c r="AD50" i="19"/>
  <c r="AM50" i="19"/>
  <c r="AI50" i="19"/>
  <c r="AD82" i="26"/>
  <c r="AM82" i="26"/>
  <c r="AI82" i="26"/>
  <c r="AH82" i="26"/>
  <c r="AF82" i="26"/>
  <c r="AF42" i="19"/>
  <c r="AD42" i="19"/>
  <c r="AI42" i="19"/>
  <c r="AM42" i="19"/>
  <c r="AH42" i="19"/>
  <c r="AE23" i="26"/>
  <c r="AF69" i="19"/>
  <c r="AD69" i="19"/>
  <c r="AM69" i="19"/>
  <c r="AI69" i="19"/>
  <c r="AH69" i="19"/>
  <c r="AL32" i="16"/>
  <c r="AN32" i="16" s="1"/>
  <c r="AI22" i="19"/>
  <c r="AD22" i="19"/>
  <c r="AH22" i="19"/>
  <c r="V58" i="9"/>
  <c r="AM22" i="19"/>
  <c r="AF22" i="19"/>
  <c r="AL59" i="19"/>
  <c r="AN59" i="19" s="1"/>
  <c r="AH16" i="19"/>
  <c r="AM16" i="19"/>
  <c r="AF16" i="19"/>
  <c r="AI16" i="19"/>
  <c r="AD16" i="19"/>
  <c r="V93" i="9"/>
  <c r="AD87" i="19"/>
  <c r="AM87" i="19"/>
  <c r="AI87" i="19"/>
  <c r="AF87" i="19"/>
  <c r="AH87" i="19"/>
  <c r="AL68" i="26"/>
  <c r="AN68" i="26" s="1"/>
  <c r="AL95" i="16"/>
  <c r="AN95" i="16" s="1"/>
  <c r="W133" i="9"/>
  <c r="AH12" i="26"/>
  <c r="AM12" i="26"/>
  <c r="AI12" i="26"/>
  <c r="AF12" i="26"/>
  <c r="AL51" i="19"/>
  <c r="AN51" i="19" s="1"/>
  <c r="AH69" i="26"/>
  <c r="AF69" i="26"/>
  <c r="AD69" i="26"/>
  <c r="AI69" i="26"/>
  <c r="AM69" i="26"/>
  <c r="AL69" i="16"/>
  <c r="AN69" i="16" s="1"/>
  <c r="AF23" i="26"/>
  <c r="AI23" i="26"/>
  <c r="AM23" i="26"/>
  <c r="AH23" i="26"/>
  <c r="W58" i="9"/>
  <c r="AH22" i="26"/>
  <c r="AI22" i="26"/>
  <c r="AM22" i="26"/>
  <c r="AF22" i="26"/>
  <c r="AD22" i="26"/>
  <c r="AL9" i="19"/>
  <c r="AN9" i="19" s="1"/>
  <c r="AL48" i="19"/>
  <c r="AN48" i="19" s="1"/>
  <c r="AF17" i="26"/>
  <c r="AH17" i="26"/>
  <c r="AM17" i="26"/>
  <c r="AI17" i="26"/>
  <c r="AD17" i="26"/>
  <c r="AM29" i="19"/>
  <c r="AH29" i="19"/>
  <c r="V97" i="9"/>
  <c r="AF29" i="19"/>
  <c r="AI29" i="19"/>
  <c r="AD29" i="19"/>
  <c r="V129" i="9"/>
  <c r="AF86" i="19"/>
  <c r="AH86" i="19"/>
  <c r="AD86" i="19"/>
  <c r="AM86" i="19"/>
  <c r="AI86" i="19"/>
  <c r="AL70" i="19"/>
  <c r="AN70" i="19" s="1"/>
  <c r="AL52" i="26"/>
  <c r="AN52" i="26" s="1"/>
  <c r="AH41" i="26"/>
  <c r="AI41" i="26"/>
  <c r="AF41" i="26"/>
  <c r="AM41" i="26"/>
  <c r="AL87" i="26"/>
  <c r="AN87" i="26" s="1"/>
  <c r="AL15" i="19"/>
  <c r="AN15" i="19" s="1"/>
  <c r="AH18" i="19"/>
  <c r="AM18" i="19"/>
  <c r="AI18" i="19"/>
  <c r="AF18" i="19"/>
  <c r="AD18" i="19"/>
  <c r="AL22" i="16"/>
  <c r="AN22" i="16" s="1"/>
  <c r="V101" i="9"/>
  <c r="AD36" i="19"/>
  <c r="AH36" i="19"/>
  <c r="AI36" i="19"/>
  <c r="AM36" i="19"/>
  <c r="AF36" i="19"/>
  <c r="AE98" i="26"/>
  <c r="AL98" i="16"/>
  <c r="AN98" i="16" s="1"/>
  <c r="G46" i="3"/>
  <c r="G49" i="3" s="1"/>
  <c r="G50" i="3" s="1"/>
  <c r="U184" i="9"/>
  <c r="T5" i="22"/>
  <c r="U5" i="10"/>
  <c r="V5" i="9"/>
  <c r="N5" i="7"/>
  <c r="G13" i="3"/>
  <c r="N9" i="7" s="1"/>
  <c r="V9" i="9" s="1"/>
  <c r="W5" i="9"/>
  <c r="O5" i="7"/>
  <c r="H13" i="3"/>
  <c r="O9" i="7" s="1"/>
  <c r="W9" i="9" s="1"/>
  <c r="H53" i="3"/>
  <c r="O10" i="7"/>
  <c r="T22" i="9"/>
  <c r="T38" i="9" s="1"/>
  <c r="L38" i="7"/>
  <c r="F45" i="3"/>
  <c r="F48" i="3" s="1"/>
  <c r="L12" i="7"/>
  <c r="T12" i="9" s="1"/>
  <c r="E34" i="3"/>
  <c r="K12" i="7"/>
  <c r="S12" i="9" s="1"/>
  <c r="D34" i="3"/>
  <c r="U22" i="9"/>
  <c r="U38" i="9" s="1"/>
  <c r="M38" i="7"/>
  <c r="T443" i="9"/>
  <c r="T34" i="10" s="1"/>
  <c r="T184" i="9"/>
  <c r="E45" i="3"/>
  <c r="E48" i="3" s="1"/>
  <c r="B46" i="3"/>
  <c r="B49" i="3" s="1"/>
  <c r="B50" i="3" s="1"/>
  <c r="AB9" i="8"/>
  <c r="O9" i="9"/>
  <c r="AC9" i="8"/>
  <c r="AA184" i="8"/>
  <c r="D45" i="3"/>
  <c r="D48" i="3" s="1"/>
  <c r="P25" i="22"/>
  <c r="O25" i="22" s="1"/>
  <c r="P23" i="22"/>
  <c r="P24" i="22"/>
  <c r="O24" i="22" s="1"/>
  <c r="P28" i="22"/>
  <c r="O28" i="22" s="1"/>
  <c r="P26" i="22"/>
  <c r="O26" i="22" s="1"/>
  <c r="P27" i="22"/>
  <c r="O27" i="22" s="1"/>
  <c r="Q443" i="9"/>
  <c r="Q34" i="10" s="1"/>
  <c r="Q184" i="9"/>
  <c r="S22" i="9"/>
  <c r="S38" i="9" s="1"/>
  <c r="K38" i="7"/>
  <c r="C46" i="3"/>
  <c r="AI9" i="26"/>
  <c r="AM9" i="26"/>
  <c r="AH9" i="26"/>
  <c r="AF9" i="26"/>
  <c r="AE9" i="26"/>
  <c r="AL92" i="26"/>
  <c r="AN92" i="26" s="1"/>
  <c r="AL94" i="26"/>
  <c r="AN94" i="26" s="1"/>
  <c r="AL90" i="26"/>
  <c r="AN90" i="26" s="1"/>
  <c r="AL63" i="19"/>
  <c r="AN63" i="19" s="1"/>
  <c r="AL55" i="16"/>
  <c r="AN55" i="16" s="1"/>
  <c r="U159" i="9"/>
  <c r="U14" i="10" s="1"/>
  <c r="AL53" i="26"/>
  <c r="AN53" i="26" s="1"/>
  <c r="AN11" i="19"/>
  <c r="AL54" i="19"/>
  <c r="AN54" i="19" s="1"/>
  <c r="AL39" i="19"/>
  <c r="AN39" i="19" s="1"/>
  <c r="AL39" i="16"/>
  <c r="AN133" i="14"/>
  <c r="AN131" i="14"/>
  <c r="N444" i="9"/>
  <c r="N35" i="10" s="1"/>
  <c r="V302" i="9"/>
  <c r="T15" i="10" l="1"/>
  <c r="AL54" i="16"/>
  <c r="AN54" i="16" s="1"/>
  <c r="AI133" i="16"/>
  <c r="AL20" i="26"/>
  <c r="AL15" i="16"/>
  <c r="AN15" i="16" s="1"/>
  <c r="AL7" i="16"/>
  <c r="AL55" i="19"/>
  <c r="AN55" i="19" s="1"/>
  <c r="AL15" i="26"/>
  <c r="AN15" i="26" s="1"/>
  <c r="AL27" i="19"/>
  <c r="AN27" i="19" s="1"/>
  <c r="AL51" i="26"/>
  <c r="AN51" i="26" s="1"/>
  <c r="AL20" i="19"/>
  <c r="AN20" i="19" s="1"/>
  <c r="AN20" i="26"/>
  <c r="AL95" i="26"/>
  <c r="AN95" i="26" s="1"/>
  <c r="AN7" i="16"/>
  <c r="AL61" i="26"/>
  <c r="AN61" i="26" s="1"/>
  <c r="AL19" i="19"/>
  <c r="AN19" i="19" s="1"/>
  <c r="AL28" i="19"/>
  <c r="AN28" i="19" s="1"/>
  <c r="AM133" i="16"/>
  <c r="AE45" i="26"/>
  <c r="AE103" i="26"/>
  <c r="AL6" i="16"/>
  <c r="AN6" i="16" s="1"/>
  <c r="AF103" i="26"/>
  <c r="AH103" i="26"/>
  <c r="AI103" i="26"/>
  <c r="AM103" i="26"/>
  <c r="AD103" i="19"/>
  <c r="AH103" i="19"/>
  <c r="AM103" i="19"/>
  <c r="AI103" i="19"/>
  <c r="AF103" i="19"/>
  <c r="AM45" i="26"/>
  <c r="AH45" i="26"/>
  <c r="AF45" i="26"/>
  <c r="AI45" i="26"/>
  <c r="AE133" i="19"/>
  <c r="AD84" i="19"/>
  <c r="AF84" i="19"/>
  <c r="AM84" i="19"/>
  <c r="AH84" i="19"/>
  <c r="AI84" i="19"/>
  <c r="V73" i="9"/>
  <c r="AE84" i="26"/>
  <c r="AD84" i="26"/>
  <c r="AF84" i="26"/>
  <c r="AI84" i="26"/>
  <c r="AM84" i="26"/>
  <c r="AH84" i="26"/>
  <c r="AL73" i="29"/>
  <c r="O28" i="10"/>
  <c r="S172" i="9"/>
  <c r="Q171" i="9"/>
  <c r="Q172" i="9" s="1"/>
  <c r="R172" i="9" s="1"/>
  <c r="AF133" i="16"/>
  <c r="AL146" i="29"/>
  <c r="AL147" i="29" s="1"/>
  <c r="AA133" i="19"/>
  <c r="AN146" i="29"/>
  <c r="AN147" i="29" s="1"/>
  <c r="AH71" i="19"/>
  <c r="AF71" i="19"/>
  <c r="AI71" i="19"/>
  <c r="AM71" i="19"/>
  <c r="AD71" i="19"/>
  <c r="AA71" i="26"/>
  <c r="AE71" i="26"/>
  <c r="AA72" i="26"/>
  <c r="AE72" i="26"/>
  <c r="AF72" i="19"/>
  <c r="AD72" i="19"/>
  <c r="AM72" i="19"/>
  <c r="AH72" i="19"/>
  <c r="AI72" i="19"/>
  <c r="R184" i="9"/>
  <c r="W223" i="9"/>
  <c r="AL19" i="26"/>
  <c r="AN19" i="26" s="1"/>
  <c r="AL104" i="19"/>
  <c r="AN104" i="19" s="1"/>
  <c r="AD104" i="26"/>
  <c r="AF104" i="26"/>
  <c r="AH104" i="26"/>
  <c r="AM104" i="26"/>
  <c r="AI104" i="26"/>
  <c r="AE97" i="26"/>
  <c r="AL27" i="26"/>
  <c r="AN27" i="26" s="1"/>
  <c r="AH131" i="16"/>
  <c r="U167" i="9" s="1"/>
  <c r="AM131" i="16"/>
  <c r="AA131" i="19"/>
  <c r="AC133" i="26"/>
  <c r="AL79" i="16"/>
  <c r="AN79" i="16" s="1"/>
  <c r="AE43" i="26"/>
  <c r="AL43" i="19"/>
  <c r="AN43" i="19" s="1"/>
  <c r="AL97" i="19"/>
  <c r="AN97" i="19" s="1"/>
  <c r="AC131" i="26"/>
  <c r="W162" i="9" s="1"/>
  <c r="AF131" i="16"/>
  <c r="U165" i="9" s="1"/>
  <c r="AI131" i="16"/>
  <c r="U168" i="9" s="1"/>
  <c r="AL97" i="16"/>
  <c r="AN97" i="16" s="1"/>
  <c r="AH43" i="26"/>
  <c r="AM43" i="26"/>
  <c r="AI43" i="26"/>
  <c r="AF43" i="26"/>
  <c r="AL80" i="26"/>
  <c r="AN80" i="26" s="1"/>
  <c r="T160" i="9"/>
  <c r="AD131" i="16"/>
  <c r="U163" i="9" s="1"/>
  <c r="AE131" i="19"/>
  <c r="V164" i="9" s="1"/>
  <c r="AF97" i="26"/>
  <c r="AM97" i="26"/>
  <c r="AH97" i="26"/>
  <c r="AI97" i="26"/>
  <c r="AL43" i="16"/>
  <c r="AN43" i="16" s="1"/>
  <c r="AD96" i="19"/>
  <c r="AM96" i="19"/>
  <c r="AH96" i="19"/>
  <c r="AI96" i="19"/>
  <c r="AF96" i="19"/>
  <c r="AN53" i="19"/>
  <c r="AD43" i="26"/>
  <c r="AA96" i="26"/>
  <c r="AE96" i="26"/>
  <c r="Q16" i="10"/>
  <c r="R16" i="10" s="1"/>
  <c r="U122" i="9"/>
  <c r="U13" i="10" s="1"/>
  <c r="U15" i="10" s="1"/>
  <c r="W292" i="9"/>
  <c r="W316" i="9"/>
  <c r="U283" i="9"/>
  <c r="U18" i="10" s="1"/>
  <c r="T283" i="9"/>
  <c r="T18" i="10" s="1"/>
  <c r="Q283" i="9"/>
  <c r="W199" i="9"/>
  <c r="AL58" i="16"/>
  <c r="AN58" i="16" s="1"/>
  <c r="AL64" i="16"/>
  <c r="AN64" i="16" s="1"/>
  <c r="AL10" i="19"/>
  <c r="AN10" i="19" s="1"/>
  <c r="AL28" i="26"/>
  <c r="AN28" i="26" s="1"/>
  <c r="AD133" i="16"/>
  <c r="AE34" i="26"/>
  <c r="AL143" i="27"/>
  <c r="AL144" i="27" s="1"/>
  <c r="C49" i="3"/>
  <c r="C50" i="3" s="1"/>
  <c r="AL34" i="16"/>
  <c r="AN34" i="16" s="1"/>
  <c r="AM75" i="19"/>
  <c r="AH75" i="19"/>
  <c r="AF75" i="19"/>
  <c r="AD75" i="19"/>
  <c r="AI75" i="19"/>
  <c r="V56" i="9"/>
  <c r="AL82" i="19"/>
  <c r="AN82" i="19" s="1"/>
  <c r="AE89" i="26"/>
  <c r="AH18" i="26"/>
  <c r="AI18" i="26"/>
  <c r="AF18" i="26"/>
  <c r="AM18" i="26"/>
  <c r="AD18" i="26"/>
  <c r="AL89" i="16"/>
  <c r="AN89" i="16" s="1"/>
  <c r="AL34" i="19"/>
  <c r="AN34" i="19" s="1"/>
  <c r="AL21" i="19"/>
  <c r="AN21" i="19" s="1"/>
  <c r="AM34" i="26"/>
  <c r="AF34" i="26"/>
  <c r="AI34" i="26"/>
  <c r="AH34" i="26"/>
  <c r="AE18" i="26"/>
  <c r="AE16" i="26"/>
  <c r="AA16" i="26"/>
  <c r="AL75" i="16"/>
  <c r="AN75" i="16" s="1"/>
  <c r="AL7" i="26"/>
  <c r="AN7" i="26" s="1"/>
  <c r="AD89" i="26"/>
  <c r="AF89" i="26"/>
  <c r="AM89" i="26"/>
  <c r="AH89" i="26"/>
  <c r="AI89" i="26"/>
  <c r="V119" i="9"/>
  <c r="AI89" i="19"/>
  <c r="AM89" i="19"/>
  <c r="AH89" i="19"/>
  <c r="AD89" i="19"/>
  <c r="AF89" i="19"/>
  <c r="AI75" i="26"/>
  <c r="AF75" i="26"/>
  <c r="AD75" i="26"/>
  <c r="AM75" i="26"/>
  <c r="AH75" i="26"/>
  <c r="AM14" i="19"/>
  <c r="AD14" i="19"/>
  <c r="AH14" i="19"/>
  <c r="AF14" i="19"/>
  <c r="AI14" i="19"/>
  <c r="AI77" i="26"/>
  <c r="AD77" i="26"/>
  <c r="AM77" i="26"/>
  <c r="AF77" i="26"/>
  <c r="AH77" i="26"/>
  <c r="V55" i="9"/>
  <c r="AE81" i="26"/>
  <c r="AA81" i="26"/>
  <c r="AA83" i="26"/>
  <c r="AE83" i="26"/>
  <c r="AD77" i="19"/>
  <c r="AI77" i="19"/>
  <c r="AM77" i="19"/>
  <c r="AF77" i="19"/>
  <c r="AH77" i="19"/>
  <c r="V85" i="9"/>
  <c r="AL79" i="19"/>
  <c r="AN79" i="19" s="1"/>
  <c r="AL30" i="26"/>
  <c r="AN30" i="26" s="1"/>
  <c r="W85" i="9"/>
  <c r="AL45" i="19"/>
  <c r="AN45" i="19" s="1"/>
  <c r="AM21" i="26"/>
  <c r="AF21" i="26"/>
  <c r="AI21" i="26"/>
  <c r="AH21" i="26"/>
  <c r="AD83" i="19"/>
  <c r="AF83" i="19"/>
  <c r="AI83" i="19"/>
  <c r="AM83" i="19"/>
  <c r="AH83" i="19"/>
  <c r="AH133" i="16"/>
  <c r="AL12" i="26"/>
  <c r="AN12" i="26" s="1"/>
  <c r="AL42" i="19"/>
  <c r="AN42" i="19" s="1"/>
  <c r="AL35" i="26"/>
  <c r="AN35" i="26" s="1"/>
  <c r="AL17" i="19"/>
  <c r="AN17" i="19" s="1"/>
  <c r="AL32" i="26"/>
  <c r="AN32" i="26" s="1"/>
  <c r="AL41" i="19"/>
  <c r="AN41" i="19" s="1"/>
  <c r="AL31" i="19"/>
  <c r="AN31" i="19" s="1"/>
  <c r="AL49" i="19"/>
  <c r="AN49" i="19" s="1"/>
  <c r="AL88" i="16"/>
  <c r="AN88" i="16" s="1"/>
  <c r="AH58" i="19"/>
  <c r="AD58" i="19"/>
  <c r="AM58" i="19"/>
  <c r="AI58" i="19"/>
  <c r="AF58" i="19"/>
  <c r="V151" i="9"/>
  <c r="AF88" i="26"/>
  <c r="AH88" i="26"/>
  <c r="AD88" i="26"/>
  <c r="AI88" i="26"/>
  <c r="AM88" i="26"/>
  <c r="AE76" i="26"/>
  <c r="AD21" i="26"/>
  <c r="AM46" i="19"/>
  <c r="AD46" i="19"/>
  <c r="V106" i="9"/>
  <c r="AF46" i="19"/>
  <c r="AI46" i="19"/>
  <c r="AH46" i="19"/>
  <c r="AA58" i="26"/>
  <c r="AE58" i="26"/>
  <c r="AH60" i="19"/>
  <c r="AD60" i="19"/>
  <c r="AI60" i="19"/>
  <c r="AM60" i="19"/>
  <c r="AF60" i="19"/>
  <c r="AL18" i="19"/>
  <c r="AN18" i="19" s="1"/>
  <c r="AL41" i="26"/>
  <c r="AN41" i="26" s="1"/>
  <c r="AM64" i="19"/>
  <c r="AI64" i="19"/>
  <c r="AF64" i="19"/>
  <c r="AH64" i="19"/>
  <c r="V147" i="9"/>
  <c r="AD64" i="19"/>
  <c r="AM14" i="26"/>
  <c r="AF14" i="26"/>
  <c r="AH14" i="26"/>
  <c r="AI14" i="26"/>
  <c r="AD14" i="26"/>
  <c r="AI46" i="26"/>
  <c r="AD46" i="26"/>
  <c r="AM46" i="26"/>
  <c r="AF46" i="26"/>
  <c r="AH46" i="26"/>
  <c r="AM76" i="26"/>
  <c r="AD76" i="26"/>
  <c r="AF76" i="26"/>
  <c r="AI76" i="26"/>
  <c r="AH76" i="26"/>
  <c r="AE21" i="26"/>
  <c r="AA60" i="26"/>
  <c r="AE60" i="26"/>
  <c r="AI88" i="19"/>
  <c r="V115" i="9"/>
  <c r="AF88" i="19"/>
  <c r="AD88" i="19"/>
  <c r="AH88" i="19"/>
  <c r="AM88" i="19"/>
  <c r="AL14" i="16"/>
  <c r="AN14" i="16" s="1"/>
  <c r="AM64" i="26"/>
  <c r="AF64" i="26"/>
  <c r="AD64" i="26"/>
  <c r="AI64" i="26"/>
  <c r="AH64" i="26"/>
  <c r="AD79" i="26"/>
  <c r="AI79" i="26"/>
  <c r="AF79" i="26"/>
  <c r="AH79" i="26"/>
  <c r="AM79" i="26"/>
  <c r="W77" i="9"/>
  <c r="AD130" i="26"/>
  <c r="AH130" i="26"/>
  <c r="AM130" i="26"/>
  <c r="AI130" i="26"/>
  <c r="AF130" i="26"/>
  <c r="AL130" i="15"/>
  <c r="AD131" i="15"/>
  <c r="T163" i="9" s="1"/>
  <c r="AD133" i="15"/>
  <c r="AH133" i="15"/>
  <c r="AH131" i="15"/>
  <c r="T167" i="9" s="1"/>
  <c r="AL130" i="16"/>
  <c r="AN130" i="16" s="1"/>
  <c r="AN133" i="13"/>
  <c r="AN131" i="13"/>
  <c r="AN72" i="29" s="1"/>
  <c r="AN73" i="29" s="1"/>
  <c r="AI131" i="15"/>
  <c r="T168" i="9" s="1"/>
  <c r="AI133" i="15"/>
  <c r="AF133" i="15"/>
  <c r="AF131" i="15"/>
  <c r="T165" i="9" s="1"/>
  <c r="P171" i="9"/>
  <c r="P16" i="10" s="1"/>
  <c r="P17" i="10" s="1"/>
  <c r="O16" i="10"/>
  <c r="O17" i="10" s="1"/>
  <c r="O172" i="9"/>
  <c r="P172" i="9" s="1"/>
  <c r="AA172" i="8"/>
  <c r="AB171" i="8"/>
  <c r="AC171" i="8"/>
  <c r="AF130" i="19"/>
  <c r="AM130" i="19"/>
  <c r="AI130" i="19"/>
  <c r="AH130" i="19"/>
  <c r="AD130" i="19"/>
  <c r="AN143" i="27"/>
  <c r="AN144" i="27" s="1"/>
  <c r="AM133" i="15"/>
  <c r="AM131" i="15"/>
  <c r="AL98" i="26"/>
  <c r="AN98" i="26" s="1"/>
  <c r="AL17" i="26"/>
  <c r="AN17" i="26" s="1"/>
  <c r="AL35" i="19"/>
  <c r="AN35" i="19" s="1"/>
  <c r="AL40" i="19"/>
  <c r="AN40" i="19" s="1"/>
  <c r="AL36" i="26"/>
  <c r="AN36" i="26" s="1"/>
  <c r="AL69" i="19"/>
  <c r="AN69" i="19" s="1"/>
  <c r="AL86" i="19"/>
  <c r="AN86" i="19" s="1"/>
  <c r="AL29" i="19"/>
  <c r="AN29" i="19" s="1"/>
  <c r="AL23" i="26"/>
  <c r="AN23" i="26" s="1"/>
  <c r="AL69" i="26"/>
  <c r="AN69" i="26" s="1"/>
  <c r="AL22" i="26"/>
  <c r="AN22" i="26" s="1"/>
  <c r="AL87" i="19"/>
  <c r="AN87" i="19" s="1"/>
  <c r="AL85" i="19"/>
  <c r="AN85" i="19" s="1"/>
  <c r="AL33" i="19"/>
  <c r="AN33" i="19" s="1"/>
  <c r="AL42" i="26"/>
  <c r="AN42" i="26" s="1"/>
  <c r="AL81" i="19"/>
  <c r="AN81" i="19" s="1"/>
  <c r="AL22" i="19"/>
  <c r="AN22" i="19" s="1"/>
  <c r="AL50" i="19"/>
  <c r="AN50" i="19" s="1"/>
  <c r="W124" i="9"/>
  <c r="AM55" i="26"/>
  <c r="AH55" i="26"/>
  <c r="AF55" i="26"/>
  <c r="AD55" i="26"/>
  <c r="AI55" i="26"/>
  <c r="AL85" i="26"/>
  <c r="AN85" i="26" s="1"/>
  <c r="AL67" i="19"/>
  <c r="AN67" i="19" s="1"/>
  <c r="AL30" i="19"/>
  <c r="AN30" i="19" s="1"/>
  <c r="AL63" i="26"/>
  <c r="AN63" i="26" s="1"/>
  <c r="AL36" i="19"/>
  <c r="AN36" i="19" s="1"/>
  <c r="AL16" i="19"/>
  <c r="AN16" i="19" s="1"/>
  <c r="AL82" i="26"/>
  <c r="AN82" i="26" s="1"/>
  <c r="AL67" i="26"/>
  <c r="AN67" i="26" s="1"/>
  <c r="AL33" i="26"/>
  <c r="AN33" i="26" s="1"/>
  <c r="AL40" i="26"/>
  <c r="AN40" i="26" s="1"/>
  <c r="AL66" i="26"/>
  <c r="AN66" i="26" s="1"/>
  <c r="AL31" i="26"/>
  <c r="AN31" i="26" s="1"/>
  <c r="AL86" i="26"/>
  <c r="AN86" i="26" s="1"/>
  <c r="AL48" i="26"/>
  <c r="AN48" i="26" s="1"/>
  <c r="AL95" i="19"/>
  <c r="AN95" i="19" s="1"/>
  <c r="AL47" i="26"/>
  <c r="AN47" i="26" s="1"/>
  <c r="AL61" i="19"/>
  <c r="AN61" i="19" s="1"/>
  <c r="W443" i="9"/>
  <c r="W34" i="10" s="1"/>
  <c r="W184" i="9"/>
  <c r="V5" i="10"/>
  <c r="U5" i="22"/>
  <c r="V5" i="22"/>
  <c r="W5" i="10"/>
  <c r="V443" i="9"/>
  <c r="V34" i="10" s="1"/>
  <c r="V184" i="9"/>
  <c r="T10" i="10"/>
  <c r="E46" i="3"/>
  <c r="E49" i="3" s="1"/>
  <c r="E50" i="3" s="1"/>
  <c r="F46" i="3"/>
  <c r="F49" i="3" s="1"/>
  <c r="F50" i="3" s="1"/>
  <c r="N10" i="7"/>
  <c r="G53" i="3"/>
  <c r="W10" i="9"/>
  <c r="W18" i="9" s="1"/>
  <c r="O18" i="7"/>
  <c r="O53" i="7" s="1"/>
  <c r="U10" i="10"/>
  <c r="B53" i="3"/>
  <c r="I10" i="7"/>
  <c r="O184" i="9"/>
  <c r="AB184" i="8"/>
  <c r="AA283" i="8"/>
  <c r="AC283" i="8" s="1"/>
  <c r="AC184" i="8"/>
  <c r="P9" i="9"/>
  <c r="O443" i="9"/>
  <c r="O34" i="10" s="1"/>
  <c r="R26" i="22"/>
  <c r="S289" i="9" s="1"/>
  <c r="R12" i="22" s="1"/>
  <c r="V26" i="22"/>
  <c r="W289" i="9" s="1"/>
  <c r="V12" i="22" s="1"/>
  <c r="T26" i="22"/>
  <c r="U289" i="9" s="1"/>
  <c r="T12" i="22" s="1"/>
  <c r="U26" i="22"/>
  <c r="V289" i="9" s="1"/>
  <c r="U12" i="22" s="1"/>
  <c r="S26" i="22"/>
  <c r="T289" i="9" s="1"/>
  <c r="S12" i="22" s="1"/>
  <c r="Q26" i="22"/>
  <c r="Q289" i="9" s="1"/>
  <c r="S25" i="22"/>
  <c r="T288" i="9" s="1"/>
  <c r="S11" i="22" s="1"/>
  <c r="V25" i="22"/>
  <c r="W288" i="9" s="1"/>
  <c r="V11" i="22" s="1"/>
  <c r="T25" i="22"/>
  <c r="U288" i="9" s="1"/>
  <c r="T11" i="22" s="1"/>
  <c r="R25" i="22"/>
  <c r="S288" i="9" s="1"/>
  <c r="R11" i="22" s="1"/>
  <c r="U25" i="22"/>
  <c r="V288" i="9" s="1"/>
  <c r="U11" i="22" s="1"/>
  <c r="Q25" i="22"/>
  <c r="Q288" i="9" s="1"/>
  <c r="R28" i="22"/>
  <c r="S330" i="9" s="1"/>
  <c r="R14" i="22" s="1"/>
  <c r="U28" i="22"/>
  <c r="V330" i="9" s="1"/>
  <c r="U14" i="22" s="1"/>
  <c r="V28" i="22"/>
  <c r="W330" i="9" s="1"/>
  <c r="V14" i="22" s="1"/>
  <c r="T28" i="22"/>
  <c r="U330" i="9" s="1"/>
  <c r="T14" i="22" s="1"/>
  <c r="S28" i="22"/>
  <c r="T330" i="9" s="1"/>
  <c r="S14" i="22" s="1"/>
  <c r="Q28" i="22"/>
  <c r="Q330" i="9" s="1"/>
  <c r="R24" i="22"/>
  <c r="S287" i="9" s="1"/>
  <c r="R10" i="22" s="1"/>
  <c r="V24" i="22"/>
  <c r="W287" i="9" s="1"/>
  <c r="V10" i="22" s="1"/>
  <c r="U24" i="22"/>
  <c r="V287" i="9" s="1"/>
  <c r="U10" i="22" s="1"/>
  <c r="S24" i="22"/>
  <c r="T287" i="9" s="1"/>
  <c r="S10" i="22" s="1"/>
  <c r="T24" i="22"/>
  <c r="U287" i="9" s="1"/>
  <c r="T10" i="22" s="1"/>
  <c r="Q24" i="22"/>
  <c r="Q287" i="9" s="1"/>
  <c r="S10" i="10"/>
  <c r="S27" i="22"/>
  <c r="T290" i="9" s="1"/>
  <c r="S13" i="22" s="1"/>
  <c r="V27" i="22"/>
  <c r="W290" i="9" s="1"/>
  <c r="V13" i="22" s="1"/>
  <c r="R27" i="22"/>
  <c r="S290" i="9" s="1"/>
  <c r="R13" i="22" s="1"/>
  <c r="U27" i="22"/>
  <c r="V290" i="9" s="1"/>
  <c r="U13" i="22" s="1"/>
  <c r="T27" i="22"/>
  <c r="U290" i="9" s="1"/>
  <c r="T13" i="22" s="1"/>
  <c r="Q27" i="22"/>
  <c r="Q290" i="9" s="1"/>
  <c r="P30" i="22"/>
  <c r="O23" i="22"/>
  <c r="D46" i="3"/>
  <c r="D49" i="3" s="1"/>
  <c r="D50" i="3" s="1"/>
  <c r="AL9" i="26"/>
  <c r="AN39" i="16"/>
  <c r="W302" i="9"/>
  <c r="AL103" i="26" l="1"/>
  <c r="AN103" i="26" s="1"/>
  <c r="AL103" i="19"/>
  <c r="AN103" i="19" s="1"/>
  <c r="AL45" i="26"/>
  <c r="AN45" i="26" s="1"/>
  <c r="AL72" i="19"/>
  <c r="AL84" i="26"/>
  <c r="AN84" i="26" s="1"/>
  <c r="AL84" i="19"/>
  <c r="AN84" i="19" s="1"/>
  <c r="R171" i="9"/>
  <c r="Q10" i="22"/>
  <c r="R287" i="9"/>
  <c r="Q11" i="22"/>
  <c r="R288" i="9"/>
  <c r="Q13" i="22"/>
  <c r="R290" i="9"/>
  <c r="Q14" i="22"/>
  <c r="R330" i="9"/>
  <c r="Q12" i="22"/>
  <c r="R289" i="9"/>
  <c r="U171" i="9"/>
  <c r="U16" i="10" s="1"/>
  <c r="U17" i="10" s="1"/>
  <c r="AI72" i="26"/>
  <c r="AH72" i="26"/>
  <c r="AD72" i="26"/>
  <c r="AF72" i="26"/>
  <c r="AM72" i="26"/>
  <c r="AN72" i="19"/>
  <c r="AD71" i="26"/>
  <c r="AI71" i="26"/>
  <c r="AM71" i="26"/>
  <c r="AH71" i="26"/>
  <c r="AF71" i="26"/>
  <c r="AL71" i="19"/>
  <c r="AN71" i="19" s="1"/>
  <c r="U160" i="9"/>
  <c r="V159" i="9"/>
  <c r="V14" i="10" s="1"/>
  <c r="AL43" i="26"/>
  <c r="AN43" i="26" s="1"/>
  <c r="AL34" i="26"/>
  <c r="AN34" i="26" s="1"/>
  <c r="AA131" i="26"/>
  <c r="AL104" i="26"/>
  <c r="AN104" i="26" s="1"/>
  <c r="AL97" i="26"/>
  <c r="AN97" i="26" s="1"/>
  <c r="AD131" i="19"/>
  <c r="V163" i="9" s="1"/>
  <c r="AM96" i="26"/>
  <c r="AF96" i="26"/>
  <c r="AI96" i="26"/>
  <c r="AH96" i="26"/>
  <c r="AD96" i="26"/>
  <c r="AL96" i="19"/>
  <c r="AN96" i="19" s="1"/>
  <c r="Q17" i="10"/>
  <c r="R17" i="10" s="1"/>
  <c r="Q18" i="10"/>
  <c r="R18" i="10" s="1"/>
  <c r="R283" i="9"/>
  <c r="W283" i="9"/>
  <c r="W18" i="10" s="1"/>
  <c r="V283" i="9"/>
  <c r="V18" i="10" s="1"/>
  <c r="AL21" i="26"/>
  <c r="AN21" i="26" s="1"/>
  <c r="V122" i="9"/>
  <c r="V13" i="10" s="1"/>
  <c r="C53" i="3"/>
  <c r="J10" i="7"/>
  <c r="J18" i="7" s="1"/>
  <c r="J53" i="7" s="1"/>
  <c r="AF133" i="19"/>
  <c r="AE133" i="26"/>
  <c r="AL76" i="26"/>
  <c r="AN76" i="26" s="1"/>
  <c r="AL64" i="19"/>
  <c r="AN64" i="19" s="1"/>
  <c r="AL18" i="26"/>
  <c r="AN18" i="26" s="1"/>
  <c r="AL64" i="26"/>
  <c r="AN64" i="26" s="1"/>
  <c r="AL133" i="16"/>
  <c r="AL79" i="26"/>
  <c r="AN79" i="26" s="1"/>
  <c r="AL46" i="26"/>
  <c r="AN46" i="26" s="1"/>
  <c r="AL77" i="26"/>
  <c r="AN77" i="26" s="1"/>
  <c r="AL89" i="26"/>
  <c r="AN89" i="26" s="1"/>
  <c r="AL131" i="16"/>
  <c r="AI131" i="19"/>
  <c r="V168" i="9" s="1"/>
  <c r="AL58" i="19"/>
  <c r="AN58" i="19" s="1"/>
  <c r="AL83" i="19"/>
  <c r="AN83" i="19" s="1"/>
  <c r="AL75" i="26"/>
  <c r="AN75" i="26" s="1"/>
  <c r="AL89" i="19"/>
  <c r="AN89" i="19" s="1"/>
  <c r="AH16" i="26"/>
  <c r="AI16" i="26"/>
  <c r="AD16" i="26"/>
  <c r="AM16" i="26"/>
  <c r="AF16" i="26"/>
  <c r="W55" i="9"/>
  <c r="W122" i="9" s="1"/>
  <c r="W13" i="10" s="1"/>
  <c r="AL75" i="19"/>
  <c r="AN75" i="19" s="1"/>
  <c r="AE131" i="26"/>
  <c r="W164" i="9" s="1"/>
  <c r="AH131" i="19"/>
  <c r="V167" i="9" s="1"/>
  <c r="AL88" i="26"/>
  <c r="AN88" i="26" s="1"/>
  <c r="AF81" i="26"/>
  <c r="AI81" i="26"/>
  <c r="AM81" i="26"/>
  <c r="AH81" i="26"/>
  <c r="AD81" i="26"/>
  <c r="AL14" i="19"/>
  <c r="AN14" i="19" s="1"/>
  <c r="AI133" i="19"/>
  <c r="AL77" i="19"/>
  <c r="AN77" i="19" s="1"/>
  <c r="AI83" i="26"/>
  <c r="AD83" i="26"/>
  <c r="AF83" i="26"/>
  <c r="AH83" i="26"/>
  <c r="AM83" i="26"/>
  <c r="AD133" i="19"/>
  <c r="AL88" i="19"/>
  <c r="AN88" i="19" s="1"/>
  <c r="AA133" i="26"/>
  <c r="AD58" i="26"/>
  <c r="W151" i="9"/>
  <c r="W159" i="9" s="1"/>
  <c r="AI58" i="26"/>
  <c r="AM58" i="26"/>
  <c r="AH58" i="26"/>
  <c r="AF58" i="26"/>
  <c r="AM131" i="19"/>
  <c r="AI60" i="26"/>
  <c r="AM60" i="26"/>
  <c r="AH60" i="26"/>
  <c r="AD60" i="26"/>
  <c r="AF60" i="26"/>
  <c r="AL14" i="26"/>
  <c r="AN14" i="26" s="1"/>
  <c r="AL60" i="19"/>
  <c r="AN60" i="19" s="1"/>
  <c r="AL46" i="19"/>
  <c r="AN46" i="19" s="1"/>
  <c r="AH133" i="19"/>
  <c r="AF131" i="19"/>
  <c r="V165" i="9" s="1"/>
  <c r="AB172" i="8"/>
  <c r="AB415" i="8" s="1"/>
  <c r="AC172" i="8"/>
  <c r="AM133" i="19"/>
  <c r="AL130" i="19"/>
  <c r="AN130" i="19" s="1"/>
  <c r="T171" i="9"/>
  <c r="AN130" i="15"/>
  <c r="AL131" i="15"/>
  <c r="AL133" i="15"/>
  <c r="AL130" i="26"/>
  <c r="AN130" i="26" s="1"/>
  <c r="AL55" i="26"/>
  <c r="AN55" i="26" s="1"/>
  <c r="M10" i="7"/>
  <c r="F53" i="3"/>
  <c r="E53" i="3"/>
  <c r="L10" i="7"/>
  <c r="W9" i="10"/>
  <c r="W12" i="10" s="1"/>
  <c r="W53" i="9"/>
  <c r="W414" i="9" s="1"/>
  <c r="W21" i="10" s="1"/>
  <c r="V10" i="9"/>
  <c r="V18" i="9" s="1"/>
  <c r="N18" i="7"/>
  <c r="N53" i="7" s="1"/>
  <c r="O283" i="9"/>
  <c r="P184" i="9"/>
  <c r="AA10" i="8"/>
  <c r="I18" i="7"/>
  <c r="I53" i="7" s="1"/>
  <c r="K10" i="7"/>
  <c r="D53" i="3"/>
  <c r="R23" i="22"/>
  <c r="V23" i="22"/>
  <c r="O30" i="22"/>
  <c r="U23" i="22"/>
  <c r="T23" i="22"/>
  <c r="S23" i="22"/>
  <c r="Q23" i="22"/>
  <c r="Q10" i="9"/>
  <c r="AN9" i="26"/>
  <c r="AN131" i="16"/>
  <c r="AN133" i="16"/>
  <c r="AL72" i="26" l="1"/>
  <c r="AN72" i="26" s="1"/>
  <c r="U172" i="9"/>
  <c r="Q18" i="9"/>
  <c r="R10" i="9"/>
  <c r="AL71" i="26"/>
  <c r="AN71" i="26" s="1"/>
  <c r="AM133" i="26"/>
  <c r="AN133" i="19"/>
  <c r="AL60" i="26"/>
  <c r="AN60" i="26" s="1"/>
  <c r="AI133" i="26"/>
  <c r="AL96" i="26"/>
  <c r="AN96" i="26" s="1"/>
  <c r="V160" i="9"/>
  <c r="V15" i="10"/>
  <c r="AF133" i="26"/>
  <c r="AI131" i="26"/>
  <c r="W168" i="9" s="1"/>
  <c r="V171" i="9"/>
  <c r="AH133" i="26"/>
  <c r="AD131" i="26"/>
  <c r="W163" i="9" s="1"/>
  <c r="AF131" i="26"/>
  <c r="W165" i="9" s="1"/>
  <c r="AL133" i="19"/>
  <c r="AM131" i="26"/>
  <c r="AL16" i="26"/>
  <c r="AN16" i="26" s="1"/>
  <c r="W14" i="10"/>
  <c r="W15" i="10" s="1"/>
  <c r="W160" i="9"/>
  <c r="AD133" i="26"/>
  <c r="AN131" i="19"/>
  <c r="AL83" i="26"/>
  <c r="AN83" i="26" s="1"/>
  <c r="AH131" i="26"/>
  <c r="W167" i="9" s="1"/>
  <c r="AL81" i="26"/>
  <c r="AN81" i="26" s="1"/>
  <c r="AL131" i="19"/>
  <c r="AL58" i="26"/>
  <c r="AN58" i="26" s="1"/>
  <c r="V16" i="10"/>
  <c r="AN133" i="15"/>
  <c r="AN131" i="15"/>
  <c r="T16" i="10"/>
  <c r="T17" i="10" s="1"/>
  <c r="T172" i="9"/>
  <c r="T10" i="9"/>
  <c r="T18" i="9" s="1"/>
  <c r="L18" i="7"/>
  <c r="L53" i="7" s="1"/>
  <c r="V53" i="9"/>
  <c r="V9" i="10"/>
  <c r="V12" i="10" s="1"/>
  <c r="U10" i="9"/>
  <c r="U18" i="9" s="1"/>
  <c r="M18" i="7"/>
  <c r="M53" i="7" s="1"/>
  <c r="AC10" i="8"/>
  <c r="AB10" i="8"/>
  <c r="AB18" i="8" s="1"/>
  <c r="AB53" i="8" s="1"/>
  <c r="O10" i="9"/>
  <c r="AA18" i="8"/>
  <c r="O18" i="10"/>
  <c r="O22" i="10" s="1"/>
  <c r="P283" i="9"/>
  <c r="O415" i="9"/>
  <c r="U285" i="9"/>
  <c r="T30" i="22"/>
  <c r="T31" i="22" s="1"/>
  <c r="R30" i="22"/>
  <c r="R31" i="22" s="1"/>
  <c r="S285" i="9"/>
  <c r="U30" i="22"/>
  <c r="U31" i="22" s="1"/>
  <c r="V285" i="9"/>
  <c r="Q30" i="22"/>
  <c r="Q31" i="22" s="1"/>
  <c r="Q285" i="9"/>
  <c r="R285" i="9" s="1"/>
  <c r="T285" i="9"/>
  <c r="S30" i="22"/>
  <c r="S31" i="22" s="1"/>
  <c r="W285" i="9"/>
  <c r="V30" i="22"/>
  <c r="V31" i="22" s="1"/>
  <c r="S10" i="9"/>
  <c r="S18" i="9" s="1"/>
  <c r="K18" i="7"/>
  <c r="K53" i="7" s="1"/>
  <c r="R18" i="9" l="1"/>
  <c r="P18" i="10"/>
  <c r="P22" i="10" s="1"/>
  <c r="Q53" i="9"/>
  <c r="R53" i="9" s="1"/>
  <c r="Q9" i="10"/>
  <c r="Q12" i="10" s="1"/>
  <c r="AN133" i="26"/>
  <c r="V172" i="9"/>
  <c r="V17" i="10"/>
  <c r="AN131" i="26"/>
  <c r="W171" i="9"/>
  <c r="W16" i="10" s="1"/>
  <c r="W17" i="10" s="1"/>
  <c r="AL133" i="26"/>
  <c r="AL131" i="26"/>
  <c r="U9" i="10"/>
  <c r="U12" i="10" s="1"/>
  <c r="U53" i="9"/>
  <c r="U414" i="9" s="1"/>
  <c r="U21" i="10" s="1"/>
  <c r="T9" i="10"/>
  <c r="T12" i="10" s="1"/>
  <c r="T53" i="9"/>
  <c r="T414" i="9" s="1"/>
  <c r="T21" i="10" s="1"/>
  <c r="P415" i="9"/>
  <c r="P444" i="9" s="1"/>
  <c r="P35" i="10" s="1"/>
  <c r="O442" i="9"/>
  <c r="O33" i="10" s="1"/>
  <c r="P10" i="9"/>
  <c r="O18" i="9"/>
  <c r="AA53" i="8"/>
  <c r="AC53" i="8" s="1"/>
  <c r="AC18" i="8"/>
  <c r="S9" i="10"/>
  <c r="S12" i="10" s="1"/>
  <c r="S53" i="9"/>
  <c r="S9" i="22"/>
  <c r="S15" i="22" s="1"/>
  <c r="S20" i="22" s="1"/>
  <c r="T369" i="9"/>
  <c r="U9" i="22"/>
  <c r="U15" i="22" s="1"/>
  <c r="U20" i="22" s="1"/>
  <c r="V369" i="9"/>
  <c r="R9" i="22"/>
  <c r="R15" i="22" s="1"/>
  <c r="R20" i="22" s="1"/>
  <c r="S369" i="9"/>
  <c r="V9" i="22"/>
  <c r="V15" i="22" s="1"/>
  <c r="V20" i="22" s="1"/>
  <c r="W369" i="9"/>
  <c r="Q9" i="22"/>
  <c r="Q15" i="22" s="1"/>
  <c r="Q20" i="22" s="1"/>
  <c r="Q369" i="9"/>
  <c r="T9" i="22"/>
  <c r="T15" i="22" s="1"/>
  <c r="T20" i="22" s="1"/>
  <c r="U369" i="9"/>
  <c r="Q415" i="9" l="1"/>
  <c r="R9" i="10"/>
  <c r="R369" i="9"/>
  <c r="R12" i="10"/>
  <c r="Q21" i="10"/>
  <c r="R21" i="10" s="1"/>
  <c r="R414" i="9"/>
  <c r="W172" i="9"/>
  <c r="W415" i="9" s="1"/>
  <c r="O53" i="9"/>
  <c r="P18" i="9"/>
  <c r="P9" i="10" s="1"/>
  <c r="P12" i="10" s="1"/>
  <c r="P23" i="10" s="1"/>
  <c r="O9" i="10"/>
  <c r="O12" i="10" s="1"/>
  <c r="O23" i="10" s="1"/>
  <c r="Q19" i="10"/>
  <c r="R19" i="10" s="1"/>
  <c r="S19" i="10"/>
  <c r="S22" i="10" s="1"/>
  <c r="S23" i="10" s="1"/>
  <c r="S415" i="9"/>
  <c r="S442" i="9" s="1"/>
  <c r="S33" i="10" s="1"/>
  <c r="T19" i="10"/>
  <c r="T22" i="10" s="1"/>
  <c r="T23" i="10" s="1"/>
  <c r="T415" i="9"/>
  <c r="V19" i="10"/>
  <c r="V22" i="10" s="1"/>
  <c r="V23" i="10" s="1"/>
  <c r="V415" i="9"/>
  <c r="U19" i="10"/>
  <c r="U22" i="10" s="1"/>
  <c r="U23" i="10" s="1"/>
  <c r="U415" i="9"/>
  <c r="W19" i="10"/>
  <c r="W22" i="10" s="1"/>
  <c r="W23" i="10" s="1"/>
  <c r="R415" i="9" l="1"/>
  <c r="R444" i="9" s="1"/>
  <c r="Q22" i="10"/>
  <c r="P53" i="9"/>
  <c r="O416" i="9"/>
  <c r="O445" i="9" s="1"/>
  <c r="W416" i="9"/>
  <c r="W442" i="9"/>
  <c r="W33" i="10" s="1"/>
  <c r="U416" i="9"/>
  <c r="U445" i="9" s="1"/>
  <c r="U442" i="9"/>
  <c r="U33" i="10" s="1"/>
  <c r="T442" i="9"/>
  <c r="T33" i="10" s="1"/>
  <c r="T416" i="9"/>
  <c r="T445" i="9" s="1"/>
  <c r="V416" i="9"/>
  <c r="V445" i="9" s="1"/>
  <c r="V442" i="9"/>
  <c r="V33" i="10" s="1"/>
  <c r="S416" i="9"/>
  <c r="S445" i="9" s="1"/>
  <c r="Q442" i="9"/>
  <c r="Q33" i="10" s="1"/>
  <c r="Q416" i="9"/>
  <c r="Q445" i="9" s="1"/>
  <c r="O429" i="9" l="1"/>
  <c r="R416" i="9"/>
  <c r="R445" i="9" s="1"/>
  <c r="Q23" i="10"/>
  <c r="R23" i="10" s="1"/>
  <c r="R22" i="10"/>
  <c r="O36" i="10"/>
  <c r="P416" i="9"/>
  <c r="P445" i="9" s="1"/>
  <c r="P36" i="10" s="1"/>
  <c r="Q36" i="10"/>
  <c r="Q429" i="9"/>
  <c r="V429" i="9"/>
  <c r="V36" i="10"/>
  <c r="U36" i="10"/>
  <c r="U429" i="9"/>
  <c r="T36" i="10"/>
  <c r="T429" i="9"/>
  <c r="S36" i="10"/>
  <c r="S429" i="9"/>
  <c r="W445" i="9"/>
  <c r="W36" i="10" s="1"/>
  <c r="W429" i="9"/>
  <c r="X415" i="8"/>
  <c r="X416" i="8" s="1"/>
  <c r="X429" i="8" s="1"/>
  <c r="X438" i="8" s="1"/>
  <c r="X440" i="8" s="1"/>
  <c r="AA415" i="8"/>
  <c r="AA416" i="8" s="1"/>
  <c r="Z415" i="8"/>
  <c r="Z416" i="8" s="1"/>
  <c r="Z429" i="8" s="1"/>
  <c r="Z438" i="8" s="1"/>
  <c r="Z440" i="8" s="1"/>
  <c r="AC374" i="8"/>
  <c r="Y374" i="8"/>
  <c r="O438" i="9" l="1"/>
  <c r="O440" i="9" s="1"/>
  <c r="O444" i="9" s="1"/>
  <c r="O26" i="10"/>
  <c r="O29" i="10" s="1"/>
  <c r="T438" i="9"/>
  <c r="T26" i="10"/>
  <c r="T29" i="10" s="1"/>
  <c r="S438" i="9"/>
  <c r="S26" i="10"/>
  <c r="S29" i="10" s="1"/>
  <c r="Q26" i="10"/>
  <c r="Q29" i="10" s="1"/>
  <c r="Q438" i="9"/>
  <c r="Q440" i="9" s="1"/>
  <c r="Q444" i="9" s="1"/>
  <c r="W438" i="9"/>
  <c r="W26" i="10"/>
  <c r="W29" i="10" s="1"/>
  <c r="U26" i="10"/>
  <c r="U29" i="10" s="1"/>
  <c r="U438" i="9"/>
  <c r="V438" i="9"/>
  <c r="V26" i="10"/>
  <c r="V29" i="10" s="1"/>
  <c r="Y415" i="8"/>
  <c r="AA429" i="8"/>
  <c r="AB416" i="8"/>
  <c r="AC415" i="8"/>
  <c r="O35" i="10" l="1"/>
  <c r="S439" i="9"/>
  <c r="S440" i="9" s="1"/>
  <c r="S444" i="9" s="1"/>
  <c r="Q35" i="10"/>
  <c r="AB429" i="8"/>
  <c r="AB438" i="8" s="1"/>
  <c r="AA438" i="8"/>
  <c r="AA440" i="8" s="1"/>
  <c r="AB440" i="8" s="1"/>
  <c r="M415" i="8"/>
  <c r="M416" i="8" s="1"/>
  <c r="M429" i="8" s="1"/>
  <c r="M438" i="8" s="1"/>
  <c r="K415" i="8"/>
  <c r="K416" i="8" s="1"/>
  <c r="K429" i="8" s="1"/>
  <c r="K438" i="8" s="1"/>
  <c r="L415" i="8"/>
  <c r="L416" i="8" s="1"/>
  <c r="L429" i="8" s="1"/>
  <c r="L438" i="8" s="1"/>
  <c r="J415" i="8"/>
  <c r="J416" i="8" s="1"/>
  <c r="J429" i="8" s="1"/>
  <c r="J438" i="8" s="1"/>
  <c r="J440" i="8" s="1"/>
  <c r="K439" i="8" s="1"/>
  <c r="T439" i="9" l="1"/>
  <c r="T440" i="9" s="1"/>
  <c r="T444" i="9" s="1"/>
  <c r="S35" i="10"/>
  <c r="K440" i="8"/>
  <c r="L439" i="8" s="1"/>
  <c r="L440" i="8" s="1"/>
  <c r="M439" i="8" s="1"/>
  <c r="M440" i="8" s="1"/>
  <c r="N439" i="8" s="1"/>
  <c r="N440" i="8" s="1"/>
  <c r="O439" i="8" s="1"/>
  <c r="O440" i="8" s="1"/>
  <c r="P439" i="8" s="1"/>
  <c r="P440" i="8" s="1"/>
  <c r="Q439" i="8" s="1"/>
  <c r="Q440" i="8" s="1"/>
  <c r="R439" i="8" s="1"/>
  <c r="R440" i="8" s="1"/>
  <c r="S439" i="8" s="1"/>
  <c r="S440" i="8" s="1"/>
  <c r="T439" i="8" s="1"/>
  <c r="T440" i="8" s="1"/>
  <c r="U439" i="8" s="1"/>
  <c r="U440" i="8" s="1"/>
  <c r="V439" i="8" s="1"/>
  <c r="V440" i="8" s="1"/>
  <c r="K20" i="10"/>
  <c r="K22" i="10" s="1"/>
  <c r="K23" i="10" s="1"/>
  <c r="K442" i="9"/>
  <c r="K33" i="10" s="1"/>
  <c r="U439" i="9" l="1"/>
  <c r="U440" i="9" s="1"/>
  <c r="U444" i="9" s="1"/>
  <c r="T35" i="10"/>
  <c r="K445" i="9" l="1"/>
  <c r="K36" i="10" s="1"/>
  <c r="K429" i="9"/>
  <c r="K26" i="10" s="1"/>
  <c r="K29" i="10" s="1"/>
  <c r="K31" i="10" s="1"/>
  <c r="O31" i="10" s="1"/>
  <c r="Q30" i="10" s="1"/>
  <c r="Q31" i="10" s="1"/>
  <c r="S30" i="10" s="1"/>
  <c r="S31" i="10" s="1"/>
  <c r="T30" i="10" s="1"/>
  <c r="T31" i="10" s="1"/>
  <c r="U30" i="10" s="1"/>
  <c r="U31" i="10" s="1"/>
  <c r="V30" i="10" s="1"/>
  <c r="V31" i="10" s="1"/>
  <c r="W30" i="10" s="1"/>
  <c r="W31" i="10" s="1"/>
  <c r="U35" i="10"/>
  <c r="V439" i="9"/>
  <c r="V440" i="9" s="1"/>
  <c r="V444" i="9" s="1"/>
  <c r="AD415" i="18"/>
  <c r="AD416" i="18" s="1"/>
  <c r="AC415" i="18"/>
  <c r="AC416" i="18" s="1"/>
  <c r="AE415" i="18"/>
  <c r="AE416" i="18" s="1"/>
  <c r="K438" i="9" l="1"/>
  <c r="K440" i="9" s="1"/>
  <c r="V35" i="10"/>
  <c r="W439" i="9"/>
  <c r="W440" i="9" s="1"/>
  <c r="W444" i="9" s="1"/>
  <c r="K444" i="9" l="1"/>
  <c r="K35" i="10" s="1"/>
  <c r="W3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mobileuser</author>
  </authors>
  <commentList>
    <comment ref="B287" authorId="0" shapeId="0" xr:uid="{A8E60584-0788-40DE-99B9-97814A8D79F6}">
      <text>
        <r>
          <rPr>
            <b/>
            <sz val="9"/>
            <color indexed="81"/>
            <rFont val="Tahoma"/>
            <family val="2"/>
          </rPr>
          <t>CSMC:</t>
        </r>
        <r>
          <rPr>
            <sz val="9"/>
            <color indexed="81"/>
            <rFont val="Tahoma"/>
            <family val="2"/>
          </rPr>
          <t xml:space="preserve">
610 – General Supplies – Instructional ONLY
641 – Textbooks
651 – Instructional software
652 – Instructional IT items of higher value (including computers)
653 – Instructional web-based and similar programs
734 – Instructional Computer Hardware
735 – Instructional Technology Software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mobileuser</author>
  </authors>
  <commentList>
    <comment ref="B287" authorId="0" shapeId="0" xr:uid="{AA111796-92D5-43E3-AE40-D731E32950BD}">
      <text>
        <r>
          <rPr>
            <b/>
            <sz val="9"/>
            <color indexed="81"/>
            <rFont val="Tahoma"/>
            <family val="2"/>
          </rPr>
          <t>CSMC:</t>
        </r>
        <r>
          <rPr>
            <sz val="9"/>
            <color indexed="81"/>
            <rFont val="Tahoma"/>
            <family val="2"/>
          </rPr>
          <t xml:space="preserve">
610 – General Supplies – Instructional ONLY
641 – Textbooks
651 – Instructional software
652 – Instructional IT items of higher value (including computers)
653 – Instructional web-based and similar programs
734 – Instructional Computer Hardware
735 – Instructional Technology Software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mobileuser</author>
  </authors>
  <commentList>
    <comment ref="B287" authorId="0" shapeId="0" xr:uid="{3B37F5FB-C4E0-445B-82A7-4554EFC42987}">
      <text>
        <r>
          <rPr>
            <b/>
            <sz val="9"/>
            <color indexed="81"/>
            <rFont val="Tahoma"/>
            <family val="2"/>
          </rPr>
          <t>CSMC:</t>
        </r>
        <r>
          <rPr>
            <sz val="9"/>
            <color indexed="81"/>
            <rFont val="Tahoma"/>
            <family val="2"/>
          </rPr>
          <t xml:space="preserve">
610 – General Supplies – Instructional ONLY
641 – Textbooks
651 – Instructional software
652 – Instructional IT items of higher value (including computers)
653 – Instructional web-based and similar programs
734 – Instructional Computer Hardware
735 – Instructional Technology Software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Christina Saenz</author>
  </authors>
  <commentList>
    <comment ref="V20" authorId="0" shapeId="0" xr:uid="{87FDF7D5-8BDB-42AA-9A99-05F143B0B535}">
      <text>
        <r>
          <rPr>
            <b/>
            <sz val="9"/>
            <color indexed="81"/>
            <rFont val="Tahoma"/>
            <family val="2"/>
          </rPr>
          <t>Christina Saenz:</t>
        </r>
        <r>
          <rPr>
            <sz val="9"/>
            <color indexed="81"/>
            <rFont val="Tahoma"/>
            <family val="2"/>
          </rPr>
          <t xml:space="preserve">
INCLUDES SUMMER
</t>
        </r>
      </text>
    </comment>
  </commentList>
</comments>
</file>

<file path=xl/sharedStrings.xml><?xml version="1.0" encoding="utf-8"?>
<sst xmlns="http://schemas.openxmlformats.org/spreadsheetml/2006/main" count="14008" uniqueCount="1309">
  <si>
    <t>Intials</t>
  </si>
  <si>
    <t>FY</t>
  </si>
  <si>
    <t>Item</t>
  </si>
  <si>
    <t>Assigned to:</t>
  </si>
  <si>
    <t>Date Completed</t>
  </si>
  <si>
    <t>Date Input</t>
  </si>
  <si>
    <t>NV DSA per Pupil Assumptions</t>
  </si>
  <si>
    <t>N</t>
  </si>
  <si>
    <t>Fiscal Year</t>
  </si>
  <si>
    <t>District/Authorizor</t>
  </si>
  <si>
    <t>SPCSA</t>
  </si>
  <si>
    <t>County</t>
  </si>
  <si>
    <t>CLARK</t>
  </si>
  <si>
    <t xml:space="preserve">Weighted Enrollment </t>
  </si>
  <si>
    <t>TOTAL 0-12</t>
  </si>
  <si>
    <t>TOTAL 00-12</t>
  </si>
  <si>
    <t>Kindergarten</t>
  </si>
  <si>
    <t>Single or Multi-District</t>
  </si>
  <si>
    <t xml:space="preserve"> Grade 00</t>
  </si>
  <si>
    <t xml:space="preserve"> Grade 0</t>
  </si>
  <si>
    <t xml:space="preserve"> Grade 1</t>
  </si>
  <si>
    <t xml:space="preserve"> Grade 2</t>
  </si>
  <si>
    <t xml:space="preserve"> Grade 3</t>
  </si>
  <si>
    <t xml:space="preserve"> Grade 4</t>
  </si>
  <si>
    <t xml:space="preserve"> Grade 5</t>
  </si>
  <si>
    <t xml:space="preserve"> Grade 6</t>
  </si>
  <si>
    <t xml:space="preserve"> Grade 7</t>
  </si>
  <si>
    <t xml:space="preserve"> Grade 8</t>
  </si>
  <si>
    <t xml:space="preserve"> Grade 9</t>
  </si>
  <si>
    <t xml:space="preserve"> Grade 10</t>
  </si>
  <si>
    <t xml:space="preserve"> Grade 11</t>
  </si>
  <si>
    <t xml:space="preserve"> Grade 12</t>
  </si>
  <si>
    <t>Elementary (Grades 1-8)</t>
  </si>
  <si>
    <t>Secondary (Grades 9-12)</t>
  </si>
  <si>
    <t>Pre-Kindergarten</t>
  </si>
  <si>
    <t>% Increase in Enrollment</t>
  </si>
  <si>
    <t>Single District School</t>
  </si>
  <si>
    <t>District</t>
  </si>
  <si>
    <t>Clark</t>
  </si>
  <si>
    <t>Basic</t>
  </si>
  <si>
    <t>Outside</t>
  </si>
  <si>
    <t># Students</t>
  </si>
  <si>
    <t>Special Education</t>
  </si>
  <si>
    <t>State</t>
  </si>
  <si>
    <t>IDEA</t>
  </si>
  <si>
    <t>Per Pupil</t>
  </si>
  <si>
    <t>%age of Total Enrollment</t>
  </si>
  <si>
    <t>Enrollment below 13% Cap</t>
  </si>
  <si>
    <t>Enrollment over 13% Cap</t>
  </si>
  <si>
    <t>State Enrollment below 13% Cap</t>
  </si>
  <si>
    <t>State Enrollment over 13% Cap</t>
  </si>
  <si>
    <t>Total SPED</t>
  </si>
  <si>
    <t>Total Basic &amp; Outside</t>
  </si>
  <si>
    <t>Month</t>
  </si>
  <si>
    <t>Column</t>
  </si>
  <si>
    <t>Next Period</t>
  </si>
  <si>
    <t>Remaining Mo</t>
  </si>
  <si>
    <t>Payroll Allocation</t>
  </si>
  <si>
    <t>12mo=</t>
  </si>
  <si>
    <t>11mo=</t>
  </si>
  <si>
    <t>10mo=</t>
  </si>
  <si>
    <t>Total DSA</t>
  </si>
  <si>
    <t>SPED</t>
  </si>
  <si>
    <t>NA</t>
  </si>
  <si>
    <t>July</t>
  </si>
  <si>
    <t>Carson City</t>
  </si>
  <si>
    <t>August</t>
  </si>
  <si>
    <t>Churchill</t>
  </si>
  <si>
    <t>J</t>
  </si>
  <si>
    <t>September</t>
  </si>
  <si>
    <t>K</t>
  </si>
  <si>
    <t>October</t>
  </si>
  <si>
    <t>Douglas</t>
  </si>
  <si>
    <t>L</t>
  </si>
  <si>
    <t>November</t>
  </si>
  <si>
    <t>Elko</t>
  </si>
  <si>
    <t>M</t>
  </si>
  <si>
    <t>December</t>
  </si>
  <si>
    <t>Esmeralda</t>
  </si>
  <si>
    <t>January</t>
  </si>
  <si>
    <t>Eureka</t>
  </si>
  <si>
    <t>O</t>
  </si>
  <si>
    <t>February</t>
  </si>
  <si>
    <t>Humboldt</t>
  </si>
  <si>
    <t>P</t>
  </si>
  <si>
    <t>March</t>
  </si>
  <si>
    <t>Lander</t>
  </si>
  <si>
    <t>Q</t>
  </si>
  <si>
    <t>April</t>
  </si>
  <si>
    <t>Lincoln</t>
  </si>
  <si>
    <t>R</t>
  </si>
  <si>
    <t>May</t>
  </si>
  <si>
    <t>Lyon</t>
  </si>
  <si>
    <t>S</t>
  </si>
  <si>
    <t>June</t>
  </si>
  <si>
    <t>Mineral</t>
  </si>
  <si>
    <t>T</t>
  </si>
  <si>
    <t>Accruals</t>
  </si>
  <si>
    <t>Nye</t>
  </si>
  <si>
    <t>Pershing</t>
  </si>
  <si>
    <t>Storey</t>
  </si>
  <si>
    <t>Washoe</t>
  </si>
  <si>
    <t>White Pine</t>
  </si>
  <si>
    <t>Total State SPED 250-205-3115</t>
  </si>
  <si>
    <r>
      <t xml:space="preserve">IDEA Portion </t>
    </r>
    <r>
      <rPr>
        <b/>
        <sz val="10"/>
        <color theme="1"/>
        <rFont val="Calibri"/>
        <family val="2"/>
        <scheme val="minor"/>
      </rPr>
      <t>280-639-4500</t>
    </r>
  </si>
  <si>
    <t>Q1</t>
  </si>
  <si>
    <t>Q2</t>
  </si>
  <si>
    <t>Q3</t>
  </si>
  <si>
    <t>Q4</t>
  </si>
  <si>
    <t>Average</t>
  </si>
  <si>
    <t>SchoolName</t>
  </si>
  <si>
    <t>DOR</t>
  </si>
  <si>
    <t>GradeLevel</t>
  </si>
  <si>
    <t>RawADE</t>
  </si>
  <si>
    <t>RawADE2</t>
  </si>
  <si>
    <t>RawADE3</t>
  </si>
  <si>
    <t>RawADE4</t>
  </si>
  <si>
    <t>Fund</t>
  </si>
  <si>
    <t>Project/Grant</t>
  </si>
  <si>
    <t>Program</t>
  </si>
  <si>
    <t>Function</t>
  </si>
  <si>
    <t>Object</t>
  </si>
  <si>
    <t>Monthly Cost</t>
  </si>
  <si>
    <t># of Months</t>
  </si>
  <si>
    <t>Annual Expense</t>
  </si>
  <si>
    <t>Notes</t>
  </si>
  <si>
    <t>Vendor/Description</t>
  </si>
  <si>
    <t>Revenues</t>
  </si>
  <si>
    <t>Project</t>
  </si>
  <si>
    <t>Revenue</t>
  </si>
  <si>
    <t>201</t>
  </si>
  <si>
    <t xml:space="preserve">SPED Funds from DSA                          </t>
  </si>
  <si>
    <t>205</t>
  </si>
  <si>
    <t>230</t>
  </si>
  <si>
    <t xml:space="preserve">New Nv Education Funding Plan SB178 (2017) </t>
  </si>
  <si>
    <t>280</t>
  </si>
  <si>
    <t>Teacher Reimbursement Grant</t>
  </si>
  <si>
    <t>325</t>
  </si>
  <si>
    <t>Revenue Limit</t>
  </si>
  <si>
    <t>Title I - School Improvement, 1003(a)</t>
  </si>
  <si>
    <t>IASA(ESEA) Title I-A Helping Disadvantaged Students Meet High Standards/School Imprvmnt</t>
  </si>
  <si>
    <t xml:space="preserve">SPED- IDEA Part B                            </t>
  </si>
  <si>
    <t>Title II</t>
  </si>
  <si>
    <t>Federal Revenue</t>
  </si>
  <si>
    <t xml:space="preserve">Interest Income                                   </t>
  </si>
  <si>
    <t>000</t>
  </si>
  <si>
    <t>Other Fees</t>
  </si>
  <si>
    <t xml:space="preserve">OTHER ACTIVITY FEES </t>
  </si>
  <si>
    <t xml:space="preserve">GIFTS &amp; DONATIONS FROM LOCAL COMMUNITY            </t>
  </si>
  <si>
    <t>Local Revenue</t>
  </si>
  <si>
    <t>Total Revenues</t>
  </si>
  <si>
    <t>Budget &amp; Cash Flow</t>
  </si>
  <si>
    <t>Actual</t>
  </si>
  <si>
    <t>Forecast</t>
  </si>
  <si>
    <t>Total Actuals</t>
  </si>
  <si>
    <t>Actuals as % of Current Budget</t>
  </si>
  <si>
    <t>Current BOD Approved</t>
  </si>
  <si>
    <t>Actual as % of Reforecasted Budget</t>
  </si>
  <si>
    <t>to</t>
  </si>
  <si>
    <t>Reforecasted v. Current Budget</t>
  </si>
  <si>
    <t>Salaries- Instruction</t>
  </si>
  <si>
    <t>0101</t>
  </si>
  <si>
    <t xml:space="preserve">Salaries- Teacher- Substitutes                    </t>
  </si>
  <si>
    <t>0103</t>
  </si>
  <si>
    <t xml:space="preserve">Salaries- Licensed Admin                               </t>
  </si>
  <si>
    <t>0104</t>
  </si>
  <si>
    <t xml:space="preserve">Salaries- Other Licensed Teachers              </t>
  </si>
  <si>
    <t>0106</t>
  </si>
  <si>
    <t xml:space="preserve">Salaries- Para-Professional                       </t>
  </si>
  <si>
    <t>0102</t>
  </si>
  <si>
    <t>Salaries- Non-Licensed Admin</t>
  </si>
  <si>
    <t>0105</t>
  </si>
  <si>
    <t xml:space="preserve">Salaries- Classified/Support Staff            </t>
  </si>
  <si>
    <t>0107</t>
  </si>
  <si>
    <t>Certified</t>
  </si>
  <si>
    <t>Classified</t>
  </si>
  <si>
    <t>Total Salaries</t>
  </si>
  <si>
    <t>Group Insurance</t>
  </si>
  <si>
    <t>0210</t>
  </si>
  <si>
    <t>FICA</t>
  </si>
  <si>
    <t>0220</t>
  </si>
  <si>
    <t>PERS</t>
  </si>
  <si>
    <t>0230</t>
  </si>
  <si>
    <t>Medicare</t>
  </si>
  <si>
    <t>0240</t>
  </si>
  <si>
    <t>Staff Tuition Reimbursement</t>
  </si>
  <si>
    <t>0250</t>
  </si>
  <si>
    <t>Unemployment</t>
  </si>
  <si>
    <t>0260</t>
  </si>
  <si>
    <t>Worker's Comp</t>
  </si>
  <si>
    <t>0270</t>
  </si>
  <si>
    <t>Health Benefits</t>
  </si>
  <si>
    <t>0280</t>
  </si>
  <si>
    <t>Other Benefits</t>
  </si>
  <si>
    <t>0290</t>
  </si>
  <si>
    <t>Total Benefits</t>
  </si>
  <si>
    <t>Total Personnel Expenses</t>
  </si>
  <si>
    <t>Classroom (1000)</t>
  </si>
  <si>
    <t>0320</t>
  </si>
  <si>
    <t>0330</t>
  </si>
  <si>
    <t>0352</t>
  </si>
  <si>
    <t>0580</t>
  </si>
  <si>
    <t>Support Services- Students (2100)</t>
  </si>
  <si>
    <t>0340</t>
  </si>
  <si>
    <t>Support Services- Instruction (2200)</t>
  </si>
  <si>
    <t>Travel -Support Services Instructional</t>
  </si>
  <si>
    <t>Support Services- General Administration (2300)</t>
  </si>
  <si>
    <t>0310</t>
  </si>
  <si>
    <t>Travel -General Admin</t>
  </si>
  <si>
    <t xml:space="preserve">Sponsorship Fee 1.5%                       </t>
  </si>
  <si>
    <t>0591</t>
  </si>
  <si>
    <t>Support Services- School Administration (2400)</t>
  </si>
  <si>
    <t>Employee Training and Development Services -School Admin</t>
  </si>
  <si>
    <t xml:space="preserve">Travel- Principal                                 </t>
  </si>
  <si>
    <t>Central Services (2500)</t>
  </si>
  <si>
    <t>Official/Administrative Services -Central Services</t>
  </si>
  <si>
    <t>Purchased Finacial Services (CSMC)</t>
  </si>
  <si>
    <t>0345</t>
  </si>
  <si>
    <t>Other Technical Services</t>
  </si>
  <si>
    <t>0442</t>
  </si>
  <si>
    <t xml:space="preserve">Postage                                           </t>
  </si>
  <si>
    <t>0531</t>
  </si>
  <si>
    <t xml:space="preserve">Telephone - Land line </t>
  </si>
  <si>
    <t>0533</t>
  </si>
  <si>
    <t>Data Communications - Internet</t>
  </si>
  <si>
    <t>0535</t>
  </si>
  <si>
    <t>0540</t>
  </si>
  <si>
    <t>0550</t>
  </si>
  <si>
    <t>Operation and Maintenance of Plant (2600)</t>
  </si>
  <si>
    <t xml:space="preserve">Utilities (Water/Sewer)                           </t>
  </si>
  <si>
    <t>0410</t>
  </si>
  <si>
    <t xml:space="preserve">Waste Disposal Service                            </t>
  </si>
  <si>
    <t>0421</t>
  </si>
  <si>
    <t>Janitorial</t>
  </si>
  <si>
    <t>0422</t>
  </si>
  <si>
    <t xml:space="preserve">Building Lease </t>
  </si>
  <si>
    <t>0441</t>
  </si>
  <si>
    <t>Insurance (Other than Employee) -Operations &amp; Maintenance</t>
  </si>
  <si>
    <t>0520</t>
  </si>
  <si>
    <t>Transportation</t>
  </si>
  <si>
    <t>0510</t>
  </si>
  <si>
    <t xml:space="preserve">Professional Educational Services -SPED- Speech Pathology/Psychologist/OT         </t>
  </si>
  <si>
    <t>624</t>
  </si>
  <si>
    <t>Employee Training and Development Services -Title I -Classroom</t>
  </si>
  <si>
    <t>Professional Educational Services -Title I-A -Student Services</t>
  </si>
  <si>
    <t>633</t>
  </si>
  <si>
    <t>Professional Educational Services -Title I-A -Instructional Services</t>
  </si>
  <si>
    <t>639</t>
  </si>
  <si>
    <t>Travel -SPED IDEA Part B</t>
  </si>
  <si>
    <t>709</t>
  </si>
  <si>
    <t>Travel -Instructional -Title II</t>
  </si>
  <si>
    <t>Travel -School Admin -Title II</t>
  </si>
  <si>
    <t>Total Purchased Services</t>
  </si>
  <si>
    <t>General Supplies -Classroom</t>
  </si>
  <si>
    <t>0610</t>
  </si>
  <si>
    <t>Books &amp; Periodicals -Classroom</t>
  </si>
  <si>
    <t>0640</t>
  </si>
  <si>
    <t>Textbook &amp; Curriculum -Classroom</t>
  </si>
  <si>
    <t>0641</t>
  </si>
  <si>
    <t xml:space="preserve">Supplies-Technology-Software -Classroom           </t>
  </si>
  <si>
    <t>0651</t>
  </si>
  <si>
    <t>Supplies/Equip-Info Tech Related- Classroom</t>
  </si>
  <si>
    <t>0652</t>
  </si>
  <si>
    <t>Web-Based Curriculum -Classroom</t>
  </si>
  <si>
    <t>0653</t>
  </si>
  <si>
    <t>General Supplies -Student Support Services</t>
  </si>
  <si>
    <t>General Supplies -Support Services Instructional</t>
  </si>
  <si>
    <t>General Supplies -General Admin</t>
  </si>
  <si>
    <t>General Supplies -School Admin</t>
  </si>
  <si>
    <t>General Supplies - Central Services</t>
  </si>
  <si>
    <t xml:space="preserve">Supplies/Equip-Info Tech- Central          </t>
  </si>
  <si>
    <t>General Supplies -Operational</t>
  </si>
  <si>
    <t>Natural Gas</t>
  </si>
  <si>
    <t>0621</t>
  </si>
  <si>
    <t xml:space="preserve">Teacher Reimbursement Grant                                                                                                                                                                                                                                    </t>
  </si>
  <si>
    <t>General Supplies -Teacher Reimbursement Grant</t>
  </si>
  <si>
    <t>Books &amp; Periodicals -SPED</t>
  </si>
  <si>
    <t>Title II Grant</t>
  </si>
  <si>
    <t>General Supplies -Title II</t>
  </si>
  <si>
    <t>Total Books &amp; Supplies</t>
  </si>
  <si>
    <t>Dues &amp; Fees -Classroom</t>
  </si>
  <si>
    <t>0810</t>
  </si>
  <si>
    <t>Dues &amp; Fees -Support Services Instructional</t>
  </si>
  <si>
    <t>Dues &amp; Fees -General Admin</t>
  </si>
  <si>
    <t>Dues &amp; Fees -Central Services</t>
  </si>
  <si>
    <t>Dues &amp; Fees -Operations &amp; Maintenance</t>
  </si>
  <si>
    <t>Dues &amp; Fees -Title II</t>
  </si>
  <si>
    <t>Miscellaneous Expense -School Admin</t>
  </si>
  <si>
    <t>0890</t>
  </si>
  <si>
    <t>Total Other Outgo</t>
  </si>
  <si>
    <t>Total Expenditures</t>
  </si>
  <si>
    <t>Net Income</t>
  </si>
  <si>
    <t>CASH FLOWS</t>
  </si>
  <si>
    <t>Receivables</t>
  </si>
  <si>
    <t>Intracompany Receivables</t>
  </si>
  <si>
    <t>Prepaid Expenses</t>
  </si>
  <si>
    <t>Current Other Expenses</t>
  </si>
  <si>
    <t>Other Assets</t>
  </si>
  <si>
    <t>Accounts Payables</t>
  </si>
  <si>
    <t>Accrued Salaries and Taxes</t>
  </si>
  <si>
    <t>Short Term Loans</t>
  </si>
  <si>
    <t>Deferred Revenue</t>
  </si>
  <si>
    <t>Other Current Liabilities</t>
  </si>
  <si>
    <t>Net Cash provided/ (used) by Operating Activites</t>
  </si>
  <si>
    <t>Capital Expenditures</t>
  </si>
  <si>
    <t>Other Investing Activities</t>
  </si>
  <si>
    <t>Equity Transfers</t>
  </si>
  <si>
    <t>Net Cash provided/ (used) by Investing Activities</t>
  </si>
  <si>
    <t>Cash Flow Financing - Secured Debt</t>
  </si>
  <si>
    <t>Loan Payables</t>
  </si>
  <si>
    <t>Deferred Lease Expense</t>
  </si>
  <si>
    <t>Net Cash provided/ (used) by Financing Activities</t>
  </si>
  <si>
    <t>Net Increase/(Decrease) in Cash</t>
  </si>
  <si>
    <t>Cash at Beginning of Period</t>
  </si>
  <si>
    <t>Cash At End of Period</t>
  </si>
  <si>
    <t xml:space="preserve">Employee Detail </t>
  </si>
  <si>
    <t>Project /Grant</t>
  </si>
  <si>
    <t>Last Name</t>
  </si>
  <si>
    <t>First Name</t>
  </si>
  <si>
    <t>Department</t>
  </si>
  <si>
    <t>Job Title</t>
  </si>
  <si>
    <t>FTE</t>
  </si>
  <si>
    <t>Salary or Hourly</t>
  </si>
  <si>
    <t>Pay Periods</t>
  </si>
  <si>
    <t>Hourly Rate</t>
  </si>
  <si>
    <t>Days/YR</t>
  </si>
  <si>
    <t>HRS/Day</t>
  </si>
  <si>
    <t>Base Salary</t>
  </si>
  <si>
    <t>Annual Salary Increase</t>
  </si>
  <si>
    <t>Adjusted Compensation</t>
  </si>
  <si>
    <t>Add'l Compensation</t>
  </si>
  <si>
    <t>Extra Duties</t>
  </si>
  <si>
    <t>Total Salary Compensation</t>
  </si>
  <si>
    <t>Group Benefits</t>
  </si>
  <si>
    <t>Tuition Reimbursement</t>
  </si>
  <si>
    <t>Medical Benefits</t>
  </si>
  <si>
    <t>Total Compensation</t>
  </si>
  <si>
    <t>Est. Hrs/YR</t>
  </si>
  <si>
    <t xml:space="preserve">PERS Adjustment
</t>
  </si>
  <si>
    <t>PERS Contribution ER/EE/N</t>
  </si>
  <si>
    <t>for EE paid</t>
  </si>
  <si>
    <t>Teacher</t>
  </si>
  <si>
    <t>ER</t>
  </si>
  <si>
    <t>ACCTID</t>
  </si>
  <si>
    <t>FSCSYR</t>
  </si>
  <si>
    <t>FSCSDSG</t>
  </si>
  <si>
    <t>FSCSCURN</t>
  </si>
  <si>
    <t>CURNTYPE</t>
  </si>
  <si>
    <t>1</t>
  </si>
  <si>
    <t>USD</t>
  </si>
  <si>
    <t>F</t>
  </si>
  <si>
    <t>Remaining Budget</t>
  </si>
  <si>
    <t>Single</t>
  </si>
  <si>
    <t>Total Capital Outlay</t>
  </si>
  <si>
    <t>Depreciation</t>
  </si>
  <si>
    <t>0790</t>
  </si>
  <si>
    <t>H</t>
  </si>
  <si>
    <t>Campus</t>
  </si>
  <si>
    <t>Grade</t>
  </si>
  <si>
    <t># of Staff</t>
  </si>
  <si>
    <t>TOTAL PK-12</t>
  </si>
  <si>
    <t>10:1</t>
  </si>
  <si>
    <t>12:1</t>
  </si>
  <si>
    <t>11:1</t>
  </si>
  <si>
    <t>9:1</t>
  </si>
  <si>
    <t>0:1</t>
  </si>
  <si>
    <t>Campus 1</t>
  </si>
  <si>
    <t>Campus 2</t>
  </si>
  <si>
    <t>Campus 3</t>
  </si>
  <si>
    <t>Campus 4</t>
  </si>
  <si>
    <t>Campus 5</t>
  </si>
  <si>
    <t>Campus 6</t>
  </si>
  <si>
    <t># OF STUDENTS</t>
  </si>
  <si>
    <t>Location</t>
  </si>
  <si>
    <t>Beacon Academy of Nevada</t>
  </si>
  <si>
    <t>Updated</t>
  </si>
  <si>
    <t>AB3 ESSER</t>
  </si>
  <si>
    <t>TITLE IV</t>
  </si>
  <si>
    <t>ESSER CARES</t>
  </si>
  <si>
    <t>TITLE III LEP</t>
  </si>
  <si>
    <t>Other Revenue from Local Sources</t>
  </si>
  <si>
    <t>Student Generated Funds</t>
  </si>
  <si>
    <t>BABJI</t>
  </si>
  <si>
    <t>NIKOLAS</t>
  </si>
  <si>
    <t>Support Staff</t>
  </si>
  <si>
    <t>IT SPECIALIST</t>
  </si>
  <si>
    <t/>
  </si>
  <si>
    <t>Bailey</t>
  </si>
  <si>
    <t>Sandra</t>
  </si>
  <si>
    <t>Licensed Staff</t>
  </si>
  <si>
    <t>EE</t>
  </si>
  <si>
    <t>Bates (Bolton)</t>
  </si>
  <si>
    <t>Toishauna</t>
  </si>
  <si>
    <t>Licensed Support Staff</t>
  </si>
  <si>
    <t>Academic Counselor</t>
  </si>
  <si>
    <t>Bellinger</t>
  </si>
  <si>
    <t>Mary Kay</t>
  </si>
  <si>
    <t>Operations Coordinator</t>
  </si>
  <si>
    <t>BERRY</t>
  </si>
  <si>
    <t>NAYA</t>
  </si>
  <si>
    <t>SPED Compliance Consultant</t>
  </si>
  <si>
    <t>Brooks</t>
  </si>
  <si>
    <t>Lola</t>
  </si>
  <si>
    <t>Assessment &amp; Data Coordinator</t>
  </si>
  <si>
    <t>Damore</t>
  </si>
  <si>
    <t>Andrea</t>
  </si>
  <si>
    <t>Admnistration</t>
  </si>
  <si>
    <t>Exec. Dir. Academics</t>
  </si>
  <si>
    <t>Garcia</t>
  </si>
  <si>
    <t>Vanessa</t>
  </si>
  <si>
    <t>Registrar</t>
  </si>
  <si>
    <t>Grant</t>
  </si>
  <si>
    <t>Brien</t>
  </si>
  <si>
    <t>Licensed Teaching Assistant</t>
  </si>
  <si>
    <t>Hernandez</t>
  </si>
  <si>
    <t>Brisselle</t>
  </si>
  <si>
    <t>Instructional Designer</t>
  </si>
  <si>
    <t>Hunt</t>
  </si>
  <si>
    <t>Kathryn</t>
  </si>
  <si>
    <t>Literacy &amp; Data Facilitator, Instructional Facilitator</t>
  </si>
  <si>
    <t>Johnson</t>
  </si>
  <si>
    <t>Kevin</t>
  </si>
  <si>
    <t>SPED Teacher</t>
  </si>
  <si>
    <t>Kays</t>
  </si>
  <si>
    <t>Jill</t>
  </si>
  <si>
    <t>Social Worker</t>
  </si>
  <si>
    <t>Miner-James</t>
  </si>
  <si>
    <t>Diane</t>
  </si>
  <si>
    <t>Nash</t>
  </si>
  <si>
    <t>Mala</t>
  </si>
  <si>
    <t>PSYCHOLOGIST</t>
  </si>
  <si>
    <t>Nestor</t>
  </si>
  <si>
    <t>Pinedo</t>
  </si>
  <si>
    <t>Adylene</t>
  </si>
  <si>
    <t>Admissions Specialist</t>
  </si>
  <si>
    <t>Poles</t>
  </si>
  <si>
    <t>Ramos</t>
  </si>
  <si>
    <t>Michelle</t>
  </si>
  <si>
    <t>Drop Out Prevention Facilitator</t>
  </si>
  <si>
    <t>Rodilosso</t>
  </si>
  <si>
    <t>Kristina</t>
  </si>
  <si>
    <t>Teacher (STEM Interventionist)</t>
  </si>
  <si>
    <t>Severin</t>
  </si>
  <si>
    <t>Ryan</t>
  </si>
  <si>
    <t>Simao</t>
  </si>
  <si>
    <t>Michael</t>
  </si>
  <si>
    <t>Administration</t>
  </si>
  <si>
    <t>Tondryk</t>
  </si>
  <si>
    <t>Tambre</t>
  </si>
  <si>
    <t>Exec. Dir. Operations</t>
  </si>
  <si>
    <t>Vasquez</t>
  </si>
  <si>
    <t>Arlene</t>
  </si>
  <si>
    <t>Receptionist</t>
  </si>
  <si>
    <t>Wilnewic</t>
  </si>
  <si>
    <t>Jennifer</t>
  </si>
  <si>
    <t>Zeidler</t>
  </si>
  <si>
    <t>Linda</t>
  </si>
  <si>
    <t>Attendance Clerk</t>
  </si>
  <si>
    <t>2510</t>
  </si>
  <si>
    <t>2582</t>
  </si>
  <si>
    <t>2410</t>
  </si>
  <si>
    <t>1000</t>
  </si>
  <si>
    <t>250</t>
  </si>
  <si>
    <t>200</t>
  </si>
  <si>
    <t>2320</t>
  </si>
  <si>
    <t>2110</t>
  </si>
  <si>
    <t>WILLOUGHBY</t>
  </si>
  <si>
    <t>SUSAN</t>
  </si>
  <si>
    <t>100</t>
  </si>
  <si>
    <t>ZOOM</t>
  </si>
  <si>
    <t>289</t>
  </si>
  <si>
    <t>AB309</t>
  </si>
  <si>
    <t>390</t>
  </si>
  <si>
    <t>240</t>
  </si>
  <si>
    <t>Employee Training and Development Services -</t>
  </si>
  <si>
    <t>2319</t>
  </si>
  <si>
    <t>2560</t>
  </si>
  <si>
    <t>2570</t>
  </si>
  <si>
    <t>2530</t>
  </si>
  <si>
    <t>2580</t>
  </si>
  <si>
    <t>0430</t>
  </si>
  <si>
    <t>2610</t>
  </si>
  <si>
    <t>OTHER PURCHASED PROPERTY SERVICES</t>
  </si>
  <si>
    <t xml:space="preserve">Professional Educational Services </t>
  </si>
  <si>
    <t>2130</t>
  </si>
  <si>
    <t>2140</t>
  </si>
  <si>
    <t>2150</t>
  </si>
  <si>
    <t>2160</t>
  </si>
  <si>
    <t>TRAVEL</t>
  </si>
  <si>
    <t>2213</t>
  </si>
  <si>
    <t>2190</t>
  </si>
  <si>
    <t>LAGRUTTA</t>
  </si>
  <si>
    <t>JUDY</t>
  </si>
  <si>
    <t>NURSE</t>
  </si>
  <si>
    <t>Wrap Around Facilitator (Social Worker)</t>
  </si>
  <si>
    <t>SPED TEACHER</t>
  </si>
  <si>
    <t>Math Facilitator</t>
  </si>
  <si>
    <t>02</t>
  </si>
  <si>
    <t>TEACHER</t>
  </si>
  <si>
    <t>FY22</t>
  </si>
  <si>
    <t>TUTOR</t>
  </si>
  <si>
    <t>School Operations Support Staff</t>
  </si>
  <si>
    <t>Academic Coordinator</t>
  </si>
  <si>
    <t>FY23</t>
  </si>
  <si>
    <t>Dropout Prevention Facilitator</t>
  </si>
  <si>
    <t>RtI Facilitators</t>
  </si>
  <si>
    <t>FY24</t>
  </si>
  <si>
    <t>Career Pathways Coordinator</t>
  </si>
  <si>
    <t>FY25</t>
  </si>
  <si>
    <t>Supplies-Technology-Software</t>
  </si>
  <si>
    <t>Electricity</t>
  </si>
  <si>
    <t>0622</t>
  </si>
  <si>
    <t>AB309 (2019) Block Grant</t>
  </si>
  <si>
    <t>Software</t>
  </si>
  <si>
    <t>Web-Based Curriculum -Title 1</t>
  </si>
  <si>
    <t>Miscellaneous Expense</t>
  </si>
  <si>
    <t>E-rate</t>
  </si>
  <si>
    <t>Other Professional Services -Classroom</t>
  </si>
  <si>
    <t>2318</t>
  </si>
  <si>
    <t>Other Purchased Services</t>
  </si>
  <si>
    <t>2585</t>
  </si>
  <si>
    <t>Rental of Equipment -Printing, Publishing, and Duplicating Services</t>
  </si>
  <si>
    <t>Rental of Equipment -Administrative Technology Services</t>
  </si>
  <si>
    <t xml:space="preserve">Rental of Equipment -Network Support </t>
  </si>
  <si>
    <t>2690</t>
  </si>
  <si>
    <t>Facilities Acquisition and Construction</t>
  </si>
  <si>
    <t>4600</t>
  </si>
  <si>
    <t xml:space="preserve">Non-Technology-Related Repairs and Maintenance -Site Improvement        </t>
  </si>
  <si>
    <t>2620</t>
  </si>
  <si>
    <t>Printing, Publishing, and Duplicating Services -Printing and Binding</t>
  </si>
  <si>
    <t>E-Rate</t>
  </si>
  <si>
    <t>McKinney-Vento</t>
  </si>
  <si>
    <t>430</t>
  </si>
  <si>
    <t>650</t>
  </si>
  <si>
    <t>2210</t>
  </si>
  <si>
    <t>729</t>
  </si>
  <si>
    <t xml:space="preserve">Capital Projects </t>
  </si>
  <si>
    <t>300</t>
  </si>
  <si>
    <t>4500</t>
  </si>
  <si>
    <t>Non-Technology-Related Repairs and Maintenance -Site Improvement</t>
  </si>
  <si>
    <t>2640</t>
  </si>
  <si>
    <t>2660</t>
  </si>
  <si>
    <t>2670</t>
  </si>
  <si>
    <t>2490</t>
  </si>
  <si>
    <t>340</t>
  </si>
  <si>
    <t xml:space="preserve">General Supplies </t>
  </si>
  <si>
    <t>Supplies/Equip-Info Tech</t>
  </si>
  <si>
    <t>Title IV</t>
  </si>
  <si>
    <t>SGF</t>
  </si>
  <si>
    <t>CARES ESSER</t>
  </si>
  <si>
    <t>715</t>
  </si>
  <si>
    <t>Web-Based Curriculum</t>
  </si>
  <si>
    <t>740</t>
  </si>
  <si>
    <t>Other</t>
  </si>
  <si>
    <t>0900</t>
  </si>
  <si>
    <t>Nevada Digital Learning Collaborative (NvDLC)</t>
  </si>
  <si>
    <t>2120</t>
  </si>
  <si>
    <t>420</t>
  </si>
  <si>
    <t>2212</t>
  </si>
  <si>
    <t>V</t>
  </si>
  <si>
    <t>U</t>
  </si>
  <si>
    <t>TBD</t>
  </si>
  <si>
    <t>SUBSTITUTE</t>
  </si>
  <si>
    <t>01</t>
  </si>
  <si>
    <t>80</t>
  </si>
  <si>
    <t>89</t>
  </si>
  <si>
    <t>25</t>
  </si>
  <si>
    <t>51</t>
  </si>
  <si>
    <t>53</t>
  </si>
  <si>
    <t>90</t>
  </si>
  <si>
    <t>40</t>
  </si>
  <si>
    <t>24</t>
  </si>
  <si>
    <t>39</t>
  </si>
  <si>
    <t>58</t>
  </si>
  <si>
    <t>09</t>
  </si>
  <si>
    <t>15</t>
  </si>
  <si>
    <t>29</t>
  </si>
  <si>
    <t>04</t>
  </si>
  <si>
    <t>05</t>
  </si>
  <si>
    <t>06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</si>
  <si>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</si>
  <si>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</si>
  <si>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</si>
  <si>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</si>
  <si>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</si>
  <si>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</si>
  <si>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</si>
  <si>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</si>
  <si>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</si>
  <si>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</si>
  <si>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</si>
  <si>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</si>
  <si>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</si>
  <si>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26</t>
  </si>
  <si>
    <t>27</t>
  </si>
  <si>
    <t>28</t>
  </si>
  <si>
    <t>31</t>
  </si>
  <si>
    <t>34</t>
  </si>
  <si>
    <t>35</t>
  </si>
  <si>
    <t>36</t>
  </si>
  <si>
    <t>37</t>
  </si>
  <si>
    <t>38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</si>
  <si>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</si>
  <si>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</si>
  <si>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</si>
  <si>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</si>
  <si>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</si>
  <si>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</si>
  <si>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</si>
  <si>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</si>
  <si>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</si>
  <si>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</si>
  <si>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52</t>
  </si>
  <si>
    <t>54</t>
  </si>
  <si>
    <t>55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</si>
  <si>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</si>
  <si>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</si>
  <si>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</si>
  <si>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</si>
  <si>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</si>
  <si>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</si>
  <si>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</si>
  <si>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</si>
  <si>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</si>
  <si>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</si>
  <si>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</si>
  <si>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</si>
  <si>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</si>
  <si>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</si>
  <si>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</si>
  <si>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</si>
  <si>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74</t>
  </si>
  <si>
    <t>75</t>
  </si>
  <si>
    <t>76</t>
  </si>
  <si>
    <t>77</t>
  </si>
  <si>
    <t>78</t>
  </si>
  <si>
    <t>79</t>
  </si>
  <si>
    <t>81</t>
  </si>
  <si>
    <t>82</t>
  </si>
  <si>
    <t>83</t>
  </si>
  <si>
    <t>84</t>
  </si>
  <si>
    <t>85</t>
  </si>
  <si>
    <t>86</t>
  </si>
  <si>
    <t>87</t>
  </si>
  <si>
    <t>88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</si>
  <si>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</si>
  <si>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</si>
  <si>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</si>
  <si>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</si>
  <si>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</si>
  <si>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</si>
  <si>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</si>
  <si>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</si>
  <si>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</si>
  <si>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101</t>
  </si>
  <si>
    <t>102</t>
  </si>
  <si>
    <t>103</t>
  </si>
  <si>
    <t>104</t>
  </si>
  <si>
    <t>105</t>
  </si>
  <si>
    <t>106</t>
  </si>
  <si>
    <t>109</t>
  </si>
  <si>
    <t>111</t>
  </si>
  <si>
    <t>112</t>
  </si>
  <si>
    <t>113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</si>
  <si>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</si>
  <si>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</si>
  <si>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</si>
  <si>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</si>
  <si>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</si>
  <si>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</si>
  <si>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</si>
  <si>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</si>
  <si>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</si>
  <si>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</si>
  <si>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</si>
  <si>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</si>
  <si>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</si>
  <si>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</si>
  <si>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</si>
  <si>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</si>
  <si>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</si>
  <si>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</si>
  <si>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</si>
  <si>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</si>
  <si>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</si>
  <si>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</si>
  <si>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</si>
  <si>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</si>
  <si>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</si>
  <si>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</si>
  <si>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</si>
  <si>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</si>
  <si>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</si>
  <si>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</si>
  <si>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</si>
  <si>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</si>
  <si>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</si>
  <si>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</si>
  <si>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</si>
  <si>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</si>
  <si>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</si>
  <si>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</si>
  <si>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</si>
  <si>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</si>
  <si>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</si>
  <si>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</si>
  <si>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</si>
  <si>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</si>
  <si>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</si>
  <si>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</si>
  <si>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</si>
  <si>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</si>
  <si>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</si>
  <si>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</si>
  <si>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</si>
  <si>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</si>
  <si>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</si>
  <si>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</si>
  <si>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</si>
  <si>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</si>
  <si>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</si>
  <si>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</si>
  <si>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</si>
  <si>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</si>
  <si>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</si>
  <si>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</si>
  <si>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</si>
  <si>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</si>
  <si>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</si>
  <si>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</si>
  <si>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</si>
  <si>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</si>
  <si>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</si>
  <si>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</si>
  <si>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</si>
  <si>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</si>
  <si>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</si>
  <si>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</si>
  <si>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</si>
  <si>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</si>
  <si>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</si>
  <si>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</si>
  <si>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</si>
  <si>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</si>
  <si>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</si>
  <si>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</si>
  <si>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</si>
  <si>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</si>
  <si>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</si>
  <si>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202</t>
  </si>
  <si>
    <t>203</t>
  </si>
  <si>
    <t>204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</si>
  <si>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</si>
  <si>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</si>
  <si>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</si>
  <si>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</si>
  <si>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</si>
  <si>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</si>
  <si>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</si>
  <si>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</si>
  <si>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</si>
  <si>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</si>
  <si>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</si>
  <si>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</si>
  <si>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</si>
  <si>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</si>
  <si>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</si>
  <si>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</si>
  <si>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</si>
  <si>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</si>
  <si>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</si>
  <si>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</si>
  <si>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</si>
  <si>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</si>
  <si>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</si>
  <si>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</si>
  <si>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</si>
  <si>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</si>
  <si>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</si>
  <si>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</si>
  <si>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</si>
  <si>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</si>
  <si>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</si>
  <si>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</si>
  <si>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</si>
  <si>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</si>
  <si>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</si>
  <si>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</si>
  <si>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</si>
  <si>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</si>
  <si>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</si>
  <si>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</si>
  <si>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</si>
  <si>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</si>
  <si>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</si>
  <si>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252</t>
  </si>
  <si>
    <t>253</t>
  </si>
  <si>
    <t>254</t>
  </si>
  <si>
    <t>255</t>
  </si>
  <si>
    <t>256</t>
  </si>
  <si>
    <t>257</t>
  </si>
  <si>
    <t>Debt Service</t>
  </si>
  <si>
    <t>Debt-Related Interest</t>
  </si>
  <si>
    <t>0832</t>
  </si>
  <si>
    <t>Approval Date</t>
  </si>
  <si>
    <t>DSA Reduction</t>
  </si>
  <si>
    <t>Dell Lease</t>
  </si>
  <si>
    <t>Postage Meter Lease</t>
  </si>
  <si>
    <t>Shredders/Copier Lease</t>
  </si>
  <si>
    <t>KEN OLIN &amp; LONNIE</t>
  </si>
  <si>
    <t>SUMMER SCHOOL</t>
  </si>
  <si>
    <t>Extended School Year Summer School</t>
  </si>
  <si>
    <t>Summer School</t>
  </si>
  <si>
    <t>2700</t>
  </si>
  <si>
    <t>279</t>
  </si>
  <si>
    <t>Capital Projects Transfer In</t>
  </si>
  <si>
    <t>EXTENDED SCHOOL YEAR</t>
  </si>
  <si>
    <t>SUMMER SCHOOL EXTENDED SCHOOL YEAR</t>
  </si>
  <si>
    <t>Professional Educational Services -PSYCH</t>
  </si>
  <si>
    <t>Employee Training and Development Services</t>
  </si>
  <si>
    <t xml:space="preserve">Non-Technology-Related Repairs and Maintenance -Security        </t>
  </si>
  <si>
    <t xml:space="preserve">Non-Technology-Related Repairs and Maintenance -Operation of Builings        </t>
  </si>
  <si>
    <t xml:space="preserve">Non-Technology-Related Repairs and Maintenance -Maintenance of Building        </t>
  </si>
  <si>
    <t xml:space="preserve">Non-Technology-Related Repairs and Maintenance -Care &amp; Upkeep of Equipment        </t>
  </si>
  <si>
    <t>MONTHLY BEST CONTROL</t>
  </si>
  <si>
    <t>Data communications Internet Video T-Lines</t>
  </si>
  <si>
    <t>General Supplies</t>
  </si>
  <si>
    <t>Professional Educational Services -SPED- Nurse</t>
  </si>
  <si>
    <t>Professional Educational Services -SPED-Psychologist</t>
  </si>
  <si>
    <t>Professional Educational Services -SPED- Speech Pathology</t>
  </si>
  <si>
    <t xml:space="preserve">Professional Educational Services -SPED- OT         </t>
  </si>
  <si>
    <t xml:space="preserve">Employee Training and Development Services </t>
  </si>
  <si>
    <t>260</t>
  </si>
  <si>
    <t>NAQASHI</t>
  </si>
  <si>
    <t>RIYADH</t>
  </si>
  <si>
    <t>258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</si>
  <si>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</si>
  <si>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</si>
  <si>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</si>
  <si>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</si>
  <si>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</si>
  <si>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</si>
  <si>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</si>
  <si>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</si>
  <si>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</si>
  <si>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</si>
  <si>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</si>
  <si>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</si>
  <si>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</si>
  <si>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</si>
  <si>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</si>
  <si>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</si>
  <si>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</si>
  <si>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</si>
  <si>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</si>
  <si>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281</t>
  </si>
  <si>
    <t>TITLE I 1003A</t>
  </si>
  <si>
    <t>PD</t>
  </si>
  <si>
    <t>TITLE I 1003A PD</t>
  </si>
  <si>
    <t>ADMIN</t>
  </si>
  <si>
    <t>NON-LICENSED</t>
  </si>
  <si>
    <t>LICENSED</t>
  </si>
  <si>
    <t>Salary/Hourly</t>
  </si>
  <si>
    <t>TITLE IIA</t>
  </si>
  <si>
    <t>658</t>
  </si>
  <si>
    <t>282</t>
  </si>
  <si>
    <t>283</t>
  </si>
  <si>
    <t>284</t>
  </si>
  <si>
    <t>285</t>
  </si>
  <si>
    <t>286</t>
  </si>
  <si>
    <t>287</t>
  </si>
  <si>
    <t>288</t>
  </si>
  <si>
    <t>290</t>
  </si>
  <si>
    <t>291</t>
  </si>
  <si>
    <t>292</t>
  </si>
  <si>
    <t>293</t>
  </si>
  <si>
    <t>294</t>
  </si>
  <si>
    <t>295</t>
  </si>
  <si>
    <t>296</t>
  </si>
  <si>
    <t>297</t>
  </si>
  <si>
    <t>McKinney-Vento Set Aside</t>
  </si>
  <si>
    <t>5% Reserve (Possibly Included in Total Capital Outlay)</t>
  </si>
  <si>
    <t>%  of Revenue</t>
  </si>
  <si>
    <t>298</t>
  </si>
  <si>
    <t>299</t>
  </si>
  <si>
    <t>Estimated 120 Days of Expenses</t>
  </si>
  <si>
    <t>(Cash) / ((Average Expenses past 12 months) / (30.4)) 2A, 2B</t>
  </si>
  <si>
    <t xml:space="preserve">Academic Coordinator </t>
  </si>
  <si>
    <t xml:space="preserve">Enrollment Coordinator </t>
  </si>
  <si>
    <t>Blended Learning RTI Facilitator</t>
  </si>
  <si>
    <t>Attendance Assistance</t>
  </si>
  <si>
    <t>Career Pathways Coordinator/Dropout Prevention</t>
  </si>
  <si>
    <t>TERMED</t>
  </si>
  <si>
    <t>GEER 1 Grant</t>
  </si>
  <si>
    <t>Enrollment Specialist</t>
  </si>
  <si>
    <t>TITLE III</t>
  </si>
  <si>
    <t>SPED FACILITATOR</t>
  </si>
  <si>
    <t>OPERATIONS COORDINATOR</t>
  </si>
  <si>
    <t>ASSESSMENT &amp; DATA COORDINATOR</t>
  </si>
  <si>
    <t>REGISTRAR</t>
  </si>
  <si>
    <t>SOCIAL WORKER 01</t>
  </si>
  <si>
    <t>SOCIAL WORKER 02</t>
  </si>
  <si>
    <t>ACADEMIC COUNSELOR</t>
  </si>
  <si>
    <t>BLENDED LEARNING FACILITATOR</t>
  </si>
  <si>
    <t>ACADEMIC COORDINATOR</t>
  </si>
  <si>
    <t>SPECIAL PROGRAMS COORDINATOR</t>
  </si>
  <si>
    <t>INSTRUCTIONAL DESIGNER</t>
  </si>
  <si>
    <t>STUDENT PERSISTENCE ASSISTANT</t>
  </si>
  <si>
    <t>STUDENT PERSISTENCE FACILITATOR</t>
  </si>
  <si>
    <t>RECORDS &amp; ENROLLMENT COORDINATOR</t>
  </si>
  <si>
    <t>CAREER PATHWAYS COORDINATOR</t>
  </si>
  <si>
    <t>TONDRYK</t>
  </si>
  <si>
    <t>DAMORE</t>
  </si>
  <si>
    <t>ANDREA</t>
  </si>
  <si>
    <t>BELLINGER</t>
  </si>
  <si>
    <t>MARY KAY</t>
  </si>
  <si>
    <t>BROOKS</t>
  </si>
  <si>
    <t>LOLA</t>
  </si>
  <si>
    <t>LINDA</t>
  </si>
  <si>
    <t>NASH</t>
  </si>
  <si>
    <t>CENTRAL</t>
  </si>
  <si>
    <t>CONTRACTOR</t>
  </si>
  <si>
    <t>CSP GRANT</t>
  </si>
  <si>
    <t>661</t>
  </si>
  <si>
    <t>CSP</t>
  </si>
  <si>
    <t>CSP PROFESSIONAL DEVELOPMENT</t>
  </si>
  <si>
    <t>Professional Educational Services</t>
  </si>
  <si>
    <t>Marketing Services</t>
  </si>
  <si>
    <t>0450</t>
  </si>
  <si>
    <t>Construction Services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</si>
  <si>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</si>
  <si>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</si>
  <si>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</si>
  <si>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</si>
  <si>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</si>
  <si>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</si>
  <si>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</si>
  <si>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</si>
  <si>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</si>
  <si>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</si>
  <si>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</si>
  <si>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</si>
  <si>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</si>
  <si>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Data Communications - Internet -Classroom</t>
  </si>
  <si>
    <t xml:space="preserve">Sponsorship Fee 1.25%                       </t>
  </si>
  <si>
    <t>Official/Administrative Services (Background Checks)</t>
  </si>
  <si>
    <t>Purchased Finacial Services (Back-Office &amp; Audit)</t>
  </si>
  <si>
    <t>Rental of Equipment -Administrative Technology Services (Postal)</t>
  </si>
  <si>
    <t>Rental of Equipment -Network Support (Server)</t>
  </si>
  <si>
    <t>Data Communications - Internet (Staff)</t>
  </si>
  <si>
    <t>Other Purchased Property Services (Water Cooler Rental)</t>
  </si>
  <si>
    <t>Printing &amp; Binding (Copier Overages)</t>
  </si>
  <si>
    <t>Janitorial -SPED</t>
  </si>
  <si>
    <t>Building Lease -SPED</t>
  </si>
  <si>
    <t>Advertising -Title II</t>
  </si>
  <si>
    <t>Employee Training and Development Services -Insructional</t>
  </si>
  <si>
    <t>GARCIA</t>
  </si>
  <si>
    <t>RECEPTIONIST</t>
  </si>
  <si>
    <t>EXEC. DIR. ACADEMICS</t>
  </si>
  <si>
    <t>SIMAO</t>
  </si>
  <si>
    <t>MICHAEL</t>
  </si>
  <si>
    <t>BAILEY</t>
  </si>
  <si>
    <t>BATES (BOLTON)</t>
  </si>
  <si>
    <t>GRANT</t>
  </si>
  <si>
    <t>HERNANDEZ</t>
  </si>
  <si>
    <t>HUNT</t>
  </si>
  <si>
    <t>JOHNSON</t>
  </si>
  <si>
    <t>KAYS</t>
  </si>
  <si>
    <t>MINER-JAMES</t>
  </si>
  <si>
    <t>NESTOR</t>
  </si>
  <si>
    <t>PINEDO</t>
  </si>
  <si>
    <t>RODILOSSO</t>
  </si>
  <si>
    <t>SEVERIN</t>
  </si>
  <si>
    <t>WILNEWIC</t>
  </si>
  <si>
    <t>ZEIDLER</t>
  </si>
  <si>
    <t>SANDRA</t>
  </si>
  <si>
    <t>TOISHAUNA</t>
  </si>
  <si>
    <t>VANESSA</t>
  </si>
  <si>
    <t>BRIEN</t>
  </si>
  <si>
    <t>BRISSELLE</t>
  </si>
  <si>
    <t>KATHRYN</t>
  </si>
  <si>
    <t>KEVIN</t>
  </si>
  <si>
    <t>JILL</t>
  </si>
  <si>
    <t xml:space="preserve">LITERACY &amp; DATA FACILITATOR, INSTRUCTIONAL FACILITATOR </t>
  </si>
  <si>
    <t>SOCIAL WORKER</t>
  </si>
  <si>
    <t xml:space="preserve">WRAP AROUND FACILITATOR (SOCIAL WORKER) </t>
  </si>
  <si>
    <t>KRISTINA</t>
  </si>
  <si>
    <t>RYAN</t>
  </si>
  <si>
    <t>MATH FACILITATOR</t>
  </si>
  <si>
    <t>BLENDED LEARNING TEACHER ASSISTANT</t>
  </si>
  <si>
    <t>ENROLLMENT SPECIALIST</t>
  </si>
  <si>
    <t>TEACHER (STEM INTERVENTIONIST)</t>
  </si>
  <si>
    <t>0155</t>
  </si>
  <si>
    <t>0157</t>
  </si>
  <si>
    <t>Legal Notice</t>
  </si>
  <si>
    <t>Dues &amp; Fees -Site Improvement</t>
  </si>
  <si>
    <t>Site Improvements (4600)</t>
  </si>
  <si>
    <t>Insurance (other than employee)  FIRST AMERICAN TITLE DED</t>
  </si>
  <si>
    <t>ESSER II</t>
  </si>
  <si>
    <t>SPED IDEA</t>
  </si>
  <si>
    <t>TITLE Ia</t>
  </si>
  <si>
    <t>Tentative FY2122</t>
  </si>
  <si>
    <t>Proposed Final FY2122</t>
  </si>
  <si>
    <t>$ per Student</t>
  </si>
  <si>
    <t>Multi-Year Projection Detail</t>
  </si>
  <si>
    <t>Multi-Year Projection Summary</t>
  </si>
  <si>
    <t>Description</t>
  </si>
  <si>
    <t>Mandatory Per Pupil Spending**</t>
  </si>
  <si>
    <t>Total Budgeted Classroom Supplies</t>
  </si>
  <si>
    <t>Total Mandatory Per Pupil Spending</t>
  </si>
  <si>
    <t>Difference between Budgeted &amp; Mandatory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</si>
  <si>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</si>
  <si>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</si>
  <si>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</si>
  <si>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</si>
  <si>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</si>
  <si>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</si>
  <si>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</si>
  <si>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</si>
  <si>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</si>
  <si>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</si>
  <si>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</si>
  <si>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326</t>
  </si>
  <si>
    <t>327</t>
  </si>
  <si>
    <t>328</t>
  </si>
  <si>
    <t>329</t>
  </si>
  <si>
    <t>330</t>
  </si>
  <si>
    <t>ESSER -PD</t>
  </si>
  <si>
    <t>ESSER -DIM</t>
  </si>
  <si>
    <t>ESSER -WAS</t>
  </si>
  <si>
    <t>741</t>
  </si>
  <si>
    <t>744</t>
  </si>
  <si>
    <t>745</t>
  </si>
  <si>
    <t>746</t>
  </si>
  <si>
    <t>ESSER III</t>
  </si>
  <si>
    <t>742</t>
  </si>
  <si>
    <t>1520</t>
  </si>
  <si>
    <t>Dividends on Investments</t>
  </si>
  <si>
    <t>1530</t>
  </si>
  <si>
    <t>FV Increase on Invesments</t>
  </si>
  <si>
    <t>Interest Income -Capital Projects</t>
  </si>
  <si>
    <t>Project Aware</t>
  </si>
  <si>
    <t>698</t>
  </si>
  <si>
    <t>0151</t>
  </si>
  <si>
    <t>Additional Compensation Paid to Teachers</t>
  </si>
  <si>
    <t>0154</t>
  </si>
  <si>
    <t>0156</t>
  </si>
  <si>
    <t>Additional Compensation Paid to Licensed Admin</t>
  </si>
  <si>
    <t>Additional Compensation Paid to Other Licensed</t>
  </si>
  <si>
    <t>Additional Compensation Paid to Non-Licensed</t>
  </si>
  <si>
    <t>Additional Compensation Paid to Classified/Support Staff</t>
  </si>
  <si>
    <t>2589</t>
  </si>
  <si>
    <t>Advertising</t>
  </si>
  <si>
    <t>5000</t>
  </si>
  <si>
    <t>0612</t>
  </si>
  <si>
    <t>Supplies/Equipment- Non IT Supplies of Higher Value</t>
  </si>
  <si>
    <t xml:space="preserve">Web-Based Curriculum </t>
  </si>
  <si>
    <t>ESSER COMPETITIVE -PD</t>
  </si>
  <si>
    <t>Dues &amp; Fees</t>
  </si>
  <si>
    <t>ESSER Competitive -WAS</t>
  </si>
  <si>
    <t>Transfers from Gen Fund to SPED FUND</t>
  </si>
  <si>
    <t>Refund of Prior Year's Expenses</t>
  </si>
  <si>
    <t>0152</t>
  </si>
  <si>
    <t>0161</t>
  </si>
  <si>
    <t>BALLEK</t>
  </si>
  <si>
    <t>DIANA</t>
  </si>
  <si>
    <t>BLANCHARD</t>
  </si>
  <si>
    <t>BARBARA</t>
  </si>
  <si>
    <t>CRAWFORD</t>
  </si>
  <si>
    <t>TONY</t>
  </si>
  <si>
    <t>DIAZ</t>
  </si>
  <si>
    <t>ALBERTO</t>
  </si>
  <si>
    <t>ALLISON</t>
  </si>
  <si>
    <t>LEWIS</t>
  </si>
  <si>
    <t>JENNIFER</t>
  </si>
  <si>
    <t>MCCLOUD</t>
  </si>
  <si>
    <t>LANIQUA</t>
  </si>
  <si>
    <t>MEDINA</t>
  </si>
  <si>
    <t>VINCENT</t>
  </si>
  <si>
    <t>MENDOZA</t>
  </si>
  <si>
    <t>REBECCA</t>
  </si>
  <si>
    <t>RUIZ</t>
  </si>
  <si>
    <t>ANNETTE</t>
  </si>
  <si>
    <t>SOLORZANO</t>
  </si>
  <si>
    <t>JAIME</t>
  </si>
  <si>
    <t>MACHIN</t>
  </si>
  <si>
    <t>NINA</t>
  </si>
  <si>
    <t>NEGRETE</t>
  </si>
  <si>
    <t>ANJELICA</t>
  </si>
  <si>
    <t>QUINN</t>
  </si>
  <si>
    <t>TRENTON</t>
  </si>
  <si>
    <t>REDZIC</t>
  </si>
  <si>
    <t>LAMIYA</t>
  </si>
  <si>
    <t>SALVANI</t>
  </si>
  <si>
    <t>CRISELDA</t>
  </si>
  <si>
    <t>English Learner Allocation</t>
  </si>
  <si>
    <t>At-Risk Allocation</t>
  </si>
  <si>
    <t>GATE Allocation</t>
  </si>
  <si>
    <t>ELL</t>
  </si>
  <si>
    <t>AT-RISK</t>
  </si>
  <si>
    <t>GATE</t>
  </si>
  <si>
    <t>SB463 Allocation</t>
  </si>
  <si>
    <t>Final FY2122</t>
  </si>
  <si>
    <t>TITLE I 1003a</t>
  </si>
  <si>
    <t>Difference Between Final &amp; Proposed Amended Final</t>
  </si>
  <si>
    <t>English Learner Allocation (211)</t>
  </si>
  <si>
    <t>At-Risk Allocation (212)</t>
  </si>
  <si>
    <t>GATE Allocation (213)</t>
  </si>
  <si>
    <t>SPED Local Funding (210)</t>
  </si>
  <si>
    <t>Total Per Pupil</t>
  </si>
  <si>
    <t>Pupil Centered Funding Plan</t>
  </si>
  <si>
    <t>FINAL FY21</t>
  </si>
  <si>
    <t>FINAL FY20</t>
  </si>
  <si>
    <t>FY2122</t>
  </si>
  <si>
    <t>FY2223</t>
  </si>
  <si>
    <t>FY2324</t>
  </si>
  <si>
    <t>FY2425</t>
  </si>
  <si>
    <t>FY2526</t>
  </si>
  <si>
    <t>FY2627</t>
  </si>
  <si>
    <t>FY2728</t>
  </si>
  <si>
    <t>Current BOD Approved FY22</t>
  </si>
  <si>
    <t>Reforecasted Total FY22</t>
  </si>
  <si>
    <t xml:space="preserve">Publict Information -Advertising                                       </t>
  </si>
  <si>
    <t xml:space="preserve">Personnel -Advertising                                       </t>
  </si>
  <si>
    <t xml:space="preserve">Other -Advertising                                       </t>
  </si>
  <si>
    <t>ESSER I  Grant</t>
  </si>
  <si>
    <t>Additional Compensation Paid to Para-professional</t>
  </si>
  <si>
    <t>See Mandatory PP Spending Tab</t>
  </si>
  <si>
    <t>VERONICA</t>
  </si>
  <si>
    <t xml:space="preserve">GROUP HEALTH </t>
  </si>
  <si>
    <t>MEDICARE</t>
  </si>
  <si>
    <t>UNEMPLOYMENT</t>
  </si>
  <si>
    <t>WORKER'S COMP</t>
  </si>
  <si>
    <t>Transfers Out</t>
  </si>
  <si>
    <t>Transfers Out to Other Funds</t>
  </si>
  <si>
    <t>0910</t>
  </si>
  <si>
    <t>GLENDI</t>
  </si>
  <si>
    <t>CAMARILLO</t>
  </si>
  <si>
    <t>CASUSO</t>
  </si>
  <si>
    <t>MONICA</t>
  </si>
  <si>
    <t>CLADERA RABELO</t>
  </si>
  <si>
    <t>REDYANE</t>
  </si>
  <si>
    <t>DEL TORO CONTRARES</t>
  </si>
  <si>
    <t>CLARISA</t>
  </si>
  <si>
    <t>BELINDA</t>
  </si>
  <si>
    <t>GRIMM</t>
  </si>
  <si>
    <t>KELLI</t>
  </si>
  <si>
    <t>SPED ADMIN ASSISTANT</t>
  </si>
  <si>
    <t>STUDENT SUPPORT TITLE III ELL</t>
  </si>
  <si>
    <t>VACANT</t>
  </si>
  <si>
    <t>SOCIAL STUDIES TEACHER</t>
  </si>
  <si>
    <t>GEER</t>
  </si>
  <si>
    <t>Tech Supplies</t>
  </si>
  <si>
    <t>749</t>
  </si>
  <si>
    <t>03</t>
  </si>
  <si>
    <t>07</t>
  </si>
  <si>
    <t>08</t>
  </si>
  <si>
    <t>30</t>
  </si>
  <si>
    <t>32</t>
  </si>
  <si>
    <t>33</t>
  </si>
  <si>
    <t>73</t>
  </si>
  <si>
    <t>107</t>
  </si>
  <si>
    <t>108</t>
  </si>
  <si>
    <t>110</t>
  </si>
  <si>
    <t>114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</si>
  <si>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</si>
  <si>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</si>
  <si>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</si>
  <si>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</si>
  <si>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</si>
  <si>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</si>
  <si>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</si>
  <si>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</si>
  <si>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</si>
  <si>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</si>
  <si>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</si>
  <si>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</si>
  <si>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</si>
  <si>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</si>
  <si>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</si>
  <si>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</si>
  <si>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</si>
  <si>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</si>
  <si>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</si>
  <si>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</si>
  <si>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</si>
  <si>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</si>
  <si>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</si>
  <si>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</si>
  <si>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</si>
  <si>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</si>
  <si>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</si>
  <si>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</si>
  <si>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</si>
  <si>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</si>
  <si>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</si>
  <si>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</si>
  <si>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</si>
  <si>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</si>
  <si>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</si>
  <si>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ACTUALS</t>
  </si>
  <si>
    <t>FORECAST</t>
  </si>
  <si>
    <t>1290</t>
  </si>
  <si>
    <t>Other Revenue- Taxes</t>
  </si>
  <si>
    <t>0166</t>
  </si>
  <si>
    <t>0137</t>
  </si>
  <si>
    <t>Overtime</t>
  </si>
  <si>
    <t>2515</t>
  </si>
  <si>
    <t>10000010027000510</t>
  </si>
  <si>
    <t>10000010046000430</t>
  </si>
  <si>
    <t>24028942010000340</t>
  </si>
  <si>
    <t>24039010025800535</t>
  </si>
  <si>
    <t>24039010025700540</t>
  </si>
  <si>
    <t>25020520025700310</t>
  </si>
  <si>
    <t>25000020021300340</t>
  </si>
  <si>
    <t>25000020021400340</t>
  </si>
  <si>
    <t>25020520021500340</t>
  </si>
  <si>
    <t>25020520021600340</t>
  </si>
  <si>
    <t>25020520026100422</t>
  </si>
  <si>
    <t>25020520026100441</t>
  </si>
  <si>
    <t>25020520025300442</t>
  </si>
  <si>
    <t>25020520025300550</t>
  </si>
  <si>
    <t>28000010010000535</t>
  </si>
  <si>
    <t>28034010010000535</t>
  </si>
  <si>
    <t>Repairs and Maintenance</t>
  </si>
  <si>
    <t>2100</t>
  </si>
  <si>
    <t>SEE BELOW FOR BENEFIT BREAKDOWN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</si>
  <si>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</si>
  <si>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</si>
  <si>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</si>
  <si>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</si>
  <si>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</si>
  <si>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</si>
  <si>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</si>
  <si>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</si>
  <si>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</si>
  <si>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</si>
  <si>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</si>
  <si>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</si>
  <si>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</si>
  <si>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</si>
  <si>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</si>
  <si>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</si>
  <si>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</si>
  <si>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</si>
  <si>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</si>
  <si>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</si>
  <si>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</si>
  <si>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</si>
  <si>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</si>
  <si>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</si>
  <si>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</si>
  <si>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</si>
  <si>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</si>
  <si>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</si>
  <si>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</si>
  <si>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</si>
  <si>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</si>
  <si>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</si>
  <si>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</si>
  <si>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910</t>
  </si>
  <si>
    <t>6000</t>
  </si>
  <si>
    <t>FY26</t>
  </si>
  <si>
    <t>FY27</t>
  </si>
  <si>
    <t># Students based on previous year</t>
  </si>
  <si>
    <t xml:space="preserve">Title I-A </t>
  </si>
  <si>
    <t>Title I 1003(a)</t>
  </si>
  <si>
    <t>Decreased 5% per year to accommodate additional SPCSA students</t>
  </si>
  <si>
    <t>% Students</t>
  </si>
  <si>
    <t>Calculations Below</t>
  </si>
  <si>
    <t>Contingency</t>
  </si>
  <si>
    <t>0891</t>
  </si>
  <si>
    <t>401</t>
  </si>
  <si>
    <t>402</t>
  </si>
  <si>
    <t>Jami Miller</t>
  </si>
  <si>
    <t>LONNIE</t>
  </si>
  <si>
    <t>POSSIBLY RETIRING 24/25</t>
  </si>
  <si>
    <t>Graphs Per Pupil Funding and Pupil Assumptions</t>
  </si>
  <si>
    <t>Student Enrollment</t>
  </si>
  <si>
    <t>SY1415</t>
  </si>
  <si>
    <t>SY1516</t>
  </si>
  <si>
    <t>SY1617</t>
  </si>
  <si>
    <t>SY1718</t>
  </si>
  <si>
    <t>SY1819</t>
  </si>
  <si>
    <t>SY1920</t>
  </si>
  <si>
    <t>SY2021</t>
  </si>
  <si>
    <t>SY2122</t>
  </si>
  <si>
    <t>SY2223**</t>
  </si>
  <si>
    <t>SY2324**</t>
  </si>
  <si>
    <t>SY2425**</t>
  </si>
  <si>
    <t>SY2526**</t>
  </si>
  <si>
    <t>SY2627**</t>
  </si>
  <si>
    <t>SY2728**</t>
  </si>
  <si>
    <t>SY2829**</t>
  </si>
  <si>
    <t>PER PUPIL</t>
  </si>
  <si>
    <t>SY2122 (PCFP)</t>
  </si>
  <si>
    <t>SY2223 **</t>
  </si>
  <si>
    <t>SY2324 **</t>
  </si>
  <si>
    <t>SY2425 **</t>
  </si>
  <si>
    <t>Title Funds (Do Not Use at this time)</t>
  </si>
  <si>
    <t>2630</t>
  </si>
  <si>
    <t>Non-Technology-Related Repairs and Maintenance -Outside Maintenance</t>
  </si>
  <si>
    <t>403</t>
  </si>
  <si>
    <t>404</t>
  </si>
  <si>
    <t xml:space="preserve">Public Information -Advertising                                       </t>
  </si>
  <si>
    <t>Difference Between Final &amp; Final FY2122</t>
  </si>
  <si>
    <t>Title I</t>
  </si>
  <si>
    <t>Capital Projects</t>
  </si>
  <si>
    <t>Transfer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</si>
</sst>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10409]General"/>
    <numFmt numFmtId="165" formatCode="_(* #,##0_);_(* \(#,##0\);_(* &quot;-&quot;??_);_(@_)"/>
    <numFmt numFmtId="166" formatCode="0.000%"/>
    <numFmt numFmtId="167" formatCode="[$-409]mmmm\ d\,\ yyyy;@"/>
    <numFmt numFmtId="168" formatCode="0.000000000000000000000000"/>
    <numFmt numFmtId="169" formatCode="0.0%"/>
  </numFmts>
  <fonts count="4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MS Sans Serif"/>
    </font>
    <font>
      <sz val="8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libri"/>
      <family val="2"/>
    </font>
    <font>
      <b/>
      <sz val="10"/>
      <color rgb="FF000000"/>
      <name val="Calibri"/>
      <family val="2"/>
      <scheme val="minor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10"/>
      <color rgb="FFFA7D00"/>
      <name val="Arial"/>
      <family val="2"/>
    </font>
    <font>
      <sz val="10"/>
      <color rgb="FFFA7D00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8"/>
      <name val="Arial"/>
      <family val="2"/>
    </font>
    <font>
      <b/>
      <sz val="8"/>
      <color indexed="8"/>
      <name val="Calibri"/>
      <family val="2"/>
      <scheme val="minor"/>
    </font>
    <font>
      <strike/>
      <sz val="10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2F2F2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34998626667073579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2" borderId="2" applyNumberFormat="0" applyAlignment="0" applyProtection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164" fontId="9" fillId="0" borderId="0">
      <alignment wrapText="1"/>
    </xf>
    <xf numFmtId="164" fontId="9" fillId="0" borderId="0">
      <alignment wrapText="1"/>
    </xf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4" fillId="0" borderId="0"/>
    <xf numFmtId="164" fontId="3" fillId="0" borderId="1" applyNumberFormat="0" applyFill="0" applyAlignment="0" applyProtection="0"/>
    <xf numFmtId="164" fontId="8" fillId="3" borderId="0" applyNumberFormat="0" applyBorder="0" applyAlignment="0" applyProtection="0"/>
    <xf numFmtId="164" fontId="21" fillId="0" borderId="0"/>
    <xf numFmtId="0" fontId="37" fillId="11" borderId="2" applyNumberFormat="0" applyAlignment="0" applyProtection="0"/>
    <xf numFmtId="0" fontId="9" fillId="0" borderId="0">
      <alignment wrapText="1"/>
    </xf>
    <xf numFmtId="44" fontId="1" fillId="0" borderId="0" applyFont="0" applyFill="0" applyBorder="0" applyAlignment="0" applyProtection="0"/>
  </cellStyleXfs>
  <cellXfs count="948">
    <xf numFmtId="0" fontId="0" fillId="0" borderId="0" xfId="0"/>
    <xf numFmtId="164" fontId="10" fillId="0" borderId="0" xfId="8" applyFont="1" applyFill="1" applyAlignment="1"/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4" xfId="0" applyFont="1" applyBorder="1"/>
    <xf numFmtId="0" fontId="12" fillId="0" borderId="4" xfId="0" applyFont="1" applyBorder="1"/>
    <xf numFmtId="0" fontId="13" fillId="0" borderId="5" xfId="0" applyFont="1" applyBorder="1"/>
    <xf numFmtId="0" fontId="12" fillId="0" borderId="5" xfId="0" applyFont="1" applyBorder="1"/>
    <xf numFmtId="0" fontId="13" fillId="0" borderId="5" xfId="0" applyFont="1" applyBorder="1" applyAlignment="1">
      <alignment horizontal="right"/>
    </xf>
    <xf numFmtId="0" fontId="12" fillId="0" borderId="4" xfId="0" applyFont="1" applyBorder="1" applyAlignment="1">
      <alignment horizontal="right"/>
    </xf>
    <xf numFmtId="44" fontId="16" fillId="0" borderId="0" xfId="11" applyFont="1" applyFill="1" applyBorder="1" applyAlignment="1">
      <alignment readingOrder="1"/>
    </xf>
    <xf numFmtId="43" fontId="17" fillId="0" borderId="5" xfId="1" applyFont="1" applyFill="1" applyBorder="1"/>
    <xf numFmtId="43" fontId="17" fillId="4" borderId="5" xfId="1" applyFont="1" applyFill="1" applyBorder="1"/>
    <xf numFmtId="164" fontId="9" fillId="0" borderId="0" xfId="9" applyFill="1" applyAlignment="1"/>
    <xf numFmtId="0" fontId="0" fillId="0" borderId="0" xfId="0" applyFill="1"/>
    <xf numFmtId="164" fontId="9" fillId="0" borderId="0" xfId="9" applyFill="1">
      <alignment wrapText="1"/>
    </xf>
    <xf numFmtId="0" fontId="11" fillId="0" borderId="0" xfId="0" applyFont="1" applyFill="1"/>
    <xf numFmtId="164" fontId="9" fillId="0" borderId="0" xfId="9" applyNumberFormat="1" applyFill="1">
      <alignment wrapText="1"/>
    </xf>
    <xf numFmtId="16" fontId="9" fillId="0" borderId="0" xfId="9" applyNumberFormat="1" applyFill="1">
      <alignment wrapText="1"/>
    </xf>
    <xf numFmtId="164" fontId="9" fillId="0" borderId="6" xfId="9" applyFont="1" applyFill="1" applyBorder="1" applyAlignment="1"/>
    <xf numFmtId="164" fontId="9" fillId="0" borderId="7" xfId="9" applyFont="1" applyFill="1" applyBorder="1" applyAlignment="1"/>
    <xf numFmtId="164" fontId="9" fillId="0" borderId="8" xfId="9" applyFont="1" applyFill="1" applyBorder="1" applyAlignment="1"/>
    <xf numFmtId="164" fontId="9" fillId="0" borderId="9" xfId="9" applyFont="1" applyFill="1" applyBorder="1" applyAlignment="1"/>
    <xf numFmtId="164" fontId="9" fillId="0" borderId="0" xfId="9" applyFont="1" applyFill="1" applyBorder="1">
      <alignment wrapText="1"/>
    </xf>
    <xf numFmtId="164" fontId="9" fillId="0" borderId="10" xfId="9" applyFill="1" applyBorder="1">
      <alignment wrapText="1"/>
    </xf>
    <xf numFmtId="164" fontId="9" fillId="0" borderId="0" xfId="9" applyFont="1" applyFill="1" applyBorder="1" applyAlignment="1"/>
    <xf numFmtId="164" fontId="9" fillId="0" borderId="11" xfId="9" applyFont="1" applyFill="1" applyBorder="1" applyAlignment="1"/>
    <xf numFmtId="164" fontId="9" fillId="0" borderId="12" xfId="9" applyFont="1" applyFill="1" applyBorder="1">
      <alignment wrapText="1"/>
    </xf>
    <xf numFmtId="164" fontId="9" fillId="0" borderId="12" xfId="9" applyFill="1" applyBorder="1">
      <alignment wrapText="1"/>
    </xf>
    <xf numFmtId="164" fontId="9" fillId="0" borderId="13" xfId="9" applyFill="1" applyBorder="1">
      <alignment wrapText="1"/>
    </xf>
    <xf numFmtId="164" fontId="9" fillId="0" borderId="7" xfId="9" applyFont="1" applyFill="1" applyBorder="1" applyAlignment="1">
      <alignment horizontal="right"/>
    </xf>
    <xf numFmtId="10" fontId="0" fillId="0" borderId="7" xfId="10" applyNumberFormat="1" applyFont="1" applyFill="1" applyBorder="1" applyAlignment="1">
      <alignment horizontal="left" wrapText="1"/>
    </xf>
    <xf numFmtId="164" fontId="9" fillId="0" borderId="7" xfId="9" applyFill="1" applyBorder="1" applyAlignment="1"/>
    <xf numFmtId="164" fontId="9" fillId="0" borderId="8" xfId="9" applyFill="1" applyBorder="1" applyAlignment="1"/>
    <xf numFmtId="164" fontId="9" fillId="0" borderId="9" xfId="9" applyFill="1" applyBorder="1">
      <alignment wrapText="1"/>
    </xf>
    <xf numFmtId="164" fontId="9" fillId="0" borderId="0" xfId="9" applyFill="1" applyBorder="1">
      <alignment wrapText="1"/>
    </xf>
    <xf numFmtId="9" fontId="0" fillId="0" borderId="0" xfId="10" applyFont="1" applyFill="1" applyBorder="1" applyAlignment="1">
      <alignment wrapText="1"/>
    </xf>
    <xf numFmtId="10" fontId="0" fillId="0" borderId="0" xfId="10" applyNumberFormat="1" applyFont="1" applyFill="1" applyBorder="1" applyAlignment="1">
      <alignment wrapText="1"/>
    </xf>
    <xf numFmtId="9" fontId="0" fillId="0" borderId="10" xfId="10" applyFont="1" applyFill="1" applyBorder="1" applyAlignment="1">
      <alignment wrapText="1"/>
    </xf>
    <xf numFmtId="10" fontId="0" fillId="0" borderId="10" xfId="10" applyNumberFormat="1" applyFont="1" applyFill="1" applyBorder="1" applyAlignment="1">
      <alignment wrapText="1"/>
    </xf>
    <xf numFmtId="164" fontId="9" fillId="0" borderId="11" xfId="9" applyFill="1" applyBorder="1">
      <alignment wrapText="1"/>
    </xf>
    <xf numFmtId="9" fontId="9" fillId="0" borderId="12" xfId="9" applyNumberFormat="1" applyFill="1" applyBorder="1">
      <alignment wrapText="1"/>
    </xf>
    <xf numFmtId="9" fontId="9" fillId="0" borderId="13" xfId="9" applyNumberFormat="1" applyFill="1" applyBorder="1">
      <alignment wrapText="1"/>
    </xf>
    <xf numFmtId="164" fontId="15" fillId="0" borderId="6" xfId="11" applyNumberFormat="1" applyFont="1" applyFill="1" applyBorder="1" applyAlignment="1">
      <alignment horizontal="left" readingOrder="1"/>
    </xf>
    <xf numFmtId="164" fontId="15" fillId="0" borderId="7" xfId="11" applyNumberFormat="1" applyFont="1" applyFill="1" applyBorder="1" applyAlignment="1">
      <alignment readingOrder="1"/>
    </xf>
    <xf numFmtId="164" fontId="15" fillId="0" borderId="8" xfId="11" applyNumberFormat="1" applyFont="1" applyFill="1" applyBorder="1" applyAlignment="1">
      <alignment readingOrder="1"/>
    </xf>
    <xf numFmtId="0" fontId="13" fillId="0" borderId="9" xfId="0" applyFont="1" applyFill="1" applyBorder="1"/>
    <xf numFmtId="40" fontId="13" fillId="0" borderId="0" xfId="1" applyNumberFormat="1" applyFont="1" applyFill="1" applyBorder="1"/>
    <xf numFmtId="44" fontId="13" fillId="0" borderId="10" xfId="0" applyNumberFormat="1" applyFont="1" applyFill="1" applyBorder="1"/>
    <xf numFmtId="164" fontId="16" fillId="0" borderId="11" xfId="9" applyFont="1" applyFill="1" applyBorder="1" applyAlignment="1"/>
    <xf numFmtId="164" fontId="15" fillId="0" borderId="6" xfId="11" applyNumberFormat="1" applyFont="1" applyFill="1" applyBorder="1" applyAlignment="1">
      <alignment readingOrder="1"/>
    </xf>
    <xf numFmtId="164" fontId="15" fillId="0" borderId="7" xfId="11" applyNumberFormat="1" applyFont="1" applyFill="1" applyBorder="1" applyAlignment="1">
      <alignment horizontal="left" readingOrder="1"/>
    </xf>
    <xf numFmtId="44" fontId="16" fillId="0" borderId="7" xfId="11" applyFont="1" applyFill="1" applyBorder="1" applyAlignment="1">
      <alignment readingOrder="1"/>
    </xf>
    <xf numFmtId="44" fontId="16" fillId="0" borderId="8" xfId="11" applyFont="1" applyFill="1" applyBorder="1" applyAlignment="1">
      <alignment readingOrder="1"/>
    </xf>
    <xf numFmtId="0" fontId="11" fillId="0" borderId="9" xfId="0" applyFont="1" applyFill="1" applyBorder="1"/>
    <xf numFmtId="43" fontId="11" fillId="0" borderId="10" xfId="0" applyNumberFormat="1" applyFont="1" applyFill="1" applyBorder="1"/>
    <xf numFmtId="0" fontId="11" fillId="0" borderId="11" xfId="0" applyFont="1" applyFill="1" applyBorder="1"/>
    <xf numFmtId="43" fontId="11" fillId="0" borderId="12" xfId="1" applyFont="1" applyFill="1" applyBorder="1"/>
    <xf numFmtId="0" fontId="11" fillId="0" borderId="13" xfId="0" applyFont="1" applyFill="1" applyBorder="1"/>
    <xf numFmtId="0" fontId="18" fillId="0" borderId="5" xfId="0" applyFont="1" applyBorder="1" applyAlignment="1">
      <alignment horizontal="right"/>
    </xf>
    <xf numFmtId="0" fontId="18" fillId="0" borderId="5" xfId="0" applyFont="1" applyBorder="1"/>
    <xf numFmtId="43" fontId="13" fillId="0" borderId="0" xfId="1" applyFont="1"/>
    <xf numFmtId="43" fontId="11" fillId="0" borderId="0" xfId="1" applyFont="1" applyAlignment="1">
      <alignment vertical="center"/>
    </xf>
    <xf numFmtId="43" fontId="12" fillId="0" borderId="4" xfId="1" applyFont="1" applyBorder="1"/>
    <xf numFmtId="0" fontId="13" fillId="0" borderId="15" xfId="0" applyFont="1" applyBorder="1"/>
    <xf numFmtId="0" fontId="18" fillId="0" borderId="4" xfId="0" applyFont="1" applyBorder="1" applyAlignment="1">
      <alignment horizontal="right"/>
    </xf>
    <xf numFmtId="0" fontId="18" fillId="0" borderId="0" xfId="0" applyFont="1" applyBorder="1" applyAlignment="1">
      <alignment horizontal="right"/>
    </xf>
    <xf numFmtId="0" fontId="13" fillId="0" borderId="0" xfId="0" applyFont="1" applyBorder="1"/>
    <xf numFmtId="0" fontId="20" fillId="2" borderId="2" xfId="5" applyFont="1"/>
    <xf numFmtId="164" fontId="19" fillId="0" borderId="16" xfId="8" applyFont="1" applyFill="1" applyBorder="1" applyAlignment="1" applyProtection="1">
      <alignment horizontal="right"/>
    </xf>
    <xf numFmtId="0" fontId="22" fillId="0" borderId="0" xfId="0" applyFont="1" applyFill="1"/>
    <xf numFmtId="2" fontId="22" fillId="0" borderId="0" xfId="0" applyNumberFormat="1" applyFont="1" applyFill="1"/>
    <xf numFmtId="49" fontId="23" fillId="0" borderId="5" xfId="12" quotePrefix="1" applyNumberFormat="1" applyFont="1" applyFill="1" applyBorder="1" applyAlignment="1">
      <alignment horizontal="left" vertical="center" readingOrder="1"/>
    </xf>
    <xf numFmtId="49" fontId="23" fillId="0" borderId="5" xfId="12" applyNumberFormat="1" applyFont="1" applyFill="1" applyBorder="1" applyAlignment="1">
      <alignment vertical="center" readingOrder="1"/>
    </xf>
    <xf numFmtId="43" fontId="23" fillId="0" borderId="5" xfId="12" applyFont="1" applyFill="1" applyBorder="1" applyAlignment="1">
      <alignment readingOrder="1"/>
    </xf>
    <xf numFmtId="165" fontId="23" fillId="0" borderId="5" xfId="12" applyNumberFormat="1" applyFont="1" applyFill="1" applyBorder="1" applyAlignment="1">
      <alignment readingOrder="1"/>
    </xf>
    <xf numFmtId="164" fontId="23" fillId="0" borderId="5" xfId="9" applyNumberFormat="1" applyFont="1" applyFill="1" applyBorder="1" applyAlignment="1">
      <alignment readingOrder="1"/>
    </xf>
    <xf numFmtId="49" fontId="18" fillId="0" borderId="18" xfId="9" applyNumberFormat="1" applyFont="1" applyFill="1" applyBorder="1" applyAlignment="1">
      <alignment horizontal="left" vertical="center" readingOrder="1"/>
    </xf>
    <xf numFmtId="164" fontId="18" fillId="0" borderId="18" xfId="9" applyNumberFormat="1" applyFont="1" applyFill="1" applyBorder="1" applyAlignment="1">
      <alignment horizontal="left" vertical="center" readingOrder="1"/>
    </xf>
    <xf numFmtId="0" fontId="1" fillId="0" borderId="0" xfId="0" applyFont="1"/>
    <xf numFmtId="164" fontId="19" fillId="0" borderId="0" xfId="14" applyFont="1" applyFill="1" applyAlignment="1">
      <alignment wrapText="1"/>
    </xf>
    <xf numFmtId="164" fontId="17" fillId="0" borderId="5" xfId="14" applyFont="1" applyBorder="1"/>
    <xf numFmtId="0" fontId="12" fillId="5" borderId="0" xfId="7" applyFont="1" applyFill="1" applyBorder="1" applyAlignment="1">
      <alignment horizontal="center"/>
    </xf>
    <xf numFmtId="49" fontId="12" fillId="5" borderId="0" xfId="7" applyNumberFormat="1" applyFont="1" applyFill="1" applyBorder="1" applyAlignment="1">
      <alignment horizontal="center"/>
    </xf>
    <xf numFmtId="0" fontId="12" fillId="5" borderId="0" xfId="7" quotePrefix="1" applyFont="1" applyFill="1" applyBorder="1" applyAlignment="1">
      <alignment horizontal="center"/>
    </xf>
    <xf numFmtId="43" fontId="12" fillId="5" borderId="5" xfId="7" applyNumberFormat="1" applyFont="1" applyFill="1" applyBorder="1"/>
    <xf numFmtId="43" fontId="19" fillId="0" borderId="5" xfId="6" applyNumberFormat="1" applyFont="1" applyBorder="1"/>
    <xf numFmtId="164" fontId="17" fillId="0" borderId="5" xfId="14" applyFont="1" applyFill="1" applyBorder="1"/>
    <xf numFmtId="0" fontId="12" fillId="5" borderId="19" xfId="7" applyFont="1" applyFill="1" applyBorder="1"/>
    <xf numFmtId="0" fontId="12" fillId="5" borderId="20" xfId="7" applyFont="1" applyFill="1" applyBorder="1"/>
    <xf numFmtId="43" fontId="12" fillId="4" borderId="21" xfId="1" applyFont="1" applyFill="1" applyBorder="1"/>
    <xf numFmtId="2" fontId="13" fillId="0" borderId="0" xfId="0" applyNumberFormat="1" applyFont="1"/>
    <xf numFmtId="0" fontId="13" fillId="0" borderId="0" xfId="0" applyFont="1" applyBorder="1" applyAlignment="1">
      <alignment horizontal="right"/>
    </xf>
    <xf numFmtId="2" fontId="13" fillId="0" borderId="0" xfId="0" applyNumberFormat="1" applyFont="1" applyBorder="1"/>
    <xf numFmtId="2" fontId="13" fillId="0" borderId="15" xfId="0" applyNumberFormat="1" applyFont="1" applyBorder="1"/>
    <xf numFmtId="0" fontId="18" fillId="0" borderId="0" xfId="3" applyFont="1" applyFill="1" applyAlignment="1">
      <alignment horizontal="left"/>
    </xf>
    <xf numFmtId="0" fontId="18" fillId="0" borderId="0" xfId="3" applyFont="1" applyFill="1" applyAlignment="1">
      <alignment horizontal="center"/>
    </xf>
    <xf numFmtId="164" fontId="18" fillId="0" borderId="0" xfId="3" applyNumberFormat="1" applyFont="1" applyFill="1" applyAlignment="1">
      <alignment horizontal="left"/>
    </xf>
    <xf numFmtId="164" fontId="18" fillId="0" borderId="0" xfId="3" applyNumberFormat="1" applyFont="1" applyFill="1" applyAlignment="1">
      <alignment horizontal="center"/>
    </xf>
    <xf numFmtId="43" fontId="18" fillId="0" borderId="0" xfId="13" applyFont="1" applyFill="1" applyAlignment="1">
      <alignment horizontal="center"/>
    </xf>
    <xf numFmtId="164" fontId="17" fillId="0" borderId="5" xfId="14" applyFont="1" applyBorder="1" applyAlignment="1">
      <alignment horizontal="center"/>
    </xf>
    <xf numFmtId="49" fontId="17" fillId="0" borderId="5" xfId="14" applyNumberFormat="1" applyFont="1" applyBorder="1" applyAlignment="1">
      <alignment horizontal="center"/>
    </xf>
    <xf numFmtId="164" fontId="17" fillId="0" borderId="5" xfId="14" quotePrefix="1" applyFont="1" applyBorder="1" applyAlignment="1">
      <alignment horizontal="center"/>
    </xf>
    <xf numFmtId="49" fontId="17" fillId="0" borderId="5" xfId="14" quotePrefix="1" applyNumberFormat="1" applyFont="1" applyBorder="1" applyAlignment="1">
      <alignment horizontal="center"/>
    </xf>
    <xf numFmtId="0" fontId="12" fillId="4" borderId="4" xfId="7" applyFont="1" applyFill="1" applyBorder="1"/>
    <xf numFmtId="164" fontId="19" fillId="0" borderId="0" xfId="14" applyFont="1" applyFill="1" applyBorder="1" applyAlignment="1">
      <alignment horizontal="center" textRotation="90"/>
    </xf>
    <xf numFmtId="164" fontId="17" fillId="0" borderId="22" xfId="14" applyFont="1" applyBorder="1" applyAlignment="1">
      <alignment horizontal="center"/>
    </xf>
    <xf numFmtId="164" fontId="17" fillId="0" borderId="19" xfId="14" quotePrefix="1" applyFont="1" applyBorder="1" applyAlignment="1">
      <alignment horizontal="center"/>
    </xf>
    <xf numFmtId="49" fontId="17" fillId="0" borderId="20" xfId="14" applyNumberFormat="1" applyFont="1" applyBorder="1" applyAlignment="1">
      <alignment horizontal="center"/>
    </xf>
    <xf numFmtId="49" fontId="12" fillId="5" borderId="23" xfId="7" applyNumberFormat="1" applyFont="1" applyFill="1" applyBorder="1" applyAlignment="1">
      <alignment horizontal="center"/>
    </xf>
    <xf numFmtId="2" fontId="18" fillId="0" borderId="0" xfId="1" applyNumberFormat="1" applyFont="1" applyFill="1" applyAlignment="1">
      <alignment horizontal="center"/>
    </xf>
    <xf numFmtId="43" fontId="18" fillId="0" borderId="0" xfId="13" applyFont="1" applyFill="1" applyAlignment="1">
      <alignment horizontal="right"/>
    </xf>
    <xf numFmtId="2" fontId="12" fillId="0" borderId="0" xfId="1" applyNumberFormat="1" applyFont="1"/>
    <xf numFmtId="43" fontId="17" fillId="8" borderId="5" xfId="1" applyFont="1" applyFill="1" applyBorder="1"/>
    <xf numFmtId="43" fontId="17" fillId="5" borderId="5" xfId="1" applyFont="1" applyFill="1" applyBorder="1"/>
    <xf numFmtId="0" fontId="12" fillId="0" borderId="0" xfId="0" applyFont="1" applyAlignment="1">
      <alignment horizontal="center"/>
    </xf>
    <xf numFmtId="43" fontId="17" fillId="9" borderId="5" xfId="1" applyFont="1" applyFill="1" applyBorder="1"/>
    <xf numFmtId="43" fontId="19" fillId="9" borderId="5" xfId="6" applyNumberFormat="1" applyFont="1" applyFill="1" applyBorder="1"/>
    <xf numFmtId="43" fontId="19" fillId="5" borderId="5" xfId="6" applyNumberFormat="1" applyFont="1" applyFill="1" applyBorder="1"/>
    <xf numFmtId="14" fontId="18" fillId="6" borderId="0" xfId="15" applyNumberFormat="1" applyFont="1" applyFill="1" applyBorder="1" applyAlignment="1">
      <alignment horizontal="center" vertical="center"/>
    </xf>
    <xf numFmtId="43" fontId="17" fillId="6" borderId="5" xfId="1" applyFont="1" applyFill="1" applyBorder="1"/>
    <xf numFmtId="43" fontId="19" fillId="6" borderId="5" xfId="6" applyNumberFormat="1" applyFont="1" applyFill="1" applyBorder="1"/>
    <xf numFmtId="164" fontId="25" fillId="0" borderId="19" xfId="14" applyFont="1" applyBorder="1" applyAlignment="1">
      <alignment horizontal="center"/>
    </xf>
    <xf numFmtId="164" fontId="25" fillId="0" borderId="20" xfId="14" applyFont="1" applyBorder="1" applyAlignment="1">
      <alignment horizontal="center"/>
    </xf>
    <xf numFmtId="49" fontId="25" fillId="5" borderId="19" xfId="14" quotePrefix="1" applyNumberFormat="1" applyFont="1" applyFill="1" applyBorder="1" applyAlignment="1">
      <alignment horizontal="center"/>
    </xf>
    <xf numFmtId="164" fontId="25" fillId="5" borderId="19" xfId="14" applyFont="1" applyFill="1" applyBorder="1" applyAlignment="1">
      <alignment horizontal="center"/>
    </xf>
    <xf numFmtId="49" fontId="25" fillId="7" borderId="19" xfId="14" quotePrefix="1" applyNumberFormat="1" applyFont="1" applyFill="1" applyBorder="1" applyAlignment="1">
      <alignment horizontal="center"/>
    </xf>
    <xf numFmtId="164" fontId="25" fillId="7" borderId="19" xfId="14" applyFont="1" applyFill="1" applyBorder="1" applyAlignment="1">
      <alignment horizontal="center"/>
    </xf>
    <xf numFmtId="164" fontId="17" fillId="7" borderId="5" xfId="14" applyFont="1" applyFill="1" applyBorder="1" applyAlignment="1">
      <alignment horizontal="center"/>
    </xf>
    <xf numFmtId="43" fontId="17" fillId="7" borderId="5" xfId="1" applyFont="1" applyFill="1" applyBorder="1"/>
    <xf numFmtId="164" fontId="17" fillId="4" borderId="5" xfId="14" applyFont="1" applyFill="1" applyBorder="1" applyAlignment="1">
      <alignment horizontal="center"/>
    </xf>
    <xf numFmtId="49" fontId="17" fillId="8" borderId="19" xfId="14" applyNumberFormat="1" applyFont="1" applyFill="1" applyBorder="1" applyAlignment="1">
      <alignment horizontal="center"/>
    </xf>
    <xf numFmtId="164" fontId="17" fillId="8" borderId="19" xfId="14" applyFont="1" applyFill="1" applyBorder="1" applyAlignment="1">
      <alignment horizontal="center"/>
    </xf>
    <xf numFmtId="164" fontId="17" fillId="8" borderId="20" xfId="14" applyFont="1" applyFill="1" applyBorder="1" applyAlignment="1">
      <alignment horizontal="center"/>
    </xf>
    <xf numFmtId="164" fontId="17" fillId="7" borderId="22" xfId="14" applyFont="1" applyFill="1" applyBorder="1" applyAlignment="1">
      <alignment horizontal="center"/>
    </xf>
    <xf numFmtId="164" fontId="17" fillId="7" borderId="19" xfId="14" applyFont="1" applyFill="1" applyBorder="1" applyAlignment="1">
      <alignment horizontal="center"/>
    </xf>
    <xf numFmtId="164" fontId="17" fillId="7" borderId="20" xfId="14" applyFont="1" applyFill="1" applyBorder="1" applyAlignment="1">
      <alignment horizontal="center"/>
    </xf>
    <xf numFmtId="49" fontId="18" fillId="8" borderId="24" xfId="4" applyNumberFormat="1" applyFont="1" applyFill="1" applyBorder="1" applyAlignment="1"/>
    <xf numFmtId="0" fontId="19" fillId="8" borderId="22" xfId="0" applyFont="1" applyFill="1" applyBorder="1" applyAlignment="1">
      <alignment horizontal="left"/>
    </xf>
    <xf numFmtId="0" fontId="19" fillId="8" borderId="19" xfId="0" applyFont="1" applyFill="1" applyBorder="1" applyAlignment="1">
      <alignment horizontal="left"/>
    </xf>
    <xf numFmtId="0" fontId="19" fillId="8" borderId="20" xfId="0" applyFont="1" applyFill="1" applyBorder="1" applyAlignment="1">
      <alignment horizontal="left"/>
    </xf>
    <xf numFmtId="164" fontId="19" fillId="0" borderId="5" xfId="14" applyFont="1" applyBorder="1"/>
    <xf numFmtId="164" fontId="19" fillId="0" borderId="5" xfId="14" applyFont="1" applyBorder="1" applyAlignment="1">
      <alignment horizontal="center"/>
    </xf>
    <xf numFmtId="49" fontId="19" fillId="0" borderId="5" xfId="14" quotePrefix="1" applyNumberFormat="1" applyFont="1" applyBorder="1" applyAlignment="1">
      <alignment horizontal="center"/>
    </xf>
    <xf numFmtId="164" fontId="19" fillId="0" borderId="5" xfId="14" quotePrefix="1" applyFont="1" applyBorder="1" applyAlignment="1">
      <alignment horizontal="center"/>
    </xf>
    <xf numFmtId="49" fontId="18" fillId="8" borderId="5" xfId="4" applyNumberFormat="1" applyFont="1" applyFill="1" applyBorder="1" applyAlignment="1"/>
    <xf numFmtId="0" fontId="19" fillId="8" borderId="22" xfId="0" applyFont="1" applyFill="1" applyBorder="1"/>
    <xf numFmtId="0" fontId="19" fillId="8" borderId="19" xfId="0" applyFont="1" applyFill="1" applyBorder="1"/>
    <xf numFmtId="0" fontId="19" fillId="8" borderId="20" xfId="0" applyFont="1" applyFill="1" applyBorder="1"/>
    <xf numFmtId="49" fontId="19" fillId="0" borderId="5" xfId="4" applyNumberFormat="1" applyFont="1" applyFill="1" applyBorder="1" applyAlignment="1">
      <alignment horizontal="left"/>
    </xf>
    <xf numFmtId="43" fontId="19" fillId="8" borderId="22" xfId="0" applyNumberFormat="1" applyFont="1" applyFill="1" applyBorder="1"/>
    <xf numFmtId="43" fontId="19" fillId="8" borderId="19" xfId="0" applyNumberFormat="1" applyFont="1" applyFill="1" applyBorder="1"/>
    <xf numFmtId="43" fontId="19" fillId="8" borderId="20" xfId="0" applyNumberFormat="1" applyFont="1" applyFill="1" applyBorder="1"/>
    <xf numFmtId="49" fontId="18" fillId="8" borderId="5" xfId="4" applyNumberFormat="1" applyFont="1" applyFill="1" applyBorder="1" applyAlignment="1">
      <alignment horizontal="left"/>
    </xf>
    <xf numFmtId="0" fontId="18" fillId="7" borderId="19" xfId="7" applyFont="1" applyFill="1" applyBorder="1" applyAlignment="1">
      <alignment horizontal="center"/>
    </xf>
    <xf numFmtId="0" fontId="18" fillId="7" borderId="19" xfId="7" quotePrefix="1" applyFont="1" applyFill="1" applyBorder="1" applyAlignment="1">
      <alignment horizontal="center"/>
    </xf>
    <xf numFmtId="164" fontId="17" fillId="0" borderId="24" xfId="14" applyFont="1" applyBorder="1"/>
    <xf numFmtId="164" fontId="17" fillId="0" borderId="24" xfId="14" applyFont="1" applyBorder="1" applyAlignment="1">
      <alignment horizontal="center"/>
    </xf>
    <xf numFmtId="49" fontId="17" fillId="0" borderId="24" xfId="14" quotePrefix="1" applyNumberFormat="1" applyFont="1" applyBorder="1" applyAlignment="1">
      <alignment horizontal="center"/>
    </xf>
    <xf numFmtId="164" fontId="17" fillId="0" borderId="24" xfId="14" quotePrefix="1" applyFont="1" applyBorder="1" applyAlignment="1">
      <alignment horizontal="center"/>
    </xf>
    <xf numFmtId="0" fontId="26" fillId="7" borderId="14" xfId="7" applyFont="1" applyFill="1" applyBorder="1" applyAlignment="1">
      <alignment horizontal="center"/>
    </xf>
    <xf numFmtId="49" fontId="26" fillId="7" borderId="14" xfId="7" applyNumberFormat="1" applyFont="1" applyFill="1" applyBorder="1" applyAlignment="1">
      <alignment horizontal="center"/>
    </xf>
    <xf numFmtId="2" fontId="19" fillId="4" borderId="14" xfId="7" applyNumberFormat="1" applyFont="1" applyFill="1" applyBorder="1" applyAlignment="1">
      <alignment horizontal="center"/>
    </xf>
    <xf numFmtId="1" fontId="19" fillId="4" borderId="14" xfId="7" applyNumberFormat="1" applyFont="1" applyFill="1" applyBorder="1" applyAlignment="1">
      <alignment horizontal="center"/>
    </xf>
    <xf numFmtId="2" fontId="29" fillId="10" borderId="4" xfId="16" applyNumberFormat="1" applyFont="1" applyFill="1" applyBorder="1" applyAlignment="1">
      <alignment horizontal="center"/>
    </xf>
    <xf numFmtId="1" fontId="30" fillId="10" borderId="4" xfId="16" applyNumberFormat="1" applyFont="1" applyFill="1" applyBorder="1" applyAlignment="1">
      <alignment horizontal="center"/>
    </xf>
    <xf numFmtId="1" fontId="29" fillId="10" borderId="4" xfId="16" applyNumberFormat="1" applyFont="1" applyFill="1" applyBorder="1" applyAlignment="1">
      <alignment horizontal="center"/>
    </xf>
    <xf numFmtId="43" fontId="17" fillId="10" borderId="21" xfId="1" applyFont="1" applyFill="1" applyBorder="1"/>
    <xf numFmtId="164" fontId="17" fillId="0" borderId="0" xfId="14" applyFont="1" applyFill="1" applyBorder="1"/>
    <xf numFmtId="43" fontId="17" fillId="0" borderId="0" xfId="1" applyFont="1" applyFill="1" applyBorder="1"/>
    <xf numFmtId="164" fontId="17" fillId="0" borderId="0" xfId="14" applyFont="1" applyFill="1" applyBorder="1" applyAlignment="1">
      <alignment horizontal="center"/>
    </xf>
    <xf numFmtId="49" fontId="17" fillId="0" borderId="0" xfId="14" applyNumberFormat="1" applyFont="1" applyFill="1" applyBorder="1" applyAlignment="1">
      <alignment horizontal="center"/>
    </xf>
    <xf numFmtId="0" fontId="0" fillId="0" borderId="0" xfId="0" applyFill="1" applyBorder="1"/>
    <xf numFmtId="165" fontId="23" fillId="0" borderId="5" xfId="12" applyNumberFormat="1" applyFont="1" applyBorder="1" applyAlignment="1">
      <alignment horizontal="left" vertical="center" readingOrder="1"/>
    </xf>
    <xf numFmtId="49" fontId="23" fillId="0" borderId="5" xfId="12" applyNumberFormat="1" applyFont="1" applyBorder="1" applyAlignment="1">
      <alignment horizontal="center"/>
    </xf>
    <xf numFmtId="43" fontId="33" fillId="0" borderId="5" xfId="1" applyFont="1" applyFill="1" applyBorder="1"/>
    <xf numFmtId="165" fontId="34" fillId="7" borderId="5" xfId="12" applyNumberFormat="1" applyFont="1" applyFill="1" applyBorder="1" applyAlignment="1">
      <alignment horizontal="right" vertical="center" indent="2" readingOrder="1"/>
    </xf>
    <xf numFmtId="164" fontId="35" fillId="7" borderId="5" xfId="17" applyFont="1" applyFill="1" applyBorder="1"/>
    <xf numFmtId="164" fontId="35" fillId="7" borderId="5" xfId="17" quotePrefix="1" applyFont="1" applyFill="1" applyBorder="1"/>
    <xf numFmtId="43" fontId="35" fillId="7" borderId="5" xfId="1" applyFont="1" applyFill="1" applyBorder="1"/>
    <xf numFmtId="164" fontId="17" fillId="0" borderId="5" xfId="14" applyFont="1" applyFill="1" applyBorder="1" applyAlignment="1">
      <alignment horizontal="center"/>
    </xf>
    <xf numFmtId="164" fontId="17" fillId="0" borderId="5" xfId="14" quotePrefix="1" applyFont="1" applyFill="1" applyBorder="1" applyAlignment="1">
      <alignment horizontal="center"/>
    </xf>
    <xf numFmtId="165" fontId="34" fillId="7" borderId="5" xfId="12" applyNumberFormat="1" applyFont="1" applyFill="1" applyBorder="1" applyAlignment="1">
      <alignment horizontal="right" vertical="center" readingOrder="1"/>
    </xf>
    <xf numFmtId="49" fontId="23" fillId="7" borderId="5" xfId="12" applyNumberFormat="1" applyFont="1" applyFill="1" applyBorder="1"/>
    <xf numFmtId="164" fontId="17" fillId="7" borderId="5" xfId="14" applyFont="1" applyFill="1" applyBorder="1"/>
    <xf numFmtId="0" fontId="12" fillId="5" borderId="5" xfId="0" applyFont="1" applyFill="1" applyBorder="1" applyAlignment="1">
      <alignment horizontal="right"/>
    </xf>
    <xf numFmtId="0" fontId="12" fillId="5" borderId="5" xfId="0" applyFont="1" applyFill="1" applyBorder="1"/>
    <xf numFmtId="0" fontId="13" fillId="5" borderId="5" xfId="0" applyFont="1" applyFill="1" applyBorder="1"/>
    <xf numFmtId="43" fontId="13" fillId="5" borderId="5" xfId="1" applyFont="1" applyFill="1" applyBorder="1"/>
    <xf numFmtId="164" fontId="34" fillId="4" borderId="5" xfId="12" applyNumberFormat="1" applyFont="1" applyFill="1" applyBorder="1" applyAlignment="1">
      <alignment vertical="center" readingOrder="1"/>
    </xf>
    <xf numFmtId="0" fontId="23" fillId="4" borderId="5" xfId="0" applyFont="1" applyFill="1" applyBorder="1" applyAlignment="1">
      <alignment readingOrder="1"/>
    </xf>
    <xf numFmtId="43" fontId="14" fillId="2" borderId="2" xfId="5" applyNumberFormat="1" applyFont="1"/>
    <xf numFmtId="164" fontId="28" fillId="10" borderId="5" xfId="0" applyNumberFormat="1" applyFont="1" applyFill="1" applyBorder="1" applyAlignment="1">
      <alignment vertical="center" readingOrder="1"/>
    </xf>
    <xf numFmtId="165" fontId="36" fillId="10" borderId="5" xfId="12" applyNumberFormat="1" applyFont="1" applyFill="1" applyBorder="1" applyAlignment="1">
      <alignment horizontal="center" vertical="top" readingOrder="1"/>
    </xf>
    <xf numFmtId="164" fontId="36" fillId="10" borderId="5" xfId="14" applyFont="1" applyFill="1" applyBorder="1" applyAlignment="1">
      <alignment horizontal="center"/>
    </xf>
    <xf numFmtId="43" fontId="36" fillId="10" borderId="5" xfId="1" applyFont="1" applyFill="1" applyBorder="1"/>
    <xf numFmtId="165" fontId="18" fillId="5" borderId="22" xfId="12" applyNumberFormat="1" applyFont="1" applyFill="1" applyBorder="1" applyAlignment="1">
      <alignment horizontal="left" vertical="center" readingOrder="1"/>
    </xf>
    <xf numFmtId="49" fontId="18" fillId="5" borderId="19" xfId="12" applyNumberFormat="1" applyFont="1" applyFill="1" applyBorder="1" applyAlignment="1">
      <alignment horizontal="left" vertical="center" readingOrder="1"/>
    </xf>
    <xf numFmtId="165" fontId="18" fillId="5" borderId="19" xfId="12" applyNumberFormat="1" applyFont="1" applyFill="1" applyBorder="1" applyAlignment="1">
      <alignment vertical="center" readingOrder="1"/>
    </xf>
    <xf numFmtId="0" fontId="19" fillId="5" borderId="19" xfId="0" applyFont="1" applyFill="1" applyBorder="1"/>
    <xf numFmtId="43" fontId="19" fillId="5" borderId="19" xfId="1" applyFont="1" applyFill="1" applyBorder="1"/>
    <xf numFmtId="43" fontId="17" fillId="5" borderId="19" xfId="1" applyFont="1" applyFill="1" applyBorder="1"/>
    <xf numFmtId="43" fontId="17" fillId="5" borderId="20" xfId="1" applyFont="1" applyFill="1" applyBorder="1"/>
    <xf numFmtId="0" fontId="12" fillId="5" borderId="27" xfId="7" applyFont="1" applyFill="1" applyBorder="1" applyAlignment="1">
      <alignment horizontal="right"/>
    </xf>
    <xf numFmtId="0" fontId="12" fillId="5" borderId="22" xfId="7" applyFont="1" applyFill="1" applyBorder="1" applyAlignment="1">
      <alignment horizontal="right"/>
    </xf>
    <xf numFmtId="0" fontId="12" fillId="4" borderId="26" xfId="7" applyFont="1" applyFill="1" applyBorder="1" applyAlignment="1">
      <alignment horizontal="right"/>
    </xf>
    <xf numFmtId="0" fontId="18" fillId="7" borderId="22" xfId="7" applyFont="1" applyFill="1" applyBorder="1" applyAlignment="1">
      <alignment horizontal="right"/>
    </xf>
    <xf numFmtId="0" fontId="12" fillId="7" borderId="28" xfId="7" applyFont="1" applyFill="1" applyBorder="1" applyAlignment="1">
      <alignment horizontal="right"/>
    </xf>
    <xf numFmtId="164" fontId="18" fillId="4" borderId="28" xfId="7" applyNumberFormat="1" applyFont="1" applyFill="1" applyBorder="1" applyAlignment="1">
      <alignment horizontal="right"/>
    </xf>
    <xf numFmtId="164" fontId="28" fillId="10" borderId="26" xfId="16" applyNumberFormat="1" applyFont="1" applyFill="1" applyBorder="1" applyAlignment="1">
      <alignment horizontal="right"/>
    </xf>
    <xf numFmtId="43" fontId="33" fillId="5" borderId="5" xfId="1" applyFont="1" applyFill="1" applyBorder="1"/>
    <xf numFmtId="164" fontId="27" fillId="5" borderId="22" xfId="14" applyFont="1" applyFill="1" applyBorder="1" applyAlignment="1">
      <alignment horizontal="right"/>
    </xf>
    <xf numFmtId="164" fontId="27" fillId="7" borderId="22" xfId="14" applyFont="1" applyFill="1" applyBorder="1" applyAlignment="1">
      <alignment horizontal="right"/>
    </xf>
    <xf numFmtId="164" fontId="35" fillId="7" borderId="19" xfId="17" applyFont="1" applyFill="1" applyBorder="1"/>
    <xf numFmtId="164" fontId="35" fillId="7" borderId="20" xfId="17" quotePrefix="1" applyFont="1" applyFill="1" applyBorder="1"/>
    <xf numFmtId="49" fontId="23" fillId="7" borderId="22" xfId="12" applyNumberFormat="1" applyFont="1" applyFill="1" applyBorder="1"/>
    <xf numFmtId="164" fontId="17" fillId="7" borderId="19" xfId="14" applyFont="1" applyFill="1" applyBorder="1"/>
    <xf numFmtId="0" fontId="12" fillId="5" borderId="22" xfId="0" applyFont="1" applyFill="1" applyBorder="1"/>
    <xf numFmtId="0" fontId="13" fillId="5" borderId="19" xfId="0" applyFont="1" applyFill="1" applyBorder="1"/>
    <xf numFmtId="0" fontId="13" fillId="5" borderId="20" xfId="0" applyFont="1" applyFill="1" applyBorder="1"/>
    <xf numFmtId="0" fontId="23" fillId="4" borderId="22" xfId="0" applyFont="1" applyFill="1" applyBorder="1" applyAlignment="1">
      <alignment readingOrder="1"/>
    </xf>
    <xf numFmtId="164" fontId="17" fillId="4" borderId="19" xfId="14" applyFont="1" applyFill="1" applyBorder="1" applyAlignment="1">
      <alignment horizontal="center"/>
    </xf>
    <xf numFmtId="165" fontId="36" fillId="10" borderId="22" xfId="12" applyNumberFormat="1" applyFont="1" applyFill="1" applyBorder="1" applyAlignment="1">
      <alignment horizontal="center" vertical="top" readingOrder="1"/>
    </xf>
    <xf numFmtId="164" fontId="36" fillId="10" borderId="19" xfId="14" applyFont="1" applyFill="1" applyBorder="1" applyAlignment="1">
      <alignment horizontal="center"/>
    </xf>
    <xf numFmtId="164" fontId="36" fillId="10" borderId="20" xfId="14" applyFont="1" applyFill="1" applyBorder="1" applyAlignment="1">
      <alignment horizontal="center"/>
    </xf>
    <xf numFmtId="164" fontId="14" fillId="2" borderId="2" xfId="5" applyNumberFormat="1" applyFont="1" applyAlignment="1">
      <alignment horizontal="center"/>
    </xf>
    <xf numFmtId="165" fontId="19" fillId="4" borderId="0" xfId="1" applyNumberFormat="1" applyFont="1" applyFill="1" applyAlignment="1">
      <alignment horizontal="center" vertical="top" wrapText="1"/>
    </xf>
    <xf numFmtId="164" fontId="19" fillId="4" borderId="0" xfId="1" applyNumberFormat="1" applyFont="1" applyFill="1" applyAlignment="1">
      <alignment horizontal="center"/>
    </xf>
    <xf numFmtId="164" fontId="19" fillId="4" borderId="0" xfId="17" applyFont="1" applyFill="1"/>
    <xf numFmtId="0" fontId="18" fillId="4" borderId="0" xfId="3" applyFont="1" applyFill="1" applyAlignment="1">
      <alignment horizontal="left"/>
    </xf>
    <xf numFmtId="0" fontId="18" fillId="4" borderId="0" xfId="3" applyFont="1" applyFill="1" applyAlignment="1">
      <alignment horizontal="center"/>
    </xf>
    <xf numFmtId="10" fontId="19" fillId="4" borderId="0" xfId="1" applyNumberFormat="1" applyFont="1" applyFill="1"/>
    <xf numFmtId="164" fontId="17" fillId="0" borderId="0" xfId="17" applyFont="1"/>
    <xf numFmtId="164" fontId="18" fillId="4" borderId="0" xfId="3" applyNumberFormat="1" applyFont="1" applyFill="1" applyAlignment="1">
      <alignment horizontal="left"/>
    </xf>
    <xf numFmtId="164" fontId="18" fillId="4" borderId="0" xfId="3" applyNumberFormat="1" applyFont="1" applyFill="1" applyAlignment="1">
      <alignment horizontal="center"/>
    </xf>
    <xf numFmtId="43" fontId="18" fillId="4" borderId="0" xfId="13" applyFont="1" applyFill="1" applyAlignment="1">
      <alignment horizontal="center"/>
    </xf>
    <xf numFmtId="164" fontId="19" fillId="4" borderId="0" xfId="14" applyFont="1" applyFill="1" applyAlignment="1">
      <alignment horizontal="left" vertical="top" wrapText="1"/>
    </xf>
    <xf numFmtId="164" fontId="19" fillId="4" borderId="0" xfId="14" applyFont="1" applyFill="1" applyAlignment="1">
      <alignment horizontal="center" vertical="top" wrapText="1"/>
    </xf>
    <xf numFmtId="164" fontId="19" fillId="4" borderId="0" xfId="14" applyNumberFormat="1" applyFont="1" applyFill="1" applyAlignment="1">
      <alignment horizontal="center" vertical="top" wrapText="1"/>
    </xf>
    <xf numFmtId="43" fontId="19" fillId="4" borderId="0" xfId="1" applyFont="1" applyFill="1" applyAlignment="1">
      <alignment horizontal="center" vertical="top" wrapText="1"/>
    </xf>
    <xf numFmtId="165" fontId="19" fillId="4" borderId="0" xfId="1" applyNumberFormat="1" applyFont="1" applyFill="1" applyAlignment="1">
      <alignment horizontal="left" vertical="top" wrapText="1"/>
    </xf>
    <xf numFmtId="164" fontId="17" fillId="0" borderId="0" xfId="14" applyFont="1" applyAlignment="1">
      <alignment horizontal="left" vertical="top" wrapText="1"/>
    </xf>
    <xf numFmtId="43" fontId="17" fillId="0" borderId="0" xfId="1" applyFont="1" applyAlignment="1">
      <alignment horizontal="left" vertical="top" wrapText="1"/>
    </xf>
    <xf numFmtId="164" fontId="19" fillId="4" borderId="0" xfId="14" applyFont="1" applyFill="1"/>
    <xf numFmtId="164" fontId="19" fillId="4" borderId="0" xfId="14" applyFont="1" applyFill="1" applyAlignment="1">
      <alignment horizontal="center"/>
    </xf>
    <xf numFmtId="164" fontId="19" fillId="4" borderId="0" xfId="14" applyNumberFormat="1" applyFont="1" applyFill="1" applyAlignment="1">
      <alignment horizontal="right"/>
    </xf>
    <xf numFmtId="165" fontId="19" fillId="4" borderId="0" xfId="1" applyNumberFormat="1" applyFont="1" applyFill="1"/>
    <xf numFmtId="164" fontId="17" fillId="0" borderId="0" xfId="14" applyFont="1"/>
    <xf numFmtId="43" fontId="17" fillId="0" borderId="0" xfId="1" applyFont="1"/>
    <xf numFmtId="43" fontId="18" fillId="4" borderId="0" xfId="13" applyFont="1" applyFill="1" applyAlignment="1">
      <alignment horizontal="center" wrapText="1"/>
    </xf>
    <xf numFmtId="164" fontId="19" fillId="4" borderId="0" xfId="14" applyFont="1" applyFill="1" applyAlignment="1">
      <alignment horizontal="left" vertical="top"/>
    </xf>
    <xf numFmtId="164" fontId="19" fillId="4" borderId="0" xfId="14" applyFont="1" applyFill="1" applyAlignment="1"/>
    <xf numFmtId="0" fontId="0" fillId="0" borderId="0" xfId="0" applyAlignment="1"/>
    <xf numFmtId="9" fontId="14" fillId="2" borderId="2" xfId="5" applyNumberFormat="1" applyFont="1"/>
    <xf numFmtId="0" fontId="13" fillId="0" borderId="0" xfId="0" applyFont="1" applyAlignment="1"/>
    <xf numFmtId="43" fontId="13" fillId="4" borderId="5" xfId="1" applyFont="1" applyFill="1" applyBorder="1"/>
    <xf numFmtId="43" fontId="13" fillId="0" borderId="4" xfId="0" applyNumberFormat="1" applyFont="1" applyBorder="1"/>
    <xf numFmtId="43" fontId="13" fillId="0" borderId="4" xfId="1" applyFont="1" applyBorder="1"/>
    <xf numFmtId="0" fontId="13" fillId="12" borderId="4" xfId="0" applyFont="1" applyFill="1" applyBorder="1"/>
    <xf numFmtId="0" fontId="13" fillId="12" borderId="4" xfId="0" applyFont="1" applyFill="1" applyBorder="1" applyAlignment="1"/>
    <xf numFmtId="2" fontId="13" fillId="0" borderId="21" xfId="0" applyNumberFormat="1" applyFont="1" applyBorder="1"/>
    <xf numFmtId="0" fontId="13" fillId="0" borderId="21" xfId="0" applyFont="1" applyBorder="1"/>
    <xf numFmtId="0" fontId="38" fillId="11" borderId="2" xfId="18" applyFont="1"/>
    <xf numFmtId="0" fontId="13" fillId="8" borderId="0" xfId="0" applyFont="1" applyFill="1"/>
    <xf numFmtId="0" fontId="13" fillId="8" borderId="0" xfId="0" applyFont="1" applyFill="1" applyAlignment="1"/>
    <xf numFmtId="0" fontId="13" fillId="8" borderId="0" xfId="0" quotePrefix="1" applyFont="1" applyFill="1"/>
    <xf numFmtId="2" fontId="13" fillId="8" borderId="0" xfId="0" applyNumberFormat="1" applyFont="1" applyFill="1"/>
    <xf numFmtId="43" fontId="13" fillId="8" borderId="0" xfId="1" applyFont="1" applyFill="1"/>
    <xf numFmtId="43" fontId="14" fillId="2" borderId="2" xfId="1" applyFont="1" applyFill="1" applyBorder="1"/>
    <xf numFmtId="43" fontId="13" fillId="7" borderId="5" xfId="1" applyFont="1" applyFill="1" applyBorder="1"/>
    <xf numFmtId="43" fontId="17" fillId="8" borderId="19" xfId="1" applyFont="1" applyFill="1" applyBorder="1"/>
    <xf numFmtId="43" fontId="17" fillId="8" borderId="20" xfId="1" applyFont="1" applyFill="1" applyBorder="1"/>
    <xf numFmtId="49" fontId="12" fillId="5" borderId="19" xfId="7" applyNumberFormat="1" applyFont="1" applyFill="1" applyBorder="1" applyAlignment="1">
      <alignment horizontal="center"/>
    </xf>
    <xf numFmtId="49" fontId="12" fillId="5" borderId="20" xfId="7" applyNumberFormat="1" applyFont="1" applyFill="1" applyBorder="1" applyAlignment="1">
      <alignment horizontal="center"/>
    </xf>
    <xf numFmtId="49" fontId="17" fillId="0" borderId="19" xfId="14" applyNumberFormat="1" applyFont="1" applyBorder="1" applyAlignment="1">
      <alignment horizontal="center"/>
    </xf>
    <xf numFmtId="164" fontId="17" fillId="0" borderId="19" xfId="14" applyFont="1" applyBorder="1" applyAlignment="1">
      <alignment horizontal="center"/>
    </xf>
    <xf numFmtId="164" fontId="17" fillId="0" borderId="20" xfId="14" applyFont="1" applyBorder="1" applyAlignment="1">
      <alignment horizontal="center"/>
    </xf>
    <xf numFmtId="0" fontId="13" fillId="0" borderId="0" xfId="0" applyFont="1" applyAlignment="1">
      <alignment horizontal="left"/>
    </xf>
    <xf numFmtId="9" fontId="13" fillId="0" borderId="0" xfId="2" applyFont="1"/>
    <xf numFmtId="43" fontId="13" fillId="0" borderId="0" xfId="1" applyFont="1" applyBorder="1"/>
    <xf numFmtId="10" fontId="14" fillId="2" borderId="2" xfId="5" applyNumberFormat="1" applyFont="1"/>
    <xf numFmtId="166" fontId="14" fillId="2" borderId="2" xfId="5" applyNumberFormat="1" applyFont="1"/>
    <xf numFmtId="0" fontId="0" fillId="0" borderId="5" xfId="0" applyBorder="1"/>
    <xf numFmtId="0" fontId="0" fillId="0" borderId="4" xfId="0" applyBorder="1"/>
    <xf numFmtId="0" fontId="13" fillId="0" borderId="16" xfId="0" applyFont="1" applyBorder="1" applyAlignment="1">
      <alignment horizontal="right"/>
    </xf>
    <xf numFmtId="10" fontId="13" fillId="0" borderId="0" xfId="2" applyNumberFormat="1" applyFont="1"/>
    <xf numFmtId="14" fontId="13" fillId="0" borderId="5" xfId="0" applyNumberFormat="1" applyFont="1" applyBorder="1"/>
    <xf numFmtId="43" fontId="18" fillId="0" borderId="5" xfId="13" applyFont="1" applyFill="1" applyBorder="1" applyAlignment="1">
      <alignment horizontal="center"/>
    </xf>
    <xf numFmtId="0" fontId="19" fillId="0" borderId="5" xfId="13" applyNumberFormat="1" applyFont="1" applyFill="1" applyBorder="1" applyAlignment="1">
      <alignment horizontal="center"/>
    </xf>
    <xf numFmtId="14" fontId="18" fillId="0" borderId="5" xfId="15" applyNumberFormat="1" applyFont="1" applyFill="1" applyBorder="1" applyAlignment="1">
      <alignment horizontal="center" vertical="center" wrapText="1"/>
    </xf>
    <xf numFmtId="14" fontId="18" fillId="0" borderId="5" xfId="15" applyNumberFormat="1" applyFont="1" applyFill="1" applyBorder="1" applyAlignment="1">
      <alignment horizontal="center" vertical="center"/>
    </xf>
    <xf numFmtId="0" fontId="18" fillId="2" borderId="2" xfId="5" applyFont="1"/>
    <xf numFmtId="0" fontId="19" fillId="2" borderId="2" xfId="5" applyFont="1"/>
    <xf numFmtId="0" fontId="13" fillId="9" borderId="0" xfId="0" applyFont="1" applyFill="1"/>
    <xf numFmtId="14" fontId="9" fillId="0" borderId="12" xfId="9" applyNumberFormat="1" applyFill="1" applyBorder="1">
      <alignment wrapText="1"/>
    </xf>
    <xf numFmtId="14" fontId="16" fillId="0" borderId="13" xfId="9" applyNumberFormat="1" applyFont="1" applyFill="1" applyBorder="1" applyAlignment="1"/>
    <xf numFmtId="0" fontId="14" fillId="2" borderId="30" xfId="5" applyFont="1" applyBorder="1"/>
    <xf numFmtId="43" fontId="39" fillId="11" borderId="2" xfId="18" applyNumberFormat="1" applyFont="1"/>
    <xf numFmtId="43" fontId="39" fillId="11" borderId="30" xfId="18" applyNumberFormat="1" applyFont="1" applyBorder="1"/>
    <xf numFmtId="0" fontId="19" fillId="0" borderId="5" xfId="0" applyFont="1" applyBorder="1"/>
    <xf numFmtId="43" fontId="19" fillId="11" borderId="5" xfId="18" applyNumberFormat="1" applyFont="1" applyBorder="1"/>
    <xf numFmtId="0" fontId="18" fillId="0" borderId="5" xfId="0" applyFont="1" applyFill="1" applyBorder="1"/>
    <xf numFmtId="43" fontId="27" fillId="5" borderId="5" xfId="1" applyFont="1" applyFill="1" applyBorder="1"/>
    <xf numFmtId="43" fontId="27" fillId="7" borderId="5" xfId="1" applyFont="1" applyFill="1" applyBorder="1"/>
    <xf numFmtId="49" fontId="17" fillId="8" borderId="22" xfId="14" applyNumberFormat="1" applyFont="1" applyFill="1" applyBorder="1" applyAlignment="1">
      <alignment horizontal="center"/>
    </xf>
    <xf numFmtId="49" fontId="17" fillId="8" borderId="20" xfId="14" applyNumberFormat="1" applyFont="1" applyFill="1" applyBorder="1" applyAlignment="1">
      <alignment horizontal="center"/>
    </xf>
    <xf numFmtId="49" fontId="13" fillId="0" borderId="0" xfId="0" applyNumberFormat="1" applyFont="1" applyAlignment="1">
      <alignment horizontal="left"/>
    </xf>
    <xf numFmtId="49" fontId="13" fillId="0" borderId="0" xfId="0" quotePrefix="1" applyNumberFormat="1" applyFont="1" applyAlignment="1">
      <alignment horizontal="left"/>
    </xf>
    <xf numFmtId="43" fontId="27" fillId="4" borderId="5" xfId="1" applyFont="1" applyFill="1" applyBorder="1"/>
    <xf numFmtId="43" fontId="27" fillId="10" borderId="21" xfId="1" applyFont="1" applyFill="1" applyBorder="1"/>
    <xf numFmtId="0" fontId="13" fillId="7" borderId="0" xfId="0" applyFont="1" applyFill="1"/>
    <xf numFmtId="0" fontId="13" fillId="7" borderId="0" xfId="0" applyFont="1" applyFill="1" applyAlignment="1"/>
    <xf numFmtId="2" fontId="13" fillId="7" borderId="0" xfId="0" applyNumberFormat="1" applyFont="1" applyFill="1"/>
    <xf numFmtId="9" fontId="17" fillId="6" borderId="5" xfId="2" applyFont="1" applyFill="1" applyBorder="1"/>
    <xf numFmtId="9" fontId="12" fillId="5" borderId="5" xfId="2" applyFont="1" applyFill="1" applyBorder="1"/>
    <xf numFmtId="9" fontId="19" fillId="6" borderId="5" xfId="2" applyFont="1" applyFill="1" applyBorder="1"/>
    <xf numFmtId="9" fontId="12" fillId="4" borderId="21" xfId="2" applyFont="1" applyFill="1" applyBorder="1"/>
    <xf numFmtId="9" fontId="27" fillId="5" borderId="5" xfId="2" applyFont="1" applyFill="1" applyBorder="1"/>
    <xf numFmtId="9" fontId="27" fillId="7" borderId="5" xfId="2" applyFont="1" applyFill="1" applyBorder="1"/>
    <xf numFmtId="9" fontId="17" fillId="7" borderId="5" xfId="2" applyFont="1" applyFill="1" applyBorder="1"/>
    <xf numFmtId="9" fontId="17" fillId="4" borderId="5" xfId="2" applyFont="1" applyFill="1" applyBorder="1"/>
    <xf numFmtId="9" fontId="17" fillId="0" borderId="0" xfId="2" applyFont="1" applyFill="1" applyBorder="1"/>
    <xf numFmtId="9" fontId="17" fillId="5" borderId="19" xfId="2" applyFont="1" applyFill="1" applyBorder="1"/>
    <xf numFmtId="9" fontId="35" fillId="7" borderId="5" xfId="2" applyFont="1" applyFill="1" applyBorder="1"/>
    <xf numFmtId="9" fontId="13" fillId="5" borderId="5" xfId="2" applyFont="1" applyFill="1" applyBorder="1"/>
    <xf numFmtId="9" fontId="36" fillId="10" borderId="5" xfId="2" applyFont="1" applyFill="1" applyBorder="1"/>
    <xf numFmtId="9" fontId="0" fillId="0" borderId="0" xfId="2" applyFont="1"/>
    <xf numFmtId="49" fontId="17" fillId="8" borderId="19" xfId="14" quotePrefix="1" applyNumberFormat="1" applyFont="1" applyFill="1" applyBorder="1" applyAlignment="1">
      <alignment horizontal="center"/>
    </xf>
    <xf numFmtId="43" fontId="0" fillId="0" borderId="0" xfId="0" applyNumberFormat="1"/>
    <xf numFmtId="49" fontId="41" fillId="5" borderId="19" xfId="14" quotePrefix="1" applyNumberFormat="1" applyFont="1" applyFill="1" applyBorder="1" applyAlignment="1">
      <alignment horizontal="center"/>
    </xf>
    <xf numFmtId="164" fontId="41" fillId="5" borderId="19" xfId="14" applyFont="1" applyFill="1" applyBorder="1" applyAlignment="1">
      <alignment horizontal="center"/>
    </xf>
    <xf numFmtId="0" fontId="7" fillId="0" borderId="0" xfId="0" applyFont="1"/>
    <xf numFmtId="49" fontId="41" fillId="7" borderId="19" xfId="14" quotePrefix="1" applyNumberFormat="1" applyFont="1" applyFill="1" applyBorder="1" applyAlignment="1">
      <alignment horizontal="center"/>
    </xf>
    <xf numFmtId="164" fontId="41" fillId="7" borderId="19" xfId="14" applyFont="1" applyFill="1" applyBorder="1" applyAlignment="1">
      <alignment horizontal="center"/>
    </xf>
    <xf numFmtId="0" fontId="18" fillId="0" borderId="0" xfId="3" applyNumberFormat="1" applyFont="1" applyFill="1" applyAlignment="1">
      <alignment horizontal="center"/>
    </xf>
    <xf numFmtId="0" fontId="18" fillId="0" borderId="0" xfId="13" applyNumberFormat="1" applyFont="1" applyFill="1" applyAlignment="1">
      <alignment horizontal="right"/>
    </xf>
    <xf numFmtId="0" fontId="18" fillId="0" borderId="0" xfId="13" applyNumberFormat="1" applyFont="1" applyFill="1" applyAlignment="1">
      <alignment horizontal="center"/>
    </xf>
    <xf numFmtId="0" fontId="17" fillId="0" borderId="20" xfId="14" applyNumberFormat="1" applyFont="1" applyBorder="1" applyAlignment="1">
      <alignment horizontal="center"/>
    </xf>
    <xf numFmtId="0" fontId="12" fillId="5" borderId="22" xfId="7" applyNumberFormat="1" applyFont="1" applyFill="1" applyBorder="1" applyAlignment="1">
      <alignment horizontal="center"/>
    </xf>
    <xf numFmtId="0" fontId="12" fillId="5" borderId="22" xfId="7" applyNumberFormat="1" applyFont="1" applyFill="1" applyBorder="1"/>
    <xf numFmtId="0" fontId="12" fillId="4" borderId="4" xfId="7" applyNumberFormat="1" applyFont="1" applyFill="1" applyBorder="1"/>
    <xf numFmtId="0" fontId="17" fillId="0" borderId="5" xfId="14" quotePrefix="1" applyNumberFormat="1" applyFont="1" applyBorder="1" applyAlignment="1">
      <alignment horizontal="center"/>
    </xf>
    <xf numFmtId="0" fontId="17" fillId="8" borderId="22" xfId="14" applyNumberFormat="1" applyFont="1" applyFill="1" applyBorder="1" applyAlignment="1">
      <alignment horizontal="center"/>
    </xf>
    <xf numFmtId="0" fontId="17" fillId="0" borderId="5" xfId="14" applyNumberFormat="1" applyFont="1" applyBorder="1" applyAlignment="1">
      <alignment horizontal="center"/>
    </xf>
    <xf numFmtId="0" fontId="19" fillId="0" borderId="5" xfId="14" quotePrefix="1" applyNumberFormat="1" applyFont="1" applyBorder="1" applyAlignment="1">
      <alignment horizontal="center"/>
    </xf>
    <xf numFmtId="0" fontId="18" fillId="7" borderId="19" xfId="7" applyNumberFormat="1" applyFont="1" applyFill="1" applyBorder="1" applyAlignment="1">
      <alignment horizontal="center"/>
    </xf>
    <xf numFmtId="0" fontId="26" fillId="7" borderId="14" xfId="7" applyNumberFormat="1" applyFont="1" applyFill="1" applyBorder="1" applyAlignment="1">
      <alignment horizontal="center"/>
    </xf>
    <xf numFmtId="0" fontId="17" fillId="0" borderId="0" xfId="14" applyNumberFormat="1" applyFont="1" applyFill="1" applyBorder="1" applyAlignment="1">
      <alignment horizontal="center"/>
    </xf>
    <xf numFmtId="164" fontId="20" fillId="13" borderId="0" xfId="14" applyFont="1" applyFill="1" applyBorder="1" applyAlignment="1">
      <alignment horizontal="center" textRotation="90"/>
    </xf>
    <xf numFmtId="0" fontId="13" fillId="8" borderId="0" xfId="0" applyFont="1" applyFill="1" applyAlignment="1">
      <alignment horizontal="left"/>
    </xf>
    <xf numFmtId="0" fontId="13" fillId="7" borderId="0" xfId="0" applyFont="1" applyFill="1" applyAlignment="1">
      <alignment horizontal="left"/>
    </xf>
    <xf numFmtId="164" fontId="17" fillId="4" borderId="0" xfId="14" applyFont="1" applyFill="1" applyBorder="1" applyAlignment="1">
      <alignment horizontal="center"/>
    </xf>
    <xf numFmtId="49" fontId="17" fillId="0" borderId="20" xfId="14" quotePrefix="1" applyNumberFormat="1" applyFont="1" applyBorder="1" applyAlignment="1">
      <alignment horizontal="center"/>
    </xf>
    <xf numFmtId="49" fontId="13" fillId="6" borderId="0" xfId="0" applyNumberFormat="1" applyFont="1" applyFill="1" applyAlignment="1">
      <alignment horizontal="left"/>
    </xf>
    <xf numFmtId="43" fontId="13" fillId="0" borderId="0" xfId="0" applyNumberFormat="1" applyFont="1"/>
    <xf numFmtId="0" fontId="13" fillId="0" borderId="0" xfId="0" applyFont="1" applyFill="1" applyBorder="1"/>
    <xf numFmtId="43" fontId="18" fillId="0" borderId="0" xfId="1" applyFont="1" applyFill="1" applyAlignment="1">
      <alignment horizontal="center"/>
    </xf>
    <xf numFmtId="9" fontId="17" fillId="9" borderId="5" xfId="2" applyFont="1" applyFill="1" applyBorder="1"/>
    <xf numFmtId="0" fontId="13" fillId="0" borderId="0" xfId="0" applyFont="1" applyFill="1" applyAlignment="1"/>
    <xf numFmtId="9" fontId="12" fillId="5" borderId="5" xfId="7" applyNumberFormat="1" applyFont="1" applyFill="1" applyBorder="1"/>
    <xf numFmtId="9" fontId="27" fillId="4" borderId="5" xfId="2" applyFont="1" applyFill="1" applyBorder="1"/>
    <xf numFmtId="9" fontId="27" fillId="10" borderId="21" xfId="2" applyFont="1" applyFill="1" applyBorder="1"/>
    <xf numFmtId="43" fontId="38" fillId="11" borderId="2" xfId="18" applyNumberFormat="1" applyFont="1"/>
    <xf numFmtId="43" fontId="27" fillId="5" borderId="20" xfId="1" applyFont="1" applyFill="1" applyBorder="1"/>
    <xf numFmtId="43" fontId="17" fillId="15" borderId="5" xfId="1" applyFont="1" applyFill="1" applyBorder="1"/>
    <xf numFmtId="0" fontId="13" fillId="0" borderId="0" xfId="0" quotePrefix="1" applyFont="1"/>
    <xf numFmtId="43" fontId="19" fillId="0" borderId="5" xfId="18" applyNumberFormat="1" applyFont="1" applyFill="1" applyBorder="1"/>
    <xf numFmtId="14" fontId="18" fillId="5" borderId="5" xfId="15" applyNumberFormat="1" applyFont="1" applyFill="1" applyBorder="1" applyAlignment="1">
      <alignment horizontal="center" vertical="center" wrapText="1"/>
    </xf>
    <xf numFmtId="43" fontId="19" fillId="0" borderId="5" xfId="13" applyFont="1" applyFill="1" applyBorder="1" applyAlignment="1">
      <alignment horizontal="center"/>
    </xf>
    <xf numFmtId="164" fontId="18" fillId="0" borderId="0" xfId="3" applyNumberFormat="1" applyFont="1" applyFill="1" applyAlignment="1">
      <alignment horizontal="right"/>
    </xf>
    <xf numFmtId="43" fontId="18" fillId="0" borderId="5" xfId="1" applyFont="1" applyFill="1" applyBorder="1" applyAlignment="1">
      <alignment horizontal="right"/>
    </xf>
    <xf numFmtId="9" fontId="18" fillId="0" borderId="5" xfId="2" applyFont="1" applyFill="1" applyBorder="1" applyAlignment="1">
      <alignment horizontal="right"/>
    </xf>
    <xf numFmtId="0" fontId="19" fillId="0" borderId="5" xfId="13" applyNumberFormat="1" applyFont="1" applyFill="1" applyBorder="1" applyAlignment="1">
      <alignment horizontal="right"/>
    </xf>
    <xf numFmtId="43" fontId="19" fillId="5" borderId="5" xfId="1" applyFont="1" applyFill="1" applyBorder="1"/>
    <xf numFmtId="9" fontId="18" fillId="5" borderId="5" xfId="2" applyFont="1" applyFill="1" applyBorder="1" applyAlignment="1">
      <alignment horizontal="right"/>
    </xf>
    <xf numFmtId="43" fontId="19" fillId="5" borderId="5" xfId="13" applyFont="1" applyFill="1" applyBorder="1" applyAlignment="1">
      <alignment horizontal="center"/>
    </xf>
    <xf numFmtId="43" fontId="19" fillId="4" borderId="2" xfId="5" applyNumberFormat="1" applyFont="1" applyFill="1"/>
    <xf numFmtId="43" fontId="17" fillId="0" borderId="22" xfId="1" applyFont="1" applyFill="1" applyBorder="1"/>
    <xf numFmtId="43" fontId="17" fillId="0" borderId="19" xfId="1" applyFont="1" applyFill="1" applyBorder="1"/>
    <xf numFmtId="49" fontId="13" fillId="7" borderId="0" xfId="0" applyNumberFormat="1" applyFont="1" applyFill="1" applyAlignment="1">
      <alignment horizontal="left"/>
    </xf>
    <xf numFmtId="43" fontId="13" fillId="7" borderId="0" xfId="1" applyFont="1" applyFill="1"/>
    <xf numFmtId="164" fontId="17" fillId="0" borderId="5" xfId="14" applyFont="1" applyBorder="1" applyAlignment="1">
      <alignment horizontal="left" indent="2"/>
    </xf>
    <xf numFmtId="0" fontId="13" fillId="0" borderId="0" xfId="0" applyNumberFormat="1" applyFont="1" applyAlignment="1">
      <alignment wrapText="1"/>
    </xf>
    <xf numFmtId="43" fontId="13" fillId="0" borderId="27" xfId="0" applyNumberFormat="1" applyFont="1" applyBorder="1" applyAlignment="1">
      <alignment wrapText="1"/>
    </xf>
    <xf numFmtId="43" fontId="13" fillId="0" borderId="0" xfId="0" applyNumberFormat="1" applyFont="1" applyAlignment="1">
      <alignment wrapText="1"/>
    </xf>
    <xf numFmtId="0" fontId="13" fillId="0" borderId="0" xfId="0" applyFont="1" applyFill="1"/>
    <xf numFmtId="49" fontId="13" fillId="0" borderId="0" xfId="0" applyNumberFormat="1" applyFont="1" applyFill="1" applyAlignment="1">
      <alignment horizontal="left"/>
    </xf>
    <xf numFmtId="2" fontId="13" fillId="0" borderId="0" xfId="0" applyNumberFormat="1" applyFont="1" applyFill="1"/>
    <xf numFmtId="43" fontId="13" fillId="0" borderId="0" xfId="1" applyFont="1" applyFill="1"/>
    <xf numFmtId="49" fontId="13" fillId="0" borderId="0" xfId="0" quotePrefix="1" applyNumberFormat="1" applyFont="1" applyFill="1" applyAlignment="1">
      <alignment horizontal="left"/>
    </xf>
    <xf numFmtId="43" fontId="14" fillId="7" borderId="2" xfId="5" applyNumberFormat="1" applyFont="1" applyFill="1"/>
    <xf numFmtId="0" fontId="13" fillId="7" borderId="0" xfId="0" quotePrefix="1" applyFont="1" applyFill="1" applyAlignment="1">
      <alignment horizontal="left"/>
    </xf>
    <xf numFmtId="43" fontId="13" fillId="17" borderId="0" xfId="0" applyNumberFormat="1" applyFont="1" applyFill="1"/>
    <xf numFmtId="0" fontId="13" fillId="17" borderId="0" xfId="0" applyFont="1" applyFill="1"/>
    <xf numFmtId="43" fontId="13" fillId="17" borderId="5" xfId="1" applyFont="1" applyFill="1" applyBorder="1"/>
    <xf numFmtId="43" fontId="13" fillId="18" borderId="0" xfId="0" applyNumberFormat="1" applyFont="1" applyFill="1"/>
    <xf numFmtId="0" fontId="13" fillId="18" borderId="0" xfId="0" applyFont="1" applyFill="1"/>
    <xf numFmtId="43" fontId="13" fillId="18" borderId="5" xfId="1" applyFont="1" applyFill="1" applyBorder="1"/>
    <xf numFmtId="43" fontId="13" fillId="18" borderId="0" xfId="1" applyFont="1" applyFill="1"/>
    <xf numFmtId="43" fontId="13" fillId="17" borderId="0" xfId="1" applyFont="1" applyFill="1"/>
    <xf numFmtId="43" fontId="13" fillId="16" borderId="0" xfId="0" applyNumberFormat="1" applyFont="1" applyFill="1"/>
    <xf numFmtId="0" fontId="13" fillId="16" borderId="0" xfId="0" applyFont="1" applyFill="1"/>
    <xf numFmtId="43" fontId="13" fillId="16" borderId="5" xfId="1" applyFont="1" applyFill="1" applyBorder="1"/>
    <xf numFmtId="43" fontId="13" fillId="16" borderId="0" xfId="1" applyFont="1" applyFill="1"/>
    <xf numFmtId="49" fontId="17" fillId="0" borderId="5" xfId="14" applyNumberFormat="1" applyFont="1" applyFill="1" applyBorder="1" applyAlignment="1">
      <alignment horizontal="center"/>
    </xf>
    <xf numFmtId="49" fontId="17" fillId="0" borderId="5" xfId="14" quotePrefix="1" applyNumberFormat="1" applyFont="1" applyFill="1" applyBorder="1" applyAlignment="1">
      <alignment horizontal="center"/>
    </xf>
    <xf numFmtId="43" fontId="13" fillId="0" borderId="27" xfId="0" applyNumberFormat="1" applyFont="1" applyBorder="1" applyAlignment="1"/>
    <xf numFmtId="49" fontId="13" fillId="9" borderId="0" xfId="0" applyNumberFormat="1" applyFont="1" applyFill="1" applyAlignment="1">
      <alignment horizontal="left"/>
    </xf>
    <xf numFmtId="49" fontId="13" fillId="9" borderId="0" xfId="0" quotePrefix="1" applyNumberFormat="1" applyFont="1" applyFill="1" applyAlignment="1">
      <alignment horizontal="left"/>
    </xf>
    <xf numFmtId="0" fontId="13" fillId="9" borderId="0" xfId="0" applyFont="1" applyFill="1" applyAlignment="1"/>
    <xf numFmtId="2" fontId="13" fillId="9" borderId="0" xfId="0" applyNumberFormat="1" applyFont="1" applyFill="1"/>
    <xf numFmtId="43" fontId="13" fillId="9" borderId="0" xfId="1" applyFont="1" applyFill="1"/>
    <xf numFmtId="43" fontId="13" fillId="14" borderId="0" xfId="1" applyFont="1" applyFill="1"/>
    <xf numFmtId="164" fontId="19" fillId="4" borderId="0" xfId="14" applyFont="1" applyFill="1" applyAlignment="1">
      <alignment horizontal="left" vertical="top" textRotation="90" wrapText="1"/>
    </xf>
    <xf numFmtId="164" fontId="19" fillId="4" borderId="0" xfId="14" applyFont="1" applyFill="1" applyAlignment="1">
      <alignment horizontal="left" vertical="top" textRotation="90"/>
    </xf>
    <xf numFmtId="164" fontId="19" fillId="4" borderId="0" xfId="14" applyFont="1" applyFill="1" applyAlignment="1">
      <alignment horizontal="center" vertical="top" textRotation="90" wrapText="1"/>
    </xf>
    <xf numFmtId="164" fontId="19" fillId="4" borderId="0" xfId="14" applyNumberFormat="1" applyFont="1" applyFill="1" applyAlignment="1">
      <alignment horizontal="center" vertical="top" textRotation="90" wrapText="1"/>
    </xf>
    <xf numFmtId="43" fontId="19" fillId="4" borderId="0" xfId="1" applyFont="1" applyFill="1" applyAlignment="1">
      <alignment horizontal="center" vertical="top" textRotation="90" wrapText="1"/>
    </xf>
    <xf numFmtId="0" fontId="17" fillId="0" borderId="5" xfId="14" quotePrefix="1" applyNumberFormat="1" applyFont="1" applyFill="1" applyBorder="1" applyAlignment="1">
      <alignment horizontal="center"/>
    </xf>
    <xf numFmtId="49" fontId="17" fillId="0" borderId="20" xfId="14" applyNumberFormat="1" applyFont="1" applyFill="1" applyBorder="1" applyAlignment="1">
      <alignment horizontal="center"/>
    </xf>
    <xf numFmtId="0" fontId="13" fillId="0" borderId="27" xfId="0" applyNumberFormat="1" applyFont="1" applyBorder="1" applyAlignment="1"/>
    <xf numFmtId="43" fontId="14" fillId="2" borderId="31" xfId="5" applyNumberFormat="1" applyFont="1" applyBorder="1"/>
    <xf numFmtId="43" fontId="19" fillId="4" borderId="5" xfId="5" applyNumberFormat="1" applyFont="1" applyFill="1" applyBorder="1"/>
    <xf numFmtId="0" fontId="13" fillId="0" borderId="0" xfId="0" quotePrefix="1" applyFont="1" applyAlignment="1">
      <alignment horizontal="left"/>
    </xf>
    <xf numFmtId="0" fontId="13" fillId="20" borderId="0" xfId="0" applyFont="1" applyFill="1" applyAlignment="1">
      <alignment horizontal="left"/>
    </xf>
    <xf numFmtId="164" fontId="27" fillId="7" borderId="22" xfId="14" applyFont="1" applyFill="1" applyBorder="1" applyAlignment="1">
      <alignment horizontal="center"/>
    </xf>
    <xf numFmtId="164" fontId="27" fillId="7" borderId="19" xfId="14" applyFont="1" applyFill="1" applyBorder="1" applyAlignment="1">
      <alignment horizontal="center"/>
    </xf>
    <xf numFmtId="164" fontId="27" fillId="7" borderId="20" xfId="14" applyFont="1" applyFill="1" applyBorder="1" applyAlignment="1">
      <alignment horizontal="center"/>
    </xf>
    <xf numFmtId="43" fontId="13" fillId="9" borderId="5" xfId="1" applyFont="1" applyFill="1" applyBorder="1"/>
    <xf numFmtId="2" fontId="13" fillId="9" borderId="5" xfId="0" applyNumberFormat="1" applyFont="1" applyFill="1" applyBorder="1"/>
    <xf numFmtId="9" fontId="13" fillId="9" borderId="5" xfId="2" applyFont="1" applyFill="1" applyBorder="1"/>
    <xf numFmtId="10" fontId="13" fillId="9" borderId="5" xfId="2" applyNumberFormat="1" applyFont="1" applyFill="1" applyBorder="1"/>
    <xf numFmtId="0" fontId="12" fillId="5" borderId="23" xfId="7" quotePrefix="1" applyFont="1" applyFill="1" applyBorder="1" applyAlignment="1">
      <alignment horizontal="center"/>
    </xf>
    <xf numFmtId="9" fontId="13" fillId="0" borderId="5" xfId="2" applyFont="1" applyBorder="1"/>
    <xf numFmtId="2" fontId="13" fillId="0" borderId="5" xfId="0" applyNumberFormat="1" applyFont="1" applyBorder="1"/>
    <xf numFmtId="164" fontId="18" fillId="9" borderId="5" xfId="14" applyFont="1" applyFill="1" applyBorder="1" applyAlignment="1">
      <alignment horizontal="right"/>
    </xf>
    <xf numFmtId="0" fontId="13" fillId="0" borderId="0" xfId="0" applyFont="1" applyFill="1" applyAlignment="1">
      <alignment horizontal="left"/>
    </xf>
    <xf numFmtId="0" fontId="13" fillId="0" borderId="0" xfId="0" quotePrefix="1" applyFont="1" applyFill="1" applyAlignment="1">
      <alignment horizontal="left"/>
    </xf>
    <xf numFmtId="0" fontId="13" fillId="21" borderId="0" xfId="0" applyFont="1" applyFill="1"/>
    <xf numFmtId="0" fontId="13" fillId="21" borderId="0" xfId="0" applyFont="1" applyFill="1" applyAlignment="1">
      <alignment horizontal="left"/>
    </xf>
    <xf numFmtId="0" fontId="13" fillId="21" borderId="0" xfId="0" applyFont="1" applyFill="1" applyAlignment="1"/>
    <xf numFmtId="164" fontId="19" fillId="0" borderId="17" xfId="14" applyFont="1" applyFill="1" applyBorder="1" applyAlignment="1">
      <alignment wrapText="1"/>
    </xf>
    <xf numFmtId="164" fontId="19" fillId="0" borderId="17" xfId="14" applyFont="1" applyFill="1" applyBorder="1" applyAlignment="1">
      <alignment horizontal="center" textRotation="90"/>
    </xf>
    <xf numFmtId="0" fontId="12" fillId="4" borderId="32" xfId="7" applyFont="1" applyFill="1" applyBorder="1"/>
    <xf numFmtId="164" fontId="35" fillId="7" borderId="19" xfId="17" quotePrefix="1" applyFont="1" applyFill="1" applyBorder="1"/>
    <xf numFmtId="0" fontId="12" fillId="4" borderId="21" xfId="7" applyFont="1" applyFill="1" applyBorder="1" applyAlignment="1">
      <alignment horizontal="right"/>
    </xf>
    <xf numFmtId="164" fontId="18" fillId="4" borderId="16" xfId="7" applyNumberFormat="1" applyFont="1" applyFill="1" applyBorder="1" applyAlignment="1">
      <alignment horizontal="right"/>
    </xf>
    <xf numFmtId="164" fontId="28" fillId="10" borderId="21" xfId="16" applyNumberFormat="1" applyFont="1" applyFill="1" applyBorder="1" applyAlignment="1">
      <alignment horizontal="right"/>
    </xf>
    <xf numFmtId="164" fontId="18" fillId="5" borderId="5" xfId="3" applyNumberFormat="1" applyFont="1" applyFill="1" applyBorder="1" applyAlignment="1">
      <alignment horizontal="center"/>
    </xf>
    <xf numFmtId="43" fontId="18" fillId="5" borderId="5" xfId="13" applyFont="1" applyFill="1" applyBorder="1" applyAlignment="1">
      <alignment horizontal="center"/>
    </xf>
    <xf numFmtId="2" fontId="30" fillId="10" borderId="4" xfId="16" applyNumberFormat="1" applyFont="1" applyFill="1" applyBorder="1" applyAlignment="1">
      <alignment horizontal="center"/>
    </xf>
    <xf numFmtId="43" fontId="12" fillId="0" borderId="0" xfId="0" applyNumberFormat="1" applyFont="1"/>
    <xf numFmtId="2" fontId="18" fillId="4" borderId="14" xfId="7" applyNumberFormat="1" applyFont="1" applyFill="1" applyBorder="1" applyAlignment="1">
      <alignment horizontal="center"/>
    </xf>
    <xf numFmtId="1" fontId="18" fillId="4" borderId="14" xfId="7" applyNumberFormat="1" applyFont="1" applyFill="1" applyBorder="1" applyAlignment="1">
      <alignment horizontal="center"/>
    </xf>
    <xf numFmtId="167" fontId="19" fillId="5" borderId="5" xfId="13" applyNumberFormat="1" applyFont="1" applyFill="1" applyBorder="1" applyAlignment="1">
      <alignment horizontal="right"/>
    </xf>
    <xf numFmtId="43" fontId="13" fillId="9" borderId="5" xfId="0" applyNumberFormat="1" applyFont="1" applyFill="1" applyBorder="1"/>
    <xf numFmtId="164" fontId="27" fillId="5" borderId="19" xfId="14" applyFont="1" applyFill="1" applyBorder="1" applyAlignment="1">
      <alignment horizontal="center"/>
    </xf>
    <xf numFmtId="164" fontId="27" fillId="5" borderId="20" xfId="14" applyFont="1" applyFill="1" applyBorder="1" applyAlignment="1">
      <alignment horizontal="center"/>
    </xf>
    <xf numFmtId="49" fontId="18" fillId="8" borderId="22" xfId="4" applyNumberFormat="1" applyFont="1" applyFill="1" applyBorder="1" applyAlignment="1"/>
    <xf numFmtId="164" fontId="27" fillId="8" borderId="22" xfId="14" applyFont="1" applyFill="1" applyBorder="1"/>
    <xf numFmtId="49" fontId="18" fillId="8" borderId="22" xfId="4" applyNumberFormat="1" applyFont="1" applyFill="1" applyBorder="1" applyAlignment="1">
      <alignment horizontal="left"/>
    </xf>
    <xf numFmtId="9" fontId="17" fillId="8" borderId="20" xfId="2" applyFont="1" applyFill="1" applyBorder="1"/>
    <xf numFmtId="9" fontId="17" fillId="8" borderId="19" xfId="2" applyFont="1" applyFill="1" applyBorder="1"/>
    <xf numFmtId="49" fontId="27" fillId="8" borderId="19" xfId="14" applyNumberFormat="1" applyFont="1" applyFill="1" applyBorder="1" applyAlignment="1">
      <alignment horizontal="left"/>
    </xf>
    <xf numFmtId="0" fontId="27" fillId="8" borderId="22" xfId="14" applyNumberFormat="1" applyFont="1" applyFill="1" applyBorder="1"/>
    <xf numFmtId="43" fontId="27" fillId="7" borderId="22" xfId="1" applyFont="1" applyFill="1" applyBorder="1"/>
    <xf numFmtId="43" fontId="27" fillId="7" borderId="19" xfId="1" applyFont="1" applyFill="1" applyBorder="1"/>
    <xf numFmtId="43" fontId="13" fillId="23" borderId="0" xfId="1" applyFont="1" applyFill="1"/>
    <xf numFmtId="43" fontId="39" fillId="23" borderId="2" xfId="18" applyNumberFormat="1" applyFont="1" applyFill="1"/>
    <xf numFmtId="43" fontId="38" fillId="23" borderId="2" xfId="18" applyNumberFormat="1" applyFont="1" applyFill="1"/>
    <xf numFmtId="0" fontId="17" fillId="5" borderId="5" xfId="14" applyNumberFormat="1" applyFont="1" applyFill="1" applyBorder="1" applyAlignment="1">
      <alignment horizontal="center"/>
    </xf>
    <xf numFmtId="0" fontId="13" fillId="21" borderId="0" xfId="0" quotePrefix="1" applyFont="1" applyFill="1" applyAlignment="1">
      <alignment horizontal="left"/>
    </xf>
    <xf numFmtId="0" fontId="13" fillId="22" borderId="4" xfId="0" applyFont="1" applyFill="1" applyBorder="1"/>
    <xf numFmtId="0" fontId="13" fillId="20" borderId="0" xfId="0" applyFont="1" applyFill="1"/>
    <xf numFmtId="0" fontId="13" fillId="5" borderId="0" xfId="0" applyFont="1" applyFill="1"/>
    <xf numFmtId="43" fontId="13" fillId="5" borderId="0" xfId="1" applyFont="1" applyFill="1"/>
    <xf numFmtId="0" fontId="18" fillId="5" borderId="19" xfId="12" applyNumberFormat="1" applyFont="1" applyFill="1" applyBorder="1" applyAlignment="1">
      <alignment vertical="center" readingOrder="1"/>
    </xf>
    <xf numFmtId="164" fontId="19" fillId="0" borderId="5" xfId="14" applyFont="1" applyFill="1" applyBorder="1"/>
    <xf numFmtId="164" fontId="19" fillId="0" borderId="5" xfId="14" applyFont="1" applyFill="1" applyBorder="1" applyAlignment="1">
      <alignment horizontal="center"/>
    </xf>
    <xf numFmtId="49" fontId="19" fillId="0" borderId="5" xfId="14" quotePrefix="1" applyNumberFormat="1" applyFont="1" applyFill="1" applyBorder="1" applyAlignment="1">
      <alignment horizontal="center"/>
    </xf>
    <xf numFmtId="43" fontId="19" fillId="0" borderId="5" xfId="6" applyNumberFormat="1" applyFont="1" applyFill="1" applyBorder="1"/>
    <xf numFmtId="43" fontId="14" fillId="24" borderId="2" xfId="1" applyFont="1" applyFill="1" applyBorder="1"/>
    <xf numFmtId="0" fontId="38" fillId="25" borderId="2" xfId="18" applyFont="1" applyFill="1"/>
    <xf numFmtId="164" fontId="19" fillId="0" borderId="5" xfId="14" quotePrefix="1" applyFont="1" applyFill="1" applyBorder="1" applyAlignment="1">
      <alignment horizontal="center"/>
    </xf>
    <xf numFmtId="164" fontId="17" fillId="0" borderId="22" xfId="14" applyFont="1" applyFill="1" applyBorder="1"/>
    <xf numFmtId="43" fontId="13" fillId="14" borderId="5" xfId="1" applyFont="1" applyFill="1" applyBorder="1"/>
    <xf numFmtId="43" fontId="13" fillId="20" borderId="0" xfId="1" applyFont="1" applyFill="1"/>
    <xf numFmtId="0" fontId="13" fillId="14" borderId="0" xfId="0" quotePrefix="1" applyFont="1" applyFill="1" applyAlignment="1">
      <alignment horizontal="left"/>
    </xf>
    <xf numFmtId="14" fontId="19" fillId="5" borderId="5" xfId="13" applyNumberFormat="1" applyFont="1" applyFill="1" applyBorder="1" applyAlignment="1">
      <alignment horizontal="right"/>
    </xf>
    <xf numFmtId="43" fontId="18" fillId="5" borderId="5" xfId="1" applyFont="1" applyFill="1" applyBorder="1" applyAlignment="1">
      <alignment horizontal="center"/>
    </xf>
    <xf numFmtId="9" fontId="18" fillId="0" borderId="5" xfId="2" applyFont="1" applyFill="1" applyBorder="1" applyAlignment="1">
      <alignment horizontal="center"/>
    </xf>
    <xf numFmtId="43" fontId="18" fillId="0" borderId="5" xfId="2" applyNumberFormat="1" applyFont="1" applyFill="1" applyBorder="1" applyAlignment="1">
      <alignment horizontal="right"/>
    </xf>
    <xf numFmtId="43" fontId="18" fillId="5" borderId="5" xfId="1" applyFont="1" applyFill="1" applyBorder="1" applyAlignment="1">
      <alignment horizontal="right"/>
    </xf>
    <xf numFmtId="43" fontId="18" fillId="17" borderId="5" xfId="2" applyNumberFormat="1" applyFont="1" applyFill="1" applyBorder="1" applyAlignment="1">
      <alignment horizontal="right"/>
    </xf>
    <xf numFmtId="43" fontId="19" fillId="17" borderId="5" xfId="13" applyFont="1" applyFill="1" applyBorder="1" applyAlignment="1">
      <alignment horizontal="center"/>
    </xf>
    <xf numFmtId="0" fontId="19" fillId="17" borderId="5" xfId="13" applyNumberFormat="1" applyFont="1" applyFill="1" applyBorder="1" applyAlignment="1">
      <alignment horizontal="right"/>
    </xf>
    <xf numFmtId="14" fontId="18" fillId="17" borderId="5" xfId="15" applyNumberFormat="1" applyFont="1" applyFill="1" applyBorder="1" applyAlignment="1">
      <alignment horizontal="center" vertical="center" wrapText="1"/>
    </xf>
    <xf numFmtId="43" fontId="18" fillId="17" borderId="5" xfId="1" applyFont="1" applyFill="1" applyBorder="1" applyAlignment="1">
      <alignment horizontal="right"/>
    </xf>
    <xf numFmtId="10" fontId="18" fillId="17" borderId="5" xfId="2" applyNumberFormat="1" applyFont="1" applyFill="1" applyBorder="1" applyAlignment="1">
      <alignment horizontal="right"/>
    </xf>
    <xf numFmtId="0" fontId="13" fillId="17" borderId="0" xfId="0" applyFont="1" applyFill="1" applyAlignment="1">
      <alignment horizontal="left"/>
    </xf>
    <xf numFmtId="0" fontId="13" fillId="17" borderId="0" xfId="0" quotePrefix="1" applyFont="1" applyFill="1" applyAlignment="1">
      <alignment horizontal="left"/>
    </xf>
    <xf numFmtId="0" fontId="13" fillId="20" borderId="0" xfId="0" quotePrefix="1" applyFont="1" applyFill="1" applyAlignment="1">
      <alignment horizontal="left"/>
    </xf>
    <xf numFmtId="0" fontId="13" fillId="20" borderId="0" xfId="0" applyFont="1" applyFill="1" applyAlignment="1"/>
    <xf numFmtId="43" fontId="19" fillId="5" borderId="5" xfId="18" applyNumberFormat="1" applyFont="1" applyFill="1" applyBorder="1"/>
    <xf numFmtId="0" fontId="13" fillId="0" borderId="5" xfId="0" applyFont="1" applyBorder="1" applyAlignment="1">
      <alignment horizontal="left"/>
    </xf>
    <xf numFmtId="43" fontId="13" fillId="0" borderId="5" xfId="0" applyNumberFormat="1" applyFont="1" applyBorder="1"/>
    <xf numFmtId="0" fontId="13" fillId="0" borderId="22" xfId="0" applyFont="1" applyBorder="1"/>
    <xf numFmtId="0" fontId="13" fillId="0" borderId="19" xfId="0" applyFont="1" applyBorder="1"/>
    <xf numFmtId="0" fontId="13" fillId="0" borderId="20" xfId="0" applyFont="1" applyBorder="1"/>
    <xf numFmtId="165" fontId="18" fillId="5" borderId="22" xfId="12" applyNumberFormat="1" applyFont="1" applyFill="1" applyBorder="1" applyAlignment="1">
      <alignment vertical="center" readingOrder="1"/>
    </xf>
    <xf numFmtId="165" fontId="23" fillId="0" borderId="5" xfId="12" applyNumberFormat="1" applyFont="1" applyBorder="1" applyAlignment="1">
      <alignment vertical="center" readingOrder="1"/>
    </xf>
    <xf numFmtId="165" fontId="34" fillId="7" borderId="5" xfId="12" applyNumberFormat="1" applyFont="1" applyFill="1" applyBorder="1" applyAlignment="1">
      <alignment vertical="center" readingOrder="1"/>
    </xf>
    <xf numFmtId="0" fontId="12" fillId="5" borderId="5" xfId="0" applyFont="1" applyFill="1" applyBorder="1" applyAlignment="1"/>
    <xf numFmtId="14" fontId="13" fillId="0" borderId="0" xfId="0" applyNumberFormat="1" applyFont="1" applyBorder="1"/>
    <xf numFmtId="49" fontId="17" fillId="0" borderId="22" xfId="14" quotePrefix="1" applyNumberFormat="1" applyFont="1" applyBorder="1" applyAlignment="1">
      <alignment horizontal="center"/>
    </xf>
    <xf numFmtId="43" fontId="19" fillId="8" borderId="20" xfId="0" quotePrefix="1" applyNumberFormat="1" applyFont="1" applyFill="1" applyBorder="1"/>
    <xf numFmtId="8" fontId="13" fillId="0" borderId="0" xfId="0" applyNumberFormat="1" applyFont="1" applyBorder="1"/>
    <xf numFmtId="43" fontId="13" fillId="0" borderId="0" xfId="0" applyNumberFormat="1" applyFont="1" applyBorder="1"/>
    <xf numFmtId="164" fontId="17" fillId="8" borderId="5" xfId="14" applyFont="1" applyFill="1" applyBorder="1"/>
    <xf numFmtId="49" fontId="17" fillId="8" borderId="5" xfId="14" quotePrefix="1" applyNumberFormat="1" applyFont="1" applyFill="1" applyBorder="1" applyAlignment="1">
      <alignment horizontal="center"/>
    </xf>
    <xf numFmtId="9" fontId="17" fillId="8" borderId="5" xfId="2" applyFont="1" applyFill="1" applyBorder="1"/>
    <xf numFmtId="0" fontId="13" fillId="14" borderId="0" xfId="0" applyFont="1" applyFill="1" applyAlignment="1"/>
    <xf numFmtId="0" fontId="42" fillId="14" borderId="0" xfId="0" applyFont="1" applyFill="1"/>
    <xf numFmtId="0" fontId="42" fillId="14" borderId="0" xfId="0" applyFont="1" applyFill="1" applyAlignment="1">
      <alignment horizontal="left"/>
    </xf>
    <xf numFmtId="0" fontId="42" fillId="14" borderId="0" xfId="0" quotePrefix="1" applyFont="1" applyFill="1" applyAlignment="1">
      <alignment horizontal="left"/>
    </xf>
    <xf numFmtId="43" fontId="42" fillId="14" borderId="0" xfId="1" applyFont="1" applyFill="1"/>
    <xf numFmtId="2" fontId="19" fillId="0" borderId="5" xfId="0" applyNumberFormat="1" applyFont="1" applyBorder="1"/>
    <xf numFmtId="10" fontId="18" fillId="5" borderId="5" xfId="2" applyNumberFormat="1" applyFont="1" applyFill="1" applyBorder="1" applyAlignment="1">
      <alignment horizontal="right"/>
    </xf>
    <xf numFmtId="43" fontId="18" fillId="5" borderId="5" xfId="2" applyNumberFormat="1" applyFont="1" applyFill="1" applyBorder="1" applyAlignment="1">
      <alignment horizontal="right"/>
    </xf>
    <xf numFmtId="0" fontId="13" fillId="19" borderId="0" xfId="0" applyFont="1" applyFill="1"/>
    <xf numFmtId="0" fontId="13" fillId="19" borderId="0" xfId="0" applyFont="1" applyFill="1" applyAlignment="1">
      <alignment horizontal="left"/>
    </xf>
    <xf numFmtId="0" fontId="13" fillId="19" borderId="0" xfId="0" quotePrefix="1" applyFont="1" applyFill="1" applyAlignment="1">
      <alignment horizontal="left"/>
    </xf>
    <xf numFmtId="43" fontId="13" fillId="21" borderId="0" xfId="1" applyFont="1" applyFill="1"/>
    <xf numFmtId="44" fontId="13" fillId="0" borderId="0" xfId="20" applyFont="1"/>
    <xf numFmtId="44" fontId="13" fillId="0" borderId="0" xfId="0" applyNumberFormat="1" applyFont="1"/>
    <xf numFmtId="49" fontId="17" fillId="0" borderId="19" xfId="14" applyNumberFormat="1" applyFont="1" applyFill="1" applyBorder="1" applyAlignment="1">
      <alignment horizontal="center"/>
    </xf>
    <xf numFmtId="43" fontId="19" fillId="0" borderId="19" xfId="0" applyNumberFormat="1" applyFont="1" applyFill="1" applyBorder="1"/>
    <xf numFmtId="43" fontId="18" fillId="0" borderId="5" xfId="18" applyNumberFormat="1" applyFont="1" applyFill="1" applyBorder="1"/>
    <xf numFmtId="0" fontId="14" fillId="2" borderId="34" xfId="5" applyFont="1" applyBorder="1"/>
    <xf numFmtId="0" fontId="28" fillId="13" borderId="5" xfId="0" applyFont="1" applyFill="1" applyBorder="1"/>
    <xf numFmtId="0" fontId="28" fillId="13" borderId="5" xfId="0" applyFont="1" applyFill="1" applyBorder="1" applyAlignment="1">
      <alignment horizontal="right"/>
    </xf>
    <xf numFmtId="0" fontId="36" fillId="13" borderId="0" xfId="0" applyFont="1" applyFill="1"/>
    <xf numFmtId="43" fontId="18" fillId="11" borderId="5" xfId="18" applyNumberFormat="1" applyFont="1" applyBorder="1"/>
    <xf numFmtId="43" fontId="18" fillId="0" borderId="5" xfId="2" applyNumberFormat="1" applyFont="1" applyFill="1" applyBorder="1" applyAlignment="1">
      <alignment horizontal="center"/>
    </xf>
    <xf numFmtId="44" fontId="13" fillId="0" borderId="5" xfId="20" applyFont="1" applyBorder="1"/>
    <xf numFmtId="43" fontId="18" fillId="5" borderId="5" xfId="18" applyNumberFormat="1" applyFont="1" applyFill="1" applyBorder="1"/>
    <xf numFmtId="43" fontId="18" fillId="19" borderId="5" xfId="2" applyNumberFormat="1" applyFont="1" applyFill="1" applyBorder="1" applyAlignment="1">
      <alignment horizontal="right"/>
    </xf>
    <xf numFmtId="14" fontId="18" fillId="19" borderId="5" xfId="15" applyNumberFormat="1" applyFont="1" applyFill="1" applyBorder="1" applyAlignment="1">
      <alignment horizontal="center" vertical="center" wrapText="1"/>
    </xf>
    <xf numFmtId="0" fontId="27" fillId="5" borderId="22" xfId="14" applyNumberFormat="1" applyFont="1" applyFill="1" applyBorder="1" applyAlignment="1">
      <alignment horizontal="center"/>
    </xf>
    <xf numFmtId="0" fontId="27" fillId="7" borderId="22" xfId="14" applyNumberFormat="1" applyFont="1" applyFill="1" applyBorder="1" applyAlignment="1">
      <alignment horizontal="center"/>
    </xf>
    <xf numFmtId="0" fontId="18" fillId="4" borderId="14" xfId="7" applyNumberFormat="1" applyFont="1" applyFill="1" applyBorder="1" applyAlignment="1">
      <alignment horizontal="center"/>
    </xf>
    <xf numFmtId="0" fontId="30" fillId="10" borderId="4" xfId="16" applyNumberFormat="1" applyFont="1" applyFill="1" applyBorder="1" applyAlignment="1">
      <alignment horizontal="center"/>
    </xf>
    <xf numFmtId="43" fontId="12" fillId="0" borderId="0" xfId="1" applyFont="1"/>
    <xf numFmtId="43" fontId="13" fillId="0" borderId="0" xfId="1" applyFont="1" applyFill="1" applyBorder="1"/>
    <xf numFmtId="0" fontId="19" fillId="5" borderId="5" xfId="13" applyNumberFormat="1" applyFont="1" applyFill="1" applyBorder="1" applyAlignment="1">
      <alignment horizontal="right"/>
    </xf>
    <xf numFmtId="10" fontId="18" fillId="19" borderId="5" xfId="2" applyNumberFormat="1" applyFont="1" applyFill="1" applyBorder="1" applyAlignment="1">
      <alignment horizontal="right"/>
    </xf>
    <xf numFmtId="43" fontId="19" fillId="19" borderId="5" xfId="13" applyFont="1" applyFill="1" applyBorder="1" applyAlignment="1">
      <alignment horizontal="center"/>
    </xf>
    <xf numFmtId="0" fontId="19" fillId="19" borderId="5" xfId="13" applyNumberFormat="1" applyFont="1" applyFill="1" applyBorder="1" applyAlignment="1">
      <alignment horizontal="right"/>
    </xf>
    <xf numFmtId="43" fontId="13" fillId="19" borderId="5" xfId="0" applyNumberFormat="1" applyFont="1" applyFill="1" applyBorder="1"/>
    <xf numFmtId="0" fontId="13" fillId="19" borderId="5" xfId="0" applyFont="1" applyFill="1" applyBorder="1"/>
    <xf numFmtId="43" fontId="13" fillId="5" borderId="5" xfId="0" applyNumberFormat="1" applyFont="1" applyFill="1" applyBorder="1"/>
    <xf numFmtId="43" fontId="13" fillId="17" borderId="5" xfId="0" applyNumberFormat="1" applyFont="1" applyFill="1" applyBorder="1"/>
    <xf numFmtId="0" fontId="13" fillId="17" borderId="5" xfId="0" applyFont="1" applyFill="1" applyBorder="1"/>
    <xf numFmtId="0" fontId="12" fillId="0" borderId="26" xfId="0" applyFont="1" applyBorder="1"/>
    <xf numFmtId="0" fontId="12" fillId="0" borderId="32" xfId="0" applyFont="1" applyBorder="1"/>
    <xf numFmtId="43" fontId="12" fillId="0" borderId="21" xfId="0" applyNumberFormat="1" applyFont="1" applyBorder="1"/>
    <xf numFmtId="43" fontId="12" fillId="19" borderId="21" xfId="0" applyNumberFormat="1" applyFont="1" applyFill="1" applyBorder="1"/>
    <xf numFmtId="43" fontId="12" fillId="5" borderId="21" xfId="0" applyNumberFormat="1" applyFont="1" applyFill="1" applyBorder="1"/>
    <xf numFmtId="43" fontId="12" fillId="17" borderId="21" xfId="0" applyNumberFormat="1" applyFont="1" applyFill="1" applyBorder="1"/>
    <xf numFmtId="43" fontId="12" fillId="0" borderId="5" xfId="0" applyNumberFormat="1" applyFont="1" applyBorder="1"/>
    <xf numFmtId="43" fontId="12" fillId="5" borderId="5" xfId="0" applyNumberFormat="1" applyFont="1" applyFill="1" applyBorder="1"/>
    <xf numFmtId="43" fontId="12" fillId="17" borderId="5" xfId="0" applyNumberFormat="1" applyFont="1" applyFill="1" applyBorder="1"/>
    <xf numFmtId="43" fontId="12" fillId="19" borderId="5" xfId="0" applyNumberFormat="1" applyFont="1" applyFill="1" applyBorder="1"/>
    <xf numFmtId="43" fontId="12" fillId="19" borderId="5" xfId="1" applyFont="1" applyFill="1" applyBorder="1"/>
    <xf numFmtId="43" fontId="12" fillId="5" borderId="5" xfId="1" applyFont="1" applyFill="1" applyBorder="1"/>
    <xf numFmtId="43" fontId="12" fillId="17" borderId="5" xfId="1" applyFont="1" applyFill="1" applyBorder="1"/>
    <xf numFmtId="164" fontId="19" fillId="4" borderId="0" xfId="14" applyFont="1" applyFill="1" applyAlignment="1">
      <alignment horizontal="right"/>
    </xf>
    <xf numFmtId="43" fontId="13" fillId="6" borderId="5" xfId="1" applyFont="1" applyFill="1" applyBorder="1"/>
    <xf numFmtId="0" fontId="36" fillId="10" borderId="0" xfId="0" applyFont="1" applyFill="1"/>
    <xf numFmtId="0" fontId="36" fillId="10" borderId="0" xfId="0" applyNumberFormat="1" applyFont="1" applyFill="1"/>
    <xf numFmtId="49" fontId="17" fillId="0" borderId="5" xfId="14" applyNumberFormat="1" applyFont="1" applyBorder="1"/>
    <xf numFmtId="0" fontId="12" fillId="0" borderId="4" xfId="0" applyNumberFormat="1" applyFont="1" applyBorder="1"/>
    <xf numFmtId="43" fontId="36" fillId="10" borderId="0" xfId="1" applyFont="1" applyFill="1"/>
    <xf numFmtId="43" fontId="12" fillId="0" borderId="21" xfId="1" applyFont="1" applyBorder="1"/>
    <xf numFmtId="0" fontId="17" fillId="18" borderId="20" xfId="14" applyNumberFormat="1" applyFont="1" applyFill="1" applyBorder="1" applyAlignment="1">
      <alignment horizontal="center"/>
    </xf>
    <xf numFmtId="49" fontId="17" fillId="18" borderId="20" xfId="14" applyNumberFormat="1" applyFont="1" applyFill="1" applyBorder="1" applyAlignment="1">
      <alignment horizontal="center"/>
    </xf>
    <xf numFmtId="0" fontId="17" fillId="23" borderId="20" xfId="14" applyNumberFormat="1" applyFont="1" applyFill="1" applyBorder="1" applyAlignment="1">
      <alignment horizontal="center"/>
    </xf>
    <xf numFmtId="49" fontId="17" fillId="23" borderId="20" xfId="14" applyNumberFormat="1" applyFont="1" applyFill="1" applyBorder="1" applyAlignment="1">
      <alignment horizontal="center"/>
    </xf>
    <xf numFmtId="0" fontId="17" fillId="23" borderId="5" xfId="14" quotePrefix="1" applyNumberFormat="1" applyFont="1" applyFill="1" applyBorder="1" applyAlignment="1">
      <alignment horizontal="center"/>
    </xf>
    <xf numFmtId="0" fontId="42" fillId="20" borderId="0" xfId="0" applyFont="1" applyFill="1"/>
    <xf numFmtId="0" fontId="42" fillId="20" borderId="0" xfId="0" applyFont="1" applyFill="1" applyAlignment="1">
      <alignment horizontal="left"/>
    </xf>
    <xf numFmtId="43" fontId="42" fillId="20" borderId="0" xfId="1" applyFont="1" applyFill="1"/>
    <xf numFmtId="0" fontId="42" fillId="0" borderId="0" xfId="0" applyFont="1" applyFill="1"/>
    <xf numFmtId="0" fontId="42" fillId="0" borderId="0" xfId="0" applyFont="1" applyFill="1" applyAlignment="1">
      <alignment horizontal="left"/>
    </xf>
    <xf numFmtId="0" fontId="42" fillId="0" borderId="0" xfId="0" quotePrefix="1" applyFont="1" applyFill="1" applyAlignment="1">
      <alignment horizontal="left"/>
    </xf>
    <xf numFmtId="43" fontId="42" fillId="0" borderId="0" xfId="1" applyFont="1" applyFill="1"/>
    <xf numFmtId="49" fontId="13" fillId="19" borderId="0" xfId="0" applyNumberFormat="1" applyFont="1" applyFill="1" applyAlignment="1">
      <alignment horizontal="left"/>
    </xf>
    <xf numFmtId="49" fontId="13" fillId="19" borderId="0" xfId="0" quotePrefix="1" applyNumberFormat="1" applyFont="1" applyFill="1" applyAlignment="1">
      <alignment horizontal="left"/>
    </xf>
    <xf numFmtId="2" fontId="38" fillId="25" borderId="2" xfId="18" applyNumberFormat="1" applyFont="1" applyFill="1"/>
    <xf numFmtId="0" fontId="42" fillId="19" borderId="0" xfId="0" applyFont="1" applyFill="1" applyAlignment="1">
      <alignment horizontal="left"/>
    </xf>
    <xf numFmtId="168" fontId="0" fillId="0" borderId="0" xfId="0" applyNumberFormat="1"/>
    <xf numFmtId="0" fontId="19" fillId="0" borderId="0" xfId="0" applyFont="1" applyFill="1"/>
    <xf numFmtId="0" fontId="19" fillId="0" borderId="0" xfId="0" applyFont="1" applyFill="1" applyAlignment="1"/>
    <xf numFmtId="2" fontId="19" fillId="0" borderId="0" xfId="0" applyNumberFormat="1" applyFont="1" applyFill="1"/>
    <xf numFmtId="0" fontId="0" fillId="9" borderId="0" xfId="0" applyFill="1"/>
    <xf numFmtId="43" fontId="17" fillId="17" borderId="5" xfId="1" applyFont="1" applyFill="1" applyBorder="1"/>
    <xf numFmtId="43" fontId="19" fillId="17" borderId="5" xfId="1" applyFont="1" applyFill="1" applyBorder="1"/>
    <xf numFmtId="43" fontId="18" fillId="17" borderId="5" xfId="18" applyNumberFormat="1" applyFont="1" applyFill="1" applyBorder="1"/>
    <xf numFmtId="43" fontId="19" fillId="17" borderId="5" xfId="6" applyNumberFormat="1" applyFont="1" applyFill="1" applyBorder="1"/>
    <xf numFmtId="43" fontId="19" fillId="17" borderId="5" xfId="18" applyNumberFormat="1" applyFont="1" applyFill="1" applyBorder="1"/>
    <xf numFmtId="14" fontId="14" fillId="2" borderId="5" xfId="5" applyNumberFormat="1" applyFont="1" applyBorder="1"/>
    <xf numFmtId="14" fontId="19" fillId="17" borderId="5" xfId="13" applyNumberFormat="1" applyFont="1" applyFill="1" applyBorder="1" applyAlignment="1">
      <alignment horizontal="center"/>
    </xf>
    <xf numFmtId="14" fontId="19" fillId="17" borderId="5" xfId="13" applyNumberFormat="1" applyFont="1" applyFill="1" applyBorder="1" applyAlignment="1">
      <alignment horizontal="right"/>
    </xf>
    <xf numFmtId="0" fontId="12" fillId="5" borderId="19" xfId="7" applyFont="1" applyFill="1" applyBorder="1" applyAlignment="1">
      <alignment horizontal="center"/>
    </xf>
    <xf numFmtId="0" fontId="12" fillId="5" borderId="19" xfId="7" quotePrefix="1" applyFont="1" applyFill="1" applyBorder="1" applyAlignment="1">
      <alignment horizontal="center"/>
    </xf>
    <xf numFmtId="0" fontId="12" fillId="0" borderId="5" xfId="7" applyFont="1" applyFill="1" applyBorder="1" applyAlignment="1">
      <alignment horizontal="right"/>
    </xf>
    <xf numFmtId="0" fontId="12" fillId="0" borderId="17" xfId="7" applyFont="1" applyFill="1" applyBorder="1" applyAlignment="1">
      <alignment horizontal="center"/>
    </xf>
    <xf numFmtId="49" fontId="12" fillId="0" borderId="17" xfId="7" applyNumberFormat="1" applyFont="1" applyFill="1" applyBorder="1" applyAlignment="1">
      <alignment horizontal="center"/>
    </xf>
    <xf numFmtId="0" fontId="12" fillId="0" borderId="17" xfId="7" quotePrefix="1" applyFont="1" applyFill="1" applyBorder="1" applyAlignment="1">
      <alignment horizontal="center"/>
    </xf>
    <xf numFmtId="49" fontId="12" fillId="0" borderId="19" xfId="7" applyNumberFormat="1" applyFont="1" applyFill="1" applyBorder="1" applyAlignment="1">
      <alignment horizontal="center"/>
    </xf>
    <xf numFmtId="49" fontId="12" fillId="0" borderId="20" xfId="7" applyNumberFormat="1" applyFont="1" applyFill="1" applyBorder="1" applyAlignment="1">
      <alignment horizontal="center"/>
    </xf>
    <xf numFmtId="43" fontId="12" fillId="0" borderId="5" xfId="7" applyNumberFormat="1" applyFont="1" applyFill="1" applyBorder="1"/>
    <xf numFmtId="0" fontId="12" fillId="0" borderId="33" xfId="7" applyFont="1" applyFill="1" applyBorder="1" applyAlignment="1">
      <alignment horizontal="right"/>
    </xf>
    <xf numFmtId="0" fontId="12" fillId="0" borderId="0" xfId="7" applyFont="1" applyFill="1" applyBorder="1" applyAlignment="1">
      <alignment horizontal="center"/>
    </xf>
    <xf numFmtId="0" fontId="12" fillId="0" borderId="0" xfId="7" quotePrefix="1" applyFont="1" applyFill="1" applyBorder="1" applyAlignment="1">
      <alignment horizontal="center"/>
    </xf>
    <xf numFmtId="49" fontId="12" fillId="0" borderId="0" xfId="7" applyNumberFormat="1" applyFont="1" applyFill="1" applyBorder="1" applyAlignment="1">
      <alignment horizontal="center"/>
    </xf>
    <xf numFmtId="49" fontId="12" fillId="0" borderId="23" xfId="7" applyNumberFormat="1" applyFont="1" applyFill="1" applyBorder="1" applyAlignment="1">
      <alignment horizontal="center"/>
    </xf>
    <xf numFmtId="0" fontId="12" fillId="0" borderId="19" xfId="7" applyFont="1" applyFill="1" applyBorder="1"/>
    <xf numFmtId="0" fontId="12" fillId="0" borderId="20" xfId="7" applyFont="1" applyFill="1" applyBorder="1"/>
    <xf numFmtId="164" fontId="17" fillId="0" borderId="5" xfId="14" applyFont="1" applyFill="1" applyBorder="1" applyAlignment="1">
      <alignment horizontal="right"/>
    </xf>
    <xf numFmtId="164" fontId="25" fillId="0" borderId="19" xfId="14" applyFont="1" applyFill="1" applyBorder="1" applyAlignment="1">
      <alignment horizontal="center"/>
    </xf>
    <xf numFmtId="49" fontId="25" fillId="0" borderId="19" xfId="14" quotePrefix="1" applyNumberFormat="1" applyFont="1" applyFill="1" applyBorder="1" applyAlignment="1">
      <alignment horizontal="center"/>
    </xf>
    <xf numFmtId="164" fontId="25" fillId="0" borderId="29" xfId="14" applyFont="1" applyFill="1" applyBorder="1" applyAlignment="1">
      <alignment horizontal="center"/>
    </xf>
    <xf numFmtId="164" fontId="17" fillId="0" borderId="29" xfId="14" applyFont="1" applyFill="1" applyBorder="1" applyAlignment="1">
      <alignment horizontal="center"/>
    </xf>
    <xf numFmtId="164" fontId="17" fillId="0" borderId="25" xfId="14" applyFont="1" applyFill="1" applyBorder="1" applyAlignment="1">
      <alignment horizontal="center"/>
    </xf>
    <xf numFmtId="164" fontId="17" fillId="0" borderId="19" xfId="14" applyFont="1" applyFill="1" applyBorder="1" applyAlignment="1">
      <alignment horizontal="center"/>
    </xf>
    <xf numFmtId="164" fontId="17" fillId="0" borderId="20" xfId="14" applyFont="1" applyFill="1" applyBorder="1" applyAlignment="1">
      <alignment horizontal="center"/>
    </xf>
    <xf numFmtId="164" fontId="27" fillId="0" borderId="5" xfId="14" applyFont="1" applyFill="1" applyBorder="1" applyAlignment="1">
      <alignment horizontal="right"/>
    </xf>
    <xf numFmtId="43" fontId="27" fillId="0" borderId="5" xfId="1" applyFont="1" applyFill="1" applyBorder="1"/>
    <xf numFmtId="0" fontId="18" fillId="0" borderId="5" xfId="7" applyFont="1" applyFill="1" applyBorder="1" applyAlignment="1">
      <alignment horizontal="right"/>
    </xf>
    <xf numFmtId="0" fontId="18" fillId="0" borderId="19" xfId="7" applyFont="1" applyFill="1" applyBorder="1" applyAlignment="1">
      <alignment horizontal="center"/>
    </xf>
    <xf numFmtId="0" fontId="18" fillId="0" borderId="19" xfId="7" quotePrefix="1" applyFont="1" applyFill="1" applyBorder="1" applyAlignment="1">
      <alignment horizontal="center"/>
    </xf>
    <xf numFmtId="0" fontId="12" fillId="0" borderId="16" xfId="7" applyFont="1" applyFill="1" applyBorder="1" applyAlignment="1">
      <alignment horizontal="right"/>
    </xf>
    <xf numFmtId="0" fontId="26" fillId="0" borderId="14" xfId="7" applyFont="1" applyFill="1" applyBorder="1" applyAlignment="1">
      <alignment horizontal="center"/>
    </xf>
    <xf numFmtId="49" fontId="26" fillId="0" borderId="14" xfId="7" applyNumberFormat="1" applyFont="1" applyFill="1" applyBorder="1" applyAlignment="1">
      <alignment horizontal="center"/>
    </xf>
    <xf numFmtId="49" fontId="13" fillId="8" borderId="0" xfId="0" applyNumberFormat="1" applyFont="1" applyFill="1" applyAlignment="1">
      <alignment horizontal="left"/>
    </xf>
    <xf numFmtId="49" fontId="13" fillId="0" borderId="0" xfId="0" applyNumberFormat="1" applyFont="1"/>
    <xf numFmtId="49" fontId="13" fillId="0" borderId="4" xfId="0" applyNumberFormat="1" applyFont="1" applyBorder="1"/>
    <xf numFmtId="43" fontId="13" fillId="12" borderId="4" xfId="1" applyFont="1" applyFill="1" applyBorder="1"/>
    <xf numFmtId="49" fontId="13" fillId="18" borderId="0" xfId="0" applyNumberFormat="1" applyFont="1" applyFill="1"/>
    <xf numFmtId="49" fontId="13" fillId="0" borderId="0" xfId="0" quotePrefix="1" applyNumberFormat="1" applyFont="1"/>
    <xf numFmtId="0" fontId="28" fillId="26" borderId="0" xfId="3" applyFont="1" applyFill="1" applyAlignment="1">
      <alignment horizontal="left"/>
    </xf>
    <xf numFmtId="0" fontId="28" fillId="26" borderId="0" xfId="3" applyFont="1" applyFill="1" applyAlignment="1">
      <alignment horizontal="center"/>
    </xf>
    <xf numFmtId="164" fontId="36" fillId="26" borderId="0" xfId="17" applyFont="1" applyFill="1"/>
    <xf numFmtId="9" fontId="36" fillId="26" borderId="2" xfId="5" applyNumberFormat="1" applyFont="1" applyFill="1"/>
    <xf numFmtId="164" fontId="36" fillId="26" borderId="2" xfId="5" applyNumberFormat="1" applyFont="1" applyFill="1" applyAlignment="1">
      <alignment horizontal="center"/>
    </xf>
    <xf numFmtId="43" fontId="36" fillId="26" borderId="2" xfId="5" applyNumberFormat="1" applyFont="1" applyFill="1"/>
    <xf numFmtId="10" fontId="36" fillId="26" borderId="0" xfId="1" applyNumberFormat="1" applyFont="1" applyFill="1"/>
    <xf numFmtId="10" fontId="36" fillId="26" borderId="2" xfId="5" applyNumberFormat="1" applyFont="1" applyFill="1"/>
    <xf numFmtId="164" fontId="28" fillId="26" borderId="0" xfId="3" applyNumberFormat="1" applyFont="1" applyFill="1" applyAlignment="1">
      <alignment horizontal="left"/>
    </xf>
    <xf numFmtId="164" fontId="28" fillId="26" borderId="0" xfId="3" applyNumberFormat="1" applyFont="1" applyFill="1" applyAlignment="1">
      <alignment horizontal="center"/>
    </xf>
    <xf numFmtId="43" fontId="28" fillId="26" borderId="0" xfId="13" applyFont="1" applyFill="1" applyAlignment="1">
      <alignment horizontal="center" wrapText="1"/>
    </xf>
    <xf numFmtId="164" fontId="36" fillId="26" borderId="0" xfId="14" applyFont="1" applyFill="1" applyAlignment="1">
      <alignment horizontal="left" vertical="top" wrapText="1"/>
    </xf>
    <xf numFmtId="164" fontId="36" fillId="26" borderId="0" xfId="14" applyFont="1" applyFill="1" applyAlignment="1">
      <alignment horizontal="left" vertical="top"/>
    </xf>
    <xf numFmtId="164" fontId="36" fillId="26" borderId="0" xfId="14" applyFont="1" applyFill="1" applyAlignment="1">
      <alignment horizontal="center" vertical="top" wrapText="1"/>
    </xf>
    <xf numFmtId="164" fontId="36" fillId="26" borderId="0" xfId="14" applyNumberFormat="1" applyFont="1" applyFill="1" applyAlignment="1">
      <alignment horizontal="center" vertical="top" wrapText="1"/>
    </xf>
    <xf numFmtId="43" fontId="36" fillId="26" borderId="0" xfId="1" applyFont="1" applyFill="1" applyAlignment="1">
      <alignment horizontal="center" vertical="top" wrapText="1"/>
    </xf>
    <xf numFmtId="165" fontId="36" fillId="26" borderId="0" xfId="1" applyNumberFormat="1" applyFont="1" applyFill="1" applyAlignment="1">
      <alignment horizontal="center" vertical="top" wrapText="1"/>
    </xf>
    <xf numFmtId="165" fontId="36" fillId="26" borderId="0" xfId="1" applyNumberFormat="1" applyFont="1" applyFill="1" applyAlignment="1">
      <alignment horizontal="left" vertical="top" wrapText="1"/>
    </xf>
    <xf numFmtId="43" fontId="28" fillId="26" borderId="0" xfId="13" applyFont="1" applyFill="1" applyAlignment="1">
      <alignment horizontal="center"/>
    </xf>
    <xf numFmtId="164" fontId="36" fillId="26" borderId="0" xfId="14" applyFont="1" applyFill="1"/>
    <xf numFmtId="164" fontId="36" fillId="26" borderId="0" xfId="14" applyFont="1" applyFill="1" applyAlignment="1"/>
    <xf numFmtId="164" fontId="36" fillId="26" borderId="0" xfId="14" applyFont="1" applyFill="1" applyAlignment="1">
      <alignment horizontal="center"/>
    </xf>
    <xf numFmtId="164" fontId="36" fillId="26" borderId="0" xfId="14" applyNumberFormat="1" applyFont="1" applyFill="1" applyAlignment="1">
      <alignment horizontal="right"/>
    </xf>
    <xf numFmtId="164" fontId="36" fillId="26" borderId="0" xfId="1" applyNumberFormat="1" applyFont="1" applyFill="1" applyAlignment="1">
      <alignment horizontal="center"/>
    </xf>
    <xf numFmtId="165" fontId="36" fillId="26" borderId="0" xfId="1" applyNumberFormat="1" applyFont="1" applyFill="1"/>
    <xf numFmtId="49" fontId="13" fillId="0" borderId="19" xfId="0" applyNumberFormat="1" applyFont="1" applyBorder="1"/>
    <xf numFmtId="49" fontId="13" fillId="0" borderId="0" xfId="0" applyNumberFormat="1" applyFont="1" applyFill="1"/>
    <xf numFmtId="43" fontId="12" fillId="0" borderId="19" xfId="1" applyFont="1" applyBorder="1"/>
    <xf numFmtId="0" fontId="13" fillId="27" borderId="0" xfId="0" applyFont="1" applyFill="1"/>
    <xf numFmtId="49" fontId="13" fillId="27" borderId="0" xfId="0" applyNumberFormat="1" applyFont="1" applyFill="1"/>
    <xf numFmtId="164" fontId="19" fillId="13" borderId="0" xfId="14" applyFont="1" applyFill="1" applyAlignment="1">
      <alignment wrapText="1"/>
    </xf>
    <xf numFmtId="164" fontId="19" fillId="13" borderId="0" xfId="14" applyFont="1" applyFill="1" applyBorder="1" applyAlignment="1">
      <alignment horizontal="center" textRotation="90"/>
    </xf>
    <xf numFmtId="14" fontId="28" fillId="13" borderId="0" xfId="15" applyNumberFormat="1" applyFont="1" applyFill="1" applyBorder="1" applyAlignment="1">
      <alignment horizontal="center" vertical="center"/>
    </xf>
    <xf numFmtId="164" fontId="36" fillId="13" borderId="0" xfId="14" applyFont="1" applyFill="1" applyAlignment="1">
      <alignment wrapText="1"/>
    </xf>
    <xf numFmtId="164" fontId="36" fillId="13" borderId="0" xfId="14" applyFont="1" applyFill="1" applyBorder="1" applyAlignment="1">
      <alignment horizontal="center" textRotation="90"/>
    </xf>
    <xf numFmtId="9" fontId="28" fillId="13" borderId="0" xfId="2" applyFont="1" applyFill="1" applyBorder="1" applyAlignment="1">
      <alignment horizontal="center" vertical="center" wrapText="1"/>
    </xf>
    <xf numFmtId="14" fontId="28" fillId="13" borderId="0" xfId="15" applyNumberFormat="1" applyFont="1" applyFill="1" applyBorder="1" applyAlignment="1">
      <alignment horizontal="center" vertical="center" wrapText="1"/>
    </xf>
    <xf numFmtId="164" fontId="28" fillId="13" borderId="0" xfId="3" applyNumberFormat="1" applyFont="1" applyFill="1" applyAlignment="1">
      <alignment horizontal="right"/>
    </xf>
    <xf numFmtId="164" fontId="28" fillId="13" borderId="0" xfId="3" applyNumberFormat="1" applyFont="1" applyFill="1" applyAlignment="1">
      <alignment horizontal="center"/>
    </xf>
    <xf numFmtId="9" fontId="28" fillId="13" borderId="5" xfId="2" applyFont="1" applyFill="1" applyBorder="1" applyAlignment="1">
      <alignment horizontal="right"/>
    </xf>
    <xf numFmtId="10" fontId="28" fillId="13" borderId="5" xfId="2" applyNumberFormat="1" applyFont="1" applyFill="1" applyBorder="1" applyAlignment="1">
      <alignment horizontal="right"/>
    </xf>
    <xf numFmtId="0" fontId="8" fillId="13" borderId="0" xfId="0" applyFont="1" applyFill="1"/>
    <xf numFmtId="43" fontId="28" fillId="13" borderId="5" xfId="2" applyNumberFormat="1" applyFont="1" applyFill="1" applyBorder="1" applyAlignment="1">
      <alignment horizontal="right"/>
    </xf>
    <xf numFmtId="43" fontId="28" fillId="13" borderId="0" xfId="13" applyFont="1" applyFill="1" applyAlignment="1">
      <alignment horizontal="right"/>
    </xf>
    <xf numFmtId="43" fontId="28" fillId="13" borderId="0" xfId="13" applyFont="1" applyFill="1" applyAlignment="1">
      <alignment horizontal="center"/>
    </xf>
    <xf numFmtId="43" fontId="36" fillId="13" borderId="5" xfId="13" applyFont="1" applyFill="1" applyBorder="1" applyAlignment="1">
      <alignment horizontal="center"/>
    </xf>
    <xf numFmtId="167" fontId="36" fillId="13" borderId="5" xfId="13" applyNumberFormat="1" applyFont="1" applyFill="1" applyBorder="1" applyAlignment="1">
      <alignment horizontal="right"/>
    </xf>
    <xf numFmtId="0" fontId="36" fillId="13" borderId="5" xfId="13" applyNumberFormat="1" applyFont="1" applyFill="1" applyBorder="1" applyAlignment="1">
      <alignment horizontal="right"/>
    </xf>
    <xf numFmtId="14" fontId="36" fillId="13" borderId="5" xfId="13" applyNumberFormat="1" applyFont="1" applyFill="1" applyBorder="1" applyAlignment="1">
      <alignment horizontal="right"/>
    </xf>
    <xf numFmtId="164" fontId="36" fillId="13" borderId="17" xfId="14" applyFont="1" applyFill="1" applyBorder="1" applyAlignment="1">
      <alignment wrapText="1"/>
    </xf>
    <xf numFmtId="164" fontId="36" fillId="13" borderId="17" xfId="14" applyFont="1" applyFill="1" applyBorder="1" applyAlignment="1">
      <alignment horizontal="center" textRotation="90"/>
    </xf>
    <xf numFmtId="14" fontId="28" fillId="13" borderId="5" xfId="15" applyNumberFormat="1" applyFont="1" applyFill="1" applyBorder="1" applyAlignment="1">
      <alignment horizontal="center" vertical="center" wrapText="1"/>
    </xf>
    <xf numFmtId="0" fontId="28" fillId="13" borderId="0" xfId="3" applyNumberFormat="1" applyFont="1" applyFill="1" applyAlignment="1">
      <alignment horizontal="right"/>
    </xf>
    <xf numFmtId="0" fontId="28" fillId="13" borderId="0" xfId="13" applyNumberFormat="1" applyFont="1" applyFill="1" applyAlignment="1">
      <alignment horizontal="right"/>
    </xf>
    <xf numFmtId="164" fontId="17" fillId="5" borderId="5" xfId="14" applyFont="1" applyFill="1" applyBorder="1"/>
    <xf numFmtId="49" fontId="17" fillId="5" borderId="5" xfId="14" applyNumberFormat="1" applyFont="1" applyFill="1" applyBorder="1" applyAlignment="1">
      <alignment horizontal="center"/>
    </xf>
    <xf numFmtId="164" fontId="17" fillId="5" borderId="5" xfId="14" quotePrefix="1" applyFont="1" applyFill="1" applyBorder="1" applyAlignment="1">
      <alignment horizontal="center"/>
    </xf>
    <xf numFmtId="0" fontId="19" fillId="13" borderId="0" xfId="14" applyNumberFormat="1" applyFont="1" applyFill="1" applyBorder="1" applyAlignment="1">
      <alignment horizontal="center" textRotation="90"/>
    </xf>
    <xf numFmtId="14" fontId="28" fillId="13" borderId="5" xfId="15" applyNumberFormat="1" applyFont="1" applyFill="1" applyBorder="1" applyAlignment="1">
      <alignment horizontal="center" vertical="center"/>
    </xf>
    <xf numFmtId="164" fontId="17" fillId="4" borderId="35" xfId="14" applyFont="1" applyFill="1" applyBorder="1" applyAlignment="1">
      <alignment horizontal="center"/>
    </xf>
    <xf numFmtId="0" fontId="13" fillId="0" borderId="0" xfId="0" applyNumberFormat="1" applyFont="1"/>
    <xf numFmtId="43" fontId="17" fillId="0" borderId="5" xfId="1" quotePrefix="1" applyFont="1" applyFill="1" applyBorder="1"/>
    <xf numFmtId="0" fontId="17" fillId="16" borderId="5" xfId="14" quotePrefix="1" applyNumberFormat="1" applyFont="1" applyFill="1" applyBorder="1" applyAlignment="1">
      <alignment horizontal="center"/>
    </xf>
    <xf numFmtId="43" fontId="13" fillId="0" borderId="5" xfId="1" applyFont="1" applyBorder="1"/>
    <xf numFmtId="0" fontId="12" fillId="5" borderId="20" xfId="7" quotePrefix="1" applyFont="1" applyFill="1" applyBorder="1" applyAlignment="1">
      <alignment horizontal="center"/>
    </xf>
    <xf numFmtId="164" fontId="17" fillId="0" borderId="22" xfId="14" applyFont="1" applyBorder="1"/>
    <xf numFmtId="49" fontId="17" fillId="0" borderId="19" xfId="14" quotePrefix="1" applyNumberFormat="1" applyFont="1" applyBorder="1" applyAlignment="1">
      <alignment horizontal="center"/>
    </xf>
    <xf numFmtId="49" fontId="27" fillId="7" borderId="19" xfId="14" applyNumberFormat="1" applyFont="1" applyFill="1" applyBorder="1" applyAlignment="1">
      <alignment horizontal="center"/>
    </xf>
    <xf numFmtId="164" fontId="17" fillId="0" borderId="22" xfId="14" quotePrefix="1" applyFont="1" applyBorder="1" applyAlignment="1">
      <alignment horizontal="center"/>
    </xf>
    <xf numFmtId="49" fontId="17" fillId="8" borderId="22" xfId="14" quotePrefix="1" applyNumberFormat="1" applyFont="1" applyFill="1" applyBorder="1" applyAlignment="1">
      <alignment horizontal="center"/>
    </xf>
    <xf numFmtId="43" fontId="17" fillId="0" borderId="20" xfId="1" applyFont="1" applyFill="1" applyBorder="1"/>
    <xf numFmtId="43" fontId="13" fillId="0" borderId="5" xfId="1" applyFont="1" applyFill="1" applyBorder="1"/>
    <xf numFmtId="0" fontId="17" fillId="18" borderId="5" xfId="14" quotePrefix="1" applyNumberFormat="1" applyFont="1" applyFill="1" applyBorder="1" applyAlignment="1">
      <alignment horizontal="center"/>
    </xf>
    <xf numFmtId="0" fontId="27" fillId="0" borderId="5" xfId="14" applyNumberFormat="1" applyFont="1" applyBorder="1" applyAlignment="1">
      <alignment horizontal="center"/>
    </xf>
    <xf numFmtId="164" fontId="17" fillId="0" borderId="20" xfId="14" quotePrefix="1" applyFont="1" applyBorder="1" applyAlignment="1">
      <alignment horizontal="center"/>
    </xf>
    <xf numFmtId="0" fontId="17" fillId="0" borderId="19" xfId="14" applyNumberFormat="1" applyFont="1" applyBorder="1"/>
    <xf numFmtId="2" fontId="19" fillId="0" borderId="27" xfId="0" applyNumberFormat="1" applyFont="1" applyFill="1" applyBorder="1"/>
    <xf numFmtId="0" fontId="19" fillId="18" borderId="5" xfId="14" quotePrefix="1" applyNumberFormat="1" applyFont="1" applyFill="1" applyBorder="1" applyAlignment="1">
      <alignment horizontal="center"/>
    </xf>
    <xf numFmtId="0" fontId="17" fillId="0" borderId="25" xfId="14" quotePrefix="1" applyNumberFormat="1" applyFont="1" applyBorder="1" applyAlignment="1">
      <alignment horizontal="center"/>
    </xf>
    <xf numFmtId="0" fontId="17" fillId="8" borderId="19" xfId="14" applyNumberFormat="1" applyFont="1" applyFill="1" applyBorder="1" applyAlignment="1">
      <alignment horizontal="center"/>
    </xf>
    <xf numFmtId="0" fontId="17" fillId="0" borderId="20" xfId="14" quotePrefix="1" applyNumberFormat="1" applyFont="1" applyBorder="1" applyAlignment="1">
      <alignment horizontal="center"/>
    </xf>
    <xf numFmtId="0" fontId="19" fillId="0" borderId="20" xfId="14" quotePrefix="1" applyNumberFormat="1" applyFont="1" applyBorder="1" applyAlignment="1">
      <alignment horizontal="center"/>
    </xf>
    <xf numFmtId="164" fontId="17" fillId="0" borderId="36" xfId="14" quotePrefix="1" applyFont="1" applyBorder="1" applyAlignment="1">
      <alignment horizontal="center"/>
    </xf>
    <xf numFmtId="164" fontId="19" fillId="0" borderId="22" xfId="14" quotePrefix="1" applyFont="1" applyBorder="1" applyAlignment="1">
      <alignment horizontal="center"/>
    </xf>
    <xf numFmtId="0" fontId="18" fillId="7" borderId="5" xfId="7" applyFont="1" applyFill="1" applyBorder="1" applyAlignment="1">
      <alignment horizontal="center"/>
    </xf>
    <xf numFmtId="0" fontId="19" fillId="8" borderId="5" xfId="0" applyFont="1" applyFill="1" applyBorder="1" applyAlignment="1">
      <alignment horizontal="left"/>
    </xf>
    <xf numFmtId="0" fontId="19" fillId="8" borderId="5" xfId="0" applyFont="1" applyFill="1" applyBorder="1"/>
    <xf numFmtId="43" fontId="19" fillId="8" borderId="5" xfId="0" applyNumberFormat="1" applyFont="1" applyFill="1" applyBorder="1"/>
    <xf numFmtId="0" fontId="26" fillId="7" borderId="16" xfId="7" applyFont="1" applyFill="1" applyBorder="1" applyAlignment="1">
      <alignment horizontal="center"/>
    </xf>
    <xf numFmtId="2" fontId="18" fillId="4" borderId="16" xfId="7" applyNumberFormat="1" applyFont="1" applyFill="1" applyBorder="1" applyAlignment="1">
      <alignment horizontal="center"/>
    </xf>
    <xf numFmtId="2" fontId="30" fillId="10" borderId="21" xfId="16" applyNumberFormat="1" applyFont="1" applyFill="1" applyBorder="1" applyAlignment="1">
      <alignment horizontal="center"/>
    </xf>
    <xf numFmtId="0" fontId="12" fillId="4" borderId="21" xfId="7" applyFont="1" applyFill="1" applyBorder="1"/>
    <xf numFmtId="164" fontId="17" fillId="28" borderId="5" xfId="14" applyFont="1" applyFill="1" applyBorder="1"/>
    <xf numFmtId="164" fontId="17" fillId="28" borderId="5" xfId="14" applyFont="1" applyFill="1" applyBorder="1" applyAlignment="1">
      <alignment horizontal="center"/>
    </xf>
    <xf numFmtId="164" fontId="17" fillId="28" borderId="22" xfId="14" applyFont="1" applyFill="1" applyBorder="1" applyAlignment="1">
      <alignment horizontal="center"/>
    </xf>
    <xf numFmtId="164" fontId="17" fillId="28" borderId="19" xfId="14" quotePrefix="1" applyFont="1" applyFill="1" applyBorder="1" applyAlignment="1">
      <alignment horizontal="center"/>
    </xf>
    <xf numFmtId="49" fontId="17" fillId="28" borderId="20" xfId="14" applyNumberFormat="1" applyFont="1" applyFill="1" applyBorder="1" applyAlignment="1">
      <alignment horizontal="center"/>
    </xf>
    <xf numFmtId="0" fontId="17" fillId="28" borderId="20" xfId="14" applyNumberFormat="1" applyFont="1" applyFill="1" applyBorder="1" applyAlignment="1">
      <alignment horizontal="center"/>
    </xf>
    <xf numFmtId="164" fontId="17" fillId="14" borderId="19" xfId="14" quotePrefix="1" applyFont="1" applyFill="1" applyBorder="1" applyAlignment="1">
      <alignment horizontal="center"/>
    </xf>
    <xf numFmtId="49" fontId="17" fillId="14" borderId="20" xfId="14" applyNumberFormat="1" applyFont="1" applyFill="1" applyBorder="1" applyAlignment="1">
      <alignment horizontal="center"/>
    </xf>
    <xf numFmtId="164" fontId="17" fillId="0" borderId="22" xfId="14" applyFont="1" applyFill="1" applyBorder="1" applyAlignment="1">
      <alignment horizontal="center"/>
    </xf>
    <xf numFmtId="164" fontId="17" fillId="0" borderId="19" xfId="14" quotePrefix="1" applyFont="1" applyFill="1" applyBorder="1" applyAlignment="1">
      <alignment horizontal="center"/>
    </xf>
    <xf numFmtId="49" fontId="17" fillId="0" borderId="20" xfId="14" quotePrefix="1" applyNumberFormat="1" applyFont="1" applyFill="1" applyBorder="1" applyAlignment="1">
      <alignment horizontal="center"/>
    </xf>
    <xf numFmtId="0" fontId="17" fillId="0" borderId="20" xfId="14" applyNumberFormat="1" applyFont="1" applyFill="1" applyBorder="1" applyAlignment="1">
      <alignment horizontal="center"/>
    </xf>
    <xf numFmtId="164" fontId="17" fillId="14" borderId="22" xfId="14" applyFont="1" applyFill="1" applyBorder="1"/>
    <xf numFmtId="164" fontId="17" fillId="14" borderId="19" xfId="14" applyFont="1" applyFill="1" applyBorder="1" applyAlignment="1">
      <alignment horizontal="center"/>
    </xf>
    <xf numFmtId="49" fontId="17" fillId="14" borderId="19" xfId="14" quotePrefix="1" applyNumberFormat="1" applyFont="1" applyFill="1" applyBorder="1" applyAlignment="1">
      <alignment horizontal="center"/>
    </xf>
    <xf numFmtId="164" fontId="17" fillId="14" borderId="20" xfId="14" quotePrefix="1" applyFont="1" applyFill="1" applyBorder="1" applyAlignment="1">
      <alignment horizontal="center"/>
    </xf>
    <xf numFmtId="0" fontId="17" fillId="14" borderId="5" xfId="14" quotePrefix="1" applyNumberFormat="1" applyFont="1" applyFill="1" applyBorder="1" applyAlignment="1">
      <alignment horizontal="center"/>
    </xf>
    <xf numFmtId="164" fontId="27" fillId="7" borderId="22" xfId="14" applyFont="1" applyFill="1" applyBorder="1" applyAlignment="1">
      <alignment horizontal="left"/>
    </xf>
    <xf numFmtId="164" fontId="27" fillId="8" borderId="5" xfId="14" applyFont="1" applyFill="1" applyBorder="1" applyAlignment="1">
      <alignment horizontal="left"/>
    </xf>
    <xf numFmtId="164" fontId="17" fillId="0" borderId="5" xfId="14" applyFont="1" applyFill="1" applyBorder="1" applyAlignment="1">
      <alignment horizontal="left"/>
    </xf>
    <xf numFmtId="164" fontId="27" fillId="8" borderId="22" xfId="14" applyFont="1" applyFill="1" applyBorder="1" applyAlignment="1">
      <alignment horizontal="left"/>
    </xf>
    <xf numFmtId="164" fontId="17" fillId="0" borderId="22" xfId="14" applyFont="1" applyFill="1" applyBorder="1" applyAlignment="1">
      <alignment horizontal="left"/>
    </xf>
    <xf numFmtId="164" fontId="27" fillId="7" borderId="5" xfId="14" applyFont="1" applyFill="1" applyBorder="1" applyAlignment="1">
      <alignment horizontal="left"/>
    </xf>
    <xf numFmtId="49" fontId="18" fillId="8" borderId="24" xfId="4" applyNumberFormat="1" applyFont="1" applyFill="1" applyBorder="1" applyAlignment="1">
      <alignment horizontal="left"/>
    </xf>
    <xf numFmtId="164" fontId="19" fillId="0" borderId="5" xfId="14" applyFont="1" applyBorder="1" applyAlignment="1">
      <alignment horizontal="left"/>
    </xf>
    <xf numFmtId="164" fontId="19" fillId="0" borderId="5" xfId="14" applyFont="1" applyFill="1" applyBorder="1" applyAlignment="1">
      <alignment horizontal="left"/>
    </xf>
    <xf numFmtId="0" fontId="18" fillId="7" borderId="22" xfId="7" applyFont="1" applyFill="1" applyBorder="1" applyAlignment="1">
      <alignment horizontal="left"/>
    </xf>
    <xf numFmtId="164" fontId="17" fillId="0" borderId="24" xfId="14" applyFont="1" applyBorder="1" applyAlignment="1">
      <alignment horizontal="left"/>
    </xf>
    <xf numFmtId="0" fontId="13" fillId="28" borderId="5" xfId="0" applyFont="1" applyFill="1" applyBorder="1"/>
    <xf numFmtId="49" fontId="17" fillId="28" borderId="5" xfId="14" applyNumberFormat="1" applyFont="1" applyFill="1" applyBorder="1" applyAlignment="1">
      <alignment horizontal="center"/>
    </xf>
    <xf numFmtId="49" fontId="17" fillId="28" borderId="5" xfId="14" quotePrefix="1" applyNumberFormat="1" applyFont="1" applyFill="1" applyBorder="1" applyAlignment="1">
      <alignment horizontal="center"/>
    </xf>
    <xf numFmtId="0" fontId="17" fillId="28" borderId="5" xfId="14" quotePrefix="1" applyNumberFormat="1" applyFont="1" applyFill="1" applyBorder="1" applyAlignment="1">
      <alignment horizontal="center"/>
    </xf>
    <xf numFmtId="164" fontId="17" fillId="28" borderId="5" xfId="14" quotePrefix="1" applyFont="1" applyFill="1" applyBorder="1" applyAlignment="1">
      <alignment horizontal="center"/>
    </xf>
    <xf numFmtId="49" fontId="17" fillId="28" borderId="5" xfId="14" applyNumberFormat="1" applyFont="1" applyFill="1" applyBorder="1"/>
    <xf numFmtId="49" fontId="17" fillId="28" borderId="22" xfId="14" quotePrefix="1" applyNumberFormat="1" applyFont="1" applyFill="1" applyBorder="1" applyAlignment="1">
      <alignment horizontal="center"/>
    </xf>
    <xf numFmtId="164" fontId="17" fillId="28" borderId="5" xfId="14" applyFont="1" applyFill="1" applyBorder="1" applyAlignment="1">
      <alignment horizontal="left"/>
    </xf>
    <xf numFmtId="0" fontId="17" fillId="28" borderId="5" xfId="14" applyNumberFormat="1" applyFont="1" applyFill="1" applyBorder="1" applyAlignment="1">
      <alignment horizontal="center"/>
    </xf>
    <xf numFmtId="0" fontId="19" fillId="8" borderId="5" xfId="0" quotePrefix="1" applyFont="1" applyFill="1" applyBorder="1" applyAlignment="1">
      <alignment horizontal="left"/>
    </xf>
    <xf numFmtId="164" fontId="17" fillId="28" borderId="24" xfId="14" applyFont="1" applyFill="1" applyBorder="1"/>
    <xf numFmtId="164" fontId="17" fillId="28" borderId="36" xfId="14" quotePrefix="1" applyFont="1" applyFill="1" applyBorder="1" applyAlignment="1">
      <alignment horizontal="center"/>
    </xf>
    <xf numFmtId="0" fontId="17" fillId="28" borderId="20" xfId="14" quotePrefix="1" applyNumberFormat="1" applyFont="1" applyFill="1" applyBorder="1" applyAlignment="1">
      <alignment horizontal="center"/>
    </xf>
    <xf numFmtId="49" fontId="13" fillId="0" borderId="5" xfId="0" applyNumberFormat="1" applyFont="1" applyBorder="1" applyAlignment="1">
      <alignment readingOrder="1"/>
    </xf>
    <xf numFmtId="0" fontId="19" fillId="14" borderId="0" xfId="0" applyFont="1" applyFill="1"/>
    <xf numFmtId="49" fontId="13" fillId="8" borderId="0" xfId="0" applyNumberFormat="1" applyFont="1" applyFill="1"/>
    <xf numFmtId="49" fontId="19" fillId="0" borderId="0" xfId="0" applyNumberFormat="1" applyFont="1" applyFill="1" applyAlignment="1">
      <alignment horizontal="left"/>
    </xf>
    <xf numFmtId="49" fontId="13" fillId="20" borderId="0" xfId="0" applyNumberFormat="1" applyFont="1" applyFill="1" applyAlignment="1">
      <alignment horizontal="left"/>
    </xf>
    <xf numFmtId="49" fontId="19" fillId="20" borderId="0" xfId="0" applyNumberFormat="1" applyFont="1" applyFill="1" applyAlignment="1">
      <alignment horizontal="left"/>
    </xf>
    <xf numFmtId="49" fontId="19" fillId="0" borderId="0" xfId="0" quotePrefix="1" applyNumberFormat="1" applyFont="1" applyFill="1" applyAlignment="1">
      <alignment horizontal="left"/>
    </xf>
    <xf numFmtId="49" fontId="19" fillId="14" borderId="0" xfId="0" applyNumberFormat="1" applyFont="1" applyFill="1" applyAlignment="1">
      <alignment horizontal="left"/>
    </xf>
    <xf numFmtId="49" fontId="19" fillId="14" borderId="0" xfId="0" quotePrefix="1" applyNumberFormat="1" applyFont="1" applyFill="1" applyAlignment="1">
      <alignment horizontal="left"/>
    </xf>
    <xf numFmtId="0" fontId="19" fillId="14" borderId="0" xfId="0" applyFont="1" applyFill="1" applyAlignment="1"/>
    <xf numFmtId="49" fontId="13" fillId="14" borderId="0" xfId="0" applyNumberFormat="1" applyFont="1" applyFill="1" applyAlignment="1">
      <alignment horizontal="left"/>
    </xf>
    <xf numFmtId="0" fontId="13" fillId="14" borderId="0" xfId="0" applyFont="1" applyFill="1"/>
    <xf numFmtId="2" fontId="19" fillId="14" borderId="0" xfId="0" applyNumberFormat="1" applyFont="1" applyFill="1"/>
    <xf numFmtId="49" fontId="13" fillId="7" borderId="0" xfId="0" applyNumberFormat="1" applyFont="1" applyFill="1"/>
    <xf numFmtId="49" fontId="13" fillId="0" borderId="0" xfId="0" quotePrefix="1" applyNumberFormat="1" applyFont="1" applyFill="1"/>
    <xf numFmtId="0" fontId="19" fillId="7" borderId="0" xfId="0" applyFont="1" applyFill="1"/>
    <xf numFmtId="49" fontId="19" fillId="7" borderId="0" xfId="0" applyNumberFormat="1" applyFont="1" applyFill="1" applyAlignment="1">
      <alignment horizontal="left"/>
    </xf>
    <xf numFmtId="0" fontId="19" fillId="7" borderId="0" xfId="0" applyFont="1" applyFill="1" applyAlignment="1"/>
    <xf numFmtId="2" fontId="19" fillId="7" borderId="0" xfId="0" applyNumberFormat="1" applyFont="1" applyFill="1"/>
    <xf numFmtId="49" fontId="13" fillId="14" borderId="0" xfId="0" quotePrefix="1" applyNumberFormat="1" applyFont="1" applyFill="1" applyAlignment="1">
      <alignment horizontal="left"/>
    </xf>
    <xf numFmtId="0" fontId="38" fillId="20" borderId="2" xfId="18" applyFont="1" applyFill="1"/>
    <xf numFmtId="43" fontId="14" fillId="20" borderId="2" xfId="1" applyFont="1" applyFill="1" applyBorder="1"/>
    <xf numFmtId="43" fontId="13" fillId="20" borderId="5" xfId="1" applyFont="1" applyFill="1" applyBorder="1"/>
    <xf numFmtId="43" fontId="14" fillId="20" borderId="2" xfId="5" applyNumberFormat="1" applyFont="1" applyFill="1"/>
    <xf numFmtId="43" fontId="28" fillId="10" borderId="21" xfId="1" applyFont="1" applyFill="1" applyBorder="1"/>
    <xf numFmtId="43" fontId="17" fillId="0" borderId="5" xfId="1" applyNumberFormat="1" applyFont="1" applyFill="1" applyBorder="1"/>
    <xf numFmtId="43" fontId="27" fillId="0" borderId="5" xfId="1" applyNumberFormat="1" applyFont="1" applyFill="1" applyBorder="1"/>
    <xf numFmtId="9" fontId="19" fillId="0" borderId="5" xfId="2" applyFont="1" applyBorder="1"/>
    <xf numFmtId="44" fontId="12" fillId="0" borderId="4" xfId="20" applyFont="1" applyBorder="1"/>
    <xf numFmtId="44" fontId="13" fillId="0" borderId="4" xfId="20" applyFont="1" applyBorder="1"/>
    <xf numFmtId="44" fontId="13" fillId="0" borderId="0" xfId="20" applyFont="1" applyBorder="1"/>
    <xf numFmtId="0" fontId="13" fillId="0" borderId="17" xfId="0" applyFont="1" applyBorder="1"/>
    <xf numFmtId="43" fontId="13" fillId="0" borderId="5" xfId="18" applyNumberFormat="1" applyFont="1" applyFill="1" applyBorder="1"/>
    <xf numFmtId="0" fontId="36" fillId="29" borderId="0" xfId="0" applyFont="1" applyFill="1"/>
    <xf numFmtId="2" fontId="36" fillId="29" borderId="0" xfId="0" applyNumberFormat="1" applyFont="1" applyFill="1"/>
    <xf numFmtId="49" fontId="18" fillId="7" borderId="19" xfId="7" applyNumberFormat="1" applyFont="1" applyFill="1" applyBorder="1" applyAlignment="1">
      <alignment horizontal="center"/>
    </xf>
    <xf numFmtId="49" fontId="13" fillId="14" borderId="0" xfId="0" applyNumberFormat="1" applyFont="1" applyFill="1"/>
    <xf numFmtId="2" fontId="13" fillId="14" borderId="0" xfId="0" applyNumberFormat="1" applyFont="1" applyFill="1"/>
    <xf numFmtId="169" fontId="13" fillId="9" borderId="5" xfId="2" applyNumberFormat="1" applyFont="1" applyFill="1" applyBorder="1"/>
    <xf numFmtId="169" fontId="13" fillId="0" borderId="0" xfId="2" applyNumberFormat="1" applyFont="1"/>
    <xf numFmtId="9" fontId="19" fillId="19" borderId="5" xfId="2" applyFont="1" applyFill="1" applyBorder="1"/>
    <xf numFmtId="0" fontId="18" fillId="0" borderId="0" xfId="3" applyFont="1" applyFill="1" applyAlignment="1">
      <alignment horizontal="center" vertical="center"/>
    </xf>
    <xf numFmtId="0" fontId="18" fillId="0" borderId="0" xfId="3" applyNumberFormat="1" applyFont="1" applyFill="1" applyAlignment="1">
      <alignment horizontal="center" vertical="center"/>
    </xf>
    <xf numFmtId="164" fontId="18" fillId="0" borderId="0" xfId="3" applyNumberFormat="1" applyFont="1" applyFill="1" applyAlignment="1">
      <alignment horizontal="center" vertical="center"/>
    </xf>
    <xf numFmtId="43" fontId="18" fillId="0" borderId="0" xfId="13" applyFont="1" applyFill="1" applyAlignment="1">
      <alignment horizontal="center" vertical="center"/>
    </xf>
    <xf numFmtId="0" fontId="18" fillId="0" borderId="0" xfId="13" applyNumberFormat="1" applyFont="1" applyFill="1" applyAlignment="1">
      <alignment horizontal="center" vertical="center"/>
    </xf>
    <xf numFmtId="164" fontId="36" fillId="13" borderId="0" xfId="14" applyFont="1" applyFill="1" applyBorder="1" applyAlignment="1">
      <alignment horizontal="center" vertical="center" textRotation="90"/>
    </xf>
    <xf numFmtId="0" fontId="36" fillId="13" borderId="0" xfId="14" applyNumberFormat="1" applyFont="1" applyFill="1" applyBorder="1" applyAlignment="1">
      <alignment horizontal="center" vertical="center" textRotation="90"/>
    </xf>
    <xf numFmtId="164" fontId="17" fillId="0" borderId="5" xfId="14" applyFont="1" applyBorder="1" applyAlignment="1">
      <alignment vertical="center"/>
    </xf>
    <xf numFmtId="0" fontId="17" fillId="0" borderId="5" xfId="14" applyNumberFormat="1" applyFont="1" applyBorder="1" applyAlignment="1">
      <alignment vertical="center"/>
    </xf>
    <xf numFmtId="0" fontId="12" fillId="5" borderId="0" xfId="7" applyFont="1" applyFill="1" applyBorder="1" applyAlignment="1">
      <alignment horizontal="center" vertical="center"/>
    </xf>
    <xf numFmtId="49" fontId="12" fillId="5" borderId="0" xfId="7" applyNumberFormat="1" applyFont="1" applyFill="1" applyBorder="1" applyAlignment="1">
      <alignment horizontal="center" vertical="center"/>
    </xf>
    <xf numFmtId="164" fontId="17" fillId="0" borderId="5" xfId="14" applyFont="1" applyBorder="1" applyAlignment="1">
      <alignment horizontal="center" vertical="center"/>
    </xf>
    <xf numFmtId="0" fontId="12" fillId="5" borderId="19" xfId="7" applyFont="1" applyFill="1" applyBorder="1" applyAlignment="1">
      <alignment horizontal="center" vertical="center"/>
    </xf>
    <xf numFmtId="49" fontId="17" fillId="0" borderId="5" xfId="14" applyNumberFormat="1" applyFont="1" applyBorder="1" applyAlignment="1">
      <alignment horizontal="center" vertical="center"/>
    </xf>
    <xf numFmtId="164" fontId="17" fillId="0" borderId="5" xfId="14" quotePrefix="1" applyFont="1" applyBorder="1" applyAlignment="1">
      <alignment horizontal="center" vertical="center"/>
    </xf>
    <xf numFmtId="49" fontId="17" fillId="0" borderId="5" xfId="14" quotePrefix="1" applyNumberFormat="1" applyFont="1" applyBorder="1" applyAlignment="1">
      <alignment horizontal="center" vertical="center"/>
    </xf>
    <xf numFmtId="0" fontId="12" fillId="5" borderId="19" xfId="7" applyFont="1" applyFill="1" applyBorder="1" applyAlignment="1">
      <alignment vertical="center"/>
    </xf>
    <xf numFmtId="0" fontId="12" fillId="4" borderId="4" xfId="7" applyFont="1" applyFill="1" applyBorder="1" applyAlignment="1">
      <alignment vertical="center"/>
    </xf>
    <xf numFmtId="164" fontId="17" fillId="0" borderId="24" xfId="14" applyFont="1" applyBorder="1" applyAlignment="1">
      <alignment horizontal="center" vertical="center"/>
    </xf>
    <xf numFmtId="49" fontId="17" fillId="0" borderId="24" xfId="14" quotePrefix="1" applyNumberFormat="1" applyFont="1" applyBorder="1" applyAlignment="1">
      <alignment horizontal="center" vertical="center"/>
    </xf>
    <xf numFmtId="164" fontId="41" fillId="5" borderId="19" xfId="14" applyFont="1" applyFill="1" applyBorder="1" applyAlignment="1">
      <alignment horizontal="center" vertical="center"/>
    </xf>
    <xf numFmtId="49" fontId="41" fillId="5" borderId="19" xfId="14" quotePrefix="1" applyNumberFormat="1" applyFont="1" applyFill="1" applyBorder="1" applyAlignment="1">
      <alignment horizontal="center" vertical="center"/>
    </xf>
    <xf numFmtId="49" fontId="17" fillId="5" borderId="5" xfId="14" applyNumberFormat="1" applyFont="1" applyFill="1" applyBorder="1" applyAlignment="1">
      <alignment horizontal="center" vertical="center"/>
    </xf>
    <xf numFmtId="164" fontId="17" fillId="5" borderId="5" xfId="14" applyFont="1" applyFill="1" applyBorder="1" applyAlignment="1">
      <alignment horizontal="center" vertical="center"/>
    </xf>
    <xf numFmtId="49" fontId="17" fillId="5" borderId="5" xfId="14" quotePrefix="1" applyNumberFormat="1" applyFont="1" applyFill="1" applyBorder="1" applyAlignment="1">
      <alignment horizontal="center" vertical="center"/>
    </xf>
    <xf numFmtId="164" fontId="41" fillId="7" borderId="19" xfId="14" applyFont="1" applyFill="1" applyBorder="1" applyAlignment="1">
      <alignment horizontal="center" vertical="center"/>
    </xf>
    <xf numFmtId="49" fontId="41" fillId="7" borderId="19" xfId="14" quotePrefix="1" applyNumberFormat="1" applyFont="1" applyFill="1" applyBorder="1" applyAlignment="1">
      <alignment horizontal="center" vertical="center"/>
    </xf>
    <xf numFmtId="49" fontId="17" fillId="8" borderId="19" xfId="14" applyNumberFormat="1" applyFont="1" applyFill="1" applyBorder="1" applyAlignment="1">
      <alignment horizontal="center" vertical="center"/>
    </xf>
    <xf numFmtId="164" fontId="25" fillId="0" borderId="22" xfId="14" applyFont="1" applyBorder="1" applyAlignment="1">
      <alignment horizontal="center" vertical="center"/>
    </xf>
    <xf numFmtId="49" fontId="25" fillId="0" borderId="19" xfId="14" quotePrefix="1" applyNumberFormat="1" applyFont="1" applyBorder="1" applyAlignment="1">
      <alignment horizontal="center" vertical="center"/>
    </xf>
    <xf numFmtId="49" fontId="17" fillId="8" borderId="19" xfId="14" quotePrefix="1" applyNumberFormat="1" applyFont="1" applyFill="1" applyBorder="1" applyAlignment="1">
      <alignment horizontal="center" vertical="center"/>
    </xf>
    <xf numFmtId="0" fontId="19" fillId="8" borderId="19" xfId="0" applyFont="1" applyFill="1" applyBorder="1" applyAlignment="1">
      <alignment horizontal="left" vertical="center"/>
    </xf>
    <xf numFmtId="164" fontId="19" fillId="0" borderId="5" xfId="14" applyFont="1" applyBorder="1" applyAlignment="1">
      <alignment horizontal="center" vertical="center"/>
    </xf>
    <xf numFmtId="49" fontId="19" fillId="0" borderId="5" xfId="14" quotePrefix="1" applyNumberFormat="1" applyFont="1" applyBorder="1" applyAlignment="1">
      <alignment horizontal="center" vertical="center"/>
    </xf>
    <xf numFmtId="0" fontId="19" fillId="8" borderId="19" xfId="0" applyFont="1" applyFill="1" applyBorder="1" applyAlignment="1">
      <alignment vertical="center"/>
    </xf>
    <xf numFmtId="43" fontId="19" fillId="8" borderId="19" xfId="0" applyNumberFormat="1" applyFont="1" applyFill="1" applyBorder="1" applyAlignment="1">
      <alignment vertical="center"/>
    </xf>
    <xf numFmtId="43" fontId="19" fillId="8" borderId="22" xfId="0" applyNumberFormat="1" applyFont="1" applyFill="1" applyBorder="1" applyAlignment="1">
      <alignment vertical="center"/>
    </xf>
    <xf numFmtId="164" fontId="17" fillId="0" borderId="5" xfId="14" quotePrefix="1" applyFont="1" applyBorder="1" applyAlignment="1">
      <alignment vertical="center"/>
    </xf>
    <xf numFmtId="164" fontId="19" fillId="0" borderId="5" xfId="14" applyFont="1" applyFill="1" applyBorder="1" applyAlignment="1">
      <alignment horizontal="center" vertical="center"/>
    </xf>
    <xf numFmtId="164" fontId="17" fillId="0" borderId="5" xfId="14" applyFont="1" applyFill="1" applyBorder="1" applyAlignment="1">
      <alignment horizontal="center" vertical="center"/>
    </xf>
    <xf numFmtId="49" fontId="19" fillId="0" borderId="5" xfId="14" quotePrefix="1" applyNumberFormat="1" applyFont="1" applyFill="1" applyBorder="1" applyAlignment="1">
      <alignment horizontal="center" vertical="center"/>
    </xf>
    <xf numFmtId="164" fontId="17" fillId="0" borderId="5" xfId="14" quotePrefix="1" applyFont="1" applyFill="1" applyBorder="1" applyAlignment="1">
      <alignment horizontal="center" vertical="center"/>
    </xf>
    <xf numFmtId="0" fontId="18" fillId="7" borderId="19" xfId="7" applyFont="1" applyFill="1" applyBorder="1" applyAlignment="1">
      <alignment horizontal="center" vertical="center"/>
    </xf>
    <xf numFmtId="0" fontId="18" fillId="7" borderId="19" xfId="7" quotePrefix="1" applyFont="1" applyFill="1" applyBorder="1" applyAlignment="1">
      <alignment horizontal="center" vertical="center"/>
    </xf>
    <xf numFmtId="0" fontId="26" fillId="7" borderId="14" xfId="7" applyFont="1" applyFill="1" applyBorder="1" applyAlignment="1">
      <alignment horizontal="center" vertical="center"/>
    </xf>
    <xf numFmtId="49" fontId="26" fillId="7" borderId="14" xfId="7" applyNumberFormat="1" applyFont="1" applyFill="1" applyBorder="1" applyAlignment="1">
      <alignment horizontal="center" vertical="center"/>
    </xf>
    <xf numFmtId="2" fontId="18" fillId="4" borderId="14" xfId="7" applyNumberFormat="1" applyFont="1" applyFill="1" applyBorder="1" applyAlignment="1">
      <alignment horizontal="center" vertical="center"/>
    </xf>
    <xf numFmtId="2" fontId="30" fillId="10" borderId="4" xfId="16" applyNumberFormat="1" applyFont="1" applyFill="1" applyBorder="1" applyAlignment="1">
      <alignment horizontal="center" vertical="center"/>
    </xf>
    <xf numFmtId="164" fontId="17" fillId="0" borderId="0" xfId="14" applyFont="1" applyFill="1" applyBorder="1" applyAlignment="1">
      <alignment horizontal="center" vertical="center"/>
    </xf>
    <xf numFmtId="0" fontId="17" fillId="0" borderId="0" xfId="14" applyNumberFormat="1" applyFont="1" applyFill="1" applyBorder="1" applyAlignment="1">
      <alignment horizontal="center" vertical="center"/>
    </xf>
    <xf numFmtId="49" fontId="23" fillId="0" borderId="5" xfId="12" applyNumberFormat="1" applyFont="1" applyBorder="1" applyAlignment="1">
      <alignment horizontal="center" vertical="center"/>
    </xf>
    <xf numFmtId="0" fontId="23" fillId="0" borderId="5" xfId="12" applyNumberFormat="1" applyFont="1" applyBorder="1" applyAlignment="1">
      <alignment horizontal="center" vertical="center"/>
    </xf>
    <xf numFmtId="164" fontId="17" fillId="7" borderId="5" xfId="14" applyFont="1" applyFill="1" applyBorder="1" applyAlignment="1">
      <alignment horizontal="center" vertical="center"/>
    </xf>
    <xf numFmtId="0" fontId="35" fillId="7" borderId="5" xfId="17" applyNumberFormat="1" applyFont="1" applyFill="1" applyBorder="1" applyAlignment="1">
      <alignment vertical="center"/>
    </xf>
    <xf numFmtId="164" fontId="35" fillId="7" borderId="5" xfId="17" applyFont="1" applyFill="1" applyBorder="1" applyAlignment="1">
      <alignment vertical="center"/>
    </xf>
    <xf numFmtId="0" fontId="17" fillId="0" borderId="5" xfId="14" applyNumberFormat="1" applyFont="1" applyFill="1" applyBorder="1" applyAlignment="1">
      <alignment vertical="center"/>
    </xf>
    <xf numFmtId="164" fontId="17" fillId="0" borderId="5" xfId="14" applyFont="1" applyFill="1" applyBorder="1" applyAlignment="1">
      <alignment vertical="center"/>
    </xf>
    <xf numFmtId="49" fontId="23" fillId="7" borderId="5" xfId="12" applyNumberFormat="1" applyFont="1" applyFill="1" applyBorder="1" applyAlignment="1">
      <alignment vertical="center"/>
    </xf>
    <xf numFmtId="0" fontId="17" fillId="7" borderId="5" xfId="14" applyNumberFormat="1" applyFont="1" applyFill="1" applyBorder="1" applyAlignment="1">
      <alignment vertical="center"/>
    </xf>
    <xf numFmtId="164" fontId="17" fillId="7" borderId="5" xfId="14" applyFont="1" applyFill="1" applyBorder="1" applyAlignment="1">
      <alignment vertical="center"/>
    </xf>
    <xf numFmtId="0" fontId="17" fillId="0" borderId="5" xfId="14" applyNumberFormat="1" applyFont="1" applyBorder="1" applyAlignment="1">
      <alignment horizontal="center" vertical="center"/>
    </xf>
    <xf numFmtId="0" fontId="12" fillId="5" borderId="5" xfId="0" applyFont="1" applyFill="1" applyBorder="1" applyAlignment="1">
      <alignment vertical="center"/>
    </xf>
    <xf numFmtId="0" fontId="13" fillId="5" borderId="5" xfId="0" applyNumberFormat="1" applyFont="1" applyFill="1" applyBorder="1" applyAlignment="1">
      <alignment vertical="center"/>
    </xf>
    <xf numFmtId="0" fontId="13" fillId="5" borderId="5" xfId="0" applyFont="1" applyFill="1" applyBorder="1" applyAlignment="1">
      <alignment vertical="center"/>
    </xf>
    <xf numFmtId="0" fontId="23" fillId="4" borderId="22" xfId="0" applyFont="1" applyFill="1" applyBorder="1" applyAlignment="1">
      <alignment vertical="center" readingOrder="1"/>
    </xf>
    <xf numFmtId="0" fontId="17" fillId="4" borderId="19" xfId="14" applyNumberFormat="1" applyFont="1" applyFill="1" applyBorder="1" applyAlignment="1">
      <alignment horizontal="center" vertical="center"/>
    </xf>
    <xf numFmtId="164" fontId="17" fillId="4" borderId="19" xfId="14" applyFont="1" applyFill="1" applyBorder="1" applyAlignment="1">
      <alignment horizontal="center" vertical="center"/>
    </xf>
    <xf numFmtId="165" fontId="36" fillId="10" borderId="22" xfId="12" applyNumberFormat="1" applyFont="1" applyFill="1" applyBorder="1" applyAlignment="1">
      <alignment horizontal="center" vertical="center" readingOrder="1"/>
    </xf>
    <xf numFmtId="0" fontId="36" fillId="10" borderId="19" xfId="14" applyNumberFormat="1" applyFont="1" applyFill="1" applyBorder="1" applyAlignment="1">
      <alignment horizontal="center" vertical="center"/>
    </xf>
    <xf numFmtId="164" fontId="36" fillId="10" borderId="19" xfId="14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49" fontId="17" fillId="0" borderId="24" xfId="14" applyNumberFormat="1" applyFont="1" applyBorder="1" applyAlignment="1">
      <alignment horizontal="left" vertical="center"/>
    </xf>
    <xf numFmtId="49" fontId="17" fillId="0" borderId="5" xfId="14" quotePrefix="1" applyNumberFormat="1" applyFont="1" applyBorder="1" applyAlignment="1">
      <alignment horizontal="left" vertical="center"/>
    </xf>
    <xf numFmtId="49" fontId="17" fillId="0" borderId="5" xfId="14" applyNumberFormat="1" applyFont="1" applyFill="1" applyBorder="1" applyAlignment="1">
      <alignment horizontal="left" vertical="center"/>
    </xf>
    <xf numFmtId="49" fontId="17" fillId="0" borderId="5" xfId="14" quotePrefix="1" applyNumberFormat="1" applyFont="1" applyFill="1" applyBorder="1" applyAlignment="1">
      <alignment horizontal="left" vertical="center"/>
    </xf>
    <xf numFmtId="49" fontId="17" fillId="0" borderId="5" xfId="14" applyNumberFormat="1" applyFont="1" applyBorder="1" applyAlignment="1">
      <alignment horizontal="left" vertical="center"/>
    </xf>
    <xf numFmtId="49" fontId="17" fillId="0" borderId="24" xfId="14" applyNumberFormat="1" applyFont="1" applyFill="1" applyBorder="1" applyAlignment="1">
      <alignment horizontal="left" vertical="center"/>
    </xf>
    <xf numFmtId="49" fontId="17" fillId="8" borderId="5" xfId="14" applyNumberFormat="1" applyFont="1" applyFill="1" applyBorder="1" applyAlignment="1">
      <alignment horizontal="left" vertical="center"/>
    </xf>
    <xf numFmtId="49" fontId="17" fillId="8" borderId="5" xfId="14" quotePrefix="1" applyNumberFormat="1" applyFont="1" applyFill="1" applyBorder="1" applyAlignment="1">
      <alignment horizontal="left" vertical="center"/>
    </xf>
    <xf numFmtId="164" fontId="25" fillId="5" borderId="19" xfId="14" applyFont="1" applyFill="1" applyBorder="1" applyAlignment="1">
      <alignment horizontal="left"/>
    </xf>
    <xf numFmtId="49" fontId="25" fillId="5" borderId="19" xfId="14" quotePrefix="1" applyNumberFormat="1" applyFont="1" applyFill="1" applyBorder="1" applyAlignment="1">
      <alignment horizontal="left"/>
    </xf>
    <xf numFmtId="49" fontId="17" fillId="0" borderId="19" xfId="14" applyNumberFormat="1" applyFont="1" applyBorder="1" applyAlignment="1">
      <alignment horizontal="left"/>
    </xf>
    <xf numFmtId="49" fontId="17" fillId="0" borderId="5" xfId="14" applyNumberFormat="1" applyFont="1" applyBorder="1" applyAlignment="1">
      <alignment horizontal="left"/>
    </xf>
    <xf numFmtId="49" fontId="17" fillId="0" borderId="5" xfId="14" applyNumberFormat="1" applyFont="1" applyFill="1" applyBorder="1" applyAlignment="1">
      <alignment horizontal="left"/>
    </xf>
    <xf numFmtId="49" fontId="17" fillId="0" borderId="5" xfId="14" quotePrefix="1" applyNumberFormat="1" applyFont="1" applyBorder="1" applyAlignment="1">
      <alignment horizontal="left"/>
    </xf>
    <xf numFmtId="49" fontId="17" fillId="8" borderId="5" xfId="14" applyNumberFormat="1" applyFont="1" applyFill="1" applyBorder="1" applyAlignment="1">
      <alignment horizontal="left"/>
    </xf>
    <xf numFmtId="49" fontId="17" fillId="8" borderId="5" xfId="14" quotePrefix="1" applyNumberFormat="1" applyFont="1" applyFill="1" applyBorder="1" applyAlignment="1">
      <alignment horizontal="left"/>
    </xf>
    <xf numFmtId="49" fontId="17" fillId="0" borderId="19" xfId="14" applyNumberFormat="1" applyFont="1" applyFill="1" applyBorder="1" applyAlignment="1">
      <alignment horizontal="left"/>
    </xf>
    <xf numFmtId="49" fontId="17" fillId="0" borderId="5" xfId="14" quotePrefix="1" applyNumberFormat="1" applyFont="1" applyFill="1" applyBorder="1" applyAlignment="1">
      <alignment horizontal="left"/>
    </xf>
    <xf numFmtId="164" fontId="17" fillId="0" borderId="5" xfId="14" quotePrefix="1" applyFont="1" applyBorder="1" applyAlignment="1">
      <alignment horizontal="left" vertical="center"/>
    </xf>
    <xf numFmtId="49" fontId="17" fillId="0" borderId="24" xfId="14" quotePrefix="1" applyNumberFormat="1" applyFont="1" applyBorder="1" applyAlignment="1">
      <alignment horizontal="left" vertical="center"/>
    </xf>
    <xf numFmtId="49" fontId="17" fillId="0" borderId="22" xfId="14" applyNumberFormat="1" applyFont="1" applyBorder="1" applyAlignment="1">
      <alignment horizontal="left"/>
    </xf>
    <xf numFmtId="49" fontId="17" fillId="0" borderId="20" xfId="14" applyNumberFormat="1" applyFont="1" applyBorder="1" applyAlignment="1">
      <alignment horizontal="left"/>
    </xf>
    <xf numFmtId="0" fontId="12" fillId="0" borderId="0" xfId="0" applyFont="1" applyFill="1"/>
    <xf numFmtId="43" fontId="13" fillId="0" borderId="0" xfId="0" applyNumberFormat="1" applyFont="1" applyFill="1"/>
    <xf numFmtId="0" fontId="13" fillId="0" borderId="19" xfId="0" applyFont="1" applyFill="1" applyBorder="1" applyAlignment="1">
      <alignment vertical="center"/>
    </xf>
    <xf numFmtId="0" fontId="13" fillId="0" borderId="19" xfId="0" applyNumberFormat="1" applyFont="1" applyFill="1" applyBorder="1" applyAlignment="1">
      <alignment vertical="center"/>
    </xf>
    <xf numFmtId="0" fontId="13" fillId="0" borderId="19" xfId="0" applyFont="1" applyFill="1" applyBorder="1"/>
    <xf numFmtId="0" fontId="13" fillId="0" borderId="20" xfId="0" applyFont="1" applyFill="1" applyBorder="1"/>
    <xf numFmtId="164" fontId="18" fillId="0" borderId="5" xfId="14" applyFont="1" applyFill="1" applyBorder="1" applyAlignment="1"/>
    <xf numFmtId="2" fontId="13" fillId="0" borderId="5" xfId="0" applyNumberFormat="1" applyFont="1" applyFill="1" applyBorder="1"/>
    <xf numFmtId="10" fontId="13" fillId="0" borderId="5" xfId="2" applyNumberFormat="1" applyFont="1" applyFill="1" applyBorder="1"/>
    <xf numFmtId="43" fontId="19" fillId="4" borderId="31" xfId="5" applyNumberFormat="1" applyFont="1" applyFill="1" applyBorder="1"/>
    <xf numFmtId="43" fontId="17" fillId="19" borderId="5" xfId="1" applyFont="1" applyFill="1" applyBorder="1"/>
    <xf numFmtId="43" fontId="12" fillId="19" borderId="19" xfId="1" applyFont="1" applyFill="1" applyBorder="1"/>
    <xf numFmtId="49" fontId="19" fillId="17" borderId="0" xfId="0" applyNumberFormat="1" applyFont="1" applyFill="1" applyAlignment="1">
      <alignment horizontal="left"/>
    </xf>
    <xf numFmtId="49" fontId="19" fillId="17" borderId="0" xfId="0" quotePrefix="1" applyNumberFormat="1" applyFont="1" applyFill="1" applyAlignment="1">
      <alignment horizontal="left"/>
    </xf>
    <xf numFmtId="49" fontId="13" fillId="17" borderId="0" xfId="0" applyNumberFormat="1" applyFont="1" applyFill="1" applyAlignment="1">
      <alignment horizontal="left"/>
    </xf>
    <xf numFmtId="49" fontId="13" fillId="17" borderId="0" xfId="0" applyNumberFormat="1" applyFont="1" applyFill="1"/>
    <xf numFmtId="43" fontId="12" fillId="19" borderId="4" xfId="1" applyFont="1" applyFill="1" applyBorder="1"/>
    <xf numFmtId="43" fontId="27" fillId="19" borderId="5" xfId="1" applyFont="1" applyFill="1" applyBorder="1"/>
    <xf numFmtId="43" fontId="19" fillId="19" borderId="5" xfId="1" applyFont="1" applyFill="1" applyBorder="1"/>
    <xf numFmtId="10" fontId="28" fillId="29" borderId="5" xfId="2" applyNumberFormat="1" applyFont="1" applyFill="1" applyBorder="1" applyAlignment="1">
      <alignment horizontal="right"/>
    </xf>
    <xf numFmtId="43" fontId="28" fillId="29" borderId="5" xfId="2" applyNumberFormat="1" applyFont="1" applyFill="1" applyBorder="1" applyAlignment="1">
      <alignment horizontal="right"/>
    </xf>
    <xf numFmtId="43" fontId="36" fillId="29" borderId="5" xfId="13" applyFont="1" applyFill="1" applyBorder="1" applyAlignment="1">
      <alignment horizontal="center"/>
    </xf>
    <xf numFmtId="14" fontId="36" fillId="29" borderId="5" xfId="13" applyNumberFormat="1" applyFont="1" applyFill="1" applyBorder="1" applyAlignment="1">
      <alignment horizontal="right"/>
    </xf>
    <xf numFmtId="14" fontId="28" fillId="29" borderId="5" xfId="15" applyNumberFormat="1" applyFont="1" applyFill="1" applyBorder="1" applyAlignment="1">
      <alignment horizontal="center" vertical="center" wrapText="1"/>
    </xf>
    <xf numFmtId="164" fontId="19" fillId="4" borderId="0" xfId="14" applyFont="1" applyFill="1" applyAlignment="1">
      <alignment horizontal="center" vertical="top" textRotation="90" wrapText="1"/>
    </xf>
    <xf numFmtId="164" fontId="36" fillId="26" borderId="0" xfId="14" applyFont="1" applyFill="1" applyAlignment="1">
      <alignment horizontal="center" vertical="top" textRotation="90" wrapText="1"/>
    </xf>
  </cellXfs>
  <cellStyles count="21">
    <cellStyle name="60% - Accent1 2" xfId="16" xr:uid="{6EE6DCC7-844C-4775-A056-2948E3D94F6E}"/>
    <cellStyle name="Calculation" xfId="18" builtinId="22"/>
    <cellStyle name="Comma" xfId="1" builtinId="3"/>
    <cellStyle name="Comma 2" xfId="13" xr:uid="{513F10B8-E029-4701-9868-91C34E888411}"/>
    <cellStyle name="Comma 3" xfId="12" xr:uid="{3CEB2A1E-0E52-4CE7-A8C1-7F9E3EBB5D2C}"/>
    <cellStyle name="Currency" xfId="20" builtinId="4"/>
    <cellStyle name="Currency 3" xfId="11" xr:uid="{0C9DF555-1596-4FE1-84DD-7B97E629F7C2}"/>
    <cellStyle name="Heading 1 2" xfId="15" xr:uid="{403D5252-4987-4098-A420-4EB30BEDEC95}"/>
    <cellStyle name="Heading 4" xfId="4" builtinId="19"/>
    <cellStyle name="Input" xfId="5" builtinId="20"/>
    <cellStyle name="Normal" xfId="0" builtinId="0"/>
    <cellStyle name="Normal 2" xfId="17" xr:uid="{36B573BB-5C17-4F2B-B59F-278057193B87}"/>
    <cellStyle name="Normal 3" xfId="19" xr:uid="{1AD9828E-C3B9-4357-880F-5C740C77D141}"/>
    <cellStyle name="Normal 3 2" xfId="14" xr:uid="{D279F177-1C13-4800-8CB6-691DD6F72703}"/>
    <cellStyle name="Normal 4" xfId="8" xr:uid="{D97D7EA3-366B-4A86-BB54-44F73B1D9C56}"/>
    <cellStyle name="Normal 5" xfId="9" xr:uid="{20804588-C070-499E-85A6-30A071729BF7}"/>
    <cellStyle name="Percent" xfId="2" builtinId="5"/>
    <cellStyle name="Percent 3" xfId="10" xr:uid="{AFAB2C3C-4595-4F0A-A069-469640DE26A5}"/>
    <cellStyle name="Title" xfId="3" builtinId="15"/>
    <cellStyle name="Total" xfId="7" builtinId="25"/>
    <cellStyle name="Warning Text" xfId="6" builtinId="11"/>
  </cellStyles>
  <dxfs count="22"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563C1"/>
      <color rgb="FFFFCC99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42.xml"/><Relationship Id="rId76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40.xml"/><Relationship Id="rId7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31.xml"/><Relationship Id="rId61" Type="http://schemas.openxmlformats.org/officeDocument/2006/relationships/externalLink" Target="externalLinks/externalLink3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39.xml"/><Relationship Id="rId73" Type="http://schemas.openxmlformats.org/officeDocument/2006/relationships/calcChain" Target="calcChain.xml"/><Relationship Id="rId78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43.xml"/><Relationship Id="rId77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4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36.xml"/><Relationship Id="rId70" Type="http://schemas.openxmlformats.org/officeDocument/2006/relationships/theme" Target="theme/theme1.xml"/><Relationship Id="rId75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cap="all" spc="0" baseline="0">
                <a:gradFill>
                  <a:gsLst>
                    <a:gs pos="0">
                      <a:schemeClr val="dk1">
                        <a:lumMod val="50000"/>
                        <a:lumOff val="50000"/>
                      </a:schemeClr>
                    </a:gs>
                    <a:gs pos="100000">
                      <a:schemeClr val="dk1">
                        <a:lumMod val="85000"/>
                        <a:lumOff val="15000"/>
                      </a:schemeClr>
                    </a:gs>
                  </a:gsLst>
                  <a:lin ang="5400000" scaled="0"/>
                </a:gradFill>
                <a:latin typeface="+mn-lt"/>
                <a:ea typeface="+mn-ea"/>
                <a:cs typeface="+mn-cs"/>
              </a:defRPr>
            </a:pPr>
            <a:r>
              <a:rPr lang="en-US"/>
              <a:t>FALV Student Enrollment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gradFill>
                <a:gsLst>
                  <a:gs pos="0">
                    <a:schemeClr val="dk1">
                      <a:lumMod val="50000"/>
                      <a:lumOff val="50000"/>
                    </a:schemeClr>
                  </a:gs>
                  <a:gs pos="100000">
                    <a:schemeClr val="dk1">
                      <a:lumMod val="85000"/>
                      <a:lumOff val="15000"/>
                    </a:schemeClr>
                  </a:gs>
                </a:gsLst>
                <a:lin ang="5400000" scaled="0"/>
              </a:gra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Graphs!$A$9:$A$23</c:f>
              <c:strCache>
                <c:ptCount val="15"/>
                <c:pt idx="0">
                  <c:v>SY1415</c:v>
                </c:pt>
                <c:pt idx="1">
                  <c:v>SY1516</c:v>
                </c:pt>
                <c:pt idx="2">
                  <c:v>SY1617</c:v>
                </c:pt>
                <c:pt idx="3">
                  <c:v>SY1718</c:v>
                </c:pt>
                <c:pt idx="4">
                  <c:v>SY1819</c:v>
                </c:pt>
                <c:pt idx="5">
                  <c:v>SY1920</c:v>
                </c:pt>
                <c:pt idx="6">
                  <c:v>SY2021</c:v>
                </c:pt>
                <c:pt idx="7">
                  <c:v>SY2122</c:v>
                </c:pt>
                <c:pt idx="8">
                  <c:v>SY2223**</c:v>
                </c:pt>
                <c:pt idx="9">
                  <c:v>SY2324**</c:v>
                </c:pt>
                <c:pt idx="10">
                  <c:v>SY2425**</c:v>
                </c:pt>
                <c:pt idx="11">
                  <c:v>SY2526**</c:v>
                </c:pt>
                <c:pt idx="12">
                  <c:v>SY2627**</c:v>
                </c:pt>
                <c:pt idx="13">
                  <c:v>SY2728**</c:v>
                </c:pt>
                <c:pt idx="14">
                  <c:v>SY2829**</c:v>
                </c:pt>
              </c:strCache>
            </c:strRef>
          </c:cat>
          <c:val>
            <c:numRef>
              <c:f>Graphs!$B$9:$B$23</c:f>
              <c:numCache>
                <c:formatCode>General</c:formatCode>
                <c:ptCount val="15"/>
                <c:pt idx="0">
                  <c:v>433</c:v>
                </c:pt>
                <c:pt idx="1">
                  <c:v>553</c:v>
                </c:pt>
                <c:pt idx="2">
                  <c:v>570</c:v>
                </c:pt>
                <c:pt idx="3">
                  <c:v>616</c:v>
                </c:pt>
                <c:pt idx="4">
                  <c:v>709</c:v>
                </c:pt>
                <c:pt idx="5">
                  <c:v>754</c:v>
                </c:pt>
                <c:pt idx="6">
                  <c:v>833.89</c:v>
                </c:pt>
                <c:pt idx="7">
                  <c:v>900</c:v>
                </c:pt>
                <c:pt idx="8">
                  <c:v>989</c:v>
                </c:pt>
                <c:pt idx="9">
                  <c:v>1134</c:v>
                </c:pt>
                <c:pt idx="10">
                  <c:v>1215</c:v>
                </c:pt>
                <c:pt idx="11">
                  <c:v>1296</c:v>
                </c:pt>
                <c:pt idx="12">
                  <c:v>1323</c:v>
                </c:pt>
                <c:pt idx="13">
                  <c:v>1350</c:v>
                </c:pt>
                <c:pt idx="14">
                  <c:v>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7-4AD1-9318-143F8003C4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75537952"/>
        <c:axId val="675536968"/>
      </c:lineChart>
      <c:catAx>
        <c:axId val="6755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5536968"/>
        <c:crosses val="autoZero"/>
        <c:auto val="1"/>
        <c:lblAlgn val="ctr"/>
        <c:lblOffset val="100"/>
        <c:noMultiLvlLbl val="0"/>
      </c:catAx>
      <c:valAx>
        <c:axId val="675536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553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40" b="1"/>
              <a:t>Per Pupil</a:t>
            </a:r>
            <a:r>
              <a:rPr lang="en-US" sz="1440" b="1" baseline="0"/>
              <a:t> Funding</a:t>
            </a:r>
            <a:endParaRPr lang="en-US" sz="144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Graphs!$A$30:$A$43</c:f>
              <c:strCache>
                <c:ptCount val="14"/>
                <c:pt idx="0">
                  <c:v>SY1415</c:v>
                </c:pt>
                <c:pt idx="1">
                  <c:v>SY1516</c:v>
                </c:pt>
                <c:pt idx="2">
                  <c:v>SY1617</c:v>
                </c:pt>
                <c:pt idx="3">
                  <c:v>SY1718</c:v>
                </c:pt>
                <c:pt idx="4">
                  <c:v>SY1819</c:v>
                </c:pt>
                <c:pt idx="5">
                  <c:v>SY1920</c:v>
                </c:pt>
                <c:pt idx="6">
                  <c:v>SY2021</c:v>
                </c:pt>
                <c:pt idx="7">
                  <c:v>SY2122 (PCFP)</c:v>
                </c:pt>
                <c:pt idx="8">
                  <c:v>SY2223 **</c:v>
                </c:pt>
                <c:pt idx="9">
                  <c:v>SY2324 **</c:v>
                </c:pt>
                <c:pt idx="10">
                  <c:v>SY2425 **</c:v>
                </c:pt>
                <c:pt idx="11">
                  <c:v>SY2627**</c:v>
                </c:pt>
                <c:pt idx="12">
                  <c:v>SY2728**</c:v>
                </c:pt>
                <c:pt idx="13">
                  <c:v>SY2829**</c:v>
                </c:pt>
              </c:strCache>
            </c:strRef>
          </c:cat>
          <c:val>
            <c:numRef>
              <c:f>Graphs!$B$30:$B$43</c:f>
              <c:numCache>
                <c:formatCode>_(* #,##0.00_);_(* \(#,##0.00\);_(* "-"??_);_(@_)</c:formatCode>
                <c:ptCount val="14"/>
                <c:pt idx="0">
                  <c:v>6506.1900000000005</c:v>
                </c:pt>
                <c:pt idx="1">
                  <c:v>6506.1900000000005</c:v>
                </c:pt>
                <c:pt idx="2">
                  <c:v>6597</c:v>
                </c:pt>
                <c:pt idx="3">
                  <c:v>6720.03</c:v>
                </c:pt>
                <c:pt idx="4">
                  <c:v>6720.03</c:v>
                </c:pt>
                <c:pt idx="5">
                  <c:v>7230.66</c:v>
                </c:pt>
                <c:pt idx="6">
                  <c:v>7372.38</c:v>
                </c:pt>
                <c:pt idx="7">
                  <c:v>7197</c:v>
                </c:pt>
                <c:pt idx="8">
                  <c:v>7293.1809010453544</c:v>
                </c:pt>
                <c:pt idx="9">
                  <c:v>7293.1809010453544</c:v>
                </c:pt>
                <c:pt idx="10">
                  <c:v>7293.1809010453544</c:v>
                </c:pt>
                <c:pt idx="11">
                  <c:v>7293.1809010453544</c:v>
                </c:pt>
                <c:pt idx="12">
                  <c:v>7293.1809010453544</c:v>
                </c:pt>
                <c:pt idx="13">
                  <c:v>7293.1809010453544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1-4B95-8046-5CA86025C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axId val="783249272"/>
        <c:axId val="783250584"/>
      </c:barChart>
      <c:catAx>
        <c:axId val="78324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250584"/>
        <c:crosses val="autoZero"/>
        <c:auto val="1"/>
        <c:lblAlgn val="ctr"/>
        <c:lblOffset val="100"/>
        <c:noMultiLvlLbl val="0"/>
      </c:catAx>
      <c:valAx>
        <c:axId val="78325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24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7</xdr:row>
      <xdr:rowOff>476250</xdr:rowOff>
    </xdr:from>
    <xdr:to>
      <xdr:col>14</xdr:col>
      <xdr:colOff>9525</xdr:colOff>
      <xdr:row>22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72491D-4C2F-43D5-8ED1-979BD997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29</xdr:row>
      <xdr:rowOff>14287</xdr:rowOff>
    </xdr:from>
    <xdr:to>
      <xdr:col>14</xdr:col>
      <xdr:colOff>0</xdr:colOff>
      <xdr:row>46</xdr:row>
      <xdr:rowOff>4762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EB1127-40DB-4B83-9657-E759C668E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0</xdr:row>
      <xdr:rowOff>0</xdr:rowOff>
    </xdr:from>
    <xdr:to>
      <xdr:col>15</xdr:col>
      <xdr:colOff>533400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9393F9-2BAA-4D59-B4E6-E2AEA58D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6775" y="0"/>
          <a:ext cx="504825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257175</xdr:colOff>
      <xdr:row>0</xdr:row>
      <xdr:rowOff>0</xdr:rowOff>
    </xdr:from>
    <xdr:to>
      <xdr:col>28</xdr:col>
      <xdr:colOff>762000</xdr:colOff>
      <xdr:row>2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F4C85-A128-485B-A86E-BBD97B65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0"/>
          <a:ext cx="504825" cy="45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61007</xdr:colOff>
      <xdr:row>0</xdr:row>
      <xdr:rowOff>0</xdr:rowOff>
    </xdr:from>
    <xdr:ext cx="557412" cy="504826"/>
    <xdr:pic>
      <xdr:nvPicPr>
        <xdr:cNvPr id="3" name="Picture 2">
          <a:extLst>
            <a:ext uri="{FF2B5EF4-FFF2-40B4-BE49-F238E27FC236}">
              <a16:creationId xmlns:a16="http://schemas.microsoft.com/office/drawing/2014/main" id="{E45BE73A-DB45-4DE8-92EE-BA993D7A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6207" y="0"/>
          <a:ext cx="557412" cy="5048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375332</xdr:colOff>
      <xdr:row>0</xdr:row>
      <xdr:rowOff>0</xdr:rowOff>
    </xdr:from>
    <xdr:to>
      <xdr:col>23</xdr:col>
      <xdr:colOff>551697</xdr:colOff>
      <xdr:row>3</xdr:row>
      <xdr:rowOff>15241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720917-AF70-401D-AB3B-65A8B030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5082" y="0"/>
          <a:ext cx="557412" cy="5048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BS%20RECONS\Balance+Sheet+Recon+2009%20new%20(version%20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BANK%20RECS\FY%202010\AVM%20DEP%202010\AVM%20DEP%20RECON%2012-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1\ACO-ME-201102\ACO-BD-2011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Documents%20and%20Settings/dorothy/My%20Documents/Budget/Budget%206.4/RGTC%201011%20dl%201223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Financial%20Reporting\AVM\AVM-MONTH%20END\AVM-ME-2012\AVM-ME-201212\AVM-AR-201212-YE%20CRBAL%20Adj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Financial%20Reporting\AVM\AVM-MONTH%20END\AVM-ME-2012\AVM-ME-201212\Litigation%20Report%204th%20Qtr%202012%20_20130111%20(4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share\Financial%20Reporting\ACO\ACO-BANK%20RECS\ACO-BANKREC-2010\Disbursement%20Rec%20ACO%20FY%20201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share\Financial%20Reporting\AVM\AVM-MONTH%20END\AVM-ME-2010\AVM-ME-201009\AVM-UB-2010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MONTH%20END\AVM-ME-2010\AVM-ME-201010\AVM-UB-201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cboshare/Financial%20Reporting/AVM/AVM-MONTH%20END/AVM-ME-2011/AVM-ME-201101/AVM-UB-2011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MONTH%20END\AVM-ME-2011\AVM-ME-201101\AVM-UB-2011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\edtec\Documents%20and%20Settings\Adam.EDTEC\Local%20Settings\Temporary%20Internet%20Files\OLK297\EdTec%20-%20Standard%20Chart%20of%20Accounts%20-%2005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&amp;RP%20Balances1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Common/A.%20-%20Founders%20Charter%20School/LOANS/STATE%20LOAN%20-%20175K/Copy%20of%20loan-amortization-schedule%20Founder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0\ACO-ME-201011\ACO-UNB-201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0\ACO-ME-201012\ACO-AR-201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MONTH%20END\AVM-ME-2011\AVM-ME-201101\AVM-AR-2011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1\ACO-ME-201102\ACO-DEN-2011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share\Financial%20Reporting\ACO\ACO-MONTHEND\ACO-ME-2010\ACO-ME-201008\ACO-DEN-2010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0\ACO-ME-201009\ACO-DEN-201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DATA/CAAR/1-CATEGORICAL/State%20Fiscal%20Stabilization%20Fund%20SFSF/2008-09/Categorical%20Reductions/Master%20file/MASTER%20ABx3%2056%20Backfi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\edtec\Documents%20and%20Settings\isabelle\My%20Documents\EdTec\Other\Other%20Projects\MidCity\MCCA%20Budget%20v2%20gn%201113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\edtec\Documents%20and%20Settings\isabelle.EDTEC\Local%20Settings\Temporary%20Internet%20Files\OLK5B\ENVN-Summary-5%20year%20Budget-090204-v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user\sear\My%20Documents\Charter%20Oak\Payroll%20Allocation\CBO%20Salary%20allocation%2020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PREPAID\AVM%20Prepaids%20FY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PAYROLL\PTO%20Accrual\ACO-PTO-2010\ACO-PTO-2010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ADP%20PAYROLL/PTO%20FOLDER/AVM%20PTO%20FOLDER/avm%20pto%2012-31-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ADP%20PAYROLL/PTO%20FOLDER/AVM%20PTO%20FOLDER/AVM%20PTO%202010/AVM%20PTO%203-31-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user\sear\My%20Documents\Charter%20Oak\Depreciation%20&amp;%20Prepaid\Prepaid%20&amp;%20Dep'n%202009\ACO%20DEPN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user\mgregory\My%20Documents\c%20drive\ADP%20PR\PTO%20FOLDER\AVM%20PTO%20FOLDER\AVM%20PTO%20ACCRL%20-2013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cboshare/Financial%20Reporting/ACO/ACO-BS%20RECONS/Balance+Sheet+Recon+2009%20new%20(version%201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Common/A.%20-%20Founders%20Charter%20School/LOANS/STATE%20LOAN%20-%20175K/Copy%20of%20loan-amortization-schedule%20Founders%20-%20fr%20D'An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user\mgregory\My%20Documents\c%20drive\ALE%20FINANCIAL%20REPORTING\2014%20FINANCIAL%20REPORTING\ALE%20MONTH%20END%202014-02\ALE-%20ALL%20INCLUSIVE%20H&amp;P%20JE-2014-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rora\AVM\AVM-DEPRECIATION\AVM%20Depreciation%20FY20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BANK%20RECS\FY%202010\AVM%20DISB%202010\Disbursements%20Recon%2012-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BS%20RECONS\AVM%20BSRECON%20201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PAYROLL\PTO%20Accrual\ACO-PTO-2010\ACO%20PTO%2003-31-20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mci.sharepoint.com/Cash%20&amp;%20IC/CASH%20&amp;%20INTERCO/2012/IC%20Balances%20SIG+Aurora%20%20as%20of%20%202012%20-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Financial%20Reporting\ACO\ACO-PREPAID\ACO%20Prepaids%20FY2011-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BANK%20RECS\ACO-BANKREC-2010\Disbursement%20Rec%20ACO%20FY%202010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rora\AVM\AVM-BANK%20&amp;%20GL%20RECS\AVM%20DEP%20RECON%2007-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Documents%20and%20Settings\mgregory\Desktop\Bank%20Reconciliations%20AVM\AVM%20DISB%202010\Disbursements%20Recon%2007-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BANK%20RECS\ACO-BANKREC-2010\Depository%20Rec%20ACO%20201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04.19"/>
      <sheetName val="1251s"/>
      <sheetName val="1252s"/>
      <sheetName val="1253s"/>
      <sheetName val="1320"/>
      <sheetName val="1408.13"/>
      <sheetName val="1409.13"/>
      <sheetName val="1500s"/>
      <sheetName val="Inventory"/>
      <sheetName val="1600s"/>
      <sheetName val="1773-1877"/>
      <sheetName val="1930"/>
      <sheetName val="1940"/>
      <sheetName val="2000"/>
      <sheetName val="2050"/>
      <sheetName val="2110"/>
      <sheetName val="2120"/>
      <sheetName val="2124"/>
      <sheetName val="Year End 08"/>
      <sheetName val="Year End 09"/>
      <sheetName val="2130"/>
      <sheetName val="2140"/>
      <sheetName val="2150"/>
      <sheetName val="2200"/>
      <sheetName val="2210"/>
      <sheetName val="2230"/>
      <sheetName val="2231"/>
      <sheetName val="2232"/>
      <sheetName val="2233"/>
      <sheetName val="2234"/>
      <sheetName val="2235"/>
      <sheetName val="2240"/>
      <sheetName val="2245"/>
      <sheetName val="2249"/>
      <sheetName val="2250"/>
      <sheetName val="2340"/>
      <sheetName val="2540"/>
      <sheetName val="3000"/>
      <sheetName val="3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(2)"/>
      <sheetName val="JE"/>
      <sheetName val="Recs1231Final"/>
      <sheetName val="Sheet1"/>
      <sheetName val="Recs1231Prelim"/>
      <sheetName val="Recon"/>
      <sheetName val="PT AR GL"/>
      <sheetName val="AR GL"/>
      <sheetName val="ADj"/>
      <sheetName val="Pivot Bank CR"/>
      <sheetName val="bank"/>
      <sheetName val="AVM CC 12-31-2010"/>
      <sheetName val="CC Payments"/>
      <sheetName val="Recs1130Final (2)"/>
      <sheetName val="Recs1130Prelim (2)"/>
      <sheetName val="AVM MAP 2010-11"/>
      <sheetName val="MAP 2010-10"/>
      <sheetName val="Recs1030Final"/>
      <sheetName val="Recs1030Prelim"/>
      <sheetName val="Recs930Final"/>
      <sheetName val="Recs930Prelim"/>
      <sheetName val="Recs831Final"/>
      <sheetName val="Recs831Prelim"/>
      <sheetName val="Recs731Sf"/>
      <sheetName val="Recs731f "/>
      <sheetName val="adjmnt 201007"/>
      <sheetName val="bank 201007"/>
      <sheetName val="AR GL 7-10"/>
      <sheetName val="CC US BANK"/>
    </sheetNames>
    <sheetDataSet>
      <sheetData sheetId="0">
        <row r="6">
          <cell r="A6" t="str">
            <v>Aurora Behavioral Health Care</v>
          </cell>
        </row>
      </sheetData>
      <sheetData sheetId="1">
        <row r="6">
          <cell r="A6" t="str">
            <v>Aurora Behavioral Health Care</v>
          </cell>
        </row>
      </sheetData>
      <sheetData sheetId="2">
        <row r="1">
          <cell r="A1" t="str">
            <v>AURORA VISTA DEL MAR</v>
          </cell>
        </row>
      </sheetData>
      <sheetData sheetId="3">
        <row r="1">
          <cell r="A1">
            <v>40029</v>
          </cell>
        </row>
      </sheetData>
      <sheetData sheetId="4">
        <row r="1">
          <cell r="A1" t="str">
            <v>AURORA VISTA DEL MAR</v>
          </cell>
        </row>
      </sheetData>
      <sheetData sheetId="5"/>
      <sheetData sheetId="6">
        <row r="3">
          <cell r="A3" t="str">
            <v>Sum of Tran_Amt</v>
          </cell>
        </row>
      </sheetData>
      <sheetData sheetId="7">
        <row r="1">
          <cell r="A1" t="str">
            <v>Aurora Vista Del Mar, LLC</v>
          </cell>
        </row>
      </sheetData>
      <sheetData sheetId="8">
        <row r="1">
          <cell r="A1" t="str">
            <v>Status</v>
          </cell>
        </row>
      </sheetData>
      <sheetData sheetId="9">
        <row r="1">
          <cell r="A1" t="str">
            <v>Status</v>
          </cell>
        </row>
      </sheetData>
      <sheetData sheetId="10">
        <row r="1">
          <cell r="A1" t="str">
            <v>Post Date</v>
          </cell>
        </row>
      </sheetData>
      <sheetData sheetId="11">
        <row r="3">
          <cell r="A3" t="str">
            <v>Report Name: Recon Items Activity  - Signature Healthcare Services, LLC</v>
          </cell>
        </row>
      </sheetData>
      <sheetData sheetId="12">
        <row r="3">
          <cell r="A3" t="str">
            <v>Report Name: Recon Items Activity  - Signature Healthcare Services, LLC</v>
          </cell>
        </row>
      </sheetData>
      <sheetData sheetId="13">
        <row r="1">
          <cell r="A1" t="str">
            <v>AURORA VISTA DEL MAR</v>
          </cell>
        </row>
      </sheetData>
      <sheetData sheetId="14">
        <row r="1">
          <cell r="A1" t="str">
            <v>AURORA VISTA DEL MAR</v>
          </cell>
        </row>
      </sheetData>
      <sheetData sheetId="15">
        <row r="5">
          <cell r="A5" t="str">
            <v>Image</v>
          </cell>
        </row>
      </sheetData>
      <sheetData sheetId="16">
        <row r="5">
          <cell r="A5" t="str">
            <v>Image</v>
          </cell>
        </row>
      </sheetData>
      <sheetData sheetId="17">
        <row r="1">
          <cell r="A1" t="str">
            <v>AURORA VISTA DEL MAR</v>
          </cell>
        </row>
      </sheetData>
      <sheetData sheetId="18">
        <row r="1">
          <cell r="A1" t="str">
            <v>AURORA VISTA DEL MAR</v>
          </cell>
        </row>
      </sheetData>
      <sheetData sheetId="19">
        <row r="1">
          <cell r="A1" t="str">
            <v>AURORA VISTA DEL MAR</v>
          </cell>
        </row>
      </sheetData>
      <sheetData sheetId="20">
        <row r="1">
          <cell r="A1" t="str">
            <v>AURORA VISTA DEL MAR</v>
          </cell>
        </row>
      </sheetData>
      <sheetData sheetId="21">
        <row r="1">
          <cell r="A1" t="str">
            <v>AURORA VISTA DEL MAR</v>
          </cell>
        </row>
      </sheetData>
      <sheetData sheetId="22">
        <row r="1">
          <cell r="A1" t="str">
            <v>AURORA VISTA DEL MAR</v>
          </cell>
        </row>
      </sheetData>
      <sheetData sheetId="23">
        <row r="1">
          <cell r="A1" t="str">
            <v>AURORA VISTA DEL MAR</v>
          </cell>
        </row>
      </sheetData>
      <sheetData sheetId="24">
        <row r="1">
          <cell r="A1" t="str">
            <v>AURORA VISTA DEL MAR</v>
          </cell>
        </row>
      </sheetData>
      <sheetData sheetId="25">
        <row r="3">
          <cell r="A3" t="str">
            <v>Sum of Balance</v>
          </cell>
        </row>
      </sheetData>
      <sheetData sheetId="26">
        <row r="1">
          <cell r="A1" t="str">
            <v>Account</v>
          </cell>
        </row>
      </sheetData>
      <sheetData sheetId="27">
        <row r="1">
          <cell r="A1" t="str">
            <v>Aurora Vista Del Mar, LLC</v>
          </cell>
        </row>
      </sheetData>
      <sheetData sheetId="28">
        <row r="1">
          <cell r="A1" t="str">
            <v>Report Date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mport"/>
      <sheetName val="JE"/>
      <sheetName val="Instructions"/>
      <sheetName val="Pivot"/>
      <sheetName val="AR Aging By GL_Date By FC"/>
      <sheetName val="PT ARGL Aging Detail"/>
      <sheetName val="AR GL Aging Detail"/>
      <sheetName val="Pivot Denials-JE"/>
    </sheetNames>
    <sheetDataSet>
      <sheetData sheetId="0"/>
      <sheetData sheetId="1"/>
      <sheetData sheetId="2"/>
      <sheetData sheetId="3"/>
      <sheetData sheetId="4">
        <row r="3">
          <cell r="A3" t="str">
            <v>Row Labels</v>
          </cell>
          <cell r="B3" t="str">
            <v>Sum of Reserves</v>
          </cell>
        </row>
        <row r="4">
          <cell r="A4">
            <v>3340</v>
          </cell>
          <cell r="B4">
            <v>556047.29</v>
          </cell>
        </row>
        <row r="5">
          <cell r="A5">
            <v>3360</v>
          </cell>
          <cell r="B5">
            <v>173648.35</v>
          </cell>
        </row>
        <row r="6">
          <cell r="A6">
            <v>4261</v>
          </cell>
          <cell r="B6">
            <v>57399.520000000004</v>
          </cell>
        </row>
        <row r="7">
          <cell r="A7">
            <v>4361</v>
          </cell>
          <cell r="B7">
            <v>57791.119999999995</v>
          </cell>
        </row>
        <row r="8">
          <cell r="A8">
            <v>3450</v>
          </cell>
          <cell r="B8">
            <v>41955.740000000005</v>
          </cell>
        </row>
        <row r="9">
          <cell r="A9" t="str">
            <v>Grand Total</v>
          </cell>
          <cell r="B9">
            <v>886842.02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structions"/>
      <sheetName val="Chart of Accounts"/>
      <sheetName val="Map"/>
      <sheetName val="Out Errors"/>
      <sheetName val="0910p2supp"/>
      <sheetName val="0910p2gb"/>
      <sheetName val="0910p2cb"/>
      <sheetName val="1011p1gb"/>
      <sheetName val="1011p1cb"/>
      <sheetName val="p1supp"/>
      <sheetName val="2010-11 SFSF 1st Appt"/>
      <sheetName val="OUT YTD"/>
      <sheetName val="OUT CF"/>
      <sheetName val="OUT BS"/>
      <sheetName val="OUT Sum"/>
      <sheetName val="OUT Assumptions"/>
      <sheetName val="OUT PY"/>
      <sheetName val="OUT Res"/>
      <sheetName val="IN Detail"/>
      <sheetName val="IN Monthly"/>
      <sheetName val="State aid timing"/>
      <sheetName val="IN Payroll-approved 012111"/>
      <sheetName val="IN Payroll-Forecast"/>
      <sheetName val="ADA Calc Alt"/>
      <sheetName val="IN ADA Projector"/>
      <sheetName val="IN Accruals"/>
      <sheetName val="IN Rates"/>
      <sheetName val="IN Loans and Interest"/>
      <sheetName val="IN Depr"/>
      <sheetName val="Changes"/>
      <sheetName val="0710RU"/>
      <sheetName val="0710BS"/>
      <sheetName val="0710GL"/>
      <sheetName val="0810RU"/>
      <sheetName val="0810BS"/>
      <sheetName val="0810GL"/>
      <sheetName val="0910RU"/>
      <sheetName val="0910BS"/>
      <sheetName val="0910GL"/>
      <sheetName val="1010RU"/>
      <sheetName val="1010BS"/>
      <sheetName val="1010GL"/>
      <sheetName val="1110RU"/>
      <sheetName val="1110BS"/>
      <sheetName val="1110GL"/>
      <sheetName val="1210RU"/>
      <sheetName val="1210BS"/>
      <sheetName val="1210GL"/>
      <sheetName val="0111RU"/>
      <sheetName val="0111BS"/>
      <sheetName val="0111GL"/>
      <sheetName val="0211RU"/>
      <sheetName val="0211BS"/>
      <sheetName val="0211GL"/>
      <sheetName val="0311RU"/>
      <sheetName val="0311BS"/>
      <sheetName val="0311GL"/>
      <sheetName val="0411RU"/>
      <sheetName val="0411BS"/>
      <sheetName val="0411GL"/>
      <sheetName val="0511RU"/>
      <sheetName val="0511BS"/>
      <sheetName val="0531GL"/>
    </sheetNames>
    <sheetDataSet>
      <sheetData sheetId="0"/>
      <sheetData sheetId="1"/>
      <sheetData sheetId="2"/>
      <sheetData sheetId="3">
        <row r="6">
          <cell r="B6" t="str">
            <v>Budget - d1 - 07/01/09</v>
          </cell>
        </row>
        <row r="7">
          <cell r="B7" t="str">
            <v>Budget</v>
          </cell>
        </row>
        <row r="8">
          <cell r="B8" t="str">
            <v>Forecast</v>
          </cell>
        </row>
        <row r="9">
          <cell r="B9" t="str">
            <v>To Be Approved</v>
          </cell>
        </row>
        <row r="10">
          <cell r="B10" t="str">
            <v>Budget - d5</v>
          </cell>
        </row>
        <row r="11">
          <cell r="B11" t="str">
            <v>Budget - d6</v>
          </cell>
        </row>
        <row r="12">
          <cell r="B12" t="str">
            <v>Budget - d7</v>
          </cell>
        </row>
        <row r="13">
          <cell r="B13" t="str">
            <v>Budget - d8</v>
          </cell>
        </row>
        <row r="14">
          <cell r="B14" t="str">
            <v>Budget - d9</v>
          </cell>
        </row>
        <row r="15">
          <cell r="B15" t="str">
            <v>Budget - Approved 01/21/11</v>
          </cell>
        </row>
        <row r="16">
          <cell r="B16" t="str">
            <v>Budget - Approved 05/21/10</v>
          </cell>
        </row>
        <row r="17">
          <cell r="B17" t="str">
            <v>Budget - A2</v>
          </cell>
        </row>
        <row r="18">
          <cell r="B18" t="str">
            <v>Budget - A3</v>
          </cell>
        </row>
        <row r="19">
          <cell r="B19" t="str">
            <v>Budget - A4</v>
          </cell>
        </row>
        <row r="20">
          <cell r="B20" t="str">
            <v>Budget - A5</v>
          </cell>
        </row>
        <row r="21">
          <cell r="B21" t="str">
            <v>Budget - A6</v>
          </cell>
        </row>
        <row r="22">
          <cell r="B22" t="str">
            <v>Budget - A7</v>
          </cell>
        </row>
        <row r="23">
          <cell r="B23" t="str">
            <v>Budget - A8</v>
          </cell>
        </row>
        <row r="24">
          <cell r="B24" t="str">
            <v>Budget - A9</v>
          </cell>
        </row>
        <row r="25">
          <cell r="B25" t="str">
            <v>Budget - A10</v>
          </cell>
        </row>
        <row r="32">
          <cell r="B32" t="str">
            <v>2009/10</v>
          </cell>
        </row>
        <row r="33">
          <cell r="B33" t="str">
            <v>2010/11</v>
          </cell>
        </row>
        <row r="34">
          <cell r="B34" t="str">
            <v>2011/12</v>
          </cell>
        </row>
        <row r="35">
          <cell r="B35" t="str">
            <v>2012/13</v>
          </cell>
        </row>
        <row r="36">
          <cell r="B36" t="str">
            <v>2013/14</v>
          </cell>
        </row>
        <row r="37">
          <cell r="B37" t="str">
            <v>2014/15</v>
          </cell>
        </row>
        <row r="38">
          <cell r="B38" t="str">
            <v>2015/16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40">
          <cell r="A640" t="str">
            <v>Startup School</v>
          </cell>
        </row>
        <row r="641">
          <cell r="A641" t="str">
            <v>Existing School</v>
          </cell>
        </row>
        <row r="642">
          <cell r="A642" t="str">
            <v>Existing School - Expanding</v>
          </cell>
        </row>
      </sheetData>
      <sheetData sheetId="20"/>
      <sheetData sheetId="21"/>
      <sheetData sheetId="22"/>
      <sheetData sheetId="23">
        <row r="1456">
          <cell r="B1456" t="str">
            <v>July to June</v>
          </cell>
        </row>
        <row r="1457">
          <cell r="B1457" t="str">
            <v>Aug to June</v>
          </cell>
        </row>
        <row r="1458">
          <cell r="B1458" t="str">
            <v>Sept to June</v>
          </cell>
        </row>
        <row r="1459">
          <cell r="B1459" t="str">
            <v>Work 10 / Paid in 11</v>
          </cell>
        </row>
        <row r="1460">
          <cell r="B1460" t="str">
            <v>Work 10 / Paid in 12</v>
          </cell>
        </row>
        <row r="1461">
          <cell r="B1461" t="str">
            <v>Work 11 / Paid in 12</v>
          </cell>
        </row>
        <row r="1462">
          <cell r="B1462" t="str">
            <v>Adjust Manually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02"/>
      <sheetName val="JE Import"/>
      <sheetName val="JE"/>
      <sheetName val="JE (2)"/>
      <sheetName val="AR"/>
      <sheetName val="AR Aging By GL_Date By FC"/>
      <sheetName val="Pivot AR by Account"/>
      <sheetName val="AR By Accoun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Sum of SP Balance</v>
          </cell>
        </row>
        <row r="4">
          <cell r="A4" t="str">
            <v>Fin Class</v>
          </cell>
          <cell r="B4" t="str">
            <v>Total</v>
          </cell>
        </row>
        <row r="5">
          <cell r="A5">
            <v>2</v>
          </cell>
          <cell r="B5">
            <v>-22671.600000000002</v>
          </cell>
        </row>
        <row r="6">
          <cell r="A6">
            <v>3</v>
          </cell>
          <cell r="B6">
            <v>-280</v>
          </cell>
        </row>
        <row r="7">
          <cell r="A7">
            <v>8</v>
          </cell>
          <cell r="B7">
            <v>-2792.5</v>
          </cell>
        </row>
        <row r="8">
          <cell r="A8">
            <v>13</v>
          </cell>
          <cell r="B8">
            <v>-3597.5</v>
          </cell>
        </row>
        <row r="9">
          <cell r="A9">
            <v>16</v>
          </cell>
          <cell r="B9">
            <v>-33641.64</v>
          </cell>
        </row>
        <row r="10">
          <cell r="A10" t="str">
            <v>Grand Total</v>
          </cell>
          <cell r="B10">
            <v>-62983.240000000005</v>
          </cell>
        </row>
      </sheetData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"/>
      <sheetName val="AVM"/>
      <sheetName val="Sheet2"/>
    </sheetNames>
    <sheetDataSet>
      <sheetData sheetId="0"/>
      <sheetData sheetId="1"/>
      <sheetData sheetId="2">
        <row r="7">
          <cell r="A7" t="str">
            <v>General Liability</v>
          </cell>
          <cell r="B7">
            <v>250000</v>
          </cell>
        </row>
        <row r="8">
          <cell r="A8" t="str">
            <v>Employment Cases</v>
          </cell>
          <cell r="B8">
            <v>75000</v>
          </cell>
        </row>
        <row r="9">
          <cell r="A9" t="str">
            <v>Malpractice</v>
          </cell>
          <cell r="B9">
            <v>250000</v>
          </cell>
        </row>
        <row r="10">
          <cell r="A10" t="str">
            <v>Professional Liability</v>
          </cell>
          <cell r="B10">
            <v>250000</v>
          </cell>
        </row>
        <row r="11">
          <cell r="A11" t="str">
            <v>Property Cases</v>
          </cell>
          <cell r="B11">
            <v>10000</v>
          </cell>
        </row>
        <row r="12">
          <cell r="A12" t="str">
            <v>Other</v>
          </cell>
          <cell r="B12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"/>
      <sheetName val="JE"/>
      <sheetName val="Outstanding"/>
      <sheetName val="bank"/>
      <sheetName val="AP disb"/>
      <sheetName val="ACO 3-10"/>
      <sheetName val="ACO 2-10 "/>
      <sheetName val="ACO 1-10"/>
      <sheetName val="ACO 12-09"/>
    </sheetNames>
    <sheetDataSet>
      <sheetData sheetId="0"/>
      <sheetData sheetId="1"/>
      <sheetData sheetId="2">
        <row r="1">
          <cell r="A1" t="str">
            <v>Total Outstanding Amount</v>
          </cell>
        </row>
      </sheetData>
      <sheetData sheetId="3">
        <row r="1">
          <cell r="B1" t="str">
            <v>ChkRef</v>
          </cell>
          <cell r="C1" t="str">
            <v>Debit</v>
          </cell>
        </row>
        <row r="2">
          <cell r="B2">
            <v>42107</v>
          </cell>
          <cell r="C2">
            <v>591.55999999999995</v>
          </cell>
        </row>
        <row r="3">
          <cell r="B3">
            <v>42112</v>
          </cell>
          <cell r="C3">
            <v>1650</v>
          </cell>
        </row>
        <row r="4">
          <cell r="B4">
            <v>42116</v>
          </cell>
          <cell r="C4">
            <v>634.38</v>
          </cell>
        </row>
        <row r="5">
          <cell r="B5">
            <v>42117</v>
          </cell>
          <cell r="C5">
            <v>52</v>
          </cell>
        </row>
        <row r="6">
          <cell r="B6">
            <v>42149</v>
          </cell>
          <cell r="C6">
            <v>5456.58</v>
          </cell>
        </row>
        <row r="7">
          <cell r="B7">
            <v>42157</v>
          </cell>
          <cell r="C7">
            <v>140.47999999999999</v>
          </cell>
        </row>
        <row r="8">
          <cell r="B8">
            <v>42158</v>
          </cell>
          <cell r="C8">
            <v>310.02</v>
          </cell>
        </row>
        <row r="9">
          <cell r="B9">
            <v>42164</v>
          </cell>
          <cell r="C9">
            <v>619.5</v>
          </cell>
        </row>
        <row r="10">
          <cell r="B10">
            <v>42173</v>
          </cell>
          <cell r="C10">
            <v>250</v>
          </cell>
        </row>
        <row r="11">
          <cell r="B11">
            <v>42179</v>
          </cell>
          <cell r="C11">
            <v>48039.35</v>
          </cell>
        </row>
        <row r="12">
          <cell r="B12">
            <v>42180</v>
          </cell>
          <cell r="C12">
            <v>135526</v>
          </cell>
        </row>
        <row r="14">
          <cell r="B14">
            <v>42094</v>
          </cell>
          <cell r="C14">
            <v>237.38</v>
          </cell>
        </row>
        <row r="15">
          <cell r="B15">
            <v>42103</v>
          </cell>
          <cell r="C15">
            <v>1255</v>
          </cell>
        </row>
        <row r="16">
          <cell r="B16">
            <v>42118</v>
          </cell>
          <cell r="C16">
            <v>650</v>
          </cell>
        </row>
        <row r="17">
          <cell r="B17">
            <v>42140</v>
          </cell>
          <cell r="C17">
            <v>1323.37</v>
          </cell>
        </row>
        <row r="18">
          <cell r="B18">
            <v>42161</v>
          </cell>
          <cell r="C18">
            <v>139.44</v>
          </cell>
        </row>
        <row r="19">
          <cell r="B19">
            <v>42167</v>
          </cell>
          <cell r="C19">
            <v>465</v>
          </cell>
        </row>
        <row r="20">
          <cell r="B20">
            <v>42168</v>
          </cell>
          <cell r="C20">
            <v>2059.66</v>
          </cell>
        </row>
        <row r="22">
          <cell r="B22">
            <v>42141</v>
          </cell>
          <cell r="C22">
            <v>425.43</v>
          </cell>
        </row>
        <row r="23">
          <cell r="B23">
            <v>42151</v>
          </cell>
          <cell r="C23">
            <v>162.86000000000001</v>
          </cell>
        </row>
        <row r="24">
          <cell r="B24">
            <v>42166</v>
          </cell>
          <cell r="C24">
            <v>1793.06</v>
          </cell>
        </row>
        <row r="25">
          <cell r="B25">
            <v>42177</v>
          </cell>
          <cell r="C25">
            <v>1415.67</v>
          </cell>
        </row>
        <row r="26">
          <cell r="B26">
            <v>42189</v>
          </cell>
          <cell r="C26">
            <v>2379.44</v>
          </cell>
        </row>
        <row r="27">
          <cell r="B27">
            <v>42200</v>
          </cell>
          <cell r="C27">
            <v>6652.79</v>
          </cell>
        </row>
        <row r="29">
          <cell r="B29">
            <v>42188</v>
          </cell>
          <cell r="C29">
            <v>144.83000000000001</v>
          </cell>
        </row>
        <row r="30">
          <cell r="B30">
            <v>42192</v>
          </cell>
          <cell r="C30">
            <v>1450.66</v>
          </cell>
        </row>
        <row r="31">
          <cell r="B31">
            <v>42193</v>
          </cell>
          <cell r="C31">
            <v>300</v>
          </cell>
        </row>
        <row r="32">
          <cell r="B32">
            <v>42194</v>
          </cell>
          <cell r="C32">
            <v>976.71</v>
          </cell>
        </row>
        <row r="33">
          <cell r="B33">
            <v>42196</v>
          </cell>
          <cell r="C33">
            <v>1790.89</v>
          </cell>
        </row>
        <row r="34">
          <cell r="B34">
            <v>42197</v>
          </cell>
          <cell r="C34">
            <v>606</v>
          </cell>
        </row>
        <row r="36">
          <cell r="B36">
            <v>42320</v>
          </cell>
          <cell r="C36">
            <v>68</v>
          </cell>
        </row>
        <row r="37">
          <cell r="B37">
            <v>42255</v>
          </cell>
          <cell r="C37">
            <v>4600</v>
          </cell>
        </row>
        <row r="38">
          <cell r="B38">
            <v>42135</v>
          </cell>
          <cell r="C38">
            <v>238.83</v>
          </cell>
        </row>
        <row r="39">
          <cell r="B39">
            <v>42190</v>
          </cell>
          <cell r="C39">
            <v>280.97000000000003</v>
          </cell>
        </row>
        <row r="41">
          <cell r="B41">
            <v>42273</v>
          </cell>
          <cell r="C41">
            <v>2850</v>
          </cell>
        </row>
        <row r="42">
          <cell r="B42">
            <v>42178</v>
          </cell>
          <cell r="C42">
            <v>74996.95</v>
          </cell>
        </row>
        <row r="43">
          <cell r="B43">
            <v>42195</v>
          </cell>
          <cell r="C43">
            <v>200</v>
          </cell>
        </row>
        <row r="44">
          <cell r="B44">
            <v>42241</v>
          </cell>
          <cell r="C44">
            <v>1734.61</v>
          </cell>
        </row>
        <row r="45">
          <cell r="B45">
            <v>42246</v>
          </cell>
          <cell r="C45">
            <v>6091.4</v>
          </cell>
        </row>
        <row r="46">
          <cell r="B46">
            <v>42268</v>
          </cell>
          <cell r="C46">
            <v>1471.09</v>
          </cell>
        </row>
        <row r="47">
          <cell r="B47">
            <v>42271</v>
          </cell>
          <cell r="C47">
            <v>1106.68</v>
          </cell>
        </row>
        <row r="48">
          <cell r="B48">
            <v>42274</v>
          </cell>
          <cell r="C48">
            <v>689.17</v>
          </cell>
        </row>
        <row r="49">
          <cell r="B49">
            <v>42316</v>
          </cell>
          <cell r="C49">
            <v>3330</v>
          </cell>
        </row>
        <row r="50">
          <cell r="B50">
            <v>42327</v>
          </cell>
          <cell r="C50">
            <v>7039.51</v>
          </cell>
        </row>
        <row r="51">
          <cell r="B51">
            <v>42331</v>
          </cell>
          <cell r="C51">
            <v>146.78</v>
          </cell>
        </row>
        <row r="53">
          <cell r="B53">
            <v>42041</v>
          </cell>
          <cell r="C53">
            <v>20</v>
          </cell>
        </row>
        <row r="54">
          <cell r="B54">
            <v>42187</v>
          </cell>
          <cell r="C54">
            <v>1584.72</v>
          </cell>
        </row>
        <row r="55">
          <cell r="B55">
            <v>42201</v>
          </cell>
          <cell r="C55">
            <v>1700</v>
          </cell>
        </row>
        <row r="56">
          <cell r="B56">
            <v>42239</v>
          </cell>
          <cell r="C56">
            <v>433.12</v>
          </cell>
        </row>
        <row r="57">
          <cell r="B57">
            <v>42240</v>
          </cell>
          <cell r="C57">
            <v>459.66</v>
          </cell>
        </row>
        <row r="58">
          <cell r="B58">
            <v>42242</v>
          </cell>
          <cell r="C58">
            <v>2300</v>
          </cell>
        </row>
        <row r="59">
          <cell r="B59">
            <v>42250</v>
          </cell>
          <cell r="C59">
            <v>9952</v>
          </cell>
        </row>
        <row r="60">
          <cell r="B60">
            <v>42253</v>
          </cell>
          <cell r="C60">
            <v>7484.3</v>
          </cell>
        </row>
        <row r="61">
          <cell r="B61">
            <v>42254</v>
          </cell>
          <cell r="C61">
            <v>85</v>
          </cell>
        </row>
        <row r="62">
          <cell r="B62">
            <v>42256</v>
          </cell>
          <cell r="C62">
            <v>225</v>
          </cell>
        </row>
        <row r="63">
          <cell r="B63">
            <v>42257</v>
          </cell>
          <cell r="C63">
            <v>52</v>
          </cell>
        </row>
        <row r="64">
          <cell r="B64">
            <v>42262</v>
          </cell>
          <cell r="C64">
            <v>675</v>
          </cell>
        </row>
        <row r="65">
          <cell r="B65">
            <v>42265</v>
          </cell>
          <cell r="C65">
            <v>2379.44</v>
          </cell>
        </row>
        <row r="66">
          <cell r="B66">
            <v>42267</v>
          </cell>
          <cell r="C66">
            <v>1069.04</v>
          </cell>
        </row>
        <row r="67">
          <cell r="B67">
            <v>42270</v>
          </cell>
          <cell r="C67">
            <v>2651.2</v>
          </cell>
        </row>
        <row r="68">
          <cell r="B68">
            <v>42275</v>
          </cell>
          <cell r="C68">
            <v>301.39</v>
          </cell>
        </row>
        <row r="69">
          <cell r="B69">
            <v>42276</v>
          </cell>
          <cell r="C69">
            <v>491.43</v>
          </cell>
        </row>
        <row r="70">
          <cell r="B70">
            <v>42277</v>
          </cell>
          <cell r="C70">
            <v>2000</v>
          </cell>
        </row>
        <row r="71">
          <cell r="B71">
            <v>42278</v>
          </cell>
          <cell r="C71">
            <v>267</v>
          </cell>
        </row>
        <row r="72">
          <cell r="B72">
            <v>42283</v>
          </cell>
          <cell r="C72">
            <v>5749.82</v>
          </cell>
        </row>
        <row r="73">
          <cell r="B73">
            <v>42285</v>
          </cell>
          <cell r="C73">
            <v>2093.81</v>
          </cell>
        </row>
        <row r="74">
          <cell r="B74">
            <v>42295</v>
          </cell>
          <cell r="C74">
            <v>14315.19</v>
          </cell>
        </row>
        <row r="75">
          <cell r="B75">
            <v>42298</v>
          </cell>
          <cell r="C75">
            <v>2384.8200000000002</v>
          </cell>
        </row>
        <row r="76">
          <cell r="B76">
            <v>42303</v>
          </cell>
          <cell r="C76">
            <v>116</v>
          </cell>
        </row>
        <row r="77">
          <cell r="B77">
            <v>42305</v>
          </cell>
          <cell r="C77">
            <v>200</v>
          </cell>
        </row>
        <row r="78">
          <cell r="B78">
            <v>42308</v>
          </cell>
          <cell r="C78">
            <v>744.98</v>
          </cell>
        </row>
        <row r="79">
          <cell r="B79">
            <v>42318</v>
          </cell>
          <cell r="C79">
            <v>301.8</v>
          </cell>
        </row>
        <row r="80">
          <cell r="B80">
            <v>42322</v>
          </cell>
          <cell r="C80">
            <v>2886.08</v>
          </cell>
        </row>
        <row r="81">
          <cell r="B81">
            <v>42324</v>
          </cell>
          <cell r="C81">
            <v>4546.53</v>
          </cell>
        </row>
        <row r="82">
          <cell r="B82">
            <v>42325</v>
          </cell>
          <cell r="C82">
            <v>2688</v>
          </cell>
        </row>
        <row r="83">
          <cell r="B83">
            <v>42329</v>
          </cell>
          <cell r="C83">
            <v>1175</v>
          </cell>
        </row>
        <row r="85">
          <cell r="B85">
            <v>42143</v>
          </cell>
          <cell r="C85">
            <v>152</v>
          </cell>
        </row>
        <row r="86">
          <cell r="B86">
            <v>42244</v>
          </cell>
          <cell r="C86">
            <v>457.11</v>
          </cell>
        </row>
        <row r="87">
          <cell r="B87">
            <v>42247</v>
          </cell>
          <cell r="C87">
            <v>575.08000000000004</v>
          </cell>
        </row>
        <row r="88">
          <cell r="B88">
            <v>42248</v>
          </cell>
          <cell r="C88">
            <v>26.44</v>
          </cell>
        </row>
        <row r="89">
          <cell r="B89">
            <v>42249</v>
          </cell>
          <cell r="C89">
            <v>60.82</v>
          </cell>
        </row>
        <row r="90">
          <cell r="B90">
            <v>42252</v>
          </cell>
          <cell r="C90">
            <v>562.5</v>
          </cell>
        </row>
        <row r="91">
          <cell r="B91">
            <v>42263</v>
          </cell>
          <cell r="C91">
            <v>329.54</v>
          </cell>
        </row>
        <row r="92">
          <cell r="B92">
            <v>42264</v>
          </cell>
          <cell r="C92">
            <v>145</v>
          </cell>
        </row>
        <row r="93">
          <cell r="B93">
            <v>42280</v>
          </cell>
          <cell r="C93">
            <v>463.19</v>
          </cell>
        </row>
        <row r="94">
          <cell r="B94">
            <v>42281</v>
          </cell>
          <cell r="C94">
            <v>467.72</v>
          </cell>
        </row>
        <row r="95">
          <cell r="B95">
            <v>42290</v>
          </cell>
          <cell r="C95">
            <v>179.2</v>
          </cell>
        </row>
        <row r="96">
          <cell r="B96">
            <v>42296</v>
          </cell>
          <cell r="C96">
            <v>136</v>
          </cell>
        </row>
        <row r="97">
          <cell r="B97">
            <v>42301</v>
          </cell>
          <cell r="C97">
            <v>2895.92</v>
          </cell>
        </row>
        <row r="98">
          <cell r="B98">
            <v>42304</v>
          </cell>
          <cell r="C98">
            <v>420.05</v>
          </cell>
        </row>
        <row r="99">
          <cell r="B99">
            <v>42307</v>
          </cell>
          <cell r="C99">
            <v>557.87</v>
          </cell>
        </row>
        <row r="100">
          <cell r="B100">
            <v>42310</v>
          </cell>
          <cell r="C100">
            <v>1600.41</v>
          </cell>
        </row>
        <row r="101">
          <cell r="B101">
            <v>42311</v>
          </cell>
          <cell r="C101">
            <v>6052.02</v>
          </cell>
        </row>
        <row r="102">
          <cell r="B102">
            <v>42312</v>
          </cell>
          <cell r="C102">
            <v>110</v>
          </cell>
        </row>
        <row r="103">
          <cell r="B103">
            <v>42330</v>
          </cell>
          <cell r="C103">
            <v>230.48</v>
          </cell>
        </row>
        <row r="104">
          <cell r="B104">
            <v>42332</v>
          </cell>
          <cell r="C104">
            <v>323.16000000000003</v>
          </cell>
        </row>
        <row r="106">
          <cell r="B106">
            <v>42243</v>
          </cell>
          <cell r="C106">
            <v>5002.5</v>
          </cell>
        </row>
        <row r="107">
          <cell r="B107">
            <v>42251</v>
          </cell>
          <cell r="C107">
            <v>99470.34</v>
          </cell>
        </row>
        <row r="108">
          <cell r="B108">
            <v>42258</v>
          </cell>
          <cell r="C108">
            <v>5446.51</v>
          </cell>
        </row>
        <row r="109">
          <cell r="B109">
            <v>42260</v>
          </cell>
          <cell r="C109">
            <v>2544.62</v>
          </cell>
        </row>
        <row r="110">
          <cell r="B110">
            <v>42261</v>
          </cell>
          <cell r="C110">
            <v>557.94000000000005</v>
          </cell>
        </row>
        <row r="111">
          <cell r="B111">
            <v>42266</v>
          </cell>
          <cell r="C111">
            <v>52</v>
          </cell>
        </row>
        <row r="112">
          <cell r="B112">
            <v>42272</v>
          </cell>
          <cell r="C112">
            <v>101.48</v>
          </cell>
        </row>
        <row r="113">
          <cell r="B113">
            <v>42282</v>
          </cell>
          <cell r="C113">
            <v>1732.92</v>
          </cell>
        </row>
        <row r="114">
          <cell r="B114">
            <v>42286</v>
          </cell>
          <cell r="C114">
            <v>2357.5</v>
          </cell>
        </row>
        <row r="115">
          <cell r="B115">
            <v>42297</v>
          </cell>
          <cell r="C115">
            <v>380.35</v>
          </cell>
        </row>
        <row r="116">
          <cell r="B116">
            <v>42315</v>
          </cell>
          <cell r="C116">
            <v>1531.5</v>
          </cell>
        </row>
        <row r="117">
          <cell r="B117">
            <v>42319</v>
          </cell>
          <cell r="C117">
            <v>2502.5</v>
          </cell>
        </row>
        <row r="118">
          <cell r="B118">
            <v>42323</v>
          </cell>
          <cell r="C118">
            <v>676.86</v>
          </cell>
        </row>
        <row r="120">
          <cell r="B120">
            <v>42191</v>
          </cell>
          <cell r="C120">
            <v>300</v>
          </cell>
        </row>
        <row r="121">
          <cell r="B121">
            <v>42259</v>
          </cell>
          <cell r="C121">
            <v>6671.33</v>
          </cell>
        </row>
        <row r="122">
          <cell r="B122">
            <v>42289</v>
          </cell>
          <cell r="C122">
            <v>160</v>
          </cell>
        </row>
        <row r="123">
          <cell r="B123">
            <v>42300</v>
          </cell>
          <cell r="C123">
            <v>81.430000000000007</v>
          </cell>
        </row>
        <row r="124">
          <cell r="B124">
            <v>42306</v>
          </cell>
          <cell r="C124">
            <v>769.15</v>
          </cell>
        </row>
        <row r="125">
          <cell r="B125">
            <v>42309</v>
          </cell>
          <cell r="C125">
            <v>628.25</v>
          </cell>
        </row>
        <row r="126">
          <cell r="B126">
            <v>42314</v>
          </cell>
          <cell r="C126">
            <v>311.33999999999997</v>
          </cell>
        </row>
        <row r="127">
          <cell r="B127">
            <v>42328</v>
          </cell>
          <cell r="C127">
            <v>48.13</v>
          </cell>
        </row>
        <row r="128">
          <cell r="B128">
            <v>42333</v>
          </cell>
          <cell r="C128">
            <v>7500</v>
          </cell>
        </row>
        <row r="130">
          <cell r="B130">
            <v>42269</v>
          </cell>
          <cell r="C130">
            <v>4568.7299999999996</v>
          </cell>
        </row>
        <row r="131">
          <cell r="B131">
            <v>42284</v>
          </cell>
          <cell r="C131">
            <v>566.76</v>
          </cell>
        </row>
        <row r="132">
          <cell r="B132">
            <v>42288</v>
          </cell>
          <cell r="C132">
            <v>76.81</v>
          </cell>
        </row>
        <row r="133">
          <cell r="B133">
            <v>42291</v>
          </cell>
          <cell r="C133">
            <v>526.25</v>
          </cell>
        </row>
        <row r="134">
          <cell r="B134">
            <v>42313</v>
          </cell>
          <cell r="C134">
            <v>778.26</v>
          </cell>
        </row>
        <row r="135">
          <cell r="B135">
            <v>42321</v>
          </cell>
          <cell r="C135">
            <v>250</v>
          </cell>
        </row>
        <row r="136">
          <cell r="B136">
            <v>42326</v>
          </cell>
          <cell r="C136">
            <v>313.79000000000002</v>
          </cell>
        </row>
        <row r="137">
          <cell r="B137">
            <v>42334</v>
          </cell>
          <cell r="C137">
            <v>2033.24</v>
          </cell>
        </row>
        <row r="138">
          <cell r="B138">
            <v>42335</v>
          </cell>
          <cell r="C138">
            <v>2129.7199999999998</v>
          </cell>
        </row>
        <row r="139">
          <cell r="B139">
            <v>42341</v>
          </cell>
          <cell r="C139">
            <v>325.92</v>
          </cell>
        </row>
        <row r="140">
          <cell r="B140">
            <v>42346</v>
          </cell>
          <cell r="C140">
            <v>726.19</v>
          </cell>
        </row>
        <row r="141">
          <cell r="B141">
            <v>42349</v>
          </cell>
          <cell r="C141">
            <v>6308.39</v>
          </cell>
        </row>
        <row r="142">
          <cell r="B142">
            <v>42350</v>
          </cell>
          <cell r="C142">
            <v>11192.79</v>
          </cell>
        </row>
        <row r="144">
          <cell r="B144">
            <v>42202</v>
          </cell>
          <cell r="C144">
            <v>1300</v>
          </cell>
        </row>
        <row r="145">
          <cell r="B145">
            <v>42292</v>
          </cell>
          <cell r="C145">
            <v>31675.439999999999</v>
          </cell>
        </row>
        <row r="146">
          <cell r="B146">
            <v>42293</v>
          </cell>
          <cell r="C146">
            <v>192.51</v>
          </cell>
        </row>
        <row r="147">
          <cell r="B147">
            <v>42294</v>
          </cell>
          <cell r="C147">
            <v>318.01</v>
          </cell>
        </row>
        <row r="148">
          <cell r="B148">
            <v>42299</v>
          </cell>
          <cell r="C148">
            <v>5456.58</v>
          </cell>
        </row>
        <row r="149">
          <cell r="B149">
            <v>42317</v>
          </cell>
          <cell r="C149">
            <v>110.66</v>
          </cell>
        </row>
        <row r="150">
          <cell r="B150">
            <v>42338</v>
          </cell>
          <cell r="C150">
            <v>14.73</v>
          </cell>
        </row>
        <row r="151">
          <cell r="B151">
            <v>42339</v>
          </cell>
          <cell r="C151">
            <v>520</v>
          </cell>
        </row>
        <row r="152">
          <cell r="B152">
            <v>42340</v>
          </cell>
          <cell r="C152">
            <v>59.94</v>
          </cell>
        </row>
        <row r="153">
          <cell r="B153">
            <v>42342</v>
          </cell>
          <cell r="C153">
            <v>245.52</v>
          </cell>
        </row>
        <row r="154">
          <cell r="B154">
            <v>42343</v>
          </cell>
          <cell r="C154">
            <v>254.76</v>
          </cell>
        </row>
        <row r="155">
          <cell r="B155">
            <v>42344</v>
          </cell>
          <cell r="C155">
            <v>814.38</v>
          </cell>
        </row>
        <row r="156">
          <cell r="B156">
            <v>42345</v>
          </cell>
          <cell r="C156">
            <v>2043.64</v>
          </cell>
        </row>
        <row r="158">
          <cell r="B158">
            <v>42347</v>
          </cell>
          <cell r="C158">
            <v>536.67999999999995</v>
          </cell>
        </row>
        <row r="160">
          <cell r="C160">
            <v>4.75</v>
          </cell>
        </row>
        <row r="161">
          <cell r="C161">
            <v>4.75</v>
          </cell>
        </row>
        <row r="162">
          <cell r="C162">
            <v>4.75</v>
          </cell>
        </row>
        <row r="163">
          <cell r="C163">
            <v>4.75</v>
          </cell>
        </row>
        <row r="164">
          <cell r="C164">
            <v>4.75</v>
          </cell>
        </row>
        <row r="165">
          <cell r="C165">
            <v>4.75</v>
          </cell>
        </row>
        <row r="166">
          <cell r="C166">
            <v>4.75</v>
          </cell>
        </row>
        <row r="167">
          <cell r="C167">
            <v>4.75</v>
          </cell>
        </row>
        <row r="168">
          <cell r="C168">
            <v>4.75</v>
          </cell>
        </row>
        <row r="169">
          <cell r="B169">
            <v>42351</v>
          </cell>
          <cell r="C169">
            <v>95245</v>
          </cell>
        </row>
        <row r="171">
          <cell r="B171">
            <v>42366</v>
          </cell>
          <cell r="C171">
            <v>1700</v>
          </cell>
        </row>
        <row r="173">
          <cell r="C173">
            <v>4.75</v>
          </cell>
        </row>
        <row r="174">
          <cell r="B174">
            <v>42354</v>
          </cell>
          <cell r="C174">
            <v>1576.18</v>
          </cell>
        </row>
        <row r="175">
          <cell r="B175">
            <v>42355</v>
          </cell>
          <cell r="C175">
            <v>2500</v>
          </cell>
        </row>
        <row r="176">
          <cell r="B176">
            <v>42360</v>
          </cell>
          <cell r="C176">
            <v>2027.7</v>
          </cell>
        </row>
        <row r="177">
          <cell r="B177">
            <v>42361</v>
          </cell>
          <cell r="C177">
            <v>2000</v>
          </cell>
        </row>
        <row r="178">
          <cell r="B178">
            <v>42374</v>
          </cell>
          <cell r="C178">
            <v>512.54999999999995</v>
          </cell>
        </row>
        <row r="179">
          <cell r="B179">
            <v>42381</v>
          </cell>
          <cell r="C179">
            <v>59.49</v>
          </cell>
        </row>
        <row r="180">
          <cell r="B180">
            <v>42396</v>
          </cell>
          <cell r="C180">
            <v>592.16</v>
          </cell>
        </row>
        <row r="181">
          <cell r="B181">
            <v>42400</v>
          </cell>
          <cell r="C181">
            <v>5875</v>
          </cell>
        </row>
        <row r="182">
          <cell r="B182">
            <v>42414</v>
          </cell>
          <cell r="C182">
            <v>6836.32</v>
          </cell>
        </row>
        <row r="184">
          <cell r="B184">
            <v>42367</v>
          </cell>
          <cell r="C184">
            <v>231</v>
          </cell>
        </row>
        <row r="185">
          <cell r="B185">
            <v>42370</v>
          </cell>
          <cell r="C185">
            <v>117</v>
          </cell>
        </row>
        <row r="186">
          <cell r="B186">
            <v>42371</v>
          </cell>
          <cell r="C186">
            <v>326.25</v>
          </cell>
        </row>
        <row r="187">
          <cell r="B187">
            <v>42377</v>
          </cell>
          <cell r="C187">
            <v>2050</v>
          </cell>
        </row>
        <row r="188">
          <cell r="B188">
            <v>42383</v>
          </cell>
          <cell r="C188">
            <v>769.14</v>
          </cell>
        </row>
        <row r="189">
          <cell r="B189">
            <v>42387</v>
          </cell>
          <cell r="C189">
            <v>5000</v>
          </cell>
        </row>
        <row r="190">
          <cell r="B190">
            <v>42392</v>
          </cell>
          <cell r="C190">
            <v>54.28</v>
          </cell>
        </row>
        <row r="191">
          <cell r="B191">
            <v>42393</v>
          </cell>
          <cell r="C191">
            <v>1444.99</v>
          </cell>
        </row>
        <row r="192">
          <cell r="B192">
            <v>42394</v>
          </cell>
          <cell r="C192">
            <v>1184.48</v>
          </cell>
        </row>
        <row r="193">
          <cell r="B193">
            <v>42395</v>
          </cell>
          <cell r="C193">
            <v>300</v>
          </cell>
        </row>
        <row r="194">
          <cell r="B194">
            <v>42401</v>
          </cell>
          <cell r="C194">
            <v>299</v>
          </cell>
        </row>
        <row r="195">
          <cell r="B195">
            <v>42406</v>
          </cell>
          <cell r="C195">
            <v>732.56</v>
          </cell>
        </row>
        <row r="196">
          <cell r="B196">
            <v>42409</v>
          </cell>
          <cell r="C196">
            <v>4032</v>
          </cell>
        </row>
        <row r="197">
          <cell r="B197">
            <v>42413</v>
          </cell>
          <cell r="C197">
            <v>115.17</v>
          </cell>
        </row>
        <row r="198">
          <cell r="B198">
            <v>42415</v>
          </cell>
          <cell r="C198">
            <v>2944.84</v>
          </cell>
        </row>
        <row r="199">
          <cell r="B199">
            <v>42418</v>
          </cell>
          <cell r="C199">
            <v>52</v>
          </cell>
        </row>
        <row r="201">
          <cell r="B201">
            <v>42352</v>
          </cell>
          <cell r="C201">
            <v>1103.8499999999999</v>
          </cell>
        </row>
        <row r="202">
          <cell r="B202">
            <v>42359</v>
          </cell>
          <cell r="C202">
            <v>152.37</v>
          </cell>
        </row>
        <row r="203">
          <cell r="B203">
            <v>42369</v>
          </cell>
          <cell r="C203">
            <v>99</v>
          </cell>
        </row>
        <row r="204">
          <cell r="B204">
            <v>42376</v>
          </cell>
          <cell r="C204">
            <v>99.05</v>
          </cell>
        </row>
        <row r="205">
          <cell r="B205">
            <v>42386</v>
          </cell>
          <cell r="C205">
            <v>4140</v>
          </cell>
        </row>
        <row r="206">
          <cell r="B206">
            <v>42398</v>
          </cell>
          <cell r="C206">
            <v>528.11</v>
          </cell>
        </row>
        <row r="207">
          <cell r="B207">
            <v>42408</v>
          </cell>
          <cell r="C207">
            <v>2850</v>
          </cell>
        </row>
        <row r="208">
          <cell r="B208">
            <v>42410</v>
          </cell>
          <cell r="C208">
            <v>89.5</v>
          </cell>
        </row>
        <row r="210">
          <cell r="B210">
            <v>42245</v>
          </cell>
          <cell r="C210">
            <v>957.5</v>
          </cell>
        </row>
        <row r="211">
          <cell r="B211">
            <v>42356</v>
          </cell>
          <cell r="C211">
            <v>2990</v>
          </cell>
        </row>
        <row r="212">
          <cell r="B212">
            <v>42357</v>
          </cell>
          <cell r="C212">
            <v>6382.5</v>
          </cell>
        </row>
        <row r="213">
          <cell r="B213">
            <v>42363</v>
          </cell>
          <cell r="C213">
            <v>84</v>
          </cell>
        </row>
        <row r="214">
          <cell r="B214">
            <v>42372</v>
          </cell>
          <cell r="C214">
            <v>260</v>
          </cell>
        </row>
        <row r="215">
          <cell r="B215">
            <v>42378</v>
          </cell>
          <cell r="C215">
            <v>300</v>
          </cell>
        </row>
        <row r="216">
          <cell r="B216">
            <v>42379</v>
          </cell>
          <cell r="C216">
            <v>5405</v>
          </cell>
        </row>
        <row r="217">
          <cell r="B217">
            <v>42389</v>
          </cell>
          <cell r="C217">
            <v>200</v>
          </cell>
        </row>
        <row r="218">
          <cell r="B218">
            <v>42391</v>
          </cell>
          <cell r="C218">
            <v>8751.52</v>
          </cell>
        </row>
        <row r="219">
          <cell r="B219">
            <v>42411</v>
          </cell>
          <cell r="C219">
            <v>4406</v>
          </cell>
        </row>
        <row r="220">
          <cell r="B220">
            <v>42417</v>
          </cell>
          <cell r="C220">
            <v>8100</v>
          </cell>
        </row>
        <row r="222">
          <cell r="B222">
            <v>42428</v>
          </cell>
          <cell r="C222">
            <v>1275</v>
          </cell>
        </row>
        <row r="223">
          <cell r="B223">
            <v>42358</v>
          </cell>
          <cell r="C223">
            <v>5745</v>
          </cell>
        </row>
        <row r="224">
          <cell r="B224">
            <v>42362</v>
          </cell>
          <cell r="C224">
            <v>800</v>
          </cell>
        </row>
        <row r="225">
          <cell r="B225">
            <v>42375</v>
          </cell>
          <cell r="C225">
            <v>2650</v>
          </cell>
        </row>
        <row r="226">
          <cell r="B226">
            <v>42380</v>
          </cell>
          <cell r="C226">
            <v>212.64</v>
          </cell>
        </row>
        <row r="227">
          <cell r="B227">
            <v>42390</v>
          </cell>
          <cell r="C227">
            <v>162.86000000000001</v>
          </cell>
        </row>
        <row r="228">
          <cell r="B228">
            <v>42402</v>
          </cell>
          <cell r="C228">
            <v>270</v>
          </cell>
        </row>
        <row r="229">
          <cell r="B229">
            <v>42405</v>
          </cell>
          <cell r="C229">
            <v>2034.98</v>
          </cell>
        </row>
        <row r="231">
          <cell r="B231">
            <v>42279</v>
          </cell>
          <cell r="C231">
            <v>6900</v>
          </cell>
        </row>
        <row r="232">
          <cell r="B232">
            <v>42373</v>
          </cell>
          <cell r="C232">
            <v>252</v>
          </cell>
        </row>
        <row r="233">
          <cell r="B233">
            <v>42404</v>
          </cell>
          <cell r="C233">
            <v>264.5</v>
          </cell>
        </row>
        <row r="234">
          <cell r="B234">
            <v>42412</v>
          </cell>
          <cell r="C234">
            <v>200</v>
          </cell>
        </row>
        <row r="235">
          <cell r="B235">
            <v>42416</v>
          </cell>
          <cell r="C235">
            <v>212.3</v>
          </cell>
        </row>
        <row r="236">
          <cell r="B236">
            <v>42422</v>
          </cell>
          <cell r="C236">
            <v>2027.7</v>
          </cell>
        </row>
        <row r="237">
          <cell r="B237">
            <v>42423</v>
          </cell>
          <cell r="C237">
            <v>5208.91</v>
          </cell>
        </row>
        <row r="238">
          <cell r="B238">
            <v>42429</v>
          </cell>
          <cell r="C238">
            <v>228.24</v>
          </cell>
        </row>
        <row r="239">
          <cell r="B239">
            <v>42438</v>
          </cell>
          <cell r="C239">
            <v>1162.1400000000001</v>
          </cell>
        </row>
        <row r="240">
          <cell r="B240">
            <v>42442</v>
          </cell>
          <cell r="C240">
            <v>3778.33</v>
          </cell>
        </row>
        <row r="242">
          <cell r="C242">
            <v>4.75</v>
          </cell>
        </row>
        <row r="243">
          <cell r="B243">
            <v>42368</v>
          </cell>
          <cell r="C243">
            <v>325</v>
          </cell>
        </row>
        <row r="244">
          <cell r="B244">
            <v>42384</v>
          </cell>
          <cell r="C244">
            <v>50680.56</v>
          </cell>
        </row>
        <row r="245">
          <cell r="B245">
            <v>42427</v>
          </cell>
          <cell r="C245">
            <v>295.27</v>
          </cell>
        </row>
        <row r="246">
          <cell r="B246">
            <v>42430</v>
          </cell>
          <cell r="C246">
            <v>244.26</v>
          </cell>
        </row>
        <row r="247">
          <cell r="B247">
            <v>42431</v>
          </cell>
          <cell r="C247">
            <v>2000</v>
          </cell>
        </row>
        <row r="248">
          <cell r="B248">
            <v>42436</v>
          </cell>
          <cell r="C248">
            <v>1915.34</v>
          </cell>
        </row>
        <row r="249">
          <cell r="B249">
            <v>42443</v>
          </cell>
          <cell r="C249">
            <v>117.68</v>
          </cell>
        </row>
        <row r="251">
          <cell r="B251">
            <v>42388</v>
          </cell>
          <cell r="C251">
            <v>250</v>
          </cell>
        </row>
        <row r="252">
          <cell r="B252">
            <v>42397</v>
          </cell>
          <cell r="C252">
            <v>743</v>
          </cell>
        </row>
        <row r="253">
          <cell r="B253">
            <v>42403</v>
          </cell>
          <cell r="C253">
            <v>13</v>
          </cell>
        </row>
        <row r="254">
          <cell r="B254">
            <v>42421</v>
          </cell>
          <cell r="C254">
            <v>233.37</v>
          </cell>
        </row>
        <row r="255">
          <cell r="B255">
            <v>42424</v>
          </cell>
          <cell r="C255">
            <v>339</v>
          </cell>
        </row>
        <row r="256">
          <cell r="B256">
            <v>42432</v>
          </cell>
          <cell r="C256">
            <v>471</v>
          </cell>
        </row>
        <row r="257">
          <cell r="B257">
            <v>42437</v>
          </cell>
          <cell r="C257">
            <v>544.45000000000005</v>
          </cell>
        </row>
        <row r="258">
          <cell r="B258">
            <v>42439</v>
          </cell>
          <cell r="C258">
            <v>87.95</v>
          </cell>
        </row>
        <row r="259">
          <cell r="B259">
            <v>42440</v>
          </cell>
          <cell r="C259">
            <v>1244.23</v>
          </cell>
        </row>
        <row r="260">
          <cell r="B260">
            <v>42441</v>
          </cell>
          <cell r="C260">
            <v>319.89999999999998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FILE"/>
      <sheetName val="JE"/>
      <sheetName val="1251.00.0000"/>
      <sheetName val="9-10nr 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/>
      <sheetData sheetId="1"/>
      <sheetData sheetId="2"/>
      <sheetData sheetId="3">
        <row r="23">
          <cell r="A23" t="str">
            <v>Combined</v>
          </cell>
        </row>
        <row r="24">
          <cell r="A24" t="str">
            <v>FC</v>
          </cell>
          <cell r="B24" t="str">
            <v>Description</v>
          </cell>
          <cell r="C24" t="str">
            <v>Gross Rev</v>
          </cell>
          <cell r="D24" t="str">
            <v>Net Rev</v>
          </cell>
          <cell r="E24" t="str">
            <v>Cont Allow.</v>
          </cell>
          <cell r="F24" t="str">
            <v>Booked 1251</v>
          </cell>
          <cell r="G24" t="str">
            <v>Add'l A 4510</v>
          </cell>
        </row>
        <row r="25">
          <cell r="A25" t="str">
            <v>02</v>
          </cell>
          <cell r="B25" t="str">
            <v>Blue Cross</v>
          </cell>
          <cell r="C25">
            <v>118447.63</v>
          </cell>
          <cell r="D25">
            <v>87948.28</v>
          </cell>
          <cell r="E25">
            <v>-30499.350000000006</v>
          </cell>
          <cell r="F25">
            <v>0</v>
          </cell>
          <cell r="G25">
            <v>30499.350000000006</v>
          </cell>
        </row>
        <row r="26">
          <cell r="A26" t="str">
            <v>03</v>
          </cell>
          <cell r="B26" t="str">
            <v>Champus</v>
          </cell>
          <cell r="C26">
            <v>15889.32</v>
          </cell>
          <cell r="D26">
            <v>10318</v>
          </cell>
          <cell r="E26">
            <v>-5571.32</v>
          </cell>
          <cell r="F26">
            <v>0</v>
          </cell>
          <cell r="G26">
            <v>5571.32</v>
          </cell>
        </row>
        <row r="27">
          <cell r="A27" t="str">
            <v>06</v>
          </cell>
          <cell r="B27" t="str">
            <v>Charity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08</v>
          </cell>
          <cell r="B28" t="str">
            <v>Manage Care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09</v>
          </cell>
          <cell r="B29" t="str">
            <v>Other 3rd Party</v>
          </cell>
          <cell r="C29">
            <v>24951.88</v>
          </cell>
          <cell r="D29">
            <v>20300</v>
          </cell>
          <cell r="E29">
            <v>-4651.880000000001</v>
          </cell>
          <cell r="F29">
            <v>0</v>
          </cell>
          <cell r="G29">
            <v>4651.880000000001</v>
          </cell>
        </row>
        <row r="30">
          <cell r="A30" t="str">
            <v>11</v>
          </cell>
          <cell r="B30" t="str">
            <v>County</v>
          </cell>
          <cell r="C30">
            <v>62681.539999999994</v>
          </cell>
          <cell r="D30">
            <v>37760</v>
          </cell>
          <cell r="E30">
            <v>-24921.539999999994</v>
          </cell>
          <cell r="F30">
            <v>0</v>
          </cell>
          <cell r="G30">
            <v>24921.539999999994</v>
          </cell>
        </row>
        <row r="31">
          <cell r="A31" t="str">
            <v>13</v>
          </cell>
          <cell r="B31" t="str">
            <v>Medicare</v>
          </cell>
          <cell r="C31">
            <v>216647.31</v>
          </cell>
          <cell r="D31">
            <v>155884.20000000001</v>
          </cell>
          <cell r="E31">
            <v>-60763.109999999986</v>
          </cell>
          <cell r="F31">
            <v>0</v>
          </cell>
          <cell r="G31">
            <v>60763.109999999986</v>
          </cell>
        </row>
        <row r="32">
          <cell r="A32" t="str">
            <v>14</v>
          </cell>
          <cell r="B32" t="str">
            <v>MediCal</v>
          </cell>
          <cell r="C32">
            <v>242633.66</v>
          </cell>
          <cell r="D32">
            <v>137400</v>
          </cell>
          <cell r="E32">
            <v>-105233.66</v>
          </cell>
          <cell r="F32">
            <v>0</v>
          </cell>
          <cell r="G32">
            <v>105233.66</v>
          </cell>
        </row>
        <row r="33">
          <cell r="A33" t="str">
            <v>15</v>
          </cell>
          <cell r="B33" t="str">
            <v>Pending Elig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16</v>
          </cell>
          <cell r="B34" t="str">
            <v>HMO/PPO</v>
          </cell>
          <cell r="C34">
            <v>384721.91000000003</v>
          </cell>
          <cell r="D34">
            <v>278281.62</v>
          </cell>
          <cell r="E34">
            <v>-106440.29000000004</v>
          </cell>
          <cell r="F34">
            <v>0</v>
          </cell>
          <cell r="G34">
            <v>106440.29000000004</v>
          </cell>
        </row>
        <row r="35">
          <cell r="A35" t="str">
            <v>19</v>
          </cell>
          <cell r="B35" t="str">
            <v>Self-Pay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23</v>
          </cell>
          <cell r="B36" t="str">
            <v>Workers Comp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8">
          <cell r="B38" t="str">
            <v>Total</v>
          </cell>
          <cell r="C38">
            <v>1065973.25</v>
          </cell>
          <cell r="D38">
            <v>727892.1</v>
          </cell>
          <cell r="E38">
            <v>-338081.15</v>
          </cell>
          <cell r="F38">
            <v>0</v>
          </cell>
          <cell r="G38">
            <v>338081.15</v>
          </cell>
        </row>
      </sheetData>
      <sheetData sheetId="4">
        <row r="228">
          <cell r="C228" t="str">
            <v>FC</v>
          </cell>
          <cell r="D228" t="str">
            <v>Adj Unbill Days</v>
          </cell>
          <cell r="E228" t="str">
            <v>Adj Unbill Amount</v>
          </cell>
        </row>
        <row r="229">
          <cell r="C229" t="str">
            <v>02</v>
          </cell>
          <cell r="D229">
            <v>101</v>
          </cell>
          <cell r="E229">
            <v>107300.59</v>
          </cell>
        </row>
        <row r="230">
          <cell r="C230" t="str">
            <v>03</v>
          </cell>
          <cell r="D230">
            <v>14</v>
          </cell>
          <cell r="E230">
            <v>15889.32</v>
          </cell>
        </row>
        <row r="231">
          <cell r="C231" t="str">
            <v>09</v>
          </cell>
          <cell r="D231">
            <v>29</v>
          </cell>
          <cell r="E231">
            <v>24951.88</v>
          </cell>
        </row>
        <row r="232">
          <cell r="C232" t="str">
            <v>11</v>
          </cell>
          <cell r="D232">
            <v>59</v>
          </cell>
          <cell r="E232">
            <v>62681.539999999994</v>
          </cell>
        </row>
        <row r="233">
          <cell r="C233" t="str">
            <v>13</v>
          </cell>
          <cell r="D233">
            <v>178</v>
          </cell>
          <cell r="E233">
            <v>195086.01</v>
          </cell>
        </row>
        <row r="234">
          <cell r="C234" t="str">
            <v>14</v>
          </cell>
          <cell r="D234">
            <v>229</v>
          </cell>
          <cell r="E234">
            <v>242633.66</v>
          </cell>
        </row>
        <row r="235">
          <cell r="C235" t="str">
            <v>16</v>
          </cell>
          <cell r="D235">
            <v>306</v>
          </cell>
          <cell r="E235">
            <v>329063.75</v>
          </cell>
        </row>
        <row r="236">
          <cell r="C236" t="str">
            <v>19</v>
          </cell>
          <cell r="D236">
            <v>0</v>
          </cell>
          <cell r="E236">
            <v>0</v>
          </cell>
        </row>
        <row r="237">
          <cell r="C237" t="str">
            <v>Grand Total</v>
          </cell>
          <cell r="D237">
            <v>916</v>
          </cell>
          <cell r="E237">
            <v>977606.74999999977</v>
          </cell>
        </row>
      </sheetData>
      <sheetData sheetId="5">
        <row r="42">
          <cell r="C42" t="str">
            <v>FC</v>
          </cell>
          <cell r="D42" t="str">
            <v>unBill Amount</v>
          </cell>
        </row>
        <row r="43">
          <cell r="C43" t="str">
            <v>02</v>
          </cell>
          <cell r="D43">
            <v>11147.04</v>
          </cell>
        </row>
        <row r="44">
          <cell r="C44" t="str">
            <v>13</v>
          </cell>
          <cell r="D44">
            <v>21561.300000000003</v>
          </cell>
        </row>
        <row r="45">
          <cell r="C45" t="str">
            <v>16</v>
          </cell>
          <cell r="D45">
            <v>55658.16</v>
          </cell>
        </row>
        <row r="46">
          <cell r="C46" t="str">
            <v>Grand Total</v>
          </cell>
          <cell r="D46">
            <v>88366.500000000015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51.00.0000"/>
      <sheetName val="10-10nr "/>
      <sheetName val="JE"/>
      <sheetName val="IMPFILE (2)"/>
      <sheetName val="IMPFILE"/>
      <sheetName val="JE (4)"/>
      <sheetName val="JE (3)"/>
      <sheetName val="JE (2)"/>
      <sheetName val="PHP 10-2010"/>
      <sheetName val="IP 10-2010"/>
      <sheetName val="9-10nr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/>
      <sheetData sheetId="1">
        <row r="23">
          <cell r="A23" t="str">
            <v>Combined</v>
          </cell>
        </row>
        <row r="24">
          <cell r="A24" t="str">
            <v>FC</v>
          </cell>
          <cell r="B24" t="str">
            <v>Description</v>
          </cell>
          <cell r="C24" t="str">
            <v>Gross Rev</v>
          </cell>
          <cell r="D24" t="str">
            <v>Net Rev</v>
          </cell>
          <cell r="E24" t="str">
            <v>Cont Allow.</v>
          </cell>
          <cell r="F24" t="str">
            <v>Booked 1251</v>
          </cell>
          <cell r="G24" t="str">
            <v>Add'l A 4510</v>
          </cell>
        </row>
        <row r="25">
          <cell r="A25" t="str">
            <v>02</v>
          </cell>
          <cell r="B25" t="str">
            <v>Blue Cross</v>
          </cell>
          <cell r="C25">
            <v>151133.04999999999</v>
          </cell>
          <cell r="D25">
            <v>113654.44500000001</v>
          </cell>
          <cell r="E25">
            <v>-37478.604999999981</v>
          </cell>
          <cell r="F25">
            <v>0</v>
          </cell>
          <cell r="G25">
            <v>37478.604999999981</v>
          </cell>
        </row>
        <row r="26">
          <cell r="A26" t="str">
            <v>03</v>
          </cell>
          <cell r="B26" t="str">
            <v>Champus</v>
          </cell>
          <cell r="C26">
            <v>18400.649999999998</v>
          </cell>
          <cell r="D26">
            <v>16002</v>
          </cell>
          <cell r="E26">
            <v>-2398.6499999999978</v>
          </cell>
          <cell r="F26">
            <v>0</v>
          </cell>
          <cell r="G26">
            <v>2398.6499999999978</v>
          </cell>
        </row>
        <row r="27">
          <cell r="A27" t="str">
            <v>06</v>
          </cell>
          <cell r="B27" t="str">
            <v>Charity</v>
          </cell>
          <cell r="C27">
            <v>2047.26</v>
          </cell>
          <cell r="D27">
            <v>0</v>
          </cell>
          <cell r="E27">
            <v>-2047.26</v>
          </cell>
          <cell r="F27">
            <v>0</v>
          </cell>
          <cell r="G27">
            <v>2047.26</v>
          </cell>
        </row>
        <row r="28">
          <cell r="A28" t="str">
            <v>08</v>
          </cell>
          <cell r="B28" t="str">
            <v>Manage Care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09</v>
          </cell>
          <cell r="B29" t="str">
            <v>Other 3rd Party</v>
          </cell>
          <cell r="C29">
            <v>11427.26</v>
          </cell>
          <cell r="D29">
            <v>7700</v>
          </cell>
          <cell r="E29">
            <v>-3727.26</v>
          </cell>
          <cell r="F29">
            <v>0</v>
          </cell>
          <cell r="G29">
            <v>3727.26</v>
          </cell>
        </row>
        <row r="30">
          <cell r="A30" t="str">
            <v>11</v>
          </cell>
          <cell r="B30" t="str">
            <v>County</v>
          </cell>
          <cell r="C30">
            <v>96269.49</v>
          </cell>
          <cell r="D30">
            <v>58240</v>
          </cell>
          <cell r="E30">
            <v>-38029.490000000005</v>
          </cell>
          <cell r="F30">
            <v>0</v>
          </cell>
          <cell r="G30">
            <v>38029.490000000005</v>
          </cell>
        </row>
        <row r="31">
          <cell r="A31" t="str">
            <v>13</v>
          </cell>
          <cell r="B31" t="str">
            <v>Medicare</v>
          </cell>
          <cell r="C31">
            <v>350151.92000000004</v>
          </cell>
          <cell r="D31">
            <v>254186.72</v>
          </cell>
          <cell r="E31">
            <v>-95965.200000000041</v>
          </cell>
          <cell r="F31">
            <v>0</v>
          </cell>
          <cell r="G31">
            <v>95965.200000000041</v>
          </cell>
        </row>
        <row r="32">
          <cell r="A32" t="str">
            <v>14</v>
          </cell>
          <cell r="B32" t="str">
            <v>MediCal</v>
          </cell>
          <cell r="C32">
            <v>429582.97</v>
          </cell>
          <cell r="D32">
            <v>256443</v>
          </cell>
          <cell r="E32">
            <v>-173139.96999999997</v>
          </cell>
          <cell r="F32">
            <v>0</v>
          </cell>
          <cell r="G32">
            <v>173139.96999999997</v>
          </cell>
        </row>
        <row r="33">
          <cell r="A33" t="str">
            <v>15</v>
          </cell>
          <cell r="B33" t="str">
            <v>Pending Elig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16</v>
          </cell>
          <cell r="B34" t="str">
            <v>HMO/PPO</v>
          </cell>
          <cell r="C34">
            <v>244002.49000000005</v>
          </cell>
          <cell r="D34">
            <v>178015.84</v>
          </cell>
          <cell r="E34">
            <v>-65986.650000000052</v>
          </cell>
          <cell r="F34">
            <v>0</v>
          </cell>
          <cell r="G34">
            <v>65986.650000000052</v>
          </cell>
        </row>
        <row r="35">
          <cell r="A35" t="str">
            <v>19</v>
          </cell>
          <cell r="B35" t="str">
            <v>Self-Pay</v>
          </cell>
          <cell r="C35">
            <v>3068.06</v>
          </cell>
          <cell r="D35">
            <v>2550</v>
          </cell>
          <cell r="E35">
            <v>-518.05999999999995</v>
          </cell>
          <cell r="F35">
            <v>0</v>
          </cell>
          <cell r="G35">
            <v>518.05999999999995</v>
          </cell>
        </row>
        <row r="36">
          <cell r="A36" t="str">
            <v>23</v>
          </cell>
          <cell r="B36" t="str">
            <v>Workers Comp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8">
          <cell r="B38" t="str">
            <v>Total</v>
          </cell>
          <cell r="C38">
            <v>1306083.1500000001</v>
          </cell>
          <cell r="D38">
            <v>886792.005</v>
          </cell>
          <cell r="E38">
            <v>-419291.14500000008</v>
          </cell>
          <cell r="F38">
            <v>0</v>
          </cell>
          <cell r="G38">
            <v>419291.14500000008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4">
          <cell r="B34" t="str">
            <v>FC</v>
          </cell>
          <cell r="C34" t="str">
            <v>unBill Amount</v>
          </cell>
        </row>
        <row r="35">
          <cell r="B35" t="str">
            <v>02</v>
          </cell>
          <cell r="C35">
            <v>4339.26</v>
          </cell>
        </row>
        <row r="36">
          <cell r="B36" t="str">
            <v>13</v>
          </cell>
          <cell r="C36">
            <v>17974.080000000002</v>
          </cell>
        </row>
        <row r="37">
          <cell r="B37" t="str">
            <v>16</v>
          </cell>
          <cell r="C37">
            <v>26421.119999999988</v>
          </cell>
        </row>
        <row r="38">
          <cell r="B38" t="str">
            <v>Grand Total</v>
          </cell>
          <cell r="C38">
            <v>48734.460000000021</v>
          </cell>
        </row>
      </sheetData>
      <sheetData sheetId="9"/>
      <sheetData sheetId="10"/>
      <sheetData sheetId="11">
        <row r="228">
          <cell r="C228" t="str">
            <v>FC</v>
          </cell>
          <cell r="D228" t="str">
            <v>Adj Unbill Days</v>
          </cell>
          <cell r="E228" t="str">
            <v>Adj Unbill Amount</v>
          </cell>
        </row>
        <row r="229">
          <cell r="C229" t="str">
            <v>02</v>
          </cell>
          <cell r="D229">
            <v>101</v>
          </cell>
          <cell r="E229">
            <v>107300.59</v>
          </cell>
        </row>
        <row r="230">
          <cell r="C230" t="str">
            <v>03</v>
          </cell>
          <cell r="D230">
            <v>14</v>
          </cell>
          <cell r="E230">
            <v>15889.32</v>
          </cell>
        </row>
        <row r="231">
          <cell r="C231" t="str">
            <v>09</v>
          </cell>
          <cell r="D231">
            <v>29</v>
          </cell>
          <cell r="E231">
            <v>24951.88</v>
          </cell>
        </row>
        <row r="232">
          <cell r="C232" t="str">
            <v>11</v>
          </cell>
          <cell r="D232">
            <v>59</v>
          </cell>
          <cell r="E232">
            <v>62681.539999999994</v>
          </cell>
        </row>
        <row r="233">
          <cell r="C233" t="str">
            <v>13</v>
          </cell>
          <cell r="D233">
            <v>178</v>
          </cell>
          <cell r="E233">
            <v>195086.01</v>
          </cell>
        </row>
        <row r="234">
          <cell r="C234" t="str">
            <v>14</v>
          </cell>
          <cell r="D234">
            <v>229</v>
          </cell>
          <cell r="E234">
            <v>242633.66</v>
          </cell>
        </row>
        <row r="235">
          <cell r="C235" t="str">
            <v>16</v>
          </cell>
          <cell r="D235">
            <v>306</v>
          </cell>
          <cell r="E235">
            <v>329063.75</v>
          </cell>
        </row>
        <row r="236">
          <cell r="C236" t="str">
            <v>19</v>
          </cell>
          <cell r="D236">
            <v>0</v>
          </cell>
          <cell r="E236">
            <v>0</v>
          </cell>
        </row>
        <row r="237">
          <cell r="C237" t="str">
            <v>Grand Total</v>
          </cell>
          <cell r="D237">
            <v>916</v>
          </cell>
          <cell r="E237">
            <v>977606.74999999977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51.00.0000"/>
      <sheetName val="IMPFILE"/>
      <sheetName val="JE"/>
      <sheetName val="1-11nr"/>
      <sheetName val="IP 1-11"/>
      <sheetName val="PHP 01-11"/>
      <sheetName val="Import NR Adj"/>
      <sheetName val="JE NETREV Adj"/>
      <sheetName val="NETREV 201101"/>
      <sheetName val="12-10nr"/>
      <sheetName val="IP 12-2010"/>
      <sheetName val="PHP 12-2010"/>
      <sheetName val="11-10nr"/>
      <sheetName val="IP 11-2010"/>
      <sheetName val="PHP 11-2010"/>
      <sheetName val="10-10nr"/>
      <sheetName val="IP 10-2010"/>
      <sheetName val="PHP 10-2010"/>
      <sheetName val="9-10nr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>
        <row r="1">
          <cell r="F1" t="str">
            <v>4510.11.3340</v>
          </cell>
          <cell r="G1">
            <v>2822.25</v>
          </cell>
        </row>
        <row r="2">
          <cell r="F2" t="str">
            <v>4510.13.3340</v>
          </cell>
          <cell r="G2">
            <v>8727.0900000000256</v>
          </cell>
        </row>
        <row r="3">
          <cell r="F3" t="str">
            <v>4510.16.3340</v>
          </cell>
          <cell r="G3">
            <v>11719.840000000026</v>
          </cell>
        </row>
        <row r="4">
          <cell r="F4" t="str">
            <v>4510.19.3340</v>
          </cell>
          <cell r="G4">
            <v>4253.5600000000013</v>
          </cell>
        </row>
        <row r="5">
          <cell r="F5" t="str">
            <v>4510.02.4261</v>
          </cell>
          <cell r="G5">
            <v>2151.0699999999997</v>
          </cell>
        </row>
        <row r="6">
          <cell r="F6" t="str">
            <v>4510.03.4261</v>
          </cell>
          <cell r="G6">
            <v>4116.04</v>
          </cell>
        </row>
        <row r="7">
          <cell r="F7" t="str">
            <v>4510.13.4261</v>
          </cell>
          <cell r="G7">
            <v>4521.3599999999997</v>
          </cell>
        </row>
        <row r="8">
          <cell r="F8" t="str">
            <v>4510.16.4261</v>
          </cell>
          <cell r="G8">
            <v>9044.3699999999953</v>
          </cell>
        </row>
        <row r="9">
          <cell r="F9" t="str">
            <v>1251.02.0000</v>
          </cell>
          <cell r="G9">
            <v>-2151.0699999999997</v>
          </cell>
        </row>
        <row r="10">
          <cell r="F10" t="str">
            <v>1251.03.0000</v>
          </cell>
          <cell r="G10">
            <v>-4116.04</v>
          </cell>
        </row>
        <row r="11">
          <cell r="F11" t="str">
            <v>1251.11.0000</v>
          </cell>
          <cell r="G11">
            <v>-2822.25</v>
          </cell>
        </row>
        <row r="12">
          <cell r="F12" t="str">
            <v>1251.13.0000</v>
          </cell>
          <cell r="G12">
            <v>-13248.450000000026</v>
          </cell>
        </row>
        <row r="13">
          <cell r="F13" t="str">
            <v>1251.16.0000</v>
          </cell>
          <cell r="G13">
            <v>-20764.210000000021</v>
          </cell>
        </row>
        <row r="14">
          <cell r="F14" t="str">
            <v>1251.19.0000</v>
          </cell>
          <cell r="G14">
            <v>-4253.5600000000013</v>
          </cell>
        </row>
      </sheetData>
      <sheetData sheetId="7" refreshError="1"/>
      <sheetData sheetId="8"/>
      <sheetData sheetId="9">
        <row r="23">
          <cell r="A23" t="str">
            <v>Combined</v>
          </cell>
        </row>
        <row r="24">
          <cell r="A24" t="str">
            <v>FC</v>
          </cell>
          <cell r="B24" t="str">
            <v>Description</v>
          </cell>
          <cell r="C24" t="str">
            <v>Gross Rev</v>
          </cell>
          <cell r="D24" t="str">
            <v>Net Rev</v>
          </cell>
          <cell r="E24" t="str">
            <v>Cont Allow.</v>
          </cell>
        </row>
        <row r="25">
          <cell r="A25" t="str">
            <v>02</v>
          </cell>
          <cell r="B25" t="str">
            <v>Blue Cross</v>
          </cell>
          <cell r="C25">
            <v>75351.78</v>
          </cell>
          <cell r="D25">
            <v>57347.029942857145</v>
          </cell>
          <cell r="E25">
            <v>-18004.750057142854</v>
          </cell>
        </row>
        <row r="26">
          <cell r="A26" t="str">
            <v>03</v>
          </cell>
          <cell r="B26" t="str">
            <v>Champus</v>
          </cell>
          <cell r="C26">
            <v>27942.730000000003</v>
          </cell>
          <cell r="D26">
            <v>19930.259999999998</v>
          </cell>
          <cell r="E26">
            <v>-8012.4700000000048</v>
          </cell>
        </row>
        <row r="27">
          <cell r="A27" t="str">
            <v>06</v>
          </cell>
          <cell r="B27" t="str">
            <v>Charity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08</v>
          </cell>
          <cell r="B28" t="str">
            <v>Manage Care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09</v>
          </cell>
          <cell r="B29" t="str">
            <v>Other 3rd Party</v>
          </cell>
          <cell r="C29">
            <v>4107.1400000000003</v>
          </cell>
          <cell r="D29">
            <v>3196</v>
          </cell>
          <cell r="E29">
            <v>-911.14000000000033</v>
          </cell>
        </row>
        <row r="30">
          <cell r="A30" t="str">
            <v>11</v>
          </cell>
          <cell r="B30" t="str">
            <v>County</v>
          </cell>
          <cell r="C30">
            <v>87481.24</v>
          </cell>
          <cell r="D30">
            <v>52480</v>
          </cell>
          <cell r="E30">
            <v>-35001.240000000005</v>
          </cell>
        </row>
        <row r="31">
          <cell r="A31" t="str">
            <v>13</v>
          </cell>
          <cell r="B31" t="str">
            <v>Medicare</v>
          </cell>
          <cell r="C31">
            <v>193409.13999999998</v>
          </cell>
          <cell r="D31">
            <v>142560</v>
          </cell>
          <cell r="E31">
            <v>-50849.139999999985</v>
          </cell>
        </row>
        <row r="32">
          <cell r="A32" t="str">
            <v>14</v>
          </cell>
          <cell r="B32" t="str">
            <v>MediCal</v>
          </cell>
          <cell r="C32">
            <v>247333.17</v>
          </cell>
          <cell r="D32">
            <v>143400</v>
          </cell>
          <cell r="E32">
            <v>-103933.17000000001</v>
          </cell>
        </row>
        <row r="33">
          <cell r="A33" t="str">
            <v>15</v>
          </cell>
          <cell r="B33" t="str">
            <v>Pending Elig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>16</v>
          </cell>
          <cell r="B34" t="str">
            <v>HMO/PPO</v>
          </cell>
          <cell r="C34">
            <v>204506.86</v>
          </cell>
          <cell r="D34">
            <v>148445.97485714286</v>
          </cell>
          <cell r="E34">
            <v>-56060.885142857122</v>
          </cell>
        </row>
        <row r="35">
          <cell r="A35" t="str">
            <v>19</v>
          </cell>
          <cell r="B35" t="str">
            <v>Self-Pay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>23</v>
          </cell>
          <cell r="B36" t="str">
            <v>Workers Comp</v>
          </cell>
          <cell r="C36">
            <v>15518.01</v>
          </cell>
          <cell r="D36">
            <v>11186</v>
          </cell>
          <cell r="E36">
            <v>-4332.01</v>
          </cell>
        </row>
        <row r="38">
          <cell r="B38" t="str">
            <v>Total</v>
          </cell>
          <cell r="C38">
            <v>855650.07000000007</v>
          </cell>
          <cell r="D38">
            <v>578545.2648</v>
          </cell>
          <cell r="E38">
            <v>-277104.80519999994</v>
          </cell>
        </row>
      </sheetData>
      <sheetData sheetId="10">
        <row r="158">
          <cell r="C158" t="str">
            <v>FC</v>
          </cell>
        </row>
      </sheetData>
      <sheetData sheetId="11">
        <row r="35">
          <cell r="B35" t="str">
            <v>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28">
          <cell r="C228" t="str">
            <v>FC</v>
          </cell>
        </row>
      </sheetData>
      <sheetData sheetId="20">
        <row r="42">
          <cell r="C42" t="str">
            <v>FC</v>
          </cell>
        </row>
      </sheetData>
      <sheetData sheetId="2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 refreshError="1"/>
      <sheetData sheetId="3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51.00.0000"/>
      <sheetName val="IMPFILE"/>
      <sheetName val="JE"/>
      <sheetName val="1-11nr"/>
      <sheetName val="IP 1-11"/>
      <sheetName val="PHP 01-11"/>
      <sheetName val="Import NR Adj"/>
      <sheetName val="JE NETREV Adj"/>
      <sheetName val="NETREV 201101"/>
      <sheetName val="12-10nr"/>
      <sheetName val="IP 12-2010"/>
      <sheetName val="PHP 12-2010"/>
      <sheetName val="11-10nr"/>
      <sheetName val="IP 11-2010"/>
      <sheetName val="PHP 11-2010"/>
      <sheetName val="10-10nr"/>
      <sheetName val="IP 10-2010"/>
      <sheetName val="PHP 10-2010"/>
      <sheetName val="9-10nr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/>
      <sheetData sheetId="1"/>
      <sheetData sheetId="2"/>
      <sheetData sheetId="3">
        <row r="24">
          <cell r="A24" t="str">
            <v>Unbilled Report Calculation</v>
          </cell>
        </row>
        <row r="25">
          <cell r="C25" t="str">
            <v>Cont</v>
          </cell>
          <cell r="D25" t="str">
            <v>Cont</v>
          </cell>
          <cell r="F25" t="str">
            <v>Cont</v>
          </cell>
          <cell r="G25" t="str">
            <v>Cont</v>
          </cell>
          <cell r="H25" t="str">
            <v>Cont</v>
          </cell>
        </row>
        <row r="26">
          <cell r="A26" t="str">
            <v>FC</v>
          </cell>
          <cell r="B26" t="str">
            <v>Description</v>
          </cell>
          <cell r="C26" t="str">
            <v>IP 3340</v>
          </cell>
          <cell r="D26" t="str">
            <v>IP 3360</v>
          </cell>
          <cell r="F26" t="str">
            <v>PHP 4261</v>
          </cell>
          <cell r="G26" t="str">
            <v>Total IP</v>
          </cell>
          <cell r="H26" t="str">
            <v>Grand Total</v>
          </cell>
        </row>
        <row r="27">
          <cell r="A27" t="str">
            <v>02</v>
          </cell>
          <cell r="B27" t="str">
            <v>Blue Cross</v>
          </cell>
          <cell r="C27">
            <v>85571.400000000023</v>
          </cell>
          <cell r="D27">
            <v>0</v>
          </cell>
          <cell r="F27">
            <v>3124.26</v>
          </cell>
          <cell r="G27">
            <v>85571.400000000023</v>
          </cell>
          <cell r="H27">
            <v>88695.660000000018</v>
          </cell>
        </row>
        <row r="28">
          <cell r="A28" t="str">
            <v>03</v>
          </cell>
          <cell r="B28" t="str">
            <v>Champus</v>
          </cell>
          <cell r="C28">
            <v>7102.4</v>
          </cell>
          <cell r="D28">
            <v>0</v>
          </cell>
          <cell r="F28">
            <v>5247.36</v>
          </cell>
          <cell r="G28">
            <v>7102.4</v>
          </cell>
          <cell r="H28">
            <v>12349.759999999998</v>
          </cell>
        </row>
        <row r="29">
          <cell r="A29" t="str">
            <v>06</v>
          </cell>
          <cell r="B29" t="str">
            <v>Charity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08</v>
          </cell>
          <cell r="B30" t="str">
            <v>Manage Care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09</v>
          </cell>
          <cell r="B31" t="str">
            <v>Other 3rd Party</v>
          </cell>
          <cell r="C31">
            <v>2954.66</v>
          </cell>
          <cell r="D31">
            <v>0</v>
          </cell>
          <cell r="F31">
            <v>2092.2600000000002</v>
          </cell>
          <cell r="G31">
            <v>2954.66</v>
          </cell>
          <cell r="H31">
            <v>5046.92</v>
          </cell>
        </row>
        <row r="32">
          <cell r="A32" t="str">
            <v>11</v>
          </cell>
          <cell r="B32" t="str">
            <v>County</v>
          </cell>
          <cell r="C32">
            <v>51694.149999999994</v>
          </cell>
          <cell r="D32">
            <v>0</v>
          </cell>
          <cell r="F32">
            <v>0</v>
          </cell>
          <cell r="G32">
            <v>51694.149999999994</v>
          </cell>
          <cell r="H32">
            <v>51694.149999999994</v>
          </cell>
        </row>
        <row r="33">
          <cell r="A33" t="str">
            <v>13</v>
          </cell>
          <cell r="B33" t="str">
            <v>Medicare</v>
          </cell>
          <cell r="C33">
            <v>155707.18769525591</v>
          </cell>
          <cell r="D33">
            <v>0</v>
          </cell>
          <cell r="F33">
            <v>0</v>
          </cell>
          <cell r="G33">
            <v>155707.18769525591</v>
          </cell>
          <cell r="H33">
            <v>155707.18769525591</v>
          </cell>
        </row>
        <row r="34">
          <cell r="A34" t="str">
            <v>14</v>
          </cell>
          <cell r="B34" t="str">
            <v>MediCal</v>
          </cell>
          <cell r="C34">
            <v>0</v>
          </cell>
          <cell r="D34">
            <v>163763.71999999991</v>
          </cell>
          <cell r="F34">
            <v>0</v>
          </cell>
          <cell r="G34">
            <v>163763.71999999991</v>
          </cell>
          <cell r="H34">
            <v>163763.71999999991</v>
          </cell>
        </row>
        <row r="35">
          <cell r="A35" t="str">
            <v>15</v>
          </cell>
          <cell r="B35" t="str">
            <v>Pending Elig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16</v>
          </cell>
          <cell r="B36" t="str">
            <v>HMO/PPO</v>
          </cell>
          <cell r="C36">
            <v>181105.02000000005</v>
          </cell>
          <cell r="D36">
            <v>0</v>
          </cell>
          <cell r="F36">
            <v>15680.080000000002</v>
          </cell>
          <cell r="G36">
            <v>181105.02000000005</v>
          </cell>
          <cell r="H36">
            <v>196785.10000000003</v>
          </cell>
        </row>
        <row r="37">
          <cell r="A37" t="str">
            <v>19</v>
          </cell>
          <cell r="B37" t="str">
            <v>Self-Pay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23</v>
          </cell>
          <cell r="B38" t="str">
            <v>Workers Comp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</row>
        <row r="40">
          <cell r="B40" t="str">
            <v>Total</v>
          </cell>
          <cell r="C40">
            <v>484134.81769525597</v>
          </cell>
          <cell r="D40">
            <v>163763.71999999991</v>
          </cell>
          <cell r="F40">
            <v>26143.96</v>
          </cell>
          <cell r="G40">
            <v>647898.53769525595</v>
          </cell>
          <cell r="H40">
            <v>674042.49769525579</v>
          </cell>
        </row>
      </sheetData>
      <sheetData sheetId="4"/>
      <sheetData sheetId="5"/>
      <sheetData sheetId="6">
        <row r="1">
          <cell r="F1" t="str">
            <v>4510.11.3340</v>
          </cell>
        </row>
      </sheetData>
      <sheetData sheetId="7"/>
      <sheetData sheetId="8"/>
      <sheetData sheetId="9">
        <row r="23">
          <cell r="A23" t="str">
            <v>Combined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 Chart of Accounts"/>
      <sheetName val="All"/>
    </sheetNames>
    <sheetDataSet>
      <sheetData sheetId="0" refreshError="1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&amp;RP Balances"/>
      <sheetName val="Values"/>
      <sheetName val="IC&amp;RP Balances1"/>
    </sheet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"/>
      <sheetName val="Payment"/>
    </sheetNames>
    <sheetDataSet>
      <sheetData sheetId="0">
        <row r="10">
          <cell r="D10" t="str">
            <v>Monthly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County Contract"/>
      <sheetName val="Balance Sheet"/>
      <sheetName val="Import"/>
      <sheetName val="JE"/>
      <sheetName val="unbilled 11-2010"/>
      <sheetName val="IP"/>
      <sheetName val="Residential"/>
      <sheetName val="PHP"/>
      <sheetName val="IOP"/>
      <sheetName val="unbilled 10-2010"/>
      <sheetName val="unbilled 9-2010"/>
      <sheetName val="unbilled 8-2010 "/>
      <sheetName val="IP 08-10"/>
      <sheetName val="IOP 08-10"/>
      <sheetName val="RTC 08-10"/>
      <sheetName val="PHP 08-10"/>
      <sheetName val="unbilled 7-2010"/>
      <sheetName val="IP 07-10"/>
      <sheetName val="RTC 07-10"/>
      <sheetName val="IOP 07-10"/>
      <sheetName val="PHP 07-10"/>
      <sheetName val="unbilled 6-2010"/>
      <sheetName val="IP 06-10"/>
      <sheetName val="RTC 06-10"/>
      <sheetName val="IOP 06-10"/>
      <sheetName val="PHP 06-10"/>
      <sheetName val="unbilled 5-2010"/>
      <sheetName val="IP 5-2010"/>
      <sheetName val="RTC 5-2010"/>
      <sheetName val="IOP 5-2010"/>
      <sheetName val="PHP 5-2010"/>
      <sheetName val="unbilled 4-2010"/>
      <sheetName val="IP 04-10"/>
      <sheetName val="RTC 04-10"/>
      <sheetName val="PHP 04-10"/>
      <sheetName val="IOP 04-10"/>
      <sheetName val="unbilled 3-2010 "/>
      <sheetName val="IP 03-10"/>
      <sheetName val="RTC 03-10"/>
      <sheetName val="PHP 03-10"/>
      <sheetName val="IOP 03-10"/>
      <sheetName val="County"/>
      <sheetName val="unbilled 2-2010 "/>
      <sheetName val="IP 2-2010"/>
      <sheetName val="RTC 2-2010"/>
      <sheetName val="PHP 2-2010"/>
      <sheetName val="IOP 2-2010"/>
      <sheetName val="unbilled 1-2010 (2)"/>
      <sheetName val="IP 01-10"/>
      <sheetName val="RTC 01-10"/>
      <sheetName val="IOP 01-10"/>
      <sheetName val="PHP 01-10"/>
      <sheetName val="unbilled 12-2009"/>
      <sheetName val="IP 12-09"/>
      <sheetName val="RTC 12-09"/>
      <sheetName val="PHP 12-09"/>
      <sheetName val="IOP 12-09"/>
      <sheetName val="unbilled 11-2009 "/>
      <sheetName val="IP 11-30"/>
      <sheetName val="RTC 11-30"/>
      <sheetName val="IOP 11-30"/>
      <sheetName val="PHP 11-30"/>
      <sheetName val="unbilled 10-2009 (2)"/>
      <sheetName val="IP 10-2009"/>
      <sheetName val="RTC 10-2009"/>
      <sheetName val="IOP 10-2009"/>
      <sheetName val="PHP 10-2009"/>
      <sheetName val="unbilled 9-2009"/>
      <sheetName val="IP 09-09"/>
      <sheetName val="RTC 09-09"/>
      <sheetName val="OP 09-09"/>
      <sheetName val="unbilled 8-2009 (2)"/>
      <sheetName val="IP 08-09"/>
      <sheetName val="RTC"/>
      <sheetName val="OP"/>
      <sheetName val="unbilled 7-2009"/>
      <sheetName val="unbilled 6-2009"/>
      <sheetName val="unbilled 5-2009"/>
      <sheetName val="unbilled 4-2009"/>
      <sheetName val="unbilled 2-2009"/>
      <sheetName val="unbilled 1-2009"/>
      <sheetName val="unbilled 12-2008"/>
      <sheetName val="unbilled 11-2008"/>
      <sheetName val="unbilled 10-2008"/>
      <sheetName val="Sheet2"/>
      <sheetName val="Sheet3"/>
    </sheetNames>
    <sheetDataSet>
      <sheetData sheetId="0"/>
      <sheetData sheetId="1"/>
      <sheetData sheetId="2"/>
      <sheetData sheetId="3"/>
      <sheetData sheetId="4">
        <row r="5">
          <cell r="B5" t="str">
            <v>CODE</v>
          </cell>
          <cell r="C5" t="str">
            <v>UNBILLED IP</v>
          </cell>
          <cell r="D5" t="str">
            <v>DAYS</v>
          </cell>
          <cell r="E5" t="str">
            <v>RATE</v>
          </cell>
          <cell r="F5" t="str">
            <v>NR</v>
          </cell>
          <cell r="G5" t="str">
            <v>EST.CONT-IP</v>
          </cell>
          <cell r="I5" t="str">
            <v>UNBILLED RTC</v>
          </cell>
          <cell r="J5" t="str">
            <v>DAYS</v>
          </cell>
          <cell r="K5" t="str">
            <v>RATE</v>
          </cell>
          <cell r="L5" t="str">
            <v>NR</v>
          </cell>
          <cell r="M5" t="str">
            <v>EST.CONT-RTC</v>
          </cell>
          <cell r="O5" t="str">
            <v>UNBILLED PHP</v>
          </cell>
          <cell r="P5" t="str">
            <v>VISITS</v>
          </cell>
          <cell r="Q5" t="str">
            <v>Rate</v>
          </cell>
          <cell r="R5" t="str">
            <v>CONT-OP</v>
          </cell>
          <cell r="T5" t="str">
            <v>UNBILLED IOP</v>
          </cell>
          <cell r="U5" t="str">
            <v>VISITS</v>
          </cell>
          <cell r="V5" t="str">
            <v>Rate</v>
          </cell>
          <cell r="W5" t="str">
            <v>CONT-OP</v>
          </cell>
          <cell r="Y5" t="str">
            <v>CONT</v>
          </cell>
        </row>
        <row r="6">
          <cell r="B6">
            <v>2</v>
          </cell>
          <cell r="C6">
            <v>81313.88</v>
          </cell>
          <cell r="D6">
            <v>79</v>
          </cell>
          <cell r="E6">
            <v>700</v>
          </cell>
          <cell r="F6">
            <v>55300</v>
          </cell>
          <cell r="G6">
            <v>26013.880000000005</v>
          </cell>
          <cell r="I6">
            <v>9100</v>
          </cell>
          <cell r="J6">
            <v>13</v>
          </cell>
          <cell r="K6">
            <v>450</v>
          </cell>
          <cell r="L6">
            <v>5850</v>
          </cell>
          <cell r="M6">
            <v>3250</v>
          </cell>
          <cell r="O6">
            <v>6780</v>
          </cell>
          <cell r="P6">
            <v>16.95</v>
          </cell>
          <cell r="Q6">
            <v>82</v>
          </cell>
          <cell r="R6">
            <v>1389.8999999999999</v>
          </cell>
          <cell r="T6">
            <v>21200</v>
          </cell>
          <cell r="U6">
            <v>70.666666666666671</v>
          </cell>
          <cell r="V6">
            <v>125</v>
          </cell>
          <cell r="W6">
            <v>8833.3333333333339</v>
          </cell>
          <cell r="Y6">
            <v>39487.113333333342</v>
          </cell>
        </row>
        <row r="7">
          <cell r="B7">
            <v>3</v>
          </cell>
          <cell r="C7">
            <v>0</v>
          </cell>
          <cell r="D7">
            <v>0</v>
          </cell>
          <cell r="E7">
            <v>889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500</v>
          </cell>
          <cell r="L7">
            <v>0</v>
          </cell>
          <cell r="M7">
            <v>0</v>
          </cell>
          <cell r="O7">
            <v>280</v>
          </cell>
          <cell r="P7">
            <v>0.7</v>
          </cell>
          <cell r="Q7">
            <v>150</v>
          </cell>
          <cell r="R7">
            <v>105</v>
          </cell>
          <cell r="T7">
            <v>0</v>
          </cell>
          <cell r="U7">
            <v>0</v>
          </cell>
          <cell r="V7">
            <v>150</v>
          </cell>
          <cell r="W7">
            <v>0</v>
          </cell>
          <cell r="Y7">
            <v>105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543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150</v>
          </cell>
          <cell r="R8">
            <v>0</v>
          </cell>
          <cell r="T8">
            <v>0</v>
          </cell>
          <cell r="U8">
            <v>0</v>
          </cell>
          <cell r="V8">
            <v>150</v>
          </cell>
          <cell r="W8">
            <v>0</v>
          </cell>
          <cell r="Y8">
            <v>0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150</v>
          </cell>
          <cell r="R9">
            <v>0</v>
          </cell>
          <cell r="T9">
            <v>0</v>
          </cell>
          <cell r="U9">
            <v>0</v>
          </cell>
          <cell r="V9">
            <v>150</v>
          </cell>
          <cell r="W9">
            <v>0</v>
          </cell>
          <cell r="Y9">
            <v>0</v>
          </cell>
        </row>
        <row r="10">
          <cell r="B10">
            <v>8</v>
          </cell>
          <cell r="C10">
            <v>39571.22</v>
          </cell>
          <cell r="D10">
            <v>38</v>
          </cell>
          <cell r="E10">
            <v>635</v>
          </cell>
          <cell r="F10">
            <v>24130</v>
          </cell>
          <cell r="G10">
            <v>15441.220000000001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125</v>
          </cell>
          <cell r="R10">
            <v>0</v>
          </cell>
          <cell r="T10">
            <v>805</v>
          </cell>
          <cell r="U10">
            <v>2.6833333333333331</v>
          </cell>
          <cell r="V10">
            <v>100</v>
          </cell>
          <cell r="W10">
            <v>268.33333333333331</v>
          </cell>
          <cell r="Y10">
            <v>15709.553333333335</v>
          </cell>
        </row>
        <row r="11">
          <cell r="B11">
            <v>9</v>
          </cell>
          <cell r="C11">
            <v>0</v>
          </cell>
          <cell r="D11">
            <v>0</v>
          </cell>
          <cell r="E11">
            <v>550</v>
          </cell>
          <cell r="F11">
            <v>0</v>
          </cell>
          <cell r="G11">
            <v>0</v>
          </cell>
          <cell r="I11">
            <v>18900</v>
          </cell>
          <cell r="J11">
            <v>27</v>
          </cell>
          <cell r="K11">
            <v>0</v>
          </cell>
          <cell r="L11">
            <v>0</v>
          </cell>
          <cell r="M11">
            <v>18900</v>
          </cell>
          <cell r="O11">
            <v>0</v>
          </cell>
          <cell r="P11">
            <v>0</v>
          </cell>
          <cell r="Q11">
            <v>150</v>
          </cell>
          <cell r="R11">
            <v>0</v>
          </cell>
          <cell r="T11">
            <v>0</v>
          </cell>
          <cell r="U11">
            <v>0</v>
          </cell>
          <cell r="V11">
            <v>150</v>
          </cell>
          <cell r="W11">
            <v>0</v>
          </cell>
          <cell r="Y11">
            <v>18900</v>
          </cell>
        </row>
        <row r="12">
          <cell r="B12">
            <v>11</v>
          </cell>
          <cell r="C12">
            <v>168032.09999999998</v>
          </cell>
          <cell r="D12">
            <v>162</v>
          </cell>
          <cell r="E12">
            <v>570</v>
          </cell>
          <cell r="F12">
            <v>92340</v>
          </cell>
          <cell r="G12">
            <v>75692.099999999977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150</v>
          </cell>
          <cell r="R12">
            <v>0</v>
          </cell>
          <cell r="T12">
            <v>0</v>
          </cell>
          <cell r="U12">
            <v>0</v>
          </cell>
          <cell r="V12">
            <v>150</v>
          </cell>
          <cell r="W12">
            <v>0</v>
          </cell>
          <cell r="Y12">
            <v>75692.099999999977</v>
          </cell>
        </row>
        <row r="13">
          <cell r="B13">
            <v>13</v>
          </cell>
          <cell r="C13">
            <v>642492.14000000013</v>
          </cell>
          <cell r="D13">
            <v>613</v>
          </cell>
          <cell r="E13">
            <v>800</v>
          </cell>
          <cell r="F13">
            <v>490400</v>
          </cell>
          <cell r="G13">
            <v>152092.14000000013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12690</v>
          </cell>
          <cell r="P13">
            <v>31.725000000000001</v>
          </cell>
          <cell r="Q13">
            <v>190</v>
          </cell>
          <cell r="R13">
            <v>6027.75</v>
          </cell>
          <cell r="T13">
            <v>40330</v>
          </cell>
          <cell r="U13">
            <v>134.43333333333334</v>
          </cell>
          <cell r="V13">
            <v>103</v>
          </cell>
          <cell r="W13">
            <v>13846.633333333333</v>
          </cell>
          <cell r="Y13">
            <v>171966.52333333346</v>
          </cell>
        </row>
        <row r="14">
          <cell r="B14">
            <v>14</v>
          </cell>
          <cell r="C14">
            <v>291953.10000000003</v>
          </cell>
          <cell r="D14">
            <v>284</v>
          </cell>
          <cell r="E14">
            <v>627</v>
          </cell>
          <cell r="F14">
            <v>178068</v>
          </cell>
          <cell r="G14">
            <v>113885.10000000003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150</v>
          </cell>
          <cell r="R14">
            <v>0</v>
          </cell>
          <cell r="T14">
            <v>0</v>
          </cell>
          <cell r="U14">
            <v>0</v>
          </cell>
          <cell r="V14">
            <v>150</v>
          </cell>
          <cell r="W14">
            <v>0</v>
          </cell>
          <cell r="Y14">
            <v>113885.10000000003</v>
          </cell>
        </row>
        <row r="15">
          <cell r="B15">
            <v>15</v>
          </cell>
          <cell r="C15">
            <v>0</v>
          </cell>
          <cell r="D15">
            <v>0</v>
          </cell>
          <cell r="E15">
            <v>570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150</v>
          </cell>
          <cell r="R15">
            <v>0</v>
          </cell>
          <cell r="T15">
            <v>0</v>
          </cell>
          <cell r="U15">
            <v>0</v>
          </cell>
          <cell r="V15">
            <v>150</v>
          </cell>
          <cell r="W15">
            <v>0</v>
          </cell>
          <cell r="Y15">
            <v>0</v>
          </cell>
        </row>
        <row r="16">
          <cell r="B16">
            <v>16</v>
          </cell>
          <cell r="C16">
            <v>254300.99</v>
          </cell>
          <cell r="D16">
            <v>243</v>
          </cell>
          <cell r="E16">
            <v>726</v>
          </cell>
          <cell r="F16">
            <v>176418</v>
          </cell>
          <cell r="G16">
            <v>77882.989999999991</v>
          </cell>
          <cell r="I16">
            <v>66550.75</v>
          </cell>
          <cell r="J16">
            <v>95</v>
          </cell>
          <cell r="K16">
            <v>448</v>
          </cell>
          <cell r="L16">
            <v>42560</v>
          </cell>
          <cell r="M16">
            <v>23990.75</v>
          </cell>
          <cell r="O16">
            <v>12740</v>
          </cell>
          <cell r="P16">
            <v>31.85</v>
          </cell>
          <cell r="Q16">
            <v>82</v>
          </cell>
          <cell r="R16">
            <v>2611.7000000000003</v>
          </cell>
          <cell r="T16">
            <v>88800</v>
          </cell>
          <cell r="U16">
            <v>296</v>
          </cell>
          <cell r="V16">
            <v>143</v>
          </cell>
          <cell r="W16">
            <v>42328</v>
          </cell>
          <cell r="Y16">
            <v>146813.44</v>
          </cell>
        </row>
        <row r="17">
          <cell r="B17">
            <v>19</v>
          </cell>
          <cell r="C17">
            <v>4273.2</v>
          </cell>
          <cell r="D17">
            <v>4</v>
          </cell>
          <cell r="E17">
            <v>850</v>
          </cell>
          <cell r="F17">
            <v>3400</v>
          </cell>
          <cell r="G17">
            <v>873.19999999999982</v>
          </cell>
          <cell r="I17">
            <v>13300</v>
          </cell>
          <cell r="J17">
            <v>19</v>
          </cell>
          <cell r="K17">
            <v>450</v>
          </cell>
          <cell r="L17">
            <v>8550</v>
          </cell>
          <cell r="M17">
            <v>4750</v>
          </cell>
          <cell r="O17">
            <v>0</v>
          </cell>
          <cell r="P17">
            <v>0</v>
          </cell>
          <cell r="Q17">
            <v>150</v>
          </cell>
          <cell r="R17">
            <v>0</v>
          </cell>
          <cell r="T17">
            <v>1930</v>
          </cell>
          <cell r="U17">
            <v>6.4333333333333336</v>
          </cell>
          <cell r="V17">
            <v>56</v>
          </cell>
          <cell r="W17">
            <v>360.26666666666665</v>
          </cell>
          <cell r="Y17">
            <v>5983.4666666666662</v>
          </cell>
        </row>
        <row r="18">
          <cell r="B18">
            <v>23</v>
          </cell>
          <cell r="C18">
            <v>0</v>
          </cell>
          <cell r="D18">
            <v>0</v>
          </cell>
          <cell r="E18">
            <v>575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5280</v>
          </cell>
          <cell r="P18">
            <v>13.2</v>
          </cell>
          <cell r="Q18">
            <v>150</v>
          </cell>
          <cell r="R18">
            <v>1980</v>
          </cell>
          <cell r="T18">
            <v>0</v>
          </cell>
          <cell r="U18">
            <v>0</v>
          </cell>
          <cell r="V18">
            <v>150</v>
          </cell>
          <cell r="W18">
            <v>0</v>
          </cell>
          <cell r="Y18">
            <v>1980</v>
          </cell>
        </row>
        <row r="19">
          <cell r="B19">
            <v>0</v>
          </cell>
          <cell r="C19">
            <v>1481936.6300000001</v>
          </cell>
          <cell r="D19">
            <v>1423</v>
          </cell>
          <cell r="F19">
            <v>1020056</v>
          </cell>
          <cell r="G19">
            <v>461880.63000000012</v>
          </cell>
          <cell r="I19">
            <v>107850.75</v>
          </cell>
          <cell r="J19">
            <v>154</v>
          </cell>
          <cell r="L19">
            <v>56960</v>
          </cell>
          <cell r="M19">
            <v>50890.75</v>
          </cell>
          <cell r="O19">
            <v>37770</v>
          </cell>
          <cell r="P19">
            <v>94.424999999999997</v>
          </cell>
          <cell r="R19">
            <v>12114.35</v>
          </cell>
          <cell r="T19">
            <v>153065</v>
          </cell>
          <cell r="U19">
            <v>510.2166666666667</v>
          </cell>
          <cell r="W19">
            <v>65636.566666666666</v>
          </cell>
          <cell r="Y19">
            <v>590522.29666666687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JE Import"/>
      <sheetName val="JE"/>
      <sheetName val="AR Aging By GL_Date By FC"/>
      <sheetName val="AR"/>
      <sheetName val="AR Credit Balance 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Description</v>
          </cell>
          <cell r="B5" t="str">
            <v>0 - 30</v>
          </cell>
          <cell r="C5" t="str">
            <v>31 - 60</v>
          </cell>
          <cell r="D5" t="str">
            <v>61 - 90</v>
          </cell>
          <cell r="E5" t="str">
            <v>91 - 120</v>
          </cell>
          <cell r="F5" t="str">
            <v>121 - 150</v>
          </cell>
          <cell r="G5" t="str">
            <v>151 - 180</v>
          </cell>
          <cell r="H5" t="str">
            <v>181 - 210</v>
          </cell>
          <cell r="I5" t="str">
            <v>211 - 240</v>
          </cell>
          <cell r="J5" t="str">
            <v>241 - 270</v>
          </cell>
          <cell r="K5" t="str">
            <v>271 - 300</v>
          </cell>
          <cell r="L5" t="str">
            <v>Over 300</v>
          </cell>
          <cell r="M5" t="str">
            <v>Total</v>
          </cell>
        </row>
        <row r="6">
          <cell r="A6" t="str">
            <v>2 BLUE CROSS</v>
          </cell>
          <cell r="B6">
            <v>-2914</v>
          </cell>
          <cell r="C6">
            <v>-1560</v>
          </cell>
          <cell r="D6">
            <v>-5039.66</v>
          </cell>
          <cell r="E6">
            <v>0</v>
          </cell>
          <cell r="F6">
            <v>0</v>
          </cell>
          <cell r="G6">
            <v>0</v>
          </cell>
          <cell r="H6">
            <v>-120.03</v>
          </cell>
          <cell r="I6">
            <v>-2659.23</v>
          </cell>
          <cell r="J6">
            <v>0</v>
          </cell>
          <cell r="K6">
            <v>-3678</v>
          </cell>
          <cell r="L6">
            <v>-11330.27</v>
          </cell>
          <cell r="M6">
            <v>-27301.19</v>
          </cell>
        </row>
        <row r="7">
          <cell r="A7" t="str">
            <v>3 TRICARE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-2768</v>
          </cell>
          <cell r="K7">
            <v>0</v>
          </cell>
          <cell r="L7">
            <v>0</v>
          </cell>
          <cell r="M7">
            <v>-2768</v>
          </cell>
        </row>
        <row r="8">
          <cell r="A8" t="str">
            <v>8 MEDICARE HMO</v>
          </cell>
          <cell r="B8">
            <v>0</v>
          </cell>
          <cell r="C8">
            <v>0</v>
          </cell>
          <cell r="D8">
            <v>-1911.83</v>
          </cell>
          <cell r="E8">
            <v>0</v>
          </cell>
          <cell r="F8">
            <v>-1530.92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-1300</v>
          </cell>
          <cell r="L8">
            <v>0</v>
          </cell>
          <cell r="M8">
            <v>-4742.75</v>
          </cell>
        </row>
        <row r="9">
          <cell r="A9" t="str">
            <v>9 COMMERCIAL</v>
          </cell>
          <cell r="B9">
            <v>0</v>
          </cell>
          <cell r="C9">
            <v>0</v>
          </cell>
          <cell r="D9">
            <v>1858.79</v>
          </cell>
          <cell r="E9">
            <v>0</v>
          </cell>
          <cell r="F9">
            <v>0</v>
          </cell>
          <cell r="G9">
            <v>-1750</v>
          </cell>
          <cell r="H9">
            <v>-1942.19</v>
          </cell>
          <cell r="I9">
            <v>0</v>
          </cell>
          <cell r="J9">
            <v>0</v>
          </cell>
          <cell r="K9">
            <v>0</v>
          </cell>
          <cell r="L9">
            <v>-12.36</v>
          </cell>
          <cell r="M9">
            <v>-1845.76</v>
          </cell>
        </row>
        <row r="10">
          <cell r="A10" t="str">
            <v>11 COUNTY</v>
          </cell>
          <cell r="B10">
            <v>0</v>
          </cell>
          <cell r="C10">
            <v>0</v>
          </cell>
          <cell r="D10">
            <v>-1636.11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-33490.870000000003</v>
          </cell>
          <cell r="M10">
            <v>-35126.980000000003</v>
          </cell>
        </row>
        <row r="11">
          <cell r="A11" t="str">
            <v>13 MEDICARE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403.76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-1189.8399999999999</v>
          </cell>
          <cell r="M11">
            <v>-786.08</v>
          </cell>
        </row>
        <row r="12">
          <cell r="A12" t="str">
            <v>14 MEDICAID</v>
          </cell>
          <cell r="B12">
            <v>0</v>
          </cell>
          <cell r="C12">
            <v>-778</v>
          </cell>
          <cell r="D12">
            <v>0</v>
          </cell>
          <cell r="E12">
            <v>0</v>
          </cell>
          <cell r="F12">
            <v>-4102</v>
          </cell>
          <cell r="G12">
            <v>-4400</v>
          </cell>
          <cell r="H12">
            <v>-2200</v>
          </cell>
          <cell r="I12">
            <v>0</v>
          </cell>
          <cell r="J12">
            <v>0</v>
          </cell>
          <cell r="K12">
            <v>0</v>
          </cell>
          <cell r="L12">
            <v>-5061.6000000000004</v>
          </cell>
          <cell r="M12">
            <v>-16541.599999999999</v>
          </cell>
        </row>
        <row r="13">
          <cell r="A13" t="str">
            <v>16 HMO/PPO</v>
          </cell>
          <cell r="B13">
            <v>-3329.97</v>
          </cell>
          <cell r="C13">
            <v>1317.42</v>
          </cell>
          <cell r="D13">
            <v>-6567.89</v>
          </cell>
          <cell r="E13">
            <v>-12344.48</v>
          </cell>
          <cell r="F13">
            <v>-6029.43</v>
          </cell>
          <cell r="G13">
            <v>-25380</v>
          </cell>
          <cell r="H13">
            <v>-595.85</v>
          </cell>
          <cell r="I13">
            <v>-2207</v>
          </cell>
          <cell r="J13">
            <v>-86.25</v>
          </cell>
          <cell r="K13">
            <v>-850</v>
          </cell>
          <cell r="L13">
            <v>-22503.68</v>
          </cell>
          <cell r="M13">
            <v>-78577.13</v>
          </cell>
        </row>
        <row r="14">
          <cell r="A14" t="str">
            <v>19 SELF-PAY</v>
          </cell>
          <cell r="B14">
            <v>-2890.02</v>
          </cell>
          <cell r="C14">
            <v>-9255.59</v>
          </cell>
          <cell r="D14">
            <v>-11243.28</v>
          </cell>
          <cell r="E14">
            <v>-1485.34</v>
          </cell>
          <cell r="F14">
            <v>-8171.91</v>
          </cell>
          <cell r="G14">
            <v>-7361.42</v>
          </cell>
          <cell r="H14">
            <v>-5956.22</v>
          </cell>
          <cell r="I14">
            <v>-11328.7</v>
          </cell>
          <cell r="J14">
            <v>-9038.2900000000009</v>
          </cell>
          <cell r="K14">
            <v>-8578.1299999999992</v>
          </cell>
          <cell r="L14">
            <v>-149337.32999999999</v>
          </cell>
          <cell r="M14">
            <v>-224646.23</v>
          </cell>
        </row>
        <row r="15">
          <cell r="A15" t="str">
            <v>Total</v>
          </cell>
          <cell r="B15">
            <v>-9133.99</v>
          </cell>
          <cell r="C15">
            <v>-10276.17</v>
          </cell>
          <cell r="D15">
            <v>-24539.98</v>
          </cell>
          <cell r="E15">
            <v>-13829.82</v>
          </cell>
          <cell r="F15">
            <v>-19834.259999999998</v>
          </cell>
          <cell r="G15">
            <v>-38487.660000000003</v>
          </cell>
          <cell r="H15">
            <v>-10814.29</v>
          </cell>
          <cell r="I15">
            <v>-16194.93</v>
          </cell>
          <cell r="J15">
            <v>-11892.54</v>
          </cell>
          <cell r="K15">
            <v>-14406.13</v>
          </cell>
          <cell r="L15">
            <v>-222925.95</v>
          </cell>
          <cell r="M15">
            <v>-392335.72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02"/>
      <sheetName val="JE Import"/>
      <sheetName val="JE"/>
      <sheetName val="AR"/>
      <sheetName val="AR Aging By GL_Date By FC"/>
      <sheetName val="CR BalAR Aging By GL_Date By FC"/>
      <sheetName val="AR Aging By GL_Date By FC (2)"/>
      <sheetName val="Sheet1"/>
    </sheetNames>
    <sheetDataSet>
      <sheetData sheetId="0"/>
      <sheetData sheetId="1"/>
      <sheetData sheetId="2"/>
      <sheetData sheetId="3"/>
      <sheetData sheetId="4">
        <row r="32">
          <cell r="A32" t="str">
            <v>FC</v>
          </cell>
          <cell r="B32" t="str">
            <v>Desc</v>
          </cell>
          <cell r="C32" t="str">
            <v>0 - 30</v>
          </cell>
          <cell r="D32" t="str">
            <v>31 - 60</v>
          </cell>
          <cell r="E32" t="str">
            <v>61 - 90</v>
          </cell>
          <cell r="F32" t="str">
            <v>91 - 120</v>
          </cell>
          <cell r="G32" t="str">
            <v>121 - 150</v>
          </cell>
          <cell r="H32" t="str">
            <v>151 - 180</v>
          </cell>
          <cell r="I32" t="str">
            <v>181 - 210</v>
          </cell>
          <cell r="J32" t="str">
            <v>211 - 240</v>
          </cell>
          <cell r="K32" t="str">
            <v>241 - 270</v>
          </cell>
          <cell r="L32" t="str">
            <v>271 - 300</v>
          </cell>
          <cell r="M32" t="str">
            <v>Over 300</v>
          </cell>
          <cell r="N32" t="str">
            <v>Total</v>
          </cell>
        </row>
        <row r="33">
          <cell r="A33" t="str">
            <v>02</v>
          </cell>
          <cell r="B33" t="str">
            <v>BLUE CROSS</v>
          </cell>
          <cell r="C33">
            <v>342.4</v>
          </cell>
          <cell r="D33">
            <v>1869.08</v>
          </cell>
          <cell r="E33">
            <v>0</v>
          </cell>
          <cell r="F33">
            <v>-4460.03</v>
          </cell>
          <cell r="G33">
            <v>0</v>
          </cell>
          <cell r="H33">
            <v>0</v>
          </cell>
          <cell r="I33">
            <v>-3325.67</v>
          </cell>
          <cell r="J33">
            <v>0</v>
          </cell>
          <cell r="K33">
            <v>0</v>
          </cell>
          <cell r="L33">
            <v>-4244.3999999999996</v>
          </cell>
          <cell r="M33">
            <v>-8769.67</v>
          </cell>
          <cell r="N33">
            <v>-18588.29</v>
          </cell>
        </row>
        <row r="34">
          <cell r="A34" t="str">
            <v>03</v>
          </cell>
          <cell r="B34" t="str">
            <v>TRICARE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-2341.56</v>
          </cell>
          <cell r="N34">
            <v>-2341.56</v>
          </cell>
        </row>
        <row r="35">
          <cell r="A35" t="str">
            <v>09</v>
          </cell>
          <cell r="B35" t="str">
            <v>COMMERCIAL</v>
          </cell>
          <cell r="C35">
            <v>0</v>
          </cell>
          <cell r="D35">
            <v>452.5</v>
          </cell>
          <cell r="E35">
            <v>0</v>
          </cell>
          <cell r="F35">
            <v>-100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-12862.22</v>
          </cell>
          <cell r="N35">
            <v>-12509.72</v>
          </cell>
        </row>
        <row r="36">
          <cell r="A36" t="str">
            <v>11</v>
          </cell>
          <cell r="B36" t="str">
            <v>COUNTY</v>
          </cell>
          <cell r="C36">
            <v>0</v>
          </cell>
          <cell r="D36">
            <v>0</v>
          </cell>
          <cell r="E36">
            <v>-1300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-23578.16</v>
          </cell>
          <cell r="N36">
            <v>-24878.16</v>
          </cell>
        </row>
        <row r="37">
          <cell r="A37" t="str">
            <v>13</v>
          </cell>
          <cell r="B37" t="str">
            <v>MEDICARE MUTUAL</v>
          </cell>
          <cell r="C37">
            <v>-2020.9</v>
          </cell>
          <cell r="D37">
            <v>-401.49</v>
          </cell>
          <cell r="E37">
            <v>-861.64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-3284.03</v>
          </cell>
        </row>
        <row r="38">
          <cell r="A38" t="str">
            <v>14</v>
          </cell>
          <cell r="B38" t="str">
            <v>MEDICAID</v>
          </cell>
          <cell r="C38">
            <v>1100</v>
          </cell>
          <cell r="D38">
            <v>0</v>
          </cell>
          <cell r="E38">
            <v>-1100</v>
          </cell>
          <cell r="F38">
            <v>0</v>
          </cell>
          <cell r="G38">
            <v>-550</v>
          </cell>
          <cell r="H38">
            <v>-2050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-1666.39</v>
          </cell>
          <cell r="N38">
            <v>-4266.3900000000003</v>
          </cell>
        </row>
        <row r="39">
          <cell r="A39" t="str">
            <v>16</v>
          </cell>
          <cell r="B39" t="str">
            <v>HMO/PPO</v>
          </cell>
          <cell r="C39">
            <v>6344.06</v>
          </cell>
          <cell r="D39">
            <v>-3274.11</v>
          </cell>
          <cell r="E39">
            <v>-8664</v>
          </cell>
          <cell r="F39">
            <v>-294</v>
          </cell>
          <cell r="G39">
            <v>61.74</v>
          </cell>
          <cell r="H39">
            <v>-1827</v>
          </cell>
          <cell r="I39">
            <v>-6712</v>
          </cell>
          <cell r="J39">
            <v>-2856</v>
          </cell>
          <cell r="K39">
            <v>-4909.26</v>
          </cell>
          <cell r="L39">
            <v>-1092</v>
          </cell>
          <cell r="M39">
            <v>-30385.87</v>
          </cell>
          <cell r="N39">
            <v>-53608.44</v>
          </cell>
        </row>
        <row r="40">
          <cell r="A40" t="str">
            <v>19</v>
          </cell>
          <cell r="B40" t="str">
            <v>SELF-PAY</v>
          </cell>
          <cell r="C40">
            <v>-16722.46</v>
          </cell>
          <cell r="D40">
            <v>-30561.23</v>
          </cell>
          <cell r="E40">
            <v>-13827.84</v>
          </cell>
          <cell r="F40">
            <v>-9935.23</v>
          </cell>
          <cell r="G40">
            <v>-15404.39</v>
          </cell>
          <cell r="H40">
            <v>-12236.67</v>
          </cell>
          <cell r="I40">
            <v>-13448.62</v>
          </cell>
          <cell r="J40">
            <v>-19588.669999999998</v>
          </cell>
          <cell r="K40">
            <v>-15871.5</v>
          </cell>
          <cell r="L40">
            <v>-3260.07</v>
          </cell>
          <cell r="M40">
            <v>-142901.95000000001</v>
          </cell>
          <cell r="N40">
            <v>-293758.63</v>
          </cell>
        </row>
      </sheetData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ivot-BS"/>
      <sheetName val="Import"/>
      <sheetName val="JE Add'l"/>
      <sheetName val="JE"/>
      <sheetName val="Pivot-JE"/>
      <sheetName val="Instructions"/>
      <sheetName val="Pivot"/>
      <sheetName val="Page one (2)"/>
      <sheetName val="In-House &amp; Discharge &lt;31"/>
      <sheetName val="Page one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Sum of Reserve</v>
          </cell>
          <cell r="B3" t="str">
            <v>Column Labels</v>
          </cell>
        </row>
        <row r="4">
          <cell r="A4" t="str">
            <v>Row Labels</v>
          </cell>
          <cell r="B4" t="str">
            <v>3340</v>
          </cell>
          <cell r="C4" t="str">
            <v>3360</v>
          </cell>
          <cell r="D4" t="str">
            <v>3450</v>
          </cell>
          <cell r="E4" t="str">
            <v>4261</v>
          </cell>
          <cell r="F4" t="str">
            <v>4361</v>
          </cell>
          <cell r="G4" t="str">
            <v>Grand Total</v>
          </cell>
        </row>
        <row r="5">
          <cell r="A5">
            <v>2</v>
          </cell>
          <cell r="B5">
            <v>11353.5</v>
          </cell>
          <cell r="C5">
            <v>8720</v>
          </cell>
          <cell r="E5">
            <v>850</v>
          </cell>
          <cell r="G5">
            <v>20923.5</v>
          </cell>
        </row>
        <row r="6">
          <cell r="A6">
            <v>8</v>
          </cell>
          <cell r="B6">
            <v>31367.7097167969</v>
          </cell>
          <cell r="F6">
            <v>105</v>
          </cell>
          <cell r="G6">
            <v>31472.7097167969</v>
          </cell>
        </row>
        <row r="7">
          <cell r="A7">
            <v>11</v>
          </cell>
          <cell r="B7">
            <v>35408.5</v>
          </cell>
          <cell r="C7">
            <v>1680</v>
          </cell>
          <cell r="G7">
            <v>37088.5</v>
          </cell>
        </row>
        <row r="8">
          <cell r="A8">
            <v>14</v>
          </cell>
          <cell r="B8">
            <v>15988.5</v>
          </cell>
          <cell r="C8">
            <v>24766.5</v>
          </cell>
          <cell r="G8">
            <v>40755</v>
          </cell>
        </row>
        <row r="9">
          <cell r="A9">
            <v>16</v>
          </cell>
          <cell r="B9">
            <v>34281.184967041016</v>
          </cell>
          <cell r="C9">
            <v>6272</v>
          </cell>
          <cell r="D9">
            <v>7800</v>
          </cell>
          <cell r="E9">
            <v>6267.5</v>
          </cell>
          <cell r="F9">
            <v>787.5</v>
          </cell>
          <cell r="G9">
            <v>55408.184967041016</v>
          </cell>
        </row>
        <row r="10">
          <cell r="A10" t="str">
            <v>Grand Total</v>
          </cell>
          <cell r="B10">
            <v>128399.39468383792</v>
          </cell>
          <cell r="C10">
            <v>41438.5</v>
          </cell>
          <cell r="D10">
            <v>7800</v>
          </cell>
          <cell r="E10">
            <v>7117.5</v>
          </cell>
          <cell r="F10">
            <v>892.5</v>
          </cell>
          <cell r="G10">
            <v>185647.89468383792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JE"/>
      <sheetName val="JE (2)"/>
      <sheetName val="JE (3)"/>
      <sheetName val="DEN201008"/>
      <sheetName val="ADD201008"/>
      <sheetName val="DEN201007"/>
      <sheetName val="ADD201007"/>
      <sheetName val="DEN201006"/>
      <sheetName val="ADD201006"/>
      <sheetName val="DEN201005"/>
      <sheetName val="ADD201005"/>
      <sheetName val="DEN201004 "/>
      <sheetName val="ADD201004"/>
      <sheetName val="Denials 201003"/>
      <sheetName val="201003ADD"/>
      <sheetName val="Denials 201002"/>
      <sheetName val="201002ADD"/>
      <sheetName val="Denials 201001"/>
      <sheetName val="201001ADD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901517</v>
          </cell>
          <cell r="C6">
            <v>218097</v>
          </cell>
          <cell r="D6" t="str">
            <v>Covina</v>
          </cell>
          <cell r="E6" t="str">
            <v>PURTHER, LAWRENCE</v>
          </cell>
          <cell r="F6" t="str">
            <v>BITAR, ADIB</v>
          </cell>
          <cell r="G6" t="str">
            <v>Z</v>
          </cell>
          <cell r="H6" t="str">
            <v>5</v>
          </cell>
          <cell r="I6" t="str">
            <v>5</v>
          </cell>
          <cell r="K6">
            <v>39909.041666666664</v>
          </cell>
          <cell r="L6">
            <v>39973</v>
          </cell>
          <cell r="M6">
            <v>20</v>
          </cell>
          <cell r="N6" t="str">
            <v>AETNA CA CLAIMS</v>
          </cell>
          <cell r="O6">
            <v>16</v>
          </cell>
          <cell r="P6" t="str">
            <v>AET</v>
          </cell>
          <cell r="Q6" t="str">
            <v>Procedural Denial - No Primary Auth. Obtained</v>
          </cell>
          <cell r="R6">
            <v>20</v>
          </cell>
          <cell r="S6">
            <v>2198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2198</v>
          </cell>
          <cell r="Y6">
            <v>2198</v>
          </cell>
        </row>
        <row r="7">
          <cell r="B7">
            <v>902315</v>
          </cell>
          <cell r="C7">
            <v>224007</v>
          </cell>
          <cell r="D7" t="str">
            <v>Covina</v>
          </cell>
          <cell r="E7" t="str">
            <v>DAVIS, DANIELLE</v>
          </cell>
          <cell r="F7" t="str">
            <v>AlAsadi, Ghada</v>
          </cell>
          <cell r="G7" t="str">
            <v>Z</v>
          </cell>
          <cell r="H7" t="str">
            <v>3</v>
          </cell>
          <cell r="I7" t="str">
            <v>2</v>
          </cell>
          <cell r="K7">
            <v>39954</v>
          </cell>
          <cell r="L7">
            <v>39966</v>
          </cell>
          <cell r="M7">
            <v>12</v>
          </cell>
          <cell r="N7" t="str">
            <v>PACIFICARE BEHAV HEALTH</v>
          </cell>
          <cell r="O7">
            <v>16</v>
          </cell>
          <cell r="P7" t="str">
            <v>PAC</v>
          </cell>
          <cell r="Q7" t="str">
            <v>Procedural Denial - No Primary Auth. Obtained</v>
          </cell>
          <cell r="R7">
            <v>6</v>
          </cell>
          <cell r="S7">
            <v>4596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4596</v>
          </cell>
          <cell r="Y7">
            <v>4596</v>
          </cell>
        </row>
        <row r="8">
          <cell r="B8">
            <v>904739</v>
          </cell>
          <cell r="C8">
            <v>225160</v>
          </cell>
          <cell r="D8" t="str">
            <v>Covina</v>
          </cell>
          <cell r="E8" t="str">
            <v>PEREZ, MAURICE</v>
          </cell>
          <cell r="F8" t="str">
            <v>IKRAMULLAH, SULTANA</v>
          </cell>
          <cell r="G8" t="str">
            <v>Z</v>
          </cell>
          <cell r="H8" t="str">
            <v>4</v>
          </cell>
          <cell r="I8" t="str">
            <v>1</v>
          </cell>
          <cell r="J8" t="str">
            <v>Voluntary</v>
          </cell>
          <cell r="K8">
            <v>40108</v>
          </cell>
          <cell r="L8">
            <v>40147</v>
          </cell>
          <cell r="M8">
            <v>25</v>
          </cell>
          <cell r="N8" t="str">
            <v>UBH</v>
          </cell>
          <cell r="O8">
            <v>16</v>
          </cell>
          <cell r="P8" t="str">
            <v>PAC</v>
          </cell>
          <cell r="Q8" t="str">
            <v>Procedural Denial - No Pre-auth. Obtained</v>
          </cell>
          <cell r="R8">
            <v>1</v>
          </cell>
          <cell r="S8">
            <v>341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341</v>
          </cell>
          <cell r="Y8">
            <v>341</v>
          </cell>
        </row>
        <row r="9">
          <cell r="B9">
            <v>904787</v>
          </cell>
          <cell r="C9">
            <v>225188</v>
          </cell>
          <cell r="D9" t="str">
            <v>Covina</v>
          </cell>
          <cell r="E9" t="str">
            <v>LEE, NOEL</v>
          </cell>
          <cell r="F9" t="str">
            <v>AlAsadi, Ghada</v>
          </cell>
          <cell r="G9" t="str">
            <v>Z</v>
          </cell>
          <cell r="H9" t="str">
            <v>3</v>
          </cell>
          <cell r="I9" t="str">
            <v>1</v>
          </cell>
          <cell r="J9" t="str">
            <v>Voluntary</v>
          </cell>
          <cell r="K9">
            <v>40111</v>
          </cell>
          <cell r="L9">
            <v>40116.041666666664</v>
          </cell>
          <cell r="M9">
            <v>5</v>
          </cell>
          <cell r="N9" t="str">
            <v>UBH</v>
          </cell>
          <cell r="O9">
            <v>16</v>
          </cell>
          <cell r="P9" t="str">
            <v>PAC</v>
          </cell>
          <cell r="Q9" t="str">
            <v>Procedural Denial - No Pre-auth. Obtained</v>
          </cell>
          <cell r="R9">
            <v>1</v>
          </cell>
          <cell r="S9">
            <v>746</v>
          </cell>
          <cell r="T9">
            <v>1</v>
          </cell>
          <cell r="U9">
            <v>746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905208</v>
          </cell>
          <cell r="C10">
            <v>225392</v>
          </cell>
          <cell r="D10" t="str">
            <v>Covina</v>
          </cell>
          <cell r="E10" t="str">
            <v>LINARES, CINDY</v>
          </cell>
          <cell r="F10" t="str">
            <v>MANNING, RAYMOND</v>
          </cell>
          <cell r="G10" t="str">
            <v>Z</v>
          </cell>
          <cell r="H10" t="str">
            <v>3</v>
          </cell>
          <cell r="I10" t="str">
            <v>1</v>
          </cell>
          <cell r="J10" t="str">
            <v>Involuntary</v>
          </cell>
          <cell r="K10">
            <v>40138</v>
          </cell>
          <cell r="L10">
            <v>40148</v>
          </cell>
          <cell r="M10">
            <v>10</v>
          </cell>
          <cell r="N10" t="str">
            <v>MOLINA HEALTHCARE</v>
          </cell>
          <cell r="O10">
            <v>16</v>
          </cell>
          <cell r="P10" t="str">
            <v>MOLIN</v>
          </cell>
          <cell r="Q10" t="str">
            <v>Procedural Denial - No Primary Auth. Obtained</v>
          </cell>
          <cell r="R10">
            <v>5</v>
          </cell>
          <cell r="S10">
            <v>4082.7499389648401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4082.7499389648401</v>
          </cell>
          <cell r="Y10">
            <v>4082.7499389648401</v>
          </cell>
        </row>
        <row r="11">
          <cell r="B11">
            <v>905228</v>
          </cell>
          <cell r="C11">
            <v>225401</v>
          </cell>
          <cell r="D11" t="str">
            <v>Covina</v>
          </cell>
          <cell r="E11" t="str">
            <v>MIRALES, RUBI</v>
          </cell>
          <cell r="F11" t="str">
            <v>IKRAMULLAH, SULTANA</v>
          </cell>
          <cell r="G11" t="str">
            <v>Z</v>
          </cell>
          <cell r="H11" t="str">
            <v>3</v>
          </cell>
          <cell r="I11" t="str">
            <v>2</v>
          </cell>
          <cell r="J11" t="str">
            <v>Involuntary</v>
          </cell>
          <cell r="K11">
            <v>40140</v>
          </cell>
          <cell r="L11">
            <v>40147</v>
          </cell>
          <cell r="M11">
            <v>7</v>
          </cell>
          <cell r="N11" t="str">
            <v>I/P MEDI CAL</v>
          </cell>
          <cell r="O11">
            <v>14</v>
          </cell>
          <cell r="P11" t="str">
            <v>MCAL</v>
          </cell>
          <cell r="Q11" t="str">
            <v>Medical Necessity Denials - Decent Case</v>
          </cell>
          <cell r="R11">
            <v>2</v>
          </cell>
          <cell r="S11">
            <v>1254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1254</v>
          </cell>
          <cell r="Y11">
            <v>1254</v>
          </cell>
        </row>
        <row r="12">
          <cell r="B12">
            <v>905235</v>
          </cell>
          <cell r="C12">
            <v>225405</v>
          </cell>
          <cell r="D12" t="str">
            <v>Covina</v>
          </cell>
          <cell r="E12" t="str">
            <v>CALIX, GIOVANNI JR</v>
          </cell>
          <cell r="F12" t="str">
            <v>ALKHOURI, WADIE</v>
          </cell>
          <cell r="G12" t="str">
            <v>Z</v>
          </cell>
          <cell r="H12" t="str">
            <v>3</v>
          </cell>
          <cell r="I12" t="str">
            <v>2</v>
          </cell>
          <cell r="J12" t="str">
            <v>Involuntary</v>
          </cell>
          <cell r="K12">
            <v>40140</v>
          </cell>
          <cell r="L12">
            <v>40143</v>
          </cell>
          <cell r="M12">
            <v>3</v>
          </cell>
          <cell r="N12" t="str">
            <v>BLUE CROSS HMO</v>
          </cell>
          <cell r="O12">
            <v>2</v>
          </cell>
          <cell r="P12" t="str">
            <v>BX</v>
          </cell>
          <cell r="Q12" t="str">
            <v>Procedural Denial - No Pre-auth. Obtained</v>
          </cell>
          <cell r="R12">
            <v>1</v>
          </cell>
          <cell r="S12">
            <v>760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760</v>
          </cell>
          <cell r="Y12">
            <v>760</v>
          </cell>
        </row>
        <row r="13">
          <cell r="B13">
            <v>905362</v>
          </cell>
          <cell r="C13">
            <v>225468</v>
          </cell>
          <cell r="D13" t="str">
            <v>Covina</v>
          </cell>
          <cell r="E13" t="str">
            <v>GALVAN, DALIA</v>
          </cell>
          <cell r="F13" t="str">
            <v>JACOB, SAID</v>
          </cell>
          <cell r="G13" t="str">
            <v>Z</v>
          </cell>
          <cell r="H13" t="str">
            <v>3</v>
          </cell>
          <cell r="I13" t="str">
            <v>2</v>
          </cell>
          <cell r="J13" t="str">
            <v>Involuntary</v>
          </cell>
          <cell r="K13">
            <v>40149</v>
          </cell>
          <cell r="L13">
            <v>40154</v>
          </cell>
          <cell r="M13">
            <v>5</v>
          </cell>
          <cell r="N13" t="str">
            <v>BLUE CROSS HEALTHY FAM</v>
          </cell>
          <cell r="O13">
            <v>2</v>
          </cell>
          <cell r="P13" t="str">
            <v>BX</v>
          </cell>
          <cell r="Q13" t="str">
            <v>Procedural Denial - No Pre-auth. Obtained</v>
          </cell>
          <cell r="R13">
            <v>5</v>
          </cell>
          <cell r="S13">
            <v>3800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3800</v>
          </cell>
          <cell r="Y13">
            <v>3800</v>
          </cell>
        </row>
        <row r="14">
          <cell r="B14">
            <v>905448</v>
          </cell>
          <cell r="C14">
            <v>225507</v>
          </cell>
          <cell r="D14" t="str">
            <v>Covina</v>
          </cell>
          <cell r="E14" t="str">
            <v>VARELA, SERGIO</v>
          </cell>
          <cell r="F14" t="str">
            <v>BITAR, ADIB</v>
          </cell>
          <cell r="G14" t="str">
            <v>R</v>
          </cell>
          <cell r="H14" t="str">
            <v>3</v>
          </cell>
          <cell r="I14" t="str">
            <v>9</v>
          </cell>
          <cell r="J14" t="str">
            <v>Voluntary</v>
          </cell>
          <cell r="K14">
            <v>40155</v>
          </cell>
          <cell r="L14">
            <v>40176</v>
          </cell>
          <cell r="M14">
            <v>21</v>
          </cell>
          <cell r="N14" t="str">
            <v>BLUE CROSS HMO</v>
          </cell>
          <cell r="O14">
            <v>2</v>
          </cell>
          <cell r="P14" t="str">
            <v>BX</v>
          </cell>
          <cell r="Q14" t="str">
            <v>Payer Authorization Problem</v>
          </cell>
          <cell r="R14">
            <v>1</v>
          </cell>
          <cell r="S14">
            <v>399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399</v>
          </cell>
          <cell r="Y14">
            <v>399</v>
          </cell>
        </row>
        <row r="15">
          <cell r="B15">
            <v>905459</v>
          </cell>
          <cell r="C15">
            <v>225252</v>
          </cell>
          <cell r="D15" t="str">
            <v>Covina</v>
          </cell>
          <cell r="E15" t="str">
            <v>GOMEZ, PAUL</v>
          </cell>
          <cell r="F15" t="str">
            <v>ASKINS, HOWARD</v>
          </cell>
          <cell r="G15" t="str">
            <v>Z</v>
          </cell>
          <cell r="H15" t="str">
            <v>5</v>
          </cell>
          <cell r="I15" t="str">
            <v>5</v>
          </cell>
          <cell r="J15" t="str">
            <v>Voluntary</v>
          </cell>
          <cell r="K15">
            <v>40156</v>
          </cell>
          <cell r="L15">
            <v>40207</v>
          </cell>
          <cell r="M15">
            <v>21</v>
          </cell>
          <cell r="N15" t="str">
            <v>MAGELLAN</v>
          </cell>
          <cell r="O15">
            <v>16</v>
          </cell>
          <cell r="P15" t="str">
            <v>MAG</v>
          </cell>
          <cell r="Q15" t="str">
            <v>Procedural Denial - No Pre-auth. Obtained</v>
          </cell>
          <cell r="R15">
            <v>3</v>
          </cell>
          <cell r="S15">
            <v>600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600</v>
          </cell>
          <cell r="Y15">
            <v>600</v>
          </cell>
        </row>
        <row r="16">
          <cell r="B16">
            <v>905699</v>
          </cell>
          <cell r="C16">
            <v>225643</v>
          </cell>
          <cell r="D16" t="str">
            <v>Covina</v>
          </cell>
          <cell r="E16" t="str">
            <v>CLIFF, CAROL</v>
          </cell>
          <cell r="F16" t="str">
            <v>AlAsadi, Ghada</v>
          </cell>
          <cell r="G16" t="str">
            <v>Z</v>
          </cell>
          <cell r="H16" t="str">
            <v>3</v>
          </cell>
          <cell r="I16" t="str">
            <v>1</v>
          </cell>
          <cell r="J16" t="str">
            <v>Involuntary</v>
          </cell>
          <cell r="K16">
            <v>40171</v>
          </cell>
          <cell r="L16">
            <v>40186</v>
          </cell>
          <cell r="M16">
            <v>15</v>
          </cell>
          <cell r="N16" t="str">
            <v>UNITED HEALTHCARE</v>
          </cell>
          <cell r="O16">
            <v>16</v>
          </cell>
          <cell r="P16" t="str">
            <v>PAC</v>
          </cell>
          <cell r="Q16" t="str">
            <v>Procedural Denial - No Pre-auth. Obtained</v>
          </cell>
          <cell r="R16">
            <v>1</v>
          </cell>
          <cell r="S16">
            <v>746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746</v>
          </cell>
          <cell r="Y16">
            <v>746</v>
          </cell>
        </row>
        <row r="17">
          <cell r="B17">
            <v>905699</v>
          </cell>
          <cell r="C17">
            <v>225643</v>
          </cell>
          <cell r="D17" t="str">
            <v>Covina</v>
          </cell>
          <cell r="E17" t="str">
            <v>CLIFF, CAROL</v>
          </cell>
          <cell r="F17" t="str">
            <v>AlAsadi, Ghada</v>
          </cell>
          <cell r="G17" t="str">
            <v>Z</v>
          </cell>
          <cell r="H17" t="str">
            <v>3</v>
          </cell>
          <cell r="I17" t="str">
            <v>1</v>
          </cell>
          <cell r="J17" t="str">
            <v>Involuntary</v>
          </cell>
          <cell r="K17">
            <v>40171</v>
          </cell>
          <cell r="L17">
            <v>40186</v>
          </cell>
          <cell r="M17">
            <v>15</v>
          </cell>
          <cell r="N17" t="str">
            <v>UNITED HEALTHCARE</v>
          </cell>
          <cell r="O17">
            <v>16</v>
          </cell>
          <cell r="P17" t="str">
            <v>PAC</v>
          </cell>
          <cell r="Q17" t="str">
            <v>Procedural Denial - No Pre-auth. Obtained</v>
          </cell>
          <cell r="R17">
            <v>4</v>
          </cell>
          <cell r="S17">
            <v>2984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2984</v>
          </cell>
          <cell r="Y17">
            <v>2984</v>
          </cell>
        </row>
        <row r="18">
          <cell r="B18">
            <v>905706</v>
          </cell>
          <cell r="C18">
            <v>225647</v>
          </cell>
          <cell r="D18" t="str">
            <v>Covina</v>
          </cell>
          <cell r="E18" t="str">
            <v>ANTHONY, EIRENE</v>
          </cell>
          <cell r="F18" t="str">
            <v>JACOB, SAID</v>
          </cell>
          <cell r="G18" t="str">
            <v>Z</v>
          </cell>
          <cell r="H18" t="str">
            <v>3</v>
          </cell>
          <cell r="I18" t="str">
            <v>5</v>
          </cell>
          <cell r="J18" t="str">
            <v>Voluntary</v>
          </cell>
          <cell r="K18">
            <v>40172</v>
          </cell>
          <cell r="L18">
            <v>40178</v>
          </cell>
          <cell r="M18">
            <v>6</v>
          </cell>
          <cell r="N18" t="str">
            <v>BLUE CROSS SR PLAN</v>
          </cell>
          <cell r="O18">
            <v>8</v>
          </cell>
          <cell r="P18" t="str">
            <v>BX</v>
          </cell>
          <cell r="Q18" t="str">
            <v>Procedural Denial - No Pre-auth. Obtained</v>
          </cell>
          <cell r="R18">
            <v>6</v>
          </cell>
          <cell r="S18">
            <v>4428</v>
          </cell>
          <cell r="T18">
            <v>6</v>
          </cell>
          <cell r="U18">
            <v>4428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905775</v>
          </cell>
          <cell r="C19">
            <v>217470</v>
          </cell>
          <cell r="D19" t="str">
            <v>Covina</v>
          </cell>
          <cell r="E19" t="str">
            <v>WITHERS, JANIS</v>
          </cell>
          <cell r="F19" t="str">
            <v>TANK, DAYALAL</v>
          </cell>
          <cell r="G19" t="str">
            <v>Z</v>
          </cell>
          <cell r="H19" t="str">
            <v>3</v>
          </cell>
          <cell r="I19" t="str">
            <v>1</v>
          </cell>
          <cell r="J19" t="str">
            <v>Involuntary</v>
          </cell>
          <cell r="K19">
            <v>40177</v>
          </cell>
          <cell r="L19">
            <v>40197</v>
          </cell>
          <cell r="M19">
            <v>20</v>
          </cell>
          <cell r="N19" t="str">
            <v>I/P MEDI CAL</v>
          </cell>
          <cell r="O19">
            <v>14</v>
          </cell>
          <cell r="P19" t="str">
            <v>MCAL</v>
          </cell>
          <cell r="Q19" t="str">
            <v>Medical Necessity Denials - Decent Case</v>
          </cell>
          <cell r="R19">
            <v>13</v>
          </cell>
          <cell r="S19">
            <v>8151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8151</v>
          </cell>
          <cell r="Y19">
            <v>8151</v>
          </cell>
        </row>
        <row r="20">
          <cell r="B20">
            <v>1000003</v>
          </cell>
          <cell r="C20">
            <v>225695</v>
          </cell>
          <cell r="D20" t="str">
            <v>Covina</v>
          </cell>
          <cell r="E20" t="str">
            <v>MORAN, MIGUEL</v>
          </cell>
          <cell r="F20" t="str">
            <v>ALKHOURI, WADIE</v>
          </cell>
          <cell r="G20" t="str">
            <v>Z</v>
          </cell>
          <cell r="H20" t="str">
            <v>3</v>
          </cell>
          <cell r="I20" t="str">
            <v>2</v>
          </cell>
          <cell r="J20" t="str">
            <v>Involuntary</v>
          </cell>
          <cell r="K20">
            <v>40179</v>
          </cell>
          <cell r="L20">
            <v>40185</v>
          </cell>
          <cell r="M20">
            <v>6</v>
          </cell>
          <cell r="N20" t="str">
            <v>I/P MEDI CAL</v>
          </cell>
          <cell r="O20">
            <v>14</v>
          </cell>
          <cell r="P20" t="str">
            <v>MCAL</v>
          </cell>
          <cell r="Q20" t="str">
            <v>Billing Denial - Diagnosis Disagreement</v>
          </cell>
          <cell r="R20">
            <v>2</v>
          </cell>
          <cell r="S20">
            <v>1254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1254</v>
          </cell>
          <cell r="Y20">
            <v>1254</v>
          </cell>
        </row>
        <row r="21">
          <cell r="B21">
            <v>1000233</v>
          </cell>
          <cell r="C21">
            <v>9740</v>
          </cell>
          <cell r="D21" t="str">
            <v>Covina</v>
          </cell>
          <cell r="E21" t="str">
            <v>CLARK, LA RONDA</v>
          </cell>
          <cell r="F21" t="str">
            <v>AlAsadi, Ghada</v>
          </cell>
          <cell r="G21" t="str">
            <v>Z</v>
          </cell>
          <cell r="H21" t="str">
            <v>3</v>
          </cell>
          <cell r="I21" t="str">
            <v>1</v>
          </cell>
          <cell r="J21" t="str">
            <v>Involuntary</v>
          </cell>
          <cell r="K21">
            <v>40193</v>
          </cell>
          <cell r="L21">
            <v>40203</v>
          </cell>
          <cell r="M21">
            <v>10</v>
          </cell>
          <cell r="N21">
            <v>0</v>
          </cell>
          <cell r="O21">
            <v>19</v>
          </cell>
          <cell r="P21" t="str">
            <v>SP</v>
          </cell>
          <cell r="Q21" t="str">
            <v>Medical Necessity Denials - Decent Case</v>
          </cell>
          <cell r="R21">
            <v>3</v>
          </cell>
          <cell r="S21">
            <v>1167.39001464844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1167.39001464844</v>
          </cell>
          <cell r="Y21">
            <v>1167.39001464844</v>
          </cell>
        </row>
        <row r="22">
          <cell r="B22">
            <v>1000342</v>
          </cell>
          <cell r="C22">
            <v>225850</v>
          </cell>
          <cell r="D22" t="str">
            <v>Covina</v>
          </cell>
          <cell r="E22" t="str">
            <v>LOPEZ, SALVADOR</v>
          </cell>
          <cell r="F22" t="str">
            <v>AlAsadi, Ghada</v>
          </cell>
          <cell r="G22" t="str">
            <v>Z</v>
          </cell>
          <cell r="H22" t="str">
            <v>3</v>
          </cell>
          <cell r="I22" t="str">
            <v>1</v>
          </cell>
          <cell r="J22" t="str">
            <v>Involuntary</v>
          </cell>
          <cell r="K22">
            <v>40201</v>
          </cell>
          <cell r="L22">
            <v>40206</v>
          </cell>
          <cell r="M22">
            <v>5</v>
          </cell>
          <cell r="N22" t="str">
            <v>LA COUNTY FUNDED</v>
          </cell>
          <cell r="O22">
            <v>11</v>
          </cell>
          <cell r="P22" t="str">
            <v>LACTY</v>
          </cell>
          <cell r="Q22" t="str">
            <v>Medical Necessity Denials - Decent Case</v>
          </cell>
          <cell r="R22">
            <v>2</v>
          </cell>
          <cell r="S22">
            <v>1120</v>
          </cell>
          <cell r="T22">
            <v>2</v>
          </cell>
          <cell r="U22">
            <v>1120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1000351</v>
          </cell>
          <cell r="C23">
            <v>225856</v>
          </cell>
          <cell r="D23" t="str">
            <v>Covina</v>
          </cell>
          <cell r="E23" t="str">
            <v>HARDY, CURTIS</v>
          </cell>
          <cell r="F23" t="str">
            <v>ASKINS, HOWARD</v>
          </cell>
          <cell r="G23" t="str">
            <v>Z</v>
          </cell>
          <cell r="H23" t="str">
            <v>3</v>
          </cell>
          <cell r="I23" t="str">
            <v>1</v>
          </cell>
          <cell r="J23" t="str">
            <v>Involuntary</v>
          </cell>
          <cell r="K23">
            <v>40202</v>
          </cell>
          <cell r="L23">
            <v>40205</v>
          </cell>
          <cell r="M23">
            <v>3</v>
          </cell>
          <cell r="N23" t="str">
            <v>SHORT-DOYLE RIVERSIDE COUNTY</v>
          </cell>
          <cell r="O23">
            <v>11</v>
          </cell>
          <cell r="P23" t="str">
            <v>SDOYRC</v>
          </cell>
          <cell r="Q23" t="str">
            <v>Medical Necessity Denials - Decent Case</v>
          </cell>
          <cell r="R23">
            <v>3</v>
          </cell>
          <cell r="S23">
            <v>1650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1650</v>
          </cell>
          <cell r="Y23">
            <v>1650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JE Denials"/>
      <sheetName val="JE Add'l 1"/>
      <sheetName val="JE Add'l 22"/>
      <sheetName val="Den201009&gt;180"/>
      <sheetName val="Den201009&lt;180"/>
      <sheetName val="DEN201008"/>
      <sheetName val="ADD201008"/>
      <sheetName val="DEN201007"/>
      <sheetName val="ADD201007"/>
      <sheetName val="DEN201006"/>
      <sheetName val="ADD201006"/>
      <sheetName val="DEN201005"/>
      <sheetName val="ADD201005"/>
      <sheetName val="DEN201004 "/>
      <sheetName val="ADD201004"/>
      <sheetName val="Denials 201003"/>
      <sheetName val="201003ADD"/>
      <sheetName val="Denials 201002"/>
      <sheetName val="201002ADD"/>
      <sheetName val="Denials 201001"/>
      <sheetName val="201001ADD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>
            <v>1000306</v>
          </cell>
          <cell r="C6">
            <v>225832</v>
          </cell>
          <cell r="D6" t="str">
            <v>Covina</v>
          </cell>
          <cell r="E6" t="str">
            <v>TORRES, MARIA</v>
          </cell>
          <cell r="F6" t="str">
            <v>ALKHOURI, WADIE</v>
          </cell>
          <cell r="G6" t="str">
            <v>Z</v>
          </cell>
          <cell r="H6" t="str">
            <v>3</v>
          </cell>
          <cell r="I6" t="str">
            <v>2</v>
          </cell>
          <cell r="J6" t="str">
            <v>Involuntary</v>
          </cell>
          <cell r="K6">
            <v>40199</v>
          </cell>
          <cell r="L6">
            <v>40210</v>
          </cell>
          <cell r="M6">
            <v>11</v>
          </cell>
          <cell r="N6" t="str">
            <v>I/P MEDI CAL</v>
          </cell>
          <cell r="O6">
            <v>14</v>
          </cell>
          <cell r="P6" t="str">
            <v>MCAL</v>
          </cell>
          <cell r="Q6" t="str">
            <v>Medical Necessity Denials - Decent Case</v>
          </cell>
          <cell r="R6">
            <v>8</v>
          </cell>
          <cell r="S6">
            <v>5016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5016</v>
          </cell>
          <cell r="Y6">
            <v>5016</v>
          </cell>
        </row>
        <row r="7">
          <cell r="B7">
            <v>1000356</v>
          </cell>
          <cell r="C7">
            <v>217470</v>
          </cell>
          <cell r="D7" t="str">
            <v>Covina</v>
          </cell>
          <cell r="E7" t="str">
            <v>WITHERS, JANIS</v>
          </cell>
          <cell r="F7" t="str">
            <v>TANK, DAYALAL</v>
          </cell>
          <cell r="G7" t="str">
            <v>Z</v>
          </cell>
          <cell r="H7" t="str">
            <v>3</v>
          </cell>
          <cell r="I7" t="str">
            <v>1</v>
          </cell>
          <cell r="J7" t="str">
            <v>Involuntary</v>
          </cell>
          <cell r="K7">
            <v>40203</v>
          </cell>
          <cell r="L7">
            <v>40213</v>
          </cell>
          <cell r="M7">
            <v>10</v>
          </cell>
          <cell r="N7" t="str">
            <v>I/P MEDI CAL</v>
          </cell>
          <cell r="O7">
            <v>14</v>
          </cell>
          <cell r="P7" t="str">
            <v>MCAL</v>
          </cell>
          <cell r="Q7" t="str">
            <v>Medical Necessity Denials - Decent Case</v>
          </cell>
          <cell r="R7">
            <v>3</v>
          </cell>
          <cell r="S7">
            <v>1881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1881</v>
          </cell>
          <cell r="Y7">
            <v>1881</v>
          </cell>
        </row>
        <row r="8">
          <cell r="B8">
            <v>1000404</v>
          </cell>
          <cell r="C8">
            <v>225879</v>
          </cell>
          <cell r="D8" t="str">
            <v>Covina</v>
          </cell>
          <cell r="E8" t="str">
            <v xml:space="preserve">HAMMOND, MARRANDA </v>
          </cell>
          <cell r="F8" t="str">
            <v>ASKINS, HOWARD</v>
          </cell>
          <cell r="G8" t="str">
            <v>Z</v>
          </cell>
          <cell r="H8" t="str">
            <v>3</v>
          </cell>
          <cell r="I8" t="str">
            <v>2</v>
          </cell>
          <cell r="J8" t="str">
            <v>Voluntary</v>
          </cell>
          <cell r="K8">
            <v>40205</v>
          </cell>
          <cell r="L8">
            <v>40214</v>
          </cell>
          <cell r="M8">
            <v>9</v>
          </cell>
          <cell r="N8" t="str">
            <v>I/P MEDI CAL</v>
          </cell>
          <cell r="O8">
            <v>14</v>
          </cell>
          <cell r="P8" t="str">
            <v>MCAL</v>
          </cell>
          <cell r="Q8" t="str">
            <v>Medical Necessity Denials - Decent Case</v>
          </cell>
          <cell r="R8">
            <v>8</v>
          </cell>
          <cell r="S8">
            <v>5016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5016</v>
          </cell>
          <cell r="Y8">
            <v>5016</v>
          </cell>
        </row>
        <row r="9">
          <cell r="B9">
            <v>1000452</v>
          </cell>
          <cell r="C9">
            <v>215179</v>
          </cell>
          <cell r="D9" t="str">
            <v>Covina</v>
          </cell>
          <cell r="E9" t="str">
            <v>RODRIGUEZ, FRANCISCO</v>
          </cell>
          <cell r="F9" t="str">
            <v>ASKINS, HOWARD</v>
          </cell>
          <cell r="G9" t="str">
            <v>Z</v>
          </cell>
          <cell r="H9" t="str">
            <v>3</v>
          </cell>
          <cell r="I9" t="str">
            <v>2</v>
          </cell>
          <cell r="J9" t="str">
            <v>Voluntary</v>
          </cell>
          <cell r="K9">
            <v>40208</v>
          </cell>
          <cell r="L9">
            <v>40216</v>
          </cell>
          <cell r="M9">
            <v>8</v>
          </cell>
          <cell r="N9" t="str">
            <v>I/P MEDI CAL</v>
          </cell>
          <cell r="O9">
            <v>14</v>
          </cell>
          <cell r="P9" t="str">
            <v>MCAL</v>
          </cell>
          <cell r="Q9" t="str">
            <v>Medical Necessity Denials - Decent Case</v>
          </cell>
          <cell r="R9">
            <v>2</v>
          </cell>
          <cell r="S9">
            <v>1254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1254</v>
          </cell>
          <cell r="Y9">
            <v>1254</v>
          </cell>
        </row>
        <row r="10">
          <cell r="B10">
            <v>1000496</v>
          </cell>
          <cell r="C10">
            <v>224348</v>
          </cell>
          <cell r="D10" t="str">
            <v>Covina</v>
          </cell>
          <cell r="E10" t="str">
            <v>MCGUIRE, CHELSY</v>
          </cell>
          <cell r="F10" t="str">
            <v>ASKINS, HOWARD</v>
          </cell>
          <cell r="G10" t="str">
            <v>Z</v>
          </cell>
          <cell r="H10" t="str">
            <v>3</v>
          </cell>
          <cell r="I10" t="str">
            <v>2</v>
          </cell>
          <cell r="J10" t="str">
            <v>Voluntary</v>
          </cell>
          <cell r="K10">
            <v>40211</v>
          </cell>
          <cell r="L10">
            <v>40233</v>
          </cell>
          <cell r="M10">
            <v>22</v>
          </cell>
          <cell r="N10" t="str">
            <v>I/P MEDI CAL</v>
          </cell>
          <cell r="O10">
            <v>14</v>
          </cell>
          <cell r="P10" t="str">
            <v>MCAL</v>
          </cell>
          <cell r="Q10" t="str">
            <v>Medical Necessity Denials - Decent Case</v>
          </cell>
          <cell r="R10">
            <v>6</v>
          </cell>
          <cell r="S10">
            <v>3762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3762</v>
          </cell>
          <cell r="Y10">
            <v>3762</v>
          </cell>
        </row>
        <row r="11">
          <cell r="B11">
            <v>1000562</v>
          </cell>
          <cell r="C11">
            <v>225947</v>
          </cell>
          <cell r="D11" t="str">
            <v>Covina</v>
          </cell>
          <cell r="E11" t="str">
            <v>MARTINEZ, OLIVIA L</v>
          </cell>
          <cell r="F11" t="str">
            <v>JACOB, SAID</v>
          </cell>
          <cell r="G11" t="str">
            <v>Z</v>
          </cell>
          <cell r="H11" t="str">
            <v>3</v>
          </cell>
          <cell r="I11" t="str">
            <v>2</v>
          </cell>
          <cell r="J11" t="str">
            <v>Involuntary</v>
          </cell>
          <cell r="K11">
            <v>40215</v>
          </cell>
          <cell r="L11">
            <v>40219</v>
          </cell>
          <cell r="M11">
            <v>4</v>
          </cell>
          <cell r="N11" t="str">
            <v>I/P MEDI CAL</v>
          </cell>
          <cell r="O11">
            <v>14</v>
          </cell>
          <cell r="P11" t="str">
            <v>MCAL</v>
          </cell>
          <cell r="Q11" t="str">
            <v>Medical Necessity Denials - Decent Case</v>
          </cell>
          <cell r="R11">
            <v>2</v>
          </cell>
          <cell r="S11">
            <v>1254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1254</v>
          </cell>
          <cell r="Y11">
            <v>1254</v>
          </cell>
        </row>
        <row r="12">
          <cell r="B12">
            <v>1000588</v>
          </cell>
          <cell r="C12">
            <v>225961</v>
          </cell>
          <cell r="D12" t="str">
            <v>Covina</v>
          </cell>
          <cell r="E12" t="str">
            <v>RENDINA, TERRI</v>
          </cell>
          <cell r="F12" t="str">
            <v>AlAsadi, Ghada</v>
          </cell>
          <cell r="G12" t="str">
            <v>Z</v>
          </cell>
          <cell r="H12" t="str">
            <v>3</v>
          </cell>
          <cell r="I12" t="str">
            <v>1</v>
          </cell>
          <cell r="J12" t="str">
            <v>Involuntary</v>
          </cell>
          <cell r="K12">
            <v>40217</v>
          </cell>
          <cell r="L12">
            <v>40259.041666666664</v>
          </cell>
          <cell r="M12">
            <v>42</v>
          </cell>
          <cell r="N12" t="str">
            <v>USBHPC BS MEMBERS</v>
          </cell>
          <cell r="O12">
            <v>16</v>
          </cell>
          <cell r="P12" t="str">
            <v>PAC</v>
          </cell>
          <cell r="Q12" t="str">
            <v>Payer Authorization Problem</v>
          </cell>
          <cell r="R12">
            <v>3</v>
          </cell>
          <cell r="S12">
            <v>2238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2238</v>
          </cell>
          <cell r="Y12">
            <v>2238</v>
          </cell>
        </row>
        <row r="13">
          <cell r="B13">
            <v>1000624</v>
          </cell>
          <cell r="C13">
            <v>224711</v>
          </cell>
          <cell r="D13" t="str">
            <v>Covina</v>
          </cell>
          <cell r="E13" t="str">
            <v>LICON, ALEXANDER</v>
          </cell>
          <cell r="F13" t="str">
            <v>IKRAMULLAH, SULTANA</v>
          </cell>
          <cell r="G13" t="str">
            <v>Z</v>
          </cell>
          <cell r="H13" t="str">
            <v>3</v>
          </cell>
          <cell r="I13" t="str">
            <v>1</v>
          </cell>
          <cell r="J13" t="str">
            <v>Voluntary</v>
          </cell>
          <cell r="K13">
            <v>40219</v>
          </cell>
          <cell r="L13">
            <v>40232</v>
          </cell>
          <cell r="M13">
            <v>13</v>
          </cell>
          <cell r="N13" t="str">
            <v>USBHPC BS MEMBERS</v>
          </cell>
          <cell r="O13">
            <v>16</v>
          </cell>
          <cell r="P13" t="str">
            <v>PAC</v>
          </cell>
          <cell r="Q13" t="str">
            <v>Procedural Denial - No Pre-auth. Obtained</v>
          </cell>
          <cell r="R13">
            <v>1</v>
          </cell>
          <cell r="S13">
            <v>746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746</v>
          </cell>
          <cell r="Y13">
            <v>746</v>
          </cell>
        </row>
        <row r="14">
          <cell r="B14">
            <v>1000676</v>
          </cell>
          <cell r="C14">
            <v>226003</v>
          </cell>
          <cell r="D14" t="str">
            <v>Covina</v>
          </cell>
          <cell r="E14" t="str">
            <v>PALAFOX, VERONICA</v>
          </cell>
          <cell r="F14" t="str">
            <v>ASKINS, HOWARD</v>
          </cell>
          <cell r="G14" t="str">
            <v>Z</v>
          </cell>
          <cell r="H14" t="str">
            <v>3</v>
          </cell>
          <cell r="I14" t="str">
            <v>2</v>
          </cell>
          <cell r="J14" t="str">
            <v>Involuntary</v>
          </cell>
          <cell r="K14">
            <v>40221</v>
          </cell>
          <cell r="L14">
            <v>40228</v>
          </cell>
          <cell r="M14">
            <v>7</v>
          </cell>
          <cell r="N14" t="str">
            <v>I/P MEDI CAL</v>
          </cell>
          <cell r="O14">
            <v>14</v>
          </cell>
          <cell r="P14" t="str">
            <v>MCAL</v>
          </cell>
          <cell r="Q14" t="str">
            <v>Medical Necessity Denials - Decent Case</v>
          </cell>
          <cell r="R14">
            <v>4</v>
          </cell>
          <cell r="S14">
            <v>2508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2508</v>
          </cell>
          <cell r="Y14">
            <v>2508</v>
          </cell>
        </row>
        <row r="15">
          <cell r="B15">
            <v>1000710</v>
          </cell>
          <cell r="C15">
            <v>225898</v>
          </cell>
          <cell r="D15" t="str">
            <v>Covina</v>
          </cell>
          <cell r="E15" t="str">
            <v>PADILLA, JOSE</v>
          </cell>
          <cell r="F15" t="str">
            <v>ASKINS, HOWARD</v>
          </cell>
          <cell r="G15" t="str">
            <v>Z</v>
          </cell>
          <cell r="H15" t="str">
            <v>3</v>
          </cell>
          <cell r="I15" t="str">
            <v>2</v>
          </cell>
          <cell r="J15" t="str">
            <v>Involuntary</v>
          </cell>
          <cell r="K15">
            <v>40224</v>
          </cell>
          <cell r="L15">
            <v>40231</v>
          </cell>
          <cell r="M15">
            <v>7</v>
          </cell>
          <cell r="N15" t="str">
            <v>I/P MEDI CAL</v>
          </cell>
          <cell r="O15">
            <v>14</v>
          </cell>
          <cell r="P15" t="str">
            <v>MCAL</v>
          </cell>
          <cell r="Q15" t="str">
            <v>Medical Necessity Denials - Decent Case</v>
          </cell>
          <cell r="R15">
            <v>2</v>
          </cell>
          <cell r="S15">
            <v>1254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1254</v>
          </cell>
          <cell r="Y15">
            <v>1254</v>
          </cell>
        </row>
        <row r="16">
          <cell r="B16">
            <v>1000722</v>
          </cell>
          <cell r="C16">
            <v>221531</v>
          </cell>
          <cell r="D16" t="str">
            <v>Covina</v>
          </cell>
          <cell r="E16" t="str">
            <v>CAPRILLI, JAVIER</v>
          </cell>
          <cell r="F16" t="str">
            <v>GUNTUPALLI, NAGESWARA</v>
          </cell>
          <cell r="G16" t="str">
            <v>Z</v>
          </cell>
          <cell r="H16" t="str">
            <v>3</v>
          </cell>
          <cell r="I16" t="str">
            <v>2</v>
          </cell>
          <cell r="J16" t="str">
            <v>Voluntary</v>
          </cell>
          <cell r="K16">
            <v>40225</v>
          </cell>
          <cell r="L16">
            <v>40231</v>
          </cell>
          <cell r="M16">
            <v>6</v>
          </cell>
          <cell r="N16" t="str">
            <v>I/P MEDI CAL</v>
          </cell>
          <cell r="O16">
            <v>14</v>
          </cell>
          <cell r="P16" t="str">
            <v>MCAL</v>
          </cell>
          <cell r="Q16" t="str">
            <v>Medical Necessity Denials - Decent Case</v>
          </cell>
          <cell r="R16">
            <v>3</v>
          </cell>
          <cell r="S16">
            <v>1881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1881</v>
          </cell>
          <cell r="Y16">
            <v>1881</v>
          </cell>
        </row>
        <row r="17">
          <cell r="B17">
            <v>1000727</v>
          </cell>
          <cell r="C17">
            <v>226021</v>
          </cell>
          <cell r="D17" t="str">
            <v>Covina</v>
          </cell>
          <cell r="E17" t="str">
            <v>TERRY aka BRANN, KIMBERLY</v>
          </cell>
          <cell r="F17" t="str">
            <v>IKRAMULLAH, SULTANA</v>
          </cell>
          <cell r="G17" t="str">
            <v>Z</v>
          </cell>
          <cell r="H17" t="str">
            <v>3</v>
          </cell>
          <cell r="I17" t="str">
            <v>2</v>
          </cell>
          <cell r="J17" t="str">
            <v>Involuntary</v>
          </cell>
          <cell r="K17">
            <v>40225</v>
          </cell>
          <cell r="L17">
            <v>40234</v>
          </cell>
          <cell r="M17">
            <v>9</v>
          </cell>
          <cell r="N17" t="str">
            <v>I/P MEDI CAL</v>
          </cell>
          <cell r="O17">
            <v>14</v>
          </cell>
          <cell r="P17" t="str">
            <v>MCAL</v>
          </cell>
          <cell r="Q17" t="str">
            <v>Medical Necessity Denials - Decent Case</v>
          </cell>
          <cell r="R17">
            <v>4</v>
          </cell>
          <cell r="S17">
            <v>2508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2508</v>
          </cell>
          <cell r="Y17">
            <v>2508</v>
          </cell>
        </row>
        <row r="18">
          <cell r="B18">
            <v>1000731</v>
          </cell>
          <cell r="C18">
            <v>225718</v>
          </cell>
          <cell r="D18" t="str">
            <v>Covina</v>
          </cell>
          <cell r="E18" t="str">
            <v>AVINA, MARIA</v>
          </cell>
          <cell r="F18" t="str">
            <v>ALKHOURI, WADIE</v>
          </cell>
          <cell r="G18" t="str">
            <v>Z</v>
          </cell>
          <cell r="H18" t="str">
            <v>3</v>
          </cell>
          <cell r="I18" t="str">
            <v>2</v>
          </cell>
          <cell r="J18" t="str">
            <v>Involuntary</v>
          </cell>
          <cell r="K18">
            <v>40225</v>
          </cell>
          <cell r="L18">
            <v>40232</v>
          </cell>
          <cell r="M18">
            <v>7</v>
          </cell>
          <cell r="N18" t="str">
            <v>I/P MEDI CAL</v>
          </cell>
          <cell r="O18">
            <v>14</v>
          </cell>
          <cell r="P18" t="str">
            <v>MCAL</v>
          </cell>
          <cell r="Q18" t="str">
            <v>Medical Necessity Denials - Decent Case</v>
          </cell>
          <cell r="R18">
            <v>3</v>
          </cell>
          <cell r="S18">
            <v>1881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1881</v>
          </cell>
          <cell r="Y18">
            <v>1881</v>
          </cell>
        </row>
        <row r="19">
          <cell r="B19">
            <v>1000745</v>
          </cell>
          <cell r="C19">
            <v>201284</v>
          </cell>
          <cell r="D19" t="str">
            <v>Covina</v>
          </cell>
          <cell r="E19" t="str">
            <v>SPIKERMAN, MOLLY</v>
          </cell>
          <cell r="F19" t="str">
            <v>AlAsadi, Ghada</v>
          </cell>
          <cell r="G19" t="str">
            <v>Z</v>
          </cell>
          <cell r="H19" t="str">
            <v>3</v>
          </cell>
          <cell r="I19" t="str">
            <v>1</v>
          </cell>
          <cell r="J19" t="str">
            <v>Involuntary</v>
          </cell>
          <cell r="K19">
            <v>40226</v>
          </cell>
          <cell r="L19">
            <v>40249</v>
          </cell>
          <cell r="M19">
            <v>23</v>
          </cell>
          <cell r="N19" t="str">
            <v>LA COUNTY FUNDED</v>
          </cell>
          <cell r="O19">
            <v>11</v>
          </cell>
          <cell r="P19" t="str">
            <v>LACTY</v>
          </cell>
          <cell r="Q19" t="str">
            <v>Medical Necessity Denials - Decent Case</v>
          </cell>
          <cell r="R19">
            <v>16</v>
          </cell>
          <cell r="S19">
            <v>8960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8960</v>
          </cell>
          <cell r="Y19">
            <v>8960</v>
          </cell>
        </row>
        <row r="20">
          <cell r="B20">
            <v>1000959</v>
          </cell>
          <cell r="C20">
            <v>226135</v>
          </cell>
          <cell r="D20" t="str">
            <v>Covina</v>
          </cell>
          <cell r="E20" t="str">
            <v>GONZALES, MARIA</v>
          </cell>
          <cell r="F20" t="str">
            <v>ALKHOURI, WADIE</v>
          </cell>
          <cell r="G20" t="str">
            <v>Z</v>
          </cell>
          <cell r="H20" t="str">
            <v>3</v>
          </cell>
          <cell r="I20" t="str">
            <v>5</v>
          </cell>
          <cell r="J20" t="str">
            <v>Voluntary</v>
          </cell>
          <cell r="K20">
            <v>40239</v>
          </cell>
          <cell r="L20">
            <v>40245</v>
          </cell>
          <cell r="M20">
            <v>6</v>
          </cell>
          <cell r="N20" t="str">
            <v>VALUE OPTIONS</v>
          </cell>
          <cell r="O20">
            <v>16</v>
          </cell>
          <cell r="P20" t="str">
            <v>VO</v>
          </cell>
          <cell r="Q20" t="str">
            <v>Procedural Denial - No Pre-auth. Obtained</v>
          </cell>
          <cell r="R20">
            <v>2</v>
          </cell>
          <cell r="S20">
            <v>1050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1050</v>
          </cell>
          <cell r="Y20">
            <v>1050</v>
          </cell>
        </row>
        <row r="21">
          <cell r="B21">
            <v>1001196</v>
          </cell>
          <cell r="C21">
            <v>226259</v>
          </cell>
          <cell r="D21" t="str">
            <v>Covina</v>
          </cell>
          <cell r="E21" t="str">
            <v>MACE , DEBORAH</v>
          </cell>
          <cell r="F21" t="str">
            <v>JACOB, SAID</v>
          </cell>
          <cell r="G21" t="str">
            <v>Z</v>
          </cell>
          <cell r="H21" t="str">
            <v>3</v>
          </cell>
          <cell r="I21" t="str">
            <v>1</v>
          </cell>
          <cell r="J21" t="str">
            <v>Involuntary</v>
          </cell>
          <cell r="K21">
            <v>40254.041666666664</v>
          </cell>
          <cell r="L21">
            <v>40259.041666666664</v>
          </cell>
          <cell r="M21">
            <v>5</v>
          </cell>
          <cell r="N21" t="str">
            <v>SCAN</v>
          </cell>
          <cell r="O21">
            <v>8</v>
          </cell>
          <cell r="P21" t="str">
            <v>MCAR</v>
          </cell>
          <cell r="Q21" t="str">
            <v>Procedural Denial - No Primary Auth. Obtained</v>
          </cell>
          <cell r="R21">
            <v>5</v>
          </cell>
          <cell r="S21">
            <v>4336.9200439453098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4336.9200439453098</v>
          </cell>
          <cell r="Y21">
            <v>4336.9200439453098</v>
          </cell>
        </row>
        <row r="22">
          <cell r="B22">
            <v>1001247</v>
          </cell>
          <cell r="C22">
            <v>226285</v>
          </cell>
          <cell r="D22" t="str">
            <v>Covina</v>
          </cell>
          <cell r="E22" t="str">
            <v>JUAREZ, CRYSTAL</v>
          </cell>
          <cell r="F22" t="str">
            <v>ALKHOURI, WADIE</v>
          </cell>
          <cell r="G22" t="str">
            <v>Z</v>
          </cell>
          <cell r="H22" t="str">
            <v>3</v>
          </cell>
          <cell r="I22" t="str">
            <v>2</v>
          </cell>
          <cell r="J22" t="str">
            <v>Involuntary</v>
          </cell>
          <cell r="K22">
            <v>40257.041666666664</v>
          </cell>
          <cell r="L22">
            <v>40263.041666666664</v>
          </cell>
          <cell r="M22">
            <v>6</v>
          </cell>
          <cell r="N22" t="str">
            <v>BLUE CROSS HEALTHY FAM</v>
          </cell>
          <cell r="O22">
            <v>2</v>
          </cell>
          <cell r="P22" t="str">
            <v>BX</v>
          </cell>
          <cell r="Q22" t="str">
            <v>Procedural Denial - No Pre-auth. Obtained</v>
          </cell>
          <cell r="R22">
            <v>1</v>
          </cell>
          <cell r="S22">
            <v>760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760</v>
          </cell>
          <cell r="Y22">
            <v>760</v>
          </cell>
        </row>
        <row r="23">
          <cell r="B23">
            <v>1001420</v>
          </cell>
          <cell r="C23">
            <v>226253</v>
          </cell>
          <cell r="D23" t="str">
            <v>Covina</v>
          </cell>
          <cell r="E23" t="str">
            <v>MERSOLA, CARLY</v>
          </cell>
          <cell r="F23" t="str">
            <v>ASKINS, HOWARD</v>
          </cell>
          <cell r="G23" t="str">
            <v>Z</v>
          </cell>
          <cell r="H23" t="str">
            <v>3</v>
          </cell>
          <cell r="I23" t="str">
            <v>1</v>
          </cell>
          <cell r="J23" t="str">
            <v>Involuntary</v>
          </cell>
          <cell r="K23">
            <v>40268.041666666664</v>
          </cell>
          <cell r="L23">
            <v>40275.041666666664</v>
          </cell>
          <cell r="M23">
            <v>7</v>
          </cell>
          <cell r="N23" t="str">
            <v>BLUE CROSS PRUDENT BUYER</v>
          </cell>
          <cell r="O23">
            <v>2</v>
          </cell>
          <cell r="P23" t="str">
            <v>BX</v>
          </cell>
          <cell r="Q23" t="str">
            <v>Procedural Denial - No Primary Auth. Obtained</v>
          </cell>
          <cell r="R23">
            <v>2</v>
          </cell>
          <cell r="S23">
            <v>1476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1476</v>
          </cell>
          <cell r="Y23">
            <v>1476</v>
          </cell>
        </row>
        <row r="24">
          <cell r="B24">
            <v>1001423</v>
          </cell>
          <cell r="C24">
            <v>213057</v>
          </cell>
          <cell r="D24" t="str">
            <v>Covina</v>
          </cell>
          <cell r="E24" t="str">
            <v>COLEMAN, COURTNEY</v>
          </cell>
          <cell r="F24" t="str">
            <v>GUNTUPALLI, NAGESWARA</v>
          </cell>
          <cell r="G24" t="str">
            <v>Z</v>
          </cell>
          <cell r="H24" t="str">
            <v>3</v>
          </cell>
          <cell r="I24" t="str">
            <v>1</v>
          </cell>
          <cell r="J24" t="str">
            <v>Voluntary</v>
          </cell>
          <cell r="K24">
            <v>40268.041666666664</v>
          </cell>
          <cell r="L24">
            <v>40281.041666666664</v>
          </cell>
          <cell r="M24">
            <v>13</v>
          </cell>
          <cell r="N24" t="str">
            <v>BLUE CROSS HMO</v>
          </cell>
          <cell r="O24">
            <v>2</v>
          </cell>
          <cell r="P24" t="str">
            <v>BX</v>
          </cell>
          <cell r="Q24" t="str">
            <v>Procedural Denial - No Pre-auth. Obtained</v>
          </cell>
          <cell r="R24">
            <v>1</v>
          </cell>
          <cell r="S24">
            <v>738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738</v>
          </cell>
          <cell r="Y24">
            <v>738</v>
          </cell>
        </row>
        <row r="25">
          <cell r="B25">
            <v>1001453</v>
          </cell>
          <cell r="C25">
            <v>226394</v>
          </cell>
          <cell r="D25" t="str">
            <v>Covina</v>
          </cell>
          <cell r="E25" t="str">
            <v>ROBINSON, SPENCER</v>
          </cell>
          <cell r="F25" t="str">
            <v>AlAsadi, Ghada</v>
          </cell>
          <cell r="G25" t="str">
            <v>Z</v>
          </cell>
          <cell r="H25" t="str">
            <v>3</v>
          </cell>
          <cell r="I25" t="str">
            <v>2</v>
          </cell>
          <cell r="J25" t="str">
            <v>Involuntary</v>
          </cell>
          <cell r="K25">
            <v>40270.041666666664</v>
          </cell>
          <cell r="L25">
            <v>40276.041666666664</v>
          </cell>
          <cell r="M25">
            <v>6</v>
          </cell>
          <cell r="N25" t="str">
            <v>USBHPC BS MEMBERS</v>
          </cell>
          <cell r="O25">
            <v>16</v>
          </cell>
          <cell r="P25" t="str">
            <v>PAC</v>
          </cell>
          <cell r="Q25" t="str">
            <v>Procedural Denial - No Primary Auth. Obtained</v>
          </cell>
          <cell r="R25">
            <v>1</v>
          </cell>
          <cell r="S25">
            <v>766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766</v>
          </cell>
          <cell r="Y25">
            <v>766</v>
          </cell>
        </row>
        <row r="26">
          <cell r="B26">
            <v>1001462</v>
          </cell>
          <cell r="C26">
            <v>226397</v>
          </cell>
          <cell r="D26" t="str">
            <v>Covina</v>
          </cell>
          <cell r="E26" t="str">
            <v>KUTZ, GABRIEL</v>
          </cell>
          <cell r="F26" t="str">
            <v>ALKHOURI, WADIE</v>
          </cell>
          <cell r="G26" t="str">
            <v>Z</v>
          </cell>
          <cell r="H26" t="str">
            <v>3</v>
          </cell>
          <cell r="I26" t="str">
            <v>3</v>
          </cell>
          <cell r="J26" t="str">
            <v>Voluntary</v>
          </cell>
          <cell r="K26">
            <v>40270.041666666664</v>
          </cell>
          <cell r="L26">
            <v>40271.041666666664</v>
          </cell>
          <cell r="M26">
            <v>1</v>
          </cell>
          <cell r="N26" t="str">
            <v>PACIFICARE BEHAV HEALTH</v>
          </cell>
          <cell r="O26">
            <v>16</v>
          </cell>
          <cell r="P26" t="str">
            <v>PAC</v>
          </cell>
          <cell r="Q26" t="str">
            <v>Procedural Denial - No Pre-auth. Obtained</v>
          </cell>
          <cell r="R26">
            <v>1</v>
          </cell>
          <cell r="S26">
            <v>846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846</v>
          </cell>
          <cell r="Y26">
            <v>846</v>
          </cell>
        </row>
        <row r="27">
          <cell r="B27">
            <v>1001526</v>
          </cell>
          <cell r="C27">
            <v>226433</v>
          </cell>
          <cell r="D27" t="str">
            <v>Covina</v>
          </cell>
          <cell r="E27" t="str">
            <v>NAJERA, RUDOLPH</v>
          </cell>
          <cell r="F27" t="str">
            <v>TANK, DAYALAL</v>
          </cell>
          <cell r="G27" t="str">
            <v>Z</v>
          </cell>
          <cell r="H27" t="str">
            <v>3</v>
          </cell>
          <cell r="I27" t="str">
            <v>1</v>
          </cell>
          <cell r="J27" t="str">
            <v>Involuntary</v>
          </cell>
          <cell r="K27">
            <v>40275.041666666664</v>
          </cell>
          <cell r="L27">
            <v>40280.041666666664</v>
          </cell>
          <cell r="M27">
            <v>5</v>
          </cell>
          <cell r="N27" t="str">
            <v>I/P MEDI CAL</v>
          </cell>
          <cell r="O27">
            <v>14</v>
          </cell>
          <cell r="P27" t="str">
            <v>MCAL</v>
          </cell>
          <cell r="Q27" t="str">
            <v>Medical Necessity Denials - Decent Case</v>
          </cell>
          <cell r="R27">
            <v>2</v>
          </cell>
          <cell r="S27">
            <v>1254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1254</v>
          </cell>
          <cell r="Y27">
            <v>1254</v>
          </cell>
        </row>
        <row r="28">
          <cell r="B28">
            <v>1001541</v>
          </cell>
          <cell r="C28">
            <v>226442</v>
          </cell>
          <cell r="D28" t="str">
            <v>Covina</v>
          </cell>
          <cell r="E28" t="str">
            <v>THOMAS, DAYY</v>
          </cell>
          <cell r="F28" t="str">
            <v>IKRAMULLAH, SULTANA</v>
          </cell>
          <cell r="G28" t="str">
            <v>Z</v>
          </cell>
          <cell r="H28" t="str">
            <v>3</v>
          </cell>
          <cell r="I28" t="str">
            <v>2</v>
          </cell>
          <cell r="J28" t="str">
            <v>Involuntary</v>
          </cell>
          <cell r="K28">
            <v>40275.041666666664</v>
          </cell>
          <cell r="L28">
            <v>40280.041666666664</v>
          </cell>
          <cell r="M28">
            <v>5</v>
          </cell>
          <cell r="N28" t="str">
            <v>I/P MEDI CAL</v>
          </cell>
          <cell r="O28">
            <v>14</v>
          </cell>
          <cell r="P28" t="str">
            <v>MCAL</v>
          </cell>
          <cell r="Q28" t="str">
            <v>Medical Necessity Denials - Decent Case</v>
          </cell>
          <cell r="R28">
            <v>2</v>
          </cell>
          <cell r="S28">
            <v>1254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1254</v>
          </cell>
          <cell r="Y28">
            <v>1254</v>
          </cell>
        </row>
        <row r="29">
          <cell r="B29">
            <v>1001542</v>
          </cell>
          <cell r="C29">
            <v>226443</v>
          </cell>
          <cell r="D29" t="str">
            <v>Covina</v>
          </cell>
          <cell r="E29" t="str">
            <v>GUTIERREZ, CASSANDRA</v>
          </cell>
          <cell r="F29" t="str">
            <v>JACOB, SAID</v>
          </cell>
          <cell r="G29" t="str">
            <v>Z</v>
          </cell>
          <cell r="H29" t="str">
            <v>3</v>
          </cell>
          <cell r="I29" t="str">
            <v>2</v>
          </cell>
          <cell r="J29" t="str">
            <v>Involuntary</v>
          </cell>
          <cell r="K29">
            <v>40275.041666666664</v>
          </cell>
          <cell r="L29">
            <v>40280.041666666664</v>
          </cell>
          <cell r="M29">
            <v>5</v>
          </cell>
          <cell r="N29" t="str">
            <v>I/P MEDI CAL</v>
          </cell>
          <cell r="O29">
            <v>14</v>
          </cell>
          <cell r="P29" t="str">
            <v>MCAL</v>
          </cell>
          <cell r="Q29" t="str">
            <v>Medical Necessity Denials - Decent Case</v>
          </cell>
          <cell r="R29">
            <v>2</v>
          </cell>
          <cell r="S29">
            <v>1254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1254</v>
          </cell>
          <cell r="Y29">
            <v>1254</v>
          </cell>
        </row>
        <row r="30">
          <cell r="B30">
            <v>1001593</v>
          </cell>
          <cell r="C30">
            <v>218942</v>
          </cell>
          <cell r="D30" t="str">
            <v>Covina</v>
          </cell>
          <cell r="E30" t="str">
            <v>BERNARD, MIGUEL</v>
          </cell>
          <cell r="F30" t="str">
            <v>ALKHOURI, WADIE</v>
          </cell>
          <cell r="G30" t="str">
            <v>Z</v>
          </cell>
          <cell r="H30" t="str">
            <v>3</v>
          </cell>
          <cell r="I30" t="str">
            <v>1</v>
          </cell>
          <cell r="J30" t="str">
            <v>Involuntary</v>
          </cell>
          <cell r="K30">
            <v>40278.041666666664</v>
          </cell>
          <cell r="L30">
            <v>40290.041666666664</v>
          </cell>
          <cell r="M30">
            <v>12</v>
          </cell>
          <cell r="N30">
            <v>0</v>
          </cell>
          <cell r="O30">
            <v>11</v>
          </cell>
          <cell r="P30" t="str">
            <v>LACTY</v>
          </cell>
          <cell r="Q30" t="str">
            <v>Medical Necessity Denials - Decent Case</v>
          </cell>
          <cell r="R30">
            <v>3</v>
          </cell>
          <cell r="S30">
            <v>1680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1680</v>
          </cell>
          <cell r="Y30">
            <v>1680</v>
          </cell>
        </row>
        <row r="31">
          <cell r="B31">
            <v>1001594</v>
          </cell>
          <cell r="C31">
            <v>226472</v>
          </cell>
          <cell r="D31" t="str">
            <v>Covina</v>
          </cell>
          <cell r="E31" t="str">
            <v>MORIN, ERICA</v>
          </cell>
          <cell r="F31" t="str">
            <v>GILLESPIE, WILLIAM</v>
          </cell>
          <cell r="G31" t="str">
            <v>Z</v>
          </cell>
          <cell r="H31" t="str">
            <v>3</v>
          </cell>
          <cell r="I31" t="str">
            <v>1</v>
          </cell>
          <cell r="J31" t="str">
            <v>Involuntary</v>
          </cell>
          <cell r="K31">
            <v>40278.041666666664</v>
          </cell>
          <cell r="L31">
            <v>40288.041666666664</v>
          </cell>
          <cell r="M31">
            <v>10</v>
          </cell>
          <cell r="N31" t="str">
            <v>USBHPC BS MEMBERS</v>
          </cell>
          <cell r="O31">
            <v>16</v>
          </cell>
          <cell r="P31" t="str">
            <v>PAC</v>
          </cell>
          <cell r="Q31" t="str">
            <v>Procedural Denial - No Pre-auth. Obtained</v>
          </cell>
          <cell r="R31">
            <v>1</v>
          </cell>
          <cell r="S31">
            <v>746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746</v>
          </cell>
          <cell r="Y31">
            <v>746</v>
          </cell>
        </row>
        <row r="32">
          <cell r="B32">
            <v>1001601</v>
          </cell>
          <cell r="C32">
            <v>225901</v>
          </cell>
          <cell r="D32" t="str">
            <v>Covina</v>
          </cell>
          <cell r="E32" t="str">
            <v>MARTINEZ, CHRISTIAN</v>
          </cell>
          <cell r="F32" t="str">
            <v>AlAsadi, Ghada</v>
          </cell>
          <cell r="G32" t="str">
            <v>Z</v>
          </cell>
          <cell r="H32" t="str">
            <v>3</v>
          </cell>
          <cell r="I32" t="str">
            <v>2</v>
          </cell>
          <cell r="J32" t="str">
            <v>Voluntary</v>
          </cell>
          <cell r="K32">
            <v>40280.041666666664</v>
          </cell>
          <cell r="L32">
            <v>40283.041666666664</v>
          </cell>
          <cell r="M32">
            <v>3</v>
          </cell>
          <cell r="N32" t="str">
            <v>MHN/HMC</v>
          </cell>
          <cell r="O32">
            <v>16</v>
          </cell>
          <cell r="P32" t="str">
            <v>MHN</v>
          </cell>
          <cell r="Q32" t="str">
            <v>Procedural Denial - No Pre-auth. Obtained</v>
          </cell>
          <cell r="R32">
            <v>1</v>
          </cell>
          <cell r="S32">
            <v>780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780</v>
          </cell>
          <cell r="Y32">
            <v>780</v>
          </cell>
        </row>
        <row r="33">
          <cell r="B33">
            <v>1001619</v>
          </cell>
          <cell r="C33">
            <v>226436</v>
          </cell>
          <cell r="D33" t="str">
            <v>Covina</v>
          </cell>
          <cell r="E33" t="str">
            <v>MCCARTHY, PATRICK</v>
          </cell>
          <cell r="F33" t="str">
            <v>GUNTUPALLI, NAGESWARA</v>
          </cell>
          <cell r="G33" t="str">
            <v>R</v>
          </cell>
          <cell r="H33" t="str">
            <v>3</v>
          </cell>
          <cell r="I33" t="str">
            <v>9</v>
          </cell>
          <cell r="J33" t="str">
            <v>Voluntary</v>
          </cell>
          <cell r="K33">
            <v>40280.041666666664</v>
          </cell>
          <cell r="L33">
            <v>40308</v>
          </cell>
          <cell r="M33">
            <v>28</v>
          </cell>
          <cell r="N33" t="str">
            <v>BLUE CROSS PRUDENT BUYER</v>
          </cell>
          <cell r="O33">
            <v>2</v>
          </cell>
          <cell r="P33" t="str">
            <v>BX</v>
          </cell>
          <cell r="Q33" t="str">
            <v>Procedural Denial - No Pre-auth. Obtained</v>
          </cell>
          <cell r="R33">
            <v>14</v>
          </cell>
          <cell r="S33">
            <v>10332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10332</v>
          </cell>
          <cell r="Y33">
            <v>10332</v>
          </cell>
        </row>
        <row r="34">
          <cell r="B34">
            <v>1001624</v>
          </cell>
          <cell r="C34">
            <v>226486</v>
          </cell>
          <cell r="D34" t="str">
            <v>Covina</v>
          </cell>
          <cell r="E34" t="str">
            <v>ZARATE, AMBER</v>
          </cell>
          <cell r="F34" t="str">
            <v>IKRAMULLAH, SULTANA</v>
          </cell>
          <cell r="G34" t="str">
            <v>Z</v>
          </cell>
          <cell r="H34" t="str">
            <v>3</v>
          </cell>
          <cell r="I34" t="str">
            <v>2</v>
          </cell>
          <cell r="J34" t="str">
            <v>Involuntary</v>
          </cell>
          <cell r="K34">
            <v>40280.041666666664</v>
          </cell>
          <cell r="L34">
            <v>40312</v>
          </cell>
          <cell r="M34">
            <v>32</v>
          </cell>
          <cell r="N34" t="str">
            <v>I/P MEDI CAL</v>
          </cell>
          <cell r="O34">
            <v>14</v>
          </cell>
          <cell r="P34" t="str">
            <v>MCAL</v>
          </cell>
          <cell r="Q34" t="str">
            <v>Medical Necessity Denials - Decent Case</v>
          </cell>
          <cell r="R34">
            <v>25</v>
          </cell>
          <cell r="S34">
            <v>10976.999664306601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10976.999664306601</v>
          </cell>
          <cell r="Y34">
            <v>10976.999664306601</v>
          </cell>
        </row>
        <row r="35">
          <cell r="B35">
            <v>1001686</v>
          </cell>
          <cell r="C35">
            <v>226516</v>
          </cell>
          <cell r="D35" t="str">
            <v>Covina</v>
          </cell>
          <cell r="E35" t="str">
            <v>ALMAGUER, DANIELLA</v>
          </cell>
          <cell r="F35" t="str">
            <v>ALKHOURI, WADIE</v>
          </cell>
          <cell r="G35" t="str">
            <v>Z</v>
          </cell>
          <cell r="H35" t="str">
            <v>3</v>
          </cell>
          <cell r="I35" t="str">
            <v>2</v>
          </cell>
          <cell r="J35" t="str">
            <v>Involuntary</v>
          </cell>
          <cell r="K35">
            <v>40283.041666666664</v>
          </cell>
          <cell r="L35">
            <v>40287.041666666664</v>
          </cell>
          <cell r="M35">
            <v>4</v>
          </cell>
          <cell r="N35" t="str">
            <v>I/P MEDI CAL</v>
          </cell>
          <cell r="O35">
            <v>14</v>
          </cell>
          <cell r="P35" t="str">
            <v>MCAL</v>
          </cell>
          <cell r="Q35" t="str">
            <v>Medical Necessity Denials - Decent Case</v>
          </cell>
          <cell r="R35">
            <v>1</v>
          </cell>
          <cell r="S35">
            <v>627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627</v>
          </cell>
          <cell r="Y35">
            <v>627</v>
          </cell>
        </row>
        <row r="36">
          <cell r="B36">
            <v>1001717</v>
          </cell>
          <cell r="C36">
            <v>226536</v>
          </cell>
          <cell r="D36" t="str">
            <v>Covina</v>
          </cell>
          <cell r="E36" t="str">
            <v>CULLORS, NAKIA</v>
          </cell>
          <cell r="F36" t="str">
            <v>ALKHOURI, WADIE</v>
          </cell>
          <cell r="G36" t="str">
            <v>Z</v>
          </cell>
          <cell r="H36" t="str">
            <v>3</v>
          </cell>
          <cell r="I36" t="str">
            <v>1</v>
          </cell>
          <cell r="J36" t="str">
            <v>Involuntary</v>
          </cell>
          <cell r="K36">
            <v>40285.041666666664</v>
          </cell>
          <cell r="L36">
            <v>40290.041666666664</v>
          </cell>
          <cell r="M36">
            <v>5</v>
          </cell>
          <cell r="N36" t="str">
            <v>I/P MEDI CAL</v>
          </cell>
          <cell r="O36">
            <v>14</v>
          </cell>
          <cell r="P36" t="str">
            <v>MCAL</v>
          </cell>
          <cell r="Q36" t="str">
            <v>Medical Necessity Denials - Decent Case</v>
          </cell>
          <cell r="R36">
            <v>2</v>
          </cell>
          <cell r="S36">
            <v>1254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1254</v>
          </cell>
          <cell r="Y36">
            <v>1254</v>
          </cell>
        </row>
        <row r="37">
          <cell r="B37">
            <v>1001718</v>
          </cell>
          <cell r="C37">
            <v>226537</v>
          </cell>
          <cell r="D37" t="str">
            <v>Covina</v>
          </cell>
          <cell r="E37" t="str">
            <v>PLASENCIA, REUBEN</v>
          </cell>
          <cell r="F37" t="str">
            <v>ASKINS, HOWARD</v>
          </cell>
          <cell r="G37" t="str">
            <v>Z</v>
          </cell>
          <cell r="H37" t="str">
            <v>3</v>
          </cell>
          <cell r="I37" t="str">
            <v>2</v>
          </cell>
          <cell r="J37" t="str">
            <v>Involuntary</v>
          </cell>
          <cell r="K37">
            <v>40285.041666666664</v>
          </cell>
          <cell r="L37">
            <v>40290.041666666664</v>
          </cell>
          <cell r="M37">
            <v>5</v>
          </cell>
          <cell r="N37" t="str">
            <v>I/P MEDI CAL</v>
          </cell>
          <cell r="O37">
            <v>14</v>
          </cell>
          <cell r="P37" t="str">
            <v>MCAL</v>
          </cell>
          <cell r="Q37" t="str">
            <v>Medical Necessity Denials - Decent Case</v>
          </cell>
          <cell r="R37">
            <v>1</v>
          </cell>
          <cell r="S37">
            <v>627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627</v>
          </cell>
          <cell r="Y37">
            <v>627</v>
          </cell>
        </row>
        <row r="38">
          <cell r="B38">
            <v>1001775</v>
          </cell>
          <cell r="C38">
            <v>226563</v>
          </cell>
          <cell r="D38" t="str">
            <v>Covina</v>
          </cell>
          <cell r="E38" t="str">
            <v>ZAPIEN, MARIA</v>
          </cell>
          <cell r="F38" t="str">
            <v>ALKHOURI, WADIE</v>
          </cell>
          <cell r="G38" t="str">
            <v>Z</v>
          </cell>
          <cell r="H38" t="str">
            <v>3</v>
          </cell>
          <cell r="I38" t="str">
            <v>2</v>
          </cell>
          <cell r="J38" t="str">
            <v>Involuntary</v>
          </cell>
          <cell r="K38">
            <v>40289.041666666664</v>
          </cell>
          <cell r="L38">
            <v>40291.041666666664</v>
          </cell>
          <cell r="M38">
            <v>2</v>
          </cell>
          <cell r="N38" t="str">
            <v>BLUE CROSS PRUDENT BUYER</v>
          </cell>
          <cell r="O38">
            <v>2</v>
          </cell>
          <cell r="P38" t="str">
            <v>BX</v>
          </cell>
          <cell r="Q38" t="str">
            <v>Procedural Denial - No Secondary Auth. Obtained</v>
          </cell>
          <cell r="R38">
            <v>2</v>
          </cell>
          <cell r="S38">
            <v>1520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1520</v>
          </cell>
          <cell r="Y38">
            <v>1520</v>
          </cell>
        </row>
        <row r="39">
          <cell r="B39">
            <v>1001818</v>
          </cell>
          <cell r="C39">
            <v>226584</v>
          </cell>
          <cell r="D39" t="str">
            <v>Covina</v>
          </cell>
          <cell r="E39" t="str">
            <v>SEAGROVES, GARY</v>
          </cell>
          <cell r="F39" t="str">
            <v>AlAsadi, Ghada</v>
          </cell>
          <cell r="G39" t="str">
            <v>Z</v>
          </cell>
          <cell r="H39" t="str">
            <v>5</v>
          </cell>
          <cell r="I39" t="str">
            <v>1</v>
          </cell>
          <cell r="J39" t="str">
            <v>Voluntary</v>
          </cell>
          <cell r="K39">
            <v>40291.041666666664</v>
          </cell>
          <cell r="L39">
            <v>40333</v>
          </cell>
          <cell r="M39">
            <v>12</v>
          </cell>
          <cell r="N39" t="str">
            <v>USBHPC BS MEMBERS</v>
          </cell>
          <cell r="O39">
            <v>16</v>
          </cell>
          <cell r="P39" t="str">
            <v>PAC</v>
          </cell>
          <cell r="Q39" t="str">
            <v>Procedural Denial - No Pre-auth. Obtained</v>
          </cell>
          <cell r="R39">
            <v>4</v>
          </cell>
          <cell r="S39">
            <v>756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756</v>
          </cell>
          <cell r="Y39">
            <v>756</v>
          </cell>
        </row>
        <row r="40">
          <cell r="B40">
            <v>1001856</v>
          </cell>
          <cell r="C40">
            <v>226606</v>
          </cell>
          <cell r="D40" t="str">
            <v>Covina</v>
          </cell>
          <cell r="E40" t="str">
            <v>STUTSON, EMONIE</v>
          </cell>
          <cell r="F40" t="str">
            <v>ASKINS, HOWARD</v>
          </cell>
          <cell r="G40" t="str">
            <v>Z</v>
          </cell>
          <cell r="H40" t="str">
            <v>3</v>
          </cell>
          <cell r="I40" t="str">
            <v>3</v>
          </cell>
          <cell r="J40" t="str">
            <v>Involuntary</v>
          </cell>
          <cell r="K40">
            <v>40293.041666666664</v>
          </cell>
          <cell r="L40">
            <v>40298</v>
          </cell>
          <cell r="M40">
            <v>5</v>
          </cell>
          <cell r="N40" t="str">
            <v>I/P MEDI CAL</v>
          </cell>
          <cell r="O40">
            <v>14</v>
          </cell>
          <cell r="P40" t="str">
            <v>MCAL</v>
          </cell>
          <cell r="Q40" t="str">
            <v>Medical Necessity Denials - Decent Case</v>
          </cell>
          <cell r="R40">
            <v>2</v>
          </cell>
          <cell r="S40">
            <v>1254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1254</v>
          </cell>
          <cell r="Y40">
            <v>1254</v>
          </cell>
        </row>
        <row r="41">
          <cell r="B41">
            <v>1001870</v>
          </cell>
          <cell r="C41">
            <v>226613</v>
          </cell>
          <cell r="D41" t="str">
            <v>Covina</v>
          </cell>
          <cell r="E41" t="str">
            <v>FEELEY, TREVOR</v>
          </cell>
          <cell r="F41" t="str">
            <v>ALKHOURI, WADIE</v>
          </cell>
          <cell r="G41" t="str">
            <v>Z</v>
          </cell>
          <cell r="H41" t="str">
            <v>3</v>
          </cell>
          <cell r="I41" t="str">
            <v>1</v>
          </cell>
          <cell r="J41" t="str">
            <v>Involuntary</v>
          </cell>
          <cell r="K41">
            <v>40294</v>
          </cell>
          <cell r="L41">
            <v>40298</v>
          </cell>
          <cell r="M41">
            <v>4</v>
          </cell>
          <cell r="N41" t="str">
            <v>SHORT-DOYLE RIVERSIDE COUNTY</v>
          </cell>
          <cell r="O41">
            <v>11</v>
          </cell>
          <cell r="P41" t="str">
            <v>SDOYRC</v>
          </cell>
          <cell r="Q41" t="str">
            <v>Medical Necessity Denials - Decent Case</v>
          </cell>
          <cell r="R41">
            <v>2</v>
          </cell>
          <cell r="S41">
            <v>1100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1100</v>
          </cell>
          <cell r="Y41">
            <v>1100</v>
          </cell>
        </row>
        <row r="42">
          <cell r="B42">
            <v>1001897</v>
          </cell>
          <cell r="C42">
            <v>226629</v>
          </cell>
          <cell r="D42" t="str">
            <v>Covina</v>
          </cell>
          <cell r="E42" t="str">
            <v>PALLARES, JONATHAN</v>
          </cell>
          <cell r="F42" t="str">
            <v>AlAsadi, Ghada</v>
          </cell>
          <cell r="G42" t="str">
            <v>Z</v>
          </cell>
          <cell r="H42" t="str">
            <v>3</v>
          </cell>
          <cell r="I42" t="str">
            <v>2</v>
          </cell>
          <cell r="J42" t="str">
            <v>Involuntary</v>
          </cell>
          <cell r="K42">
            <v>40295</v>
          </cell>
          <cell r="L42">
            <v>40301</v>
          </cell>
          <cell r="M42">
            <v>6</v>
          </cell>
          <cell r="N42" t="str">
            <v>BLUE CROSS HEALTHY FAM</v>
          </cell>
          <cell r="O42">
            <v>2</v>
          </cell>
          <cell r="P42" t="str">
            <v>BX</v>
          </cell>
          <cell r="Q42" t="str">
            <v>Procedural Denial - No Primary Auth. Obtained</v>
          </cell>
          <cell r="R42">
            <v>3</v>
          </cell>
          <cell r="S42">
            <v>2280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2280</v>
          </cell>
          <cell r="Y42">
            <v>2280</v>
          </cell>
        </row>
        <row r="43">
          <cell r="B43">
            <v>1001926</v>
          </cell>
          <cell r="C43">
            <v>226647</v>
          </cell>
          <cell r="D43" t="str">
            <v>Covina</v>
          </cell>
          <cell r="E43" t="str">
            <v>SMITH, CASSANDRA</v>
          </cell>
          <cell r="F43" t="str">
            <v>GUNTUPALLI, NAGESWARA</v>
          </cell>
          <cell r="G43" t="str">
            <v>Z</v>
          </cell>
          <cell r="H43" t="str">
            <v>3</v>
          </cell>
          <cell r="I43" t="str">
            <v>2</v>
          </cell>
          <cell r="J43" t="str">
            <v>Involuntary</v>
          </cell>
          <cell r="K43">
            <v>40297</v>
          </cell>
          <cell r="L43">
            <v>40305</v>
          </cell>
          <cell r="M43">
            <v>8</v>
          </cell>
          <cell r="N43" t="str">
            <v>I/P MEDI CAL</v>
          </cell>
          <cell r="O43">
            <v>14</v>
          </cell>
          <cell r="P43" t="str">
            <v>MCAL</v>
          </cell>
          <cell r="Q43" t="str">
            <v>Medical Necessity Denials - Decent Case</v>
          </cell>
          <cell r="R43">
            <v>1</v>
          </cell>
          <cell r="S43">
            <v>627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627</v>
          </cell>
          <cell r="Y43">
            <v>627</v>
          </cell>
        </row>
        <row r="44">
          <cell r="B44">
            <v>1001962</v>
          </cell>
          <cell r="C44">
            <v>211547</v>
          </cell>
          <cell r="D44" t="str">
            <v>Covina</v>
          </cell>
          <cell r="E44" t="str">
            <v>REALYVASQUEZ, MARY</v>
          </cell>
          <cell r="F44" t="str">
            <v>ASKINS, HOWARD</v>
          </cell>
          <cell r="G44" t="str">
            <v>Z</v>
          </cell>
          <cell r="H44" t="str">
            <v>3</v>
          </cell>
          <cell r="I44" t="str">
            <v>1</v>
          </cell>
          <cell r="J44" t="str">
            <v>Involuntary</v>
          </cell>
          <cell r="K44">
            <v>40298</v>
          </cell>
          <cell r="L44">
            <v>40305</v>
          </cell>
          <cell r="M44">
            <v>7</v>
          </cell>
          <cell r="N44" t="str">
            <v>LA COUNTY FUNDED</v>
          </cell>
          <cell r="O44">
            <v>11</v>
          </cell>
          <cell r="P44" t="str">
            <v>LACTY</v>
          </cell>
          <cell r="Q44" t="str">
            <v>Medical Necessity Denials - Decent Case</v>
          </cell>
          <cell r="R44">
            <v>4</v>
          </cell>
          <cell r="S44">
            <v>2240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2240</v>
          </cell>
          <cell r="Y44">
            <v>2240</v>
          </cell>
        </row>
        <row r="45">
          <cell r="B45">
            <v>1002003</v>
          </cell>
          <cell r="C45">
            <v>219802</v>
          </cell>
          <cell r="D45" t="str">
            <v>Covina</v>
          </cell>
          <cell r="E45" t="str">
            <v>PERKINS, KEESHA</v>
          </cell>
          <cell r="F45" t="str">
            <v>ASKINS, HOWARD</v>
          </cell>
          <cell r="G45" t="str">
            <v>Z</v>
          </cell>
          <cell r="H45" t="str">
            <v>3</v>
          </cell>
          <cell r="I45" t="str">
            <v>1</v>
          </cell>
          <cell r="J45" t="str">
            <v>Voluntary</v>
          </cell>
          <cell r="K45">
            <v>40301</v>
          </cell>
          <cell r="L45">
            <v>40309</v>
          </cell>
          <cell r="M45">
            <v>8</v>
          </cell>
          <cell r="N45" t="str">
            <v>LA COUNTY FUNDED</v>
          </cell>
          <cell r="O45">
            <v>11</v>
          </cell>
          <cell r="P45" t="str">
            <v>LACTY</v>
          </cell>
          <cell r="Q45" t="str">
            <v>Medical Necessity Denials - Decent Case</v>
          </cell>
          <cell r="R45">
            <v>5</v>
          </cell>
          <cell r="S45">
            <v>2800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2800</v>
          </cell>
          <cell r="Y45">
            <v>2800</v>
          </cell>
        </row>
        <row r="46">
          <cell r="B46">
            <v>1002017</v>
          </cell>
          <cell r="C46">
            <v>225930</v>
          </cell>
          <cell r="D46" t="str">
            <v>Covina</v>
          </cell>
          <cell r="E46" t="str">
            <v>MARTORANA-VARONE, TONI</v>
          </cell>
          <cell r="F46" t="str">
            <v>ALKHOURI, WADIE</v>
          </cell>
          <cell r="G46" t="str">
            <v>Z</v>
          </cell>
          <cell r="H46" t="str">
            <v>3</v>
          </cell>
          <cell r="I46" t="str">
            <v>1</v>
          </cell>
          <cell r="J46" t="str">
            <v>Voluntary</v>
          </cell>
          <cell r="K46">
            <v>40302</v>
          </cell>
          <cell r="L46">
            <v>40305</v>
          </cell>
          <cell r="M46">
            <v>3</v>
          </cell>
          <cell r="N46" t="str">
            <v>PACIFICARE BEHAV HEALTH</v>
          </cell>
          <cell r="O46">
            <v>16</v>
          </cell>
          <cell r="P46" t="str">
            <v>PAC</v>
          </cell>
          <cell r="Q46" t="str">
            <v>Procedural Denial - No Pre-auth. Obtained</v>
          </cell>
          <cell r="R46">
            <v>3</v>
          </cell>
          <cell r="S46">
            <v>159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159</v>
          </cell>
          <cell r="Y46">
            <v>159</v>
          </cell>
        </row>
        <row r="47">
          <cell r="B47">
            <v>1002051</v>
          </cell>
          <cell r="C47">
            <v>226718</v>
          </cell>
          <cell r="D47" t="str">
            <v>Covina</v>
          </cell>
          <cell r="E47" t="str">
            <v>MATTISON, JOY</v>
          </cell>
          <cell r="F47" t="str">
            <v>JACOB, SAID</v>
          </cell>
          <cell r="G47" t="str">
            <v>Z</v>
          </cell>
          <cell r="H47" t="str">
            <v>3</v>
          </cell>
          <cell r="I47" t="str">
            <v>1</v>
          </cell>
          <cell r="J47" t="str">
            <v>Involuntary</v>
          </cell>
          <cell r="K47">
            <v>40303</v>
          </cell>
          <cell r="L47">
            <v>40309</v>
          </cell>
          <cell r="M47">
            <v>6</v>
          </cell>
          <cell r="N47" t="str">
            <v>AETNA SR PLAN</v>
          </cell>
          <cell r="O47">
            <v>8</v>
          </cell>
          <cell r="P47" t="str">
            <v>AET</v>
          </cell>
          <cell r="Q47" t="str">
            <v>Procedural Denial - No Pre-auth. Obtained</v>
          </cell>
          <cell r="R47">
            <v>6</v>
          </cell>
          <cell r="S47">
            <v>4290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4290</v>
          </cell>
          <cell r="Y47">
            <v>4290</v>
          </cell>
        </row>
        <row r="48">
          <cell r="B48">
            <v>1002055</v>
          </cell>
          <cell r="C48">
            <v>225355</v>
          </cell>
          <cell r="D48" t="str">
            <v>Covina</v>
          </cell>
          <cell r="E48" t="str">
            <v>FOY, ELIJAH</v>
          </cell>
          <cell r="F48" t="str">
            <v>IKRAMULLAH, SULTANA</v>
          </cell>
          <cell r="G48" t="str">
            <v>Z</v>
          </cell>
          <cell r="H48" t="str">
            <v>3</v>
          </cell>
          <cell r="I48" t="str">
            <v>2</v>
          </cell>
          <cell r="J48" t="str">
            <v>Voluntary</v>
          </cell>
          <cell r="K48">
            <v>40303</v>
          </cell>
          <cell r="L48">
            <v>40316</v>
          </cell>
          <cell r="M48">
            <v>13</v>
          </cell>
          <cell r="N48" t="str">
            <v>BLUE CROSS HEALTHY FAM</v>
          </cell>
          <cell r="O48">
            <v>2</v>
          </cell>
          <cell r="P48" t="str">
            <v>BX</v>
          </cell>
          <cell r="Q48" t="str">
            <v>Procedural Denial - MD-to-MD Denial</v>
          </cell>
          <cell r="R48">
            <v>6</v>
          </cell>
          <cell r="S48">
            <v>4560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4560</v>
          </cell>
          <cell r="Y48">
            <v>4560</v>
          </cell>
        </row>
        <row r="49">
          <cell r="B49">
            <v>1002074</v>
          </cell>
          <cell r="C49">
            <v>225946</v>
          </cell>
          <cell r="D49" t="str">
            <v>Covina</v>
          </cell>
          <cell r="E49" t="str">
            <v>ISHIDA-VEGA, KIMBERLY</v>
          </cell>
          <cell r="F49" t="str">
            <v>AlAsadi, Ghada</v>
          </cell>
          <cell r="G49" t="str">
            <v>Z</v>
          </cell>
          <cell r="H49" t="str">
            <v>3</v>
          </cell>
          <cell r="I49" t="str">
            <v>2</v>
          </cell>
          <cell r="J49" t="str">
            <v>Involuntary</v>
          </cell>
          <cell r="K49">
            <v>40304</v>
          </cell>
          <cell r="L49">
            <v>40308</v>
          </cell>
          <cell r="M49">
            <v>4</v>
          </cell>
          <cell r="N49" t="str">
            <v>I/P MEDI CAL</v>
          </cell>
          <cell r="O49">
            <v>14</v>
          </cell>
          <cell r="P49" t="str">
            <v>MCAL</v>
          </cell>
          <cell r="Q49" t="str">
            <v>Medical Necessity Denials - Decent Case</v>
          </cell>
          <cell r="R49">
            <v>1</v>
          </cell>
          <cell r="S49">
            <v>627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627</v>
          </cell>
          <cell r="Y49">
            <v>627</v>
          </cell>
        </row>
        <row r="50">
          <cell r="B50">
            <v>1002094</v>
          </cell>
          <cell r="C50">
            <v>226741</v>
          </cell>
          <cell r="D50" t="str">
            <v>Covina</v>
          </cell>
          <cell r="E50" t="str">
            <v>MALOW, CONSTANCE</v>
          </cell>
          <cell r="F50" t="str">
            <v>ALKHOURI, WADIE</v>
          </cell>
          <cell r="G50" t="str">
            <v>Z</v>
          </cell>
          <cell r="H50" t="str">
            <v>3</v>
          </cell>
          <cell r="I50" t="str">
            <v>1</v>
          </cell>
          <cell r="J50" t="str">
            <v>Involuntary</v>
          </cell>
          <cell r="K50">
            <v>40305</v>
          </cell>
          <cell r="L50">
            <v>40322</v>
          </cell>
          <cell r="M50">
            <v>17</v>
          </cell>
          <cell r="N50" t="str">
            <v>LA COUNTY FUNDED</v>
          </cell>
          <cell r="O50">
            <v>11</v>
          </cell>
          <cell r="P50" t="str">
            <v>LACTY</v>
          </cell>
          <cell r="Q50" t="str">
            <v>Medical Necessity Denials - Decent Case</v>
          </cell>
          <cell r="R50">
            <v>14</v>
          </cell>
          <cell r="S50">
            <v>7840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7840</v>
          </cell>
          <cell r="Y50">
            <v>7840</v>
          </cell>
        </row>
        <row r="51">
          <cell r="B51">
            <v>1002117</v>
          </cell>
          <cell r="C51">
            <v>226752</v>
          </cell>
          <cell r="D51" t="str">
            <v>Covina</v>
          </cell>
          <cell r="E51" t="str">
            <v>BRITTON, LORNE</v>
          </cell>
          <cell r="F51" t="str">
            <v>AlAsadi, Ghada</v>
          </cell>
          <cell r="G51" t="str">
            <v>Z</v>
          </cell>
          <cell r="H51" t="str">
            <v>3</v>
          </cell>
          <cell r="I51" t="str">
            <v>1</v>
          </cell>
          <cell r="J51" t="str">
            <v>Involuntary</v>
          </cell>
          <cell r="K51">
            <v>40308</v>
          </cell>
          <cell r="L51">
            <v>40315</v>
          </cell>
          <cell r="M51">
            <v>7</v>
          </cell>
          <cell r="N51" t="str">
            <v>LA COUNTY FUNDED</v>
          </cell>
          <cell r="O51">
            <v>11</v>
          </cell>
          <cell r="P51" t="str">
            <v>LACTY</v>
          </cell>
          <cell r="Q51" t="str">
            <v>Medical Necessity Denials - Decent Case</v>
          </cell>
          <cell r="R51">
            <v>4</v>
          </cell>
          <cell r="S51">
            <v>2240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2240</v>
          </cell>
          <cell r="Y51">
            <v>2240</v>
          </cell>
        </row>
        <row r="52">
          <cell r="B52">
            <v>1002120</v>
          </cell>
          <cell r="C52">
            <v>226754</v>
          </cell>
          <cell r="D52" t="str">
            <v>Covina</v>
          </cell>
          <cell r="E52" t="str">
            <v>DURBIN, JOSEPH</v>
          </cell>
          <cell r="F52" t="str">
            <v>AlAsadi, Ghada</v>
          </cell>
          <cell r="G52" t="str">
            <v>Z</v>
          </cell>
          <cell r="H52" t="str">
            <v>3</v>
          </cell>
          <cell r="I52" t="str">
            <v>2</v>
          </cell>
          <cell r="J52" t="str">
            <v>Voluntary</v>
          </cell>
          <cell r="K52">
            <v>40308</v>
          </cell>
          <cell r="L52">
            <v>40312</v>
          </cell>
          <cell r="M52">
            <v>4</v>
          </cell>
          <cell r="N52" t="str">
            <v>USBHPC BS MEMBERS</v>
          </cell>
          <cell r="O52">
            <v>16</v>
          </cell>
          <cell r="P52" t="str">
            <v>PAC</v>
          </cell>
          <cell r="Q52" t="str">
            <v>Procedural Denial - No Pre-auth. Obtained</v>
          </cell>
          <cell r="R52">
            <v>2</v>
          </cell>
          <cell r="S52">
            <v>1532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1532</v>
          </cell>
          <cell r="Y52">
            <v>1532</v>
          </cell>
        </row>
        <row r="53">
          <cell r="B53">
            <v>1002122</v>
          </cell>
          <cell r="C53">
            <v>224825</v>
          </cell>
          <cell r="D53" t="str">
            <v>Covina</v>
          </cell>
          <cell r="E53" t="str">
            <v>HUYNH, HAI</v>
          </cell>
          <cell r="F53" t="str">
            <v>AlAsadi, Ghada</v>
          </cell>
          <cell r="G53" t="str">
            <v>Z</v>
          </cell>
          <cell r="H53" t="str">
            <v>3</v>
          </cell>
          <cell r="I53" t="str">
            <v>1</v>
          </cell>
          <cell r="J53" t="str">
            <v>Involuntary</v>
          </cell>
          <cell r="K53">
            <v>40308</v>
          </cell>
          <cell r="L53">
            <v>40315</v>
          </cell>
          <cell r="M53">
            <v>7</v>
          </cell>
          <cell r="N53" t="str">
            <v>LA COUNTY FUNDED</v>
          </cell>
          <cell r="O53">
            <v>11</v>
          </cell>
          <cell r="P53" t="str">
            <v>LACTY</v>
          </cell>
          <cell r="Q53" t="str">
            <v>Medical Necessity Denials - Decent Case</v>
          </cell>
          <cell r="R53">
            <v>4</v>
          </cell>
          <cell r="S53">
            <v>2240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2240</v>
          </cell>
          <cell r="Y53">
            <v>2240</v>
          </cell>
        </row>
        <row r="54">
          <cell r="B54">
            <v>1002125</v>
          </cell>
          <cell r="C54">
            <v>226158</v>
          </cell>
          <cell r="D54" t="str">
            <v>Covina</v>
          </cell>
          <cell r="E54" t="str">
            <v>RODAS, ANTONIO</v>
          </cell>
          <cell r="F54" t="str">
            <v>GUNTUPALLI, NAGESWARA</v>
          </cell>
          <cell r="G54" t="str">
            <v>Z</v>
          </cell>
          <cell r="H54" t="str">
            <v>3</v>
          </cell>
          <cell r="I54" t="str">
            <v>2</v>
          </cell>
          <cell r="J54" t="str">
            <v>Voluntary</v>
          </cell>
          <cell r="K54">
            <v>40308</v>
          </cell>
          <cell r="L54">
            <v>40315</v>
          </cell>
          <cell r="M54">
            <v>7</v>
          </cell>
          <cell r="N54" t="str">
            <v>BLUE CROSS PRUDENT BUYER</v>
          </cell>
          <cell r="O54">
            <v>2</v>
          </cell>
          <cell r="P54" t="str">
            <v>BX</v>
          </cell>
          <cell r="Q54" t="str">
            <v>Procedural Denial - No Pre-auth. Obtained</v>
          </cell>
          <cell r="R54">
            <v>2</v>
          </cell>
          <cell r="S54">
            <v>1520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1520</v>
          </cell>
          <cell r="Y54">
            <v>1520</v>
          </cell>
        </row>
        <row r="55">
          <cell r="B55">
            <v>1002205</v>
          </cell>
          <cell r="C55">
            <v>226795</v>
          </cell>
          <cell r="D55" t="str">
            <v>Covina</v>
          </cell>
          <cell r="E55" t="str">
            <v>FULLERMAN, DENNIS</v>
          </cell>
          <cell r="F55" t="str">
            <v>TANK, DAYALAL</v>
          </cell>
          <cell r="G55" t="str">
            <v>Z</v>
          </cell>
          <cell r="H55" t="str">
            <v>3</v>
          </cell>
          <cell r="I55" t="str">
            <v>1</v>
          </cell>
          <cell r="J55" t="str">
            <v>Involuntary</v>
          </cell>
          <cell r="K55">
            <v>40312</v>
          </cell>
          <cell r="L55">
            <v>40324</v>
          </cell>
          <cell r="M55">
            <v>12</v>
          </cell>
          <cell r="N55" t="str">
            <v>BLUE CROSS PRUDENT BUYER</v>
          </cell>
          <cell r="O55">
            <v>2</v>
          </cell>
          <cell r="P55" t="str">
            <v>BX</v>
          </cell>
          <cell r="Q55" t="str">
            <v>Procedural Denial - No Primary Auth. Obtained</v>
          </cell>
          <cell r="R55">
            <v>1</v>
          </cell>
          <cell r="S55">
            <v>738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738</v>
          </cell>
          <cell r="Y55">
            <v>738</v>
          </cell>
        </row>
        <row r="56">
          <cell r="B56">
            <v>1002240</v>
          </cell>
          <cell r="C56">
            <v>219802</v>
          </cell>
          <cell r="D56" t="str">
            <v>Covina</v>
          </cell>
          <cell r="E56" t="str">
            <v>PERKINS, KEESHA</v>
          </cell>
          <cell r="F56" t="str">
            <v>ASKINS, HOWARD</v>
          </cell>
          <cell r="G56" t="str">
            <v>Z</v>
          </cell>
          <cell r="H56" t="str">
            <v>3</v>
          </cell>
          <cell r="I56" t="str">
            <v>1</v>
          </cell>
          <cell r="J56" t="str">
            <v>Involuntary</v>
          </cell>
          <cell r="K56">
            <v>40315</v>
          </cell>
          <cell r="L56">
            <v>40322</v>
          </cell>
          <cell r="M56">
            <v>7</v>
          </cell>
          <cell r="N56" t="str">
            <v>LA COUNTY FUNDED</v>
          </cell>
          <cell r="O56">
            <v>11</v>
          </cell>
          <cell r="P56" t="str">
            <v>LACTY</v>
          </cell>
          <cell r="Q56" t="str">
            <v>Medical Necessity Denials - Decent Case</v>
          </cell>
          <cell r="R56">
            <v>4</v>
          </cell>
          <cell r="S56">
            <v>2240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2240</v>
          </cell>
          <cell r="Y56">
            <v>2240</v>
          </cell>
        </row>
        <row r="57">
          <cell r="B57">
            <v>1002303</v>
          </cell>
          <cell r="C57">
            <v>217558</v>
          </cell>
          <cell r="D57" t="str">
            <v>Covina</v>
          </cell>
          <cell r="E57" t="str">
            <v>BATEMAN, ALEXANDER</v>
          </cell>
          <cell r="F57" t="str">
            <v>IKRAMULLAH, SULTANA</v>
          </cell>
          <cell r="G57" t="str">
            <v>Z</v>
          </cell>
          <cell r="H57" t="str">
            <v>3</v>
          </cell>
          <cell r="I57" t="str">
            <v>2</v>
          </cell>
          <cell r="J57" t="str">
            <v>Involuntary</v>
          </cell>
          <cell r="K57">
            <v>40317</v>
          </cell>
          <cell r="L57">
            <v>40326</v>
          </cell>
          <cell r="M57">
            <v>9</v>
          </cell>
          <cell r="N57" t="str">
            <v>I/P MEDI CAL RIVERSIDE COUNTY</v>
          </cell>
          <cell r="O57">
            <v>14</v>
          </cell>
          <cell r="P57" t="str">
            <v>MCAL</v>
          </cell>
          <cell r="Q57" t="str">
            <v>Medical Necessity Denials - Decent Case</v>
          </cell>
          <cell r="R57">
            <v>3</v>
          </cell>
          <cell r="S57">
            <v>1881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1881</v>
          </cell>
          <cell r="Y57">
            <v>1881</v>
          </cell>
        </row>
        <row r="58">
          <cell r="B58">
            <v>1002312</v>
          </cell>
          <cell r="C58">
            <v>226083</v>
          </cell>
          <cell r="D58" t="str">
            <v>Covina</v>
          </cell>
          <cell r="E58" t="str">
            <v>MARTINEZ, JEFFREY</v>
          </cell>
          <cell r="F58" t="str">
            <v>IKRAMULLAH, SULTANA</v>
          </cell>
          <cell r="G58" t="str">
            <v>Z</v>
          </cell>
          <cell r="H58" t="str">
            <v>3</v>
          </cell>
          <cell r="I58" t="str">
            <v>2</v>
          </cell>
          <cell r="J58" t="str">
            <v>Voluntary</v>
          </cell>
          <cell r="K58">
            <v>40318</v>
          </cell>
          <cell r="L58">
            <v>40322</v>
          </cell>
          <cell r="M58">
            <v>4</v>
          </cell>
          <cell r="N58" t="str">
            <v>I/P MEDI CAL LOS ANGELES CNT</v>
          </cell>
          <cell r="O58">
            <v>14</v>
          </cell>
          <cell r="P58" t="str">
            <v>MCAL</v>
          </cell>
          <cell r="Q58" t="str">
            <v>Medical Necessity Denials - Decent Case</v>
          </cell>
          <cell r="R58">
            <v>4</v>
          </cell>
          <cell r="S58">
            <v>2508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2508</v>
          </cell>
          <cell r="Y58">
            <v>2508</v>
          </cell>
        </row>
        <row r="59">
          <cell r="B59">
            <v>1002347</v>
          </cell>
          <cell r="C59">
            <v>226862</v>
          </cell>
          <cell r="D59" t="str">
            <v>Covina</v>
          </cell>
          <cell r="E59" t="str">
            <v>RENDON, MARILU</v>
          </cell>
          <cell r="F59" t="str">
            <v>ALKHOURI, WADIE</v>
          </cell>
          <cell r="G59" t="str">
            <v>Z</v>
          </cell>
          <cell r="H59" t="str">
            <v>3</v>
          </cell>
          <cell r="I59" t="str">
            <v>2</v>
          </cell>
          <cell r="J59" t="str">
            <v>Involuntary</v>
          </cell>
          <cell r="K59">
            <v>40319</v>
          </cell>
          <cell r="L59">
            <v>40330</v>
          </cell>
          <cell r="M59">
            <v>11</v>
          </cell>
          <cell r="N59" t="str">
            <v>LA COUNTY FUNDED</v>
          </cell>
          <cell r="O59">
            <v>11</v>
          </cell>
          <cell r="P59" t="str">
            <v>LACTY</v>
          </cell>
          <cell r="Q59" t="str">
            <v>Medical Necessity Denials - Decent Case</v>
          </cell>
          <cell r="R59">
            <v>6</v>
          </cell>
          <cell r="S59">
            <v>3360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3360</v>
          </cell>
          <cell r="Y59">
            <v>3360</v>
          </cell>
        </row>
        <row r="60">
          <cell r="B60">
            <v>1002372</v>
          </cell>
          <cell r="C60">
            <v>224233</v>
          </cell>
          <cell r="D60" t="str">
            <v>Covina</v>
          </cell>
          <cell r="E60" t="str">
            <v>GOMEZ, GLORIA</v>
          </cell>
          <cell r="F60" t="str">
            <v>AlAsadi, Ghada</v>
          </cell>
          <cell r="G60" t="str">
            <v>Z</v>
          </cell>
          <cell r="H60" t="str">
            <v>3</v>
          </cell>
          <cell r="I60" t="str">
            <v>1</v>
          </cell>
          <cell r="J60" t="str">
            <v>Voluntary</v>
          </cell>
          <cell r="K60">
            <v>40322</v>
          </cell>
          <cell r="L60">
            <v>40331</v>
          </cell>
          <cell r="M60">
            <v>9</v>
          </cell>
          <cell r="N60" t="str">
            <v>LA COUNTY FUNDED</v>
          </cell>
          <cell r="O60">
            <v>11</v>
          </cell>
          <cell r="P60" t="str">
            <v>LACTY</v>
          </cell>
          <cell r="Q60" t="str">
            <v>Medical Necessity Denials - Decent Case</v>
          </cell>
          <cell r="R60">
            <v>4</v>
          </cell>
          <cell r="S60">
            <v>2240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2240</v>
          </cell>
          <cell r="Y60">
            <v>2240</v>
          </cell>
        </row>
        <row r="61">
          <cell r="B61">
            <v>1002378</v>
          </cell>
          <cell r="C61">
            <v>224774</v>
          </cell>
          <cell r="D61" t="str">
            <v>Covina</v>
          </cell>
          <cell r="E61" t="str">
            <v>HERNANDEZ, DESTINY</v>
          </cell>
          <cell r="F61" t="str">
            <v>AlAsadi, Ghada</v>
          </cell>
          <cell r="G61" t="str">
            <v>Z</v>
          </cell>
          <cell r="H61" t="str">
            <v>3</v>
          </cell>
          <cell r="I61" t="str">
            <v>2</v>
          </cell>
          <cell r="J61" t="str">
            <v>Involuntary</v>
          </cell>
          <cell r="K61">
            <v>40322</v>
          </cell>
          <cell r="L61">
            <v>40330</v>
          </cell>
          <cell r="M61">
            <v>8</v>
          </cell>
          <cell r="N61" t="str">
            <v>I/P MEDI CAL LOS ANGELES CNT</v>
          </cell>
          <cell r="O61">
            <v>14</v>
          </cell>
          <cell r="P61" t="str">
            <v>MCAL</v>
          </cell>
          <cell r="Q61" t="str">
            <v>Billing Denial - Diagnosis Disagreement</v>
          </cell>
          <cell r="R61">
            <v>5</v>
          </cell>
          <cell r="S61">
            <v>3135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3135</v>
          </cell>
          <cell r="Y61">
            <v>3135</v>
          </cell>
        </row>
        <row r="62">
          <cell r="B62">
            <v>1002382</v>
          </cell>
          <cell r="C62">
            <v>225182</v>
          </cell>
          <cell r="D62" t="str">
            <v>Covina</v>
          </cell>
          <cell r="E62" t="str">
            <v>GILBERT, SHEILA</v>
          </cell>
          <cell r="F62" t="str">
            <v>ASKINS, HOWARD</v>
          </cell>
          <cell r="G62" t="str">
            <v>Z</v>
          </cell>
          <cell r="H62" t="str">
            <v>3</v>
          </cell>
          <cell r="I62" t="str">
            <v>2</v>
          </cell>
          <cell r="J62" t="str">
            <v>Involuntary</v>
          </cell>
          <cell r="K62">
            <v>40322</v>
          </cell>
          <cell r="L62">
            <v>40352</v>
          </cell>
          <cell r="M62">
            <v>30</v>
          </cell>
          <cell r="N62" t="str">
            <v>I/P MEDI CAL</v>
          </cell>
          <cell r="O62">
            <v>14</v>
          </cell>
          <cell r="P62" t="str">
            <v>MCAL</v>
          </cell>
          <cell r="Q62" t="str">
            <v>Medical Necessity Denials - Decent Case</v>
          </cell>
          <cell r="R62">
            <v>4</v>
          </cell>
          <cell r="S62">
            <v>1552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1552</v>
          </cell>
          <cell r="Y62">
            <v>1552</v>
          </cell>
        </row>
        <row r="63">
          <cell r="B63">
            <v>1002469</v>
          </cell>
          <cell r="C63">
            <v>226923</v>
          </cell>
          <cell r="D63" t="str">
            <v>Covina</v>
          </cell>
          <cell r="E63" t="str">
            <v>MADRIGAL, RUBEN</v>
          </cell>
          <cell r="F63" t="str">
            <v>ASKINS, HOWARD</v>
          </cell>
          <cell r="G63" t="str">
            <v>Z</v>
          </cell>
          <cell r="H63" t="str">
            <v>3</v>
          </cell>
          <cell r="I63" t="str">
            <v>2</v>
          </cell>
          <cell r="J63" t="str">
            <v>Voluntary</v>
          </cell>
          <cell r="K63">
            <v>40326</v>
          </cell>
          <cell r="L63">
            <v>40337</v>
          </cell>
          <cell r="M63">
            <v>11</v>
          </cell>
          <cell r="N63" t="str">
            <v>I/P MEDI CAL SAN BERNARDINO</v>
          </cell>
          <cell r="O63">
            <v>14</v>
          </cell>
          <cell r="P63" t="str">
            <v>MCAL</v>
          </cell>
          <cell r="Q63" t="str">
            <v>Medical Necessity Denials - Decent Case</v>
          </cell>
          <cell r="R63">
            <v>1</v>
          </cell>
          <cell r="S63">
            <v>627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627</v>
          </cell>
          <cell r="Y63">
            <v>627</v>
          </cell>
        </row>
        <row r="64">
          <cell r="B64">
            <v>1002489</v>
          </cell>
          <cell r="C64">
            <v>226937</v>
          </cell>
          <cell r="D64" t="str">
            <v>Covina</v>
          </cell>
          <cell r="E64" t="str">
            <v>ALBORES, JENIFER</v>
          </cell>
          <cell r="F64" t="str">
            <v>AlAsadi, Ghada</v>
          </cell>
          <cell r="G64" t="str">
            <v>Z</v>
          </cell>
          <cell r="H64" t="str">
            <v>3</v>
          </cell>
          <cell r="I64" t="str">
            <v>2</v>
          </cell>
          <cell r="J64" t="str">
            <v>Involuntary</v>
          </cell>
          <cell r="K64">
            <v>40328</v>
          </cell>
          <cell r="L64">
            <v>40333</v>
          </cell>
          <cell r="M64">
            <v>5</v>
          </cell>
          <cell r="N64" t="str">
            <v>I/P MEDI CAL RIVERSIDE COUNTY</v>
          </cell>
          <cell r="O64">
            <v>14</v>
          </cell>
          <cell r="P64" t="str">
            <v>MCAL</v>
          </cell>
          <cell r="Q64" t="str">
            <v>Medical Necessity Denials - Decent Case</v>
          </cell>
          <cell r="R64">
            <v>1</v>
          </cell>
          <cell r="S64">
            <v>627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627</v>
          </cell>
          <cell r="Y64">
            <v>627</v>
          </cell>
        </row>
        <row r="65">
          <cell r="B65">
            <v>1002490</v>
          </cell>
          <cell r="C65">
            <v>226938</v>
          </cell>
          <cell r="D65" t="str">
            <v>Covina</v>
          </cell>
          <cell r="E65" t="str">
            <v>RACKOHN, ALEXANDER</v>
          </cell>
          <cell r="F65" t="str">
            <v>GILLESPIE, WILLIAM</v>
          </cell>
          <cell r="G65" t="str">
            <v>Z</v>
          </cell>
          <cell r="H65" t="str">
            <v>3</v>
          </cell>
          <cell r="I65" t="str">
            <v>1</v>
          </cell>
          <cell r="J65" t="str">
            <v>Involuntary</v>
          </cell>
          <cell r="K65">
            <v>40328</v>
          </cell>
          <cell r="L65">
            <v>40337</v>
          </cell>
          <cell r="M65">
            <v>9</v>
          </cell>
          <cell r="N65" t="str">
            <v>USBHPC BS MEMBERS</v>
          </cell>
          <cell r="O65">
            <v>16</v>
          </cell>
          <cell r="P65" t="str">
            <v>PAC</v>
          </cell>
          <cell r="Q65" t="str">
            <v>Procedural Denial - No Pre-auth. Obtained</v>
          </cell>
          <cell r="R65">
            <v>1</v>
          </cell>
          <cell r="S65">
            <v>746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746</v>
          </cell>
          <cell r="Y65">
            <v>746</v>
          </cell>
        </row>
        <row r="66">
          <cell r="B66">
            <v>1002511</v>
          </cell>
          <cell r="C66">
            <v>226946</v>
          </cell>
          <cell r="D66" t="str">
            <v>Covina</v>
          </cell>
          <cell r="E66" t="str">
            <v>ROJAS, GIL</v>
          </cell>
          <cell r="F66" t="str">
            <v>AlAsadi, Ghada</v>
          </cell>
          <cell r="G66" t="str">
            <v>Z</v>
          </cell>
          <cell r="H66" t="str">
            <v>3</v>
          </cell>
          <cell r="I66" t="str">
            <v>1</v>
          </cell>
          <cell r="J66" t="str">
            <v>Involuntary</v>
          </cell>
          <cell r="K66">
            <v>40330</v>
          </cell>
          <cell r="L66">
            <v>40338</v>
          </cell>
          <cell r="M66">
            <v>8</v>
          </cell>
          <cell r="N66" t="str">
            <v>LA COUNTY FUNDED</v>
          </cell>
          <cell r="O66">
            <v>11</v>
          </cell>
          <cell r="P66" t="str">
            <v>LACTY</v>
          </cell>
          <cell r="Q66" t="str">
            <v>Medical Necessity Denials - Decent Case</v>
          </cell>
          <cell r="R66">
            <v>5</v>
          </cell>
          <cell r="S66">
            <v>2800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2800</v>
          </cell>
          <cell r="Y66">
            <v>2800</v>
          </cell>
        </row>
        <row r="67">
          <cell r="B67">
            <v>1002527</v>
          </cell>
          <cell r="C67">
            <v>226957</v>
          </cell>
          <cell r="D67" t="str">
            <v>Covina</v>
          </cell>
          <cell r="E67" t="str">
            <v>BEAM, DONALD</v>
          </cell>
          <cell r="F67" t="str">
            <v>ASKINS, HOWARD</v>
          </cell>
          <cell r="G67" t="str">
            <v>Z</v>
          </cell>
          <cell r="H67" t="str">
            <v>3</v>
          </cell>
          <cell r="I67" t="str">
            <v>1</v>
          </cell>
          <cell r="J67" t="str">
            <v>Involuntary</v>
          </cell>
          <cell r="K67">
            <v>40331</v>
          </cell>
          <cell r="L67">
            <v>40333</v>
          </cell>
          <cell r="M67">
            <v>2</v>
          </cell>
          <cell r="N67" t="str">
            <v>SHORT-DOYLE RIVERSIDE COUNTY</v>
          </cell>
          <cell r="O67">
            <v>11</v>
          </cell>
          <cell r="P67" t="str">
            <v>SDOYRC</v>
          </cell>
          <cell r="Q67" t="str">
            <v>Medical Necessity Denials - Decent Case</v>
          </cell>
          <cell r="R67">
            <v>2</v>
          </cell>
          <cell r="S67">
            <v>1100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1100</v>
          </cell>
          <cell r="Y67">
            <v>1100</v>
          </cell>
        </row>
        <row r="68">
          <cell r="B68">
            <v>1002534</v>
          </cell>
          <cell r="C68">
            <v>221075</v>
          </cell>
          <cell r="D68" t="str">
            <v>Covina</v>
          </cell>
          <cell r="E68" t="str">
            <v>HINTZ, KATHERINE</v>
          </cell>
          <cell r="F68" t="str">
            <v>ASKINS, HOWARD</v>
          </cell>
          <cell r="G68" t="str">
            <v>Z</v>
          </cell>
          <cell r="H68" t="str">
            <v>5</v>
          </cell>
          <cell r="I68" t="str">
            <v>1</v>
          </cell>
          <cell r="J68" t="str">
            <v>Voluntary</v>
          </cell>
          <cell r="K68">
            <v>40331</v>
          </cell>
          <cell r="L68">
            <v>40346</v>
          </cell>
          <cell r="M68">
            <v>4</v>
          </cell>
          <cell r="N68" t="str">
            <v>MHN/HMC</v>
          </cell>
          <cell r="O68">
            <v>16</v>
          </cell>
          <cell r="P68" t="str">
            <v>MHN</v>
          </cell>
          <cell r="Q68" t="str">
            <v>Procedural Denial - No Pre-auth. Obtained</v>
          </cell>
          <cell r="R68">
            <v>1</v>
          </cell>
          <cell r="S68">
            <v>235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235</v>
          </cell>
          <cell r="Y68">
            <v>235</v>
          </cell>
        </row>
        <row r="69">
          <cell r="B69">
            <v>1002553</v>
          </cell>
          <cell r="C69">
            <v>226920</v>
          </cell>
          <cell r="D69" t="str">
            <v>Covina</v>
          </cell>
          <cell r="E69" t="str">
            <v>LAPIN, WEDNESDAY</v>
          </cell>
          <cell r="F69" t="str">
            <v>IKRAMULLAH, SULTANA</v>
          </cell>
          <cell r="G69" t="str">
            <v>Z</v>
          </cell>
          <cell r="H69" t="str">
            <v>3</v>
          </cell>
          <cell r="I69" t="str">
            <v>2</v>
          </cell>
          <cell r="J69" t="str">
            <v>Involuntary</v>
          </cell>
          <cell r="K69">
            <v>40332</v>
          </cell>
          <cell r="L69">
            <v>40337</v>
          </cell>
          <cell r="M69">
            <v>5</v>
          </cell>
          <cell r="N69" t="str">
            <v>I/P MEDI CAL RIVERSIDE COUNTY</v>
          </cell>
          <cell r="O69">
            <v>14</v>
          </cell>
          <cell r="P69" t="str">
            <v>MCAL</v>
          </cell>
          <cell r="Q69" t="str">
            <v>Medical Necessity Denials - Decent Case</v>
          </cell>
          <cell r="R69">
            <v>1</v>
          </cell>
          <cell r="S69">
            <v>627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627</v>
          </cell>
          <cell r="Y69">
            <v>627</v>
          </cell>
        </row>
        <row r="70">
          <cell r="B70">
            <v>1002577</v>
          </cell>
          <cell r="C70">
            <v>224567</v>
          </cell>
          <cell r="D70" t="str">
            <v>Covina</v>
          </cell>
          <cell r="E70" t="str">
            <v>ROBLES, JESUS</v>
          </cell>
          <cell r="F70" t="str">
            <v>ASKINS, HOWARD</v>
          </cell>
          <cell r="G70" t="str">
            <v>Z</v>
          </cell>
          <cell r="H70" t="str">
            <v>3</v>
          </cell>
          <cell r="I70" t="str">
            <v>2</v>
          </cell>
          <cell r="J70" t="str">
            <v>Voluntary</v>
          </cell>
          <cell r="K70">
            <v>40333</v>
          </cell>
          <cell r="L70">
            <v>40341</v>
          </cell>
          <cell r="M70">
            <v>8</v>
          </cell>
          <cell r="N70" t="str">
            <v>I/P MEDI CAL LOS ANGELES CNT</v>
          </cell>
          <cell r="O70">
            <v>14</v>
          </cell>
          <cell r="P70" t="str">
            <v>MCAL</v>
          </cell>
          <cell r="Q70" t="str">
            <v>Medical Necessity Denials - Decent Case</v>
          </cell>
          <cell r="R70">
            <v>5</v>
          </cell>
          <cell r="S70">
            <v>3135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3135</v>
          </cell>
          <cell r="Y70">
            <v>3135</v>
          </cell>
        </row>
        <row r="71">
          <cell r="B71">
            <v>1002605</v>
          </cell>
          <cell r="C71">
            <v>225652</v>
          </cell>
          <cell r="D71" t="str">
            <v>Covina</v>
          </cell>
          <cell r="E71" t="str">
            <v>ROSS, TAI REECE</v>
          </cell>
          <cell r="F71" t="str">
            <v>ASKINS, HOWARD</v>
          </cell>
          <cell r="G71" t="str">
            <v>Z</v>
          </cell>
          <cell r="H71" t="str">
            <v>3</v>
          </cell>
          <cell r="I71" t="str">
            <v>2</v>
          </cell>
          <cell r="J71" t="str">
            <v>Involuntary</v>
          </cell>
          <cell r="K71">
            <v>40335</v>
          </cell>
          <cell r="L71">
            <v>40339</v>
          </cell>
          <cell r="M71">
            <v>4</v>
          </cell>
          <cell r="N71" t="str">
            <v>I/P MEDI CAL RIVERSIDE COUNTY</v>
          </cell>
          <cell r="O71">
            <v>14</v>
          </cell>
          <cell r="P71" t="str">
            <v>MCAL</v>
          </cell>
          <cell r="Q71" t="str">
            <v>Medical Necessity Denials - Decent Case</v>
          </cell>
          <cell r="R71">
            <v>1</v>
          </cell>
          <cell r="S71">
            <v>627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627</v>
          </cell>
          <cell r="Y71">
            <v>627</v>
          </cell>
        </row>
        <row r="72">
          <cell r="B72">
            <v>1002626</v>
          </cell>
          <cell r="C72">
            <v>204524</v>
          </cell>
          <cell r="D72" t="str">
            <v>Covina</v>
          </cell>
          <cell r="E72" t="str">
            <v>MAINGOT, PRISCILLA</v>
          </cell>
          <cell r="F72" t="str">
            <v>ASKINS, HOWARD</v>
          </cell>
          <cell r="G72" t="str">
            <v>Z</v>
          </cell>
          <cell r="H72" t="str">
            <v>3</v>
          </cell>
          <cell r="I72" t="str">
            <v>1</v>
          </cell>
          <cell r="J72" t="str">
            <v>Involuntary</v>
          </cell>
          <cell r="K72">
            <v>40336</v>
          </cell>
          <cell r="L72">
            <v>40343</v>
          </cell>
          <cell r="M72">
            <v>7</v>
          </cell>
          <cell r="N72" t="str">
            <v>LA COUNTY FUNDED</v>
          </cell>
          <cell r="O72">
            <v>11</v>
          </cell>
          <cell r="P72" t="str">
            <v>LACTY</v>
          </cell>
          <cell r="Q72" t="str">
            <v>Medical Necessity Denials - Decent Case</v>
          </cell>
          <cell r="R72">
            <v>3</v>
          </cell>
          <cell r="S72">
            <v>1680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1680</v>
          </cell>
          <cell r="Y72">
            <v>1680</v>
          </cell>
        </row>
        <row r="73">
          <cell r="B73">
            <v>1002688</v>
          </cell>
          <cell r="C73">
            <v>211154</v>
          </cell>
          <cell r="D73" t="str">
            <v>Covina</v>
          </cell>
          <cell r="E73" t="str">
            <v>CORNETT, KENNETH</v>
          </cell>
          <cell r="F73" t="str">
            <v>ASKINS, HOWARD</v>
          </cell>
          <cell r="G73" t="str">
            <v>Z</v>
          </cell>
          <cell r="H73" t="str">
            <v>3</v>
          </cell>
          <cell r="I73" t="str">
            <v>2</v>
          </cell>
          <cell r="J73" t="str">
            <v>Involuntary</v>
          </cell>
          <cell r="K73">
            <v>40339</v>
          </cell>
          <cell r="L73">
            <v>40345</v>
          </cell>
          <cell r="M73">
            <v>6</v>
          </cell>
          <cell r="N73" t="str">
            <v>I/P MEDI CAL LOS ANGELES CNT</v>
          </cell>
          <cell r="O73">
            <v>14</v>
          </cell>
          <cell r="P73" t="str">
            <v>MCAL</v>
          </cell>
          <cell r="Q73" t="str">
            <v>Medical Necessity Denials - Decent Case</v>
          </cell>
          <cell r="R73">
            <v>2</v>
          </cell>
          <cell r="S73">
            <v>1254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1254</v>
          </cell>
          <cell r="Y73">
            <v>1254</v>
          </cell>
        </row>
        <row r="74">
          <cell r="B74">
            <v>1002710</v>
          </cell>
          <cell r="C74">
            <v>227036</v>
          </cell>
          <cell r="D74" t="str">
            <v>Covina</v>
          </cell>
          <cell r="E74" t="str">
            <v>HILBERT, TORIEAUNA</v>
          </cell>
          <cell r="F74" t="str">
            <v>ASKINS, HOWARD</v>
          </cell>
          <cell r="G74" t="str">
            <v>Z</v>
          </cell>
          <cell r="H74" t="str">
            <v>3</v>
          </cell>
          <cell r="I74" t="str">
            <v>2</v>
          </cell>
          <cell r="J74" t="str">
            <v>Involuntary</v>
          </cell>
          <cell r="K74">
            <v>40340</v>
          </cell>
          <cell r="L74">
            <v>40347</v>
          </cell>
          <cell r="M74">
            <v>7</v>
          </cell>
          <cell r="N74" t="str">
            <v>I/P MEDI CAL LOS ANGELES CNT</v>
          </cell>
          <cell r="O74">
            <v>14</v>
          </cell>
          <cell r="P74" t="str">
            <v>MCAL</v>
          </cell>
          <cell r="Q74" t="str">
            <v>Medical Necessity Denials - Decent Case</v>
          </cell>
          <cell r="R74">
            <v>4</v>
          </cell>
          <cell r="S74">
            <v>2508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2508</v>
          </cell>
          <cell r="Y74">
            <v>2508</v>
          </cell>
        </row>
        <row r="75">
          <cell r="B75">
            <v>1002742</v>
          </cell>
          <cell r="C75">
            <v>227053</v>
          </cell>
          <cell r="D75" t="str">
            <v>Covina</v>
          </cell>
          <cell r="E75" t="str">
            <v>SIERRA, DAMARIS</v>
          </cell>
          <cell r="F75" t="str">
            <v>ALKHOURI, WADIE</v>
          </cell>
          <cell r="G75" t="str">
            <v>Z</v>
          </cell>
          <cell r="H75" t="str">
            <v>3</v>
          </cell>
          <cell r="I75" t="str">
            <v>2</v>
          </cell>
          <cell r="J75" t="str">
            <v>Involuntary</v>
          </cell>
          <cell r="K75">
            <v>40343</v>
          </cell>
          <cell r="L75">
            <v>40351</v>
          </cell>
          <cell r="M75">
            <v>8</v>
          </cell>
          <cell r="N75" t="str">
            <v>I/P MEDI CAL LOS ANGELES CNT</v>
          </cell>
          <cell r="O75">
            <v>14</v>
          </cell>
          <cell r="P75" t="str">
            <v>MCAL</v>
          </cell>
          <cell r="Q75" t="str">
            <v>Medical Necessity Denials - Decent Case</v>
          </cell>
          <cell r="R75">
            <v>3</v>
          </cell>
          <cell r="S75">
            <v>1164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1164</v>
          </cell>
          <cell r="Y75">
            <v>1164</v>
          </cell>
        </row>
        <row r="76">
          <cell r="B76">
            <v>1002791</v>
          </cell>
          <cell r="C76">
            <v>218746</v>
          </cell>
          <cell r="D76" t="str">
            <v>Covina</v>
          </cell>
          <cell r="E76" t="str">
            <v>STUESSEL, SAMANTHA</v>
          </cell>
          <cell r="F76" t="str">
            <v>AlAsadi, Ghada</v>
          </cell>
          <cell r="G76" t="str">
            <v>Z</v>
          </cell>
          <cell r="H76" t="str">
            <v>3</v>
          </cell>
          <cell r="I76" t="str">
            <v>1</v>
          </cell>
          <cell r="J76" t="str">
            <v>Involuntary</v>
          </cell>
          <cell r="K76">
            <v>40345</v>
          </cell>
          <cell r="L76">
            <v>40352</v>
          </cell>
          <cell r="M76">
            <v>7</v>
          </cell>
          <cell r="N76" t="str">
            <v>I/P MEDI CAL LOS ANGELES CNT</v>
          </cell>
          <cell r="O76">
            <v>14</v>
          </cell>
          <cell r="P76" t="str">
            <v>MCAL</v>
          </cell>
          <cell r="Q76" t="str">
            <v>Medical Necessity Denials - Decent Case</v>
          </cell>
          <cell r="R76">
            <v>2</v>
          </cell>
          <cell r="S76">
            <v>1254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1254</v>
          </cell>
          <cell r="Y76">
            <v>1254</v>
          </cell>
        </row>
        <row r="77">
          <cell r="B77">
            <v>1002805</v>
          </cell>
          <cell r="C77">
            <v>224200</v>
          </cell>
          <cell r="D77" t="str">
            <v>Covina</v>
          </cell>
          <cell r="E77" t="str">
            <v>CHAVEZ, AILEEN</v>
          </cell>
          <cell r="F77" t="str">
            <v>JACOB, SAID</v>
          </cell>
          <cell r="G77" t="str">
            <v>Z</v>
          </cell>
          <cell r="H77" t="str">
            <v>3</v>
          </cell>
          <cell r="I77" t="str">
            <v>2</v>
          </cell>
          <cell r="J77" t="str">
            <v>Involuntary</v>
          </cell>
          <cell r="K77">
            <v>40346</v>
          </cell>
          <cell r="L77">
            <v>40351</v>
          </cell>
          <cell r="M77">
            <v>5</v>
          </cell>
          <cell r="N77" t="str">
            <v>PACIFICARE BEHAV HEALTH</v>
          </cell>
          <cell r="O77">
            <v>16</v>
          </cell>
          <cell r="P77" t="str">
            <v>PAC</v>
          </cell>
          <cell r="Q77" t="str">
            <v>Procedural Denial - No Pre-auth. Obtained</v>
          </cell>
          <cell r="R77">
            <v>3</v>
          </cell>
          <cell r="S77">
            <v>2298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2298</v>
          </cell>
          <cell r="Y77">
            <v>2298</v>
          </cell>
        </row>
        <row r="78">
          <cell r="B78">
            <v>1002825</v>
          </cell>
          <cell r="C78">
            <v>226550</v>
          </cell>
          <cell r="D78" t="str">
            <v>Covina</v>
          </cell>
          <cell r="E78" t="str">
            <v>RAY, NOEL</v>
          </cell>
          <cell r="F78" t="str">
            <v>IKRAMULLAH, SULTANA</v>
          </cell>
          <cell r="G78" t="str">
            <v>Z</v>
          </cell>
          <cell r="H78" t="str">
            <v>3</v>
          </cell>
          <cell r="I78" t="str">
            <v>2</v>
          </cell>
          <cell r="J78" t="str">
            <v>Voluntary</v>
          </cell>
          <cell r="K78">
            <v>40348</v>
          </cell>
          <cell r="L78">
            <v>40353</v>
          </cell>
          <cell r="M78">
            <v>5</v>
          </cell>
          <cell r="N78" t="str">
            <v>UBH</v>
          </cell>
          <cell r="O78">
            <v>16</v>
          </cell>
          <cell r="P78" t="str">
            <v>PAC</v>
          </cell>
          <cell r="Q78" t="str">
            <v>Procedural Denial - No Pre-auth. Obtained</v>
          </cell>
          <cell r="R78">
            <v>1</v>
          </cell>
          <cell r="S78">
            <v>766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766</v>
          </cell>
          <cell r="Y78">
            <v>766</v>
          </cell>
        </row>
        <row r="79">
          <cell r="B79">
            <v>1002846</v>
          </cell>
          <cell r="C79">
            <v>227019</v>
          </cell>
          <cell r="D79" t="str">
            <v>Covina</v>
          </cell>
          <cell r="E79" t="str">
            <v>BULLINGER, ROBERT</v>
          </cell>
          <cell r="F79" t="str">
            <v>BITAR, ADIB</v>
          </cell>
          <cell r="G79" t="str">
            <v>Z</v>
          </cell>
          <cell r="H79" t="str">
            <v>4</v>
          </cell>
          <cell r="I79" t="str">
            <v>1</v>
          </cell>
          <cell r="J79" t="str">
            <v>Voluntary</v>
          </cell>
          <cell r="K79">
            <v>40350</v>
          </cell>
          <cell r="L79">
            <v>40365</v>
          </cell>
          <cell r="M79">
            <v>10</v>
          </cell>
          <cell r="N79" t="str">
            <v>USBHPC BS MEMBERS</v>
          </cell>
          <cell r="O79">
            <v>16</v>
          </cell>
          <cell r="P79" t="str">
            <v>PAC</v>
          </cell>
          <cell r="Q79" t="str">
            <v>Procedural Denial - No Pre-auth. Obtained</v>
          </cell>
          <cell r="R79">
            <v>2</v>
          </cell>
          <cell r="S79">
            <v>682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682</v>
          </cell>
          <cell r="Y79">
            <v>682</v>
          </cell>
        </row>
        <row r="80">
          <cell r="B80">
            <v>1002879</v>
          </cell>
          <cell r="C80">
            <v>227110</v>
          </cell>
          <cell r="D80" t="str">
            <v>Covina</v>
          </cell>
          <cell r="E80" t="str">
            <v>SANCHEZ, ALFREDO</v>
          </cell>
          <cell r="F80" t="str">
            <v>JACOB, SAID</v>
          </cell>
          <cell r="G80" t="str">
            <v>Z</v>
          </cell>
          <cell r="H80" t="str">
            <v>3</v>
          </cell>
          <cell r="I80" t="str">
            <v>2</v>
          </cell>
          <cell r="J80" t="str">
            <v>Involuntary</v>
          </cell>
          <cell r="K80">
            <v>40351</v>
          </cell>
          <cell r="L80">
            <v>40357</v>
          </cell>
          <cell r="M80">
            <v>6</v>
          </cell>
          <cell r="N80" t="str">
            <v>LA COUNTY FUNDED</v>
          </cell>
          <cell r="O80">
            <v>11</v>
          </cell>
          <cell r="P80" t="str">
            <v>LACTY</v>
          </cell>
          <cell r="Q80" t="str">
            <v>Medical Necessity Denials - Decent Case</v>
          </cell>
          <cell r="R80">
            <v>2</v>
          </cell>
          <cell r="S80">
            <v>1120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1120</v>
          </cell>
          <cell r="Y80">
            <v>1120</v>
          </cell>
        </row>
        <row r="81">
          <cell r="B81">
            <v>1003007</v>
          </cell>
          <cell r="C81">
            <v>227171</v>
          </cell>
          <cell r="D81" t="str">
            <v>Covina</v>
          </cell>
          <cell r="E81" t="str">
            <v>NUTE, JIMMIE</v>
          </cell>
          <cell r="F81" t="str">
            <v>MANNING, RAYMOND</v>
          </cell>
          <cell r="G81" t="str">
            <v>Z</v>
          </cell>
          <cell r="H81" t="str">
            <v>3</v>
          </cell>
          <cell r="I81" t="str">
            <v>1</v>
          </cell>
          <cell r="J81" t="str">
            <v>Involuntary</v>
          </cell>
          <cell r="K81">
            <v>40359</v>
          </cell>
          <cell r="L81">
            <v>40365</v>
          </cell>
          <cell r="M81">
            <v>6</v>
          </cell>
          <cell r="N81" t="str">
            <v>LA COUNTY FUNDED</v>
          </cell>
          <cell r="O81">
            <v>11</v>
          </cell>
          <cell r="P81" t="str">
            <v>LACTY</v>
          </cell>
          <cell r="Q81" t="str">
            <v>Medical Necessity Denials - Decent Case</v>
          </cell>
          <cell r="R81">
            <v>2</v>
          </cell>
          <cell r="S81">
            <v>1120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1120</v>
          </cell>
          <cell r="Y81">
            <v>1120</v>
          </cell>
        </row>
        <row r="82">
          <cell r="B82">
            <v>1003056</v>
          </cell>
          <cell r="C82">
            <v>227195</v>
          </cell>
          <cell r="D82" t="str">
            <v>Covina</v>
          </cell>
          <cell r="E82" t="str">
            <v>FAN, JIN LIAN</v>
          </cell>
          <cell r="F82" t="str">
            <v>ALKHOURI, WADIE</v>
          </cell>
          <cell r="G82" t="str">
            <v>Z</v>
          </cell>
          <cell r="H82" t="str">
            <v>3</v>
          </cell>
          <cell r="I82" t="str">
            <v>1</v>
          </cell>
          <cell r="J82" t="str">
            <v>Voluntary</v>
          </cell>
          <cell r="K82">
            <v>40361</v>
          </cell>
          <cell r="L82">
            <v>40368</v>
          </cell>
          <cell r="M82">
            <v>7</v>
          </cell>
          <cell r="N82" t="str">
            <v>PACIFICARE BEHAV HEALTH</v>
          </cell>
          <cell r="O82">
            <v>16</v>
          </cell>
          <cell r="P82" t="str">
            <v>PAC</v>
          </cell>
          <cell r="Q82" t="str">
            <v>Procedural Denial - No Primary Auth. Obtained</v>
          </cell>
          <cell r="R82">
            <v>1</v>
          </cell>
          <cell r="S82">
            <v>803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803</v>
          </cell>
          <cell r="Y82">
            <v>803</v>
          </cell>
        </row>
        <row r="83">
          <cell r="B83">
            <v>1003068</v>
          </cell>
          <cell r="C83">
            <v>227201</v>
          </cell>
          <cell r="D83" t="str">
            <v>Covina</v>
          </cell>
          <cell r="E83" t="str">
            <v>LEE, TONYA</v>
          </cell>
          <cell r="F83" t="str">
            <v>MANNING, RAYMOND</v>
          </cell>
          <cell r="G83" t="str">
            <v>Z</v>
          </cell>
          <cell r="H83" t="str">
            <v>3</v>
          </cell>
          <cell r="I83" t="str">
            <v>1</v>
          </cell>
          <cell r="J83" t="str">
            <v>Voluntary</v>
          </cell>
          <cell r="K83">
            <v>40362</v>
          </cell>
          <cell r="L83">
            <v>40365</v>
          </cell>
          <cell r="M83">
            <v>3</v>
          </cell>
          <cell r="N83" t="str">
            <v>CIGNA TN</v>
          </cell>
          <cell r="O83">
            <v>16</v>
          </cell>
          <cell r="P83" t="str">
            <v>CIG</v>
          </cell>
          <cell r="Q83" t="str">
            <v>Procedural Denial - No Pre-auth. Obtained</v>
          </cell>
          <cell r="R83">
            <v>3</v>
          </cell>
          <cell r="S83">
            <v>2145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2145</v>
          </cell>
          <cell r="Y83">
            <v>2145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Budget Detail"/>
      <sheetName val="INPUT Staff Planning"/>
      <sheetName val="INPUT Funding Calculations"/>
      <sheetName val="OUTPUT 5 Year Budget Summary "/>
      <sheetName val="Revolving Loan"/>
      <sheetName val="OUTPUT CF New School Year1"/>
      <sheetName val="OUTPUT CF Year2"/>
      <sheetName val="OUTPUT CF Year3"/>
      <sheetName val="Key Assumptions"/>
      <sheetName val="Error Checking"/>
      <sheetName val="Revenue Charts"/>
      <sheetName val="Expense Charts"/>
      <sheetName val="Cash Flow Charts"/>
      <sheetName val="Upload Format"/>
      <sheetName val="Cool Things"/>
      <sheetName val="OUTPUT Year1 Budget _ SB740"/>
      <sheetName val="INPUT Payroll"/>
      <sheetName val="OUTPUT CF Existing School Year1"/>
    </sheetNames>
    <sheetDataSet>
      <sheetData sheetId="0"/>
      <sheetData sheetId="1"/>
      <sheetData sheetId="2" refreshError="1"/>
      <sheetData sheetId="3"/>
      <sheetData sheetId="4">
        <row r="5">
          <cell r="D5">
            <v>200000</v>
          </cell>
        </row>
        <row r="6">
          <cell r="D6">
            <v>0.02</v>
          </cell>
        </row>
        <row r="7">
          <cell r="D7">
            <v>5</v>
          </cell>
        </row>
        <row r="9">
          <cell r="D9">
            <v>39264</v>
          </cell>
        </row>
        <row r="18">
          <cell r="I18">
            <v>196827.78132268458</v>
          </cell>
        </row>
        <row r="19">
          <cell r="I19">
            <v>193650.27561424029</v>
          </cell>
        </row>
        <row r="20">
          <cell r="I20">
            <v>190467.4740629486</v>
          </cell>
        </row>
        <row r="21">
          <cell r="I21">
            <v>187279.36784240478</v>
          </cell>
        </row>
        <row r="22">
          <cell r="I22">
            <v>184085.94811149337</v>
          </cell>
        </row>
        <row r="23">
          <cell r="I23">
            <v>180887.20601436379</v>
          </cell>
        </row>
        <row r="24">
          <cell r="I24">
            <v>177683.13268040566</v>
          </cell>
        </row>
        <row r="25">
          <cell r="I25">
            <v>174473.71922422425</v>
          </cell>
        </row>
        <row r="26">
          <cell r="I26">
            <v>171258.95674561587</v>
          </cell>
        </row>
        <row r="27">
          <cell r="I27">
            <v>168038.83632954315</v>
          </cell>
        </row>
        <row r="28">
          <cell r="I28">
            <v>164813.34904611032</v>
          </cell>
        </row>
        <row r="29">
          <cell r="I29">
            <v>161582.48595053842</v>
          </cell>
        </row>
        <row r="30">
          <cell r="I30">
            <v>158346.23808314058</v>
          </cell>
        </row>
        <row r="31">
          <cell r="I31">
            <v>155104.59646929707</v>
          </cell>
        </row>
        <row r="32">
          <cell r="I32">
            <v>151857.5521194305</v>
          </cell>
        </row>
        <row r="33">
          <cell r="I33">
            <v>148605.0960289808</v>
          </cell>
        </row>
        <row r="34">
          <cell r="I34">
            <v>145347.21917838036</v>
          </cell>
        </row>
        <row r="35">
          <cell r="I35">
            <v>142083.91253302892</v>
          </cell>
        </row>
        <row r="36">
          <cell r="I36">
            <v>138815.16704326856</v>
          </cell>
        </row>
        <row r="37">
          <cell r="I37">
            <v>135540.9736443586</v>
          </cell>
        </row>
        <row r="38">
          <cell r="I38">
            <v>132261.32325645044</v>
          </cell>
        </row>
        <row r="39">
          <cell r="I39">
            <v>128976.20678456246</v>
          </cell>
        </row>
        <row r="40">
          <cell r="I40">
            <v>125685.61511855465</v>
          </cell>
        </row>
        <row r="41">
          <cell r="I41">
            <v>122389.53913310349</v>
          </cell>
        </row>
        <row r="42">
          <cell r="I42">
            <v>119087.96968767658</v>
          </cell>
        </row>
        <row r="43">
          <cell r="I43">
            <v>115780.8976265073</v>
          </cell>
        </row>
        <row r="44">
          <cell r="I44">
            <v>112468.3137785694</v>
          </cell>
        </row>
        <row r="45">
          <cell r="I45">
            <v>109150.2089575516</v>
          </cell>
        </row>
        <row r="46">
          <cell r="I46">
            <v>105826.57396183211</v>
          </cell>
        </row>
        <row r="47">
          <cell r="I47">
            <v>102497.39957445308</v>
          </cell>
        </row>
        <row r="48">
          <cell r="I48">
            <v>99162.676563095098</v>
          </cell>
        </row>
        <row r="49">
          <cell r="I49">
            <v>95822.395680051515</v>
          </cell>
        </row>
        <row r="50">
          <cell r="I50">
            <v>92476.547662202851</v>
          </cell>
        </row>
        <row r="51">
          <cell r="I51">
            <v>89125.123230991114</v>
          </cell>
        </row>
        <row r="52">
          <cell r="I52">
            <v>85768.113092394022</v>
          </cell>
        </row>
        <row r="53">
          <cell r="I53">
            <v>82405.507936899259</v>
          </cell>
        </row>
        <row r="54">
          <cell r="I54">
            <v>79037.298439478676</v>
          </cell>
        </row>
        <row r="55">
          <cell r="I55">
            <v>75663.475259562401</v>
          </cell>
        </row>
        <row r="56">
          <cell r="I56">
            <v>72284.029041012924</v>
          </cell>
        </row>
        <row r="57">
          <cell r="I57">
            <v>68898.950412099206</v>
          </cell>
        </row>
        <row r="58">
          <cell r="I58">
            <v>65508.229985470629</v>
          </cell>
        </row>
        <row r="59">
          <cell r="I59">
            <v>62111.858358131001</v>
          </cell>
        </row>
        <row r="60">
          <cell r="I60">
            <v>58709.826111412476</v>
          </cell>
        </row>
        <row r="61">
          <cell r="I61">
            <v>55302.123810949415</v>
          </cell>
        </row>
        <row r="62">
          <cell r="I62">
            <v>51888.742006652254</v>
          </cell>
        </row>
        <row r="63">
          <cell r="I63">
            <v>48469.671232681263</v>
          </cell>
        </row>
        <row r="64">
          <cell r="I64">
            <v>45044.902007420322</v>
          </cell>
        </row>
        <row r="65">
          <cell r="I65">
            <v>41614.424833450612</v>
          </cell>
        </row>
        <row r="66">
          <cell r="I66">
            <v>38178.230197524288</v>
          </cell>
        </row>
        <row r="67">
          <cell r="I67">
            <v>34736.30857053808</v>
          </cell>
        </row>
        <row r="68">
          <cell r="I68">
            <v>31288.650407506899</v>
          </cell>
        </row>
        <row r="69">
          <cell r="I69">
            <v>27835.246147537331</v>
          </cell>
        </row>
        <row r="70">
          <cell r="I70">
            <v>24376.086213801147</v>
          </cell>
        </row>
        <row r="71">
          <cell r="I71">
            <v>20911.161013508736</v>
          </cell>
        </row>
        <row r="72">
          <cell r="I72">
            <v>17440.460937882504</v>
          </cell>
        </row>
        <row r="73">
          <cell r="I73">
            <v>13963.97636213023</v>
          </cell>
        </row>
        <row r="74">
          <cell r="I74">
            <v>10481.697645418368</v>
          </cell>
        </row>
        <row r="75">
          <cell r="I75">
            <v>6993.61513084532</v>
          </cell>
        </row>
        <row r="76">
          <cell r="I76">
            <v>3499.7191454146505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0</v>
          </cell>
        </row>
        <row r="301">
          <cell r="I301">
            <v>0</v>
          </cell>
        </row>
        <row r="302">
          <cell r="I302">
            <v>0</v>
          </cell>
        </row>
        <row r="303">
          <cell r="I303">
            <v>0</v>
          </cell>
        </row>
        <row r="304">
          <cell r="I304">
            <v>0</v>
          </cell>
        </row>
        <row r="305">
          <cell r="I305">
            <v>0</v>
          </cell>
        </row>
        <row r="306">
          <cell r="I306">
            <v>0</v>
          </cell>
        </row>
        <row r="307">
          <cell r="I307">
            <v>0</v>
          </cell>
        </row>
        <row r="308">
          <cell r="I308">
            <v>0</v>
          </cell>
        </row>
        <row r="309">
          <cell r="I309">
            <v>0</v>
          </cell>
        </row>
        <row r="310">
          <cell r="I310">
            <v>0</v>
          </cell>
        </row>
        <row r="311">
          <cell r="I311">
            <v>0</v>
          </cell>
        </row>
        <row r="312">
          <cell r="I312">
            <v>0</v>
          </cell>
        </row>
        <row r="313">
          <cell r="I313">
            <v>0</v>
          </cell>
        </row>
        <row r="314">
          <cell r="I314">
            <v>0</v>
          </cell>
        </row>
        <row r="315">
          <cell r="I315">
            <v>0</v>
          </cell>
        </row>
        <row r="316">
          <cell r="I316">
            <v>0</v>
          </cell>
        </row>
        <row r="317">
          <cell r="I317">
            <v>0</v>
          </cell>
        </row>
        <row r="318">
          <cell r="I318">
            <v>0</v>
          </cell>
        </row>
        <row r="319">
          <cell r="I319">
            <v>0</v>
          </cell>
        </row>
        <row r="320">
          <cell r="I320">
            <v>0</v>
          </cell>
        </row>
        <row r="321">
          <cell r="I321">
            <v>0</v>
          </cell>
        </row>
        <row r="322">
          <cell r="I322">
            <v>0</v>
          </cell>
        </row>
        <row r="323">
          <cell r="I323">
            <v>0</v>
          </cell>
        </row>
        <row r="324">
          <cell r="I324">
            <v>0</v>
          </cell>
        </row>
        <row r="325"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I330">
            <v>0</v>
          </cell>
        </row>
        <row r="331">
          <cell r="I331">
            <v>0</v>
          </cell>
        </row>
        <row r="332">
          <cell r="I332">
            <v>0</v>
          </cell>
        </row>
        <row r="333">
          <cell r="I333">
            <v>0</v>
          </cell>
        </row>
        <row r="334">
          <cell r="I334">
            <v>0</v>
          </cell>
        </row>
        <row r="335">
          <cell r="I335">
            <v>0</v>
          </cell>
        </row>
        <row r="336">
          <cell r="I336">
            <v>0</v>
          </cell>
        </row>
        <row r="337">
          <cell r="I337">
            <v>0</v>
          </cell>
        </row>
        <row r="338">
          <cell r="I338">
            <v>0</v>
          </cell>
        </row>
        <row r="339">
          <cell r="I339">
            <v>0</v>
          </cell>
        </row>
        <row r="340">
          <cell r="I340">
            <v>0</v>
          </cell>
        </row>
        <row r="341">
          <cell r="I341">
            <v>0</v>
          </cell>
        </row>
        <row r="342">
          <cell r="I342">
            <v>0</v>
          </cell>
        </row>
        <row r="343">
          <cell r="I343">
            <v>0</v>
          </cell>
        </row>
        <row r="344">
          <cell r="I344">
            <v>0</v>
          </cell>
        </row>
        <row r="345">
          <cell r="I345">
            <v>0</v>
          </cell>
        </row>
        <row r="346">
          <cell r="I346">
            <v>0</v>
          </cell>
        </row>
        <row r="347">
          <cell r="I347">
            <v>0</v>
          </cell>
        </row>
        <row r="348">
          <cell r="I348">
            <v>0</v>
          </cell>
        </row>
        <row r="349">
          <cell r="I349">
            <v>0</v>
          </cell>
        </row>
        <row r="350">
          <cell r="I350">
            <v>0</v>
          </cell>
        </row>
        <row r="351">
          <cell r="I351">
            <v>0</v>
          </cell>
        </row>
        <row r="352">
          <cell r="I352">
            <v>0</v>
          </cell>
        </row>
        <row r="353">
          <cell r="I353">
            <v>0</v>
          </cell>
        </row>
        <row r="354">
          <cell r="I354">
            <v>0</v>
          </cell>
        </row>
        <row r="355">
          <cell r="I355">
            <v>0</v>
          </cell>
        </row>
        <row r="356">
          <cell r="I356">
            <v>0</v>
          </cell>
        </row>
        <row r="357">
          <cell r="I357">
            <v>0</v>
          </cell>
        </row>
        <row r="358">
          <cell r="I358">
            <v>0</v>
          </cell>
        </row>
        <row r="359">
          <cell r="I359">
            <v>0</v>
          </cell>
        </row>
        <row r="360">
          <cell r="I360">
            <v>0</v>
          </cell>
        </row>
        <row r="361">
          <cell r="I361">
            <v>0</v>
          </cell>
        </row>
        <row r="362">
          <cell r="I362">
            <v>0</v>
          </cell>
        </row>
        <row r="363">
          <cell r="I363">
            <v>0</v>
          </cell>
        </row>
        <row r="364">
          <cell r="I364">
            <v>0</v>
          </cell>
        </row>
        <row r="365">
          <cell r="I365">
            <v>0</v>
          </cell>
        </row>
        <row r="366">
          <cell r="I366">
            <v>0</v>
          </cell>
        </row>
        <row r="367">
          <cell r="I367">
            <v>0</v>
          </cell>
        </row>
        <row r="368">
          <cell r="I368">
            <v>0</v>
          </cell>
        </row>
        <row r="369">
          <cell r="I369">
            <v>0</v>
          </cell>
        </row>
        <row r="370">
          <cell r="I370">
            <v>0</v>
          </cell>
        </row>
        <row r="371">
          <cell r="I371">
            <v>0</v>
          </cell>
        </row>
        <row r="372">
          <cell r="I372">
            <v>0</v>
          </cell>
        </row>
        <row r="373">
          <cell r="I373">
            <v>0</v>
          </cell>
        </row>
        <row r="374">
          <cell r="I374">
            <v>0</v>
          </cell>
        </row>
        <row r="375">
          <cell r="I375">
            <v>0</v>
          </cell>
        </row>
        <row r="376">
          <cell r="I376">
            <v>0</v>
          </cell>
        </row>
        <row r="377">
          <cell r="I377">
            <v>0</v>
          </cell>
        </row>
      </sheetData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wide Budget Summary"/>
      <sheetName val="Sheet4"/>
      <sheetName val="Systemwide Graphs"/>
      <sheetName val="Systemwide Graphs 2"/>
      <sheetName val="Systemwide YTD"/>
      <sheetName val="Systemwide Yr1-CashFlow "/>
      <sheetName val="Sheet2"/>
      <sheetName val="Central YTD"/>
      <sheetName val="Sheet3"/>
      <sheetName val="Central Yr1-CashFlow"/>
      <sheetName val="CAT YTD "/>
      <sheetName val="CAT graphs"/>
      <sheetName val="CAT Yr1-CashFlow"/>
      <sheetName val="MSAT YTD "/>
      <sheetName val="MSAT Yr1-CashFlow "/>
      <sheetName val="MSAT graphs"/>
      <sheetName val="School3 YTD"/>
      <sheetName val="School3 Yr1-CashFlow"/>
      <sheetName val="School4 YTD"/>
      <sheetName val="School4 Yr1-CashFlow "/>
      <sheetName val="Notes 91404"/>
      <sheetName val="Central Budget Summary "/>
      <sheetName val="Central Budget Detail"/>
      <sheetName val="Central 04-05 Payroll Detail"/>
      <sheetName val="Central Line Items"/>
      <sheetName val="CAT Budget Summary"/>
      <sheetName val="CAT Budget Detail"/>
      <sheetName val="CAT 04-05 PR"/>
      <sheetName val="CAT Line Items"/>
      <sheetName val="Sheet1 (3)"/>
      <sheetName val="MSAT Budget Summary"/>
      <sheetName val="MSAT Budget Detail"/>
      <sheetName val="MSAT 04-05 Payroll"/>
      <sheetName val="MSAT Line Items"/>
      <sheetName val="MSAT AP 0904"/>
      <sheetName val="School3 Budget Summary "/>
      <sheetName val="School3 Budget Detail"/>
      <sheetName val="School3 04-05 PR "/>
      <sheetName val="School4 Budget Summary "/>
      <sheetName val="School4 Budget Detail "/>
      <sheetName val="School4 04-05 PR  "/>
      <sheetName val="Sheet1 (2)"/>
      <sheetName val="Sheet1"/>
      <sheetName val="Sheet1 (4)"/>
      <sheetName val="re-allocations"/>
      <sheetName val="payroll july aug 2004"/>
      <sheetName val="Revisions Summary"/>
      <sheetName val="ENVN 04-05 PR-Master- Revised"/>
      <sheetName val="Tec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9">
          <cell r="B9">
            <v>-117691.31</v>
          </cell>
          <cell r="C9">
            <v>0</v>
          </cell>
          <cell r="D9">
            <v>-68116.259999999995</v>
          </cell>
          <cell r="E9">
            <v>0</v>
          </cell>
          <cell r="F9">
            <v>68116.259999999995</v>
          </cell>
        </row>
        <row r="46">
          <cell r="B46">
            <v>119361.33</v>
          </cell>
          <cell r="C46">
            <v>0</v>
          </cell>
          <cell r="D46">
            <v>169830.83</v>
          </cell>
          <cell r="E46">
            <v>0</v>
          </cell>
          <cell r="F46">
            <v>-169830.83</v>
          </cell>
        </row>
        <row r="50">
          <cell r="B50">
            <v>-1670.02</v>
          </cell>
          <cell r="C50">
            <v>0</v>
          </cell>
          <cell r="D50">
            <v>-101714.57</v>
          </cell>
          <cell r="E50">
            <v>0</v>
          </cell>
          <cell r="F50">
            <v>101714.57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B7">
            <v>-91844.59</v>
          </cell>
          <cell r="C7">
            <v>0</v>
          </cell>
          <cell r="D7">
            <v>-91046.64</v>
          </cell>
          <cell r="E7">
            <v>0</v>
          </cell>
          <cell r="F7">
            <v>91046.64</v>
          </cell>
        </row>
        <row r="21">
          <cell r="B21">
            <v>35034.210000000006</v>
          </cell>
          <cell r="C21">
            <v>0</v>
          </cell>
          <cell r="D21">
            <v>91046.640000000014</v>
          </cell>
          <cell r="E21">
            <v>0</v>
          </cell>
          <cell r="F21">
            <v>-91046.640000000014</v>
          </cell>
        </row>
        <row r="25">
          <cell r="B25">
            <v>56810.38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 07-08"/>
      <sheetName val="ACO JE"/>
    </sheetNames>
    <sheetDataSet>
      <sheetData sheetId="0">
        <row r="5">
          <cell r="F5">
            <v>7.6499999999999999E-2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JE Preimport"/>
      <sheetName val="prepje adj"/>
      <sheetName val="prepje"/>
      <sheetName val="201101"/>
      <sheetName val="201012"/>
      <sheetName val="201011"/>
      <sheetName val="201010"/>
      <sheetName val="201009"/>
      <sheetName val="201008"/>
      <sheetName val="201007"/>
      <sheetName val="201006"/>
      <sheetName val="201005"/>
      <sheetName val="201004"/>
      <sheetName val="201002"/>
      <sheetName val="201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 2110"/>
      <sheetName val="sheet1"/>
      <sheetName val="Sheet2"/>
      <sheetName val="Sheet3"/>
      <sheetName val="GL 2210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3">
          <cell r="A3">
            <v>102</v>
          </cell>
          <cell r="B3">
            <v>5057</v>
          </cell>
        </row>
        <row r="4">
          <cell r="A4">
            <v>103</v>
          </cell>
          <cell r="B4">
            <v>5051</v>
          </cell>
        </row>
        <row r="5">
          <cell r="A5">
            <v>104</v>
          </cell>
          <cell r="B5">
            <v>5051</v>
          </cell>
        </row>
        <row r="6">
          <cell r="A6">
            <v>105</v>
          </cell>
          <cell r="B6">
            <v>5050</v>
          </cell>
        </row>
        <row r="7">
          <cell r="A7">
            <v>106</v>
          </cell>
          <cell r="B7">
            <v>5051</v>
          </cell>
        </row>
        <row r="8">
          <cell r="A8">
            <v>107</v>
          </cell>
          <cell r="B8">
            <v>5051</v>
          </cell>
        </row>
        <row r="9">
          <cell r="A9">
            <v>108</v>
          </cell>
          <cell r="B9">
            <v>5051</v>
          </cell>
        </row>
        <row r="10">
          <cell r="A10">
            <v>109</v>
          </cell>
          <cell r="B10">
            <v>5051</v>
          </cell>
        </row>
        <row r="11">
          <cell r="A11">
            <v>110</v>
          </cell>
          <cell r="B11">
            <v>5051</v>
          </cell>
        </row>
        <row r="12">
          <cell r="A12">
            <v>111</v>
          </cell>
          <cell r="B12">
            <v>5051</v>
          </cell>
        </row>
        <row r="13">
          <cell r="A13">
            <v>112</v>
          </cell>
          <cell r="B13">
            <v>5051</v>
          </cell>
        </row>
        <row r="14">
          <cell r="A14">
            <v>113</v>
          </cell>
          <cell r="B14">
            <v>5051</v>
          </cell>
        </row>
        <row r="15">
          <cell r="A15">
            <v>114</v>
          </cell>
          <cell r="B15">
            <v>5051</v>
          </cell>
        </row>
        <row r="16">
          <cell r="A16">
            <v>115</v>
          </cell>
          <cell r="B16">
            <v>5051</v>
          </cell>
        </row>
        <row r="17">
          <cell r="A17">
            <v>116</v>
          </cell>
          <cell r="B17">
            <v>5051</v>
          </cell>
        </row>
        <row r="18">
          <cell r="A18">
            <v>117</v>
          </cell>
          <cell r="B18">
            <v>5051</v>
          </cell>
        </row>
        <row r="19">
          <cell r="A19">
            <v>118</v>
          </cell>
          <cell r="B19">
            <v>5057</v>
          </cell>
        </row>
        <row r="20">
          <cell r="A20">
            <v>119</v>
          </cell>
          <cell r="B20">
            <v>5051</v>
          </cell>
        </row>
        <row r="21">
          <cell r="A21">
            <v>120</v>
          </cell>
          <cell r="B21">
            <v>5051</v>
          </cell>
        </row>
        <row r="22">
          <cell r="A22">
            <v>121</v>
          </cell>
          <cell r="B22">
            <v>5050</v>
          </cell>
        </row>
        <row r="23">
          <cell r="A23">
            <v>122</v>
          </cell>
          <cell r="B23">
            <v>5052</v>
          </cell>
        </row>
        <row r="24">
          <cell r="A24">
            <v>123</v>
          </cell>
          <cell r="B24">
            <v>5052</v>
          </cell>
        </row>
        <row r="25">
          <cell r="A25">
            <v>124</v>
          </cell>
          <cell r="B25">
            <v>5052</v>
          </cell>
        </row>
        <row r="26">
          <cell r="A26">
            <v>125</v>
          </cell>
          <cell r="B26">
            <v>5051</v>
          </cell>
        </row>
        <row r="27">
          <cell r="A27">
            <v>126</v>
          </cell>
          <cell r="B27">
            <v>5051</v>
          </cell>
        </row>
        <row r="28">
          <cell r="A28">
            <v>127</v>
          </cell>
          <cell r="B28">
            <v>5051</v>
          </cell>
        </row>
        <row r="29">
          <cell r="A29">
            <v>128</v>
          </cell>
          <cell r="B29">
            <v>5051</v>
          </cell>
        </row>
        <row r="30">
          <cell r="A30">
            <v>129</v>
          </cell>
          <cell r="B30">
            <v>5052</v>
          </cell>
        </row>
        <row r="31">
          <cell r="A31">
            <v>130</v>
          </cell>
          <cell r="B31">
            <v>5052</v>
          </cell>
        </row>
        <row r="32">
          <cell r="A32">
            <v>131</v>
          </cell>
          <cell r="B32">
            <v>5052</v>
          </cell>
        </row>
        <row r="33">
          <cell r="A33">
            <v>132</v>
          </cell>
          <cell r="B33">
            <v>5052</v>
          </cell>
        </row>
        <row r="34">
          <cell r="A34">
            <v>133</v>
          </cell>
          <cell r="B34">
            <v>5052</v>
          </cell>
        </row>
        <row r="35">
          <cell r="A35">
            <v>134</v>
          </cell>
          <cell r="B35">
            <v>5052</v>
          </cell>
        </row>
        <row r="36">
          <cell r="A36">
            <v>135</v>
          </cell>
          <cell r="B36">
            <v>5052</v>
          </cell>
        </row>
        <row r="37">
          <cell r="A37">
            <v>136</v>
          </cell>
          <cell r="B37">
            <v>5052</v>
          </cell>
        </row>
        <row r="38">
          <cell r="A38">
            <v>137</v>
          </cell>
          <cell r="B38">
            <v>5052</v>
          </cell>
        </row>
        <row r="39">
          <cell r="A39">
            <v>138</v>
          </cell>
          <cell r="B39">
            <v>5052</v>
          </cell>
        </row>
        <row r="40">
          <cell r="A40">
            <v>139</v>
          </cell>
          <cell r="B40">
            <v>5052</v>
          </cell>
        </row>
        <row r="41">
          <cell r="A41">
            <v>140</v>
          </cell>
          <cell r="B41">
            <v>5052</v>
          </cell>
        </row>
        <row r="42">
          <cell r="A42">
            <v>141</v>
          </cell>
          <cell r="B42">
            <v>5052</v>
          </cell>
        </row>
        <row r="43">
          <cell r="A43">
            <v>142</v>
          </cell>
          <cell r="B43">
            <v>5052</v>
          </cell>
        </row>
        <row r="44">
          <cell r="A44">
            <v>143</v>
          </cell>
          <cell r="B44">
            <v>5052</v>
          </cell>
        </row>
        <row r="45">
          <cell r="A45">
            <v>144</v>
          </cell>
          <cell r="B45">
            <v>5051</v>
          </cell>
        </row>
        <row r="46">
          <cell r="A46">
            <v>145</v>
          </cell>
          <cell r="B46">
            <v>5052</v>
          </cell>
        </row>
        <row r="47">
          <cell r="A47">
            <v>146</v>
          </cell>
          <cell r="B47">
            <v>5057</v>
          </cell>
        </row>
        <row r="48">
          <cell r="A48">
            <v>147</v>
          </cell>
          <cell r="B48">
            <v>5057</v>
          </cell>
        </row>
        <row r="49">
          <cell r="A49">
            <v>148</v>
          </cell>
          <cell r="B49">
            <v>5051</v>
          </cell>
        </row>
        <row r="50">
          <cell r="A50">
            <v>201</v>
          </cell>
          <cell r="B50">
            <v>5055</v>
          </cell>
        </row>
        <row r="51">
          <cell r="A51">
            <v>202</v>
          </cell>
          <cell r="B51">
            <v>5055</v>
          </cell>
        </row>
        <row r="52">
          <cell r="A52">
            <v>203</v>
          </cell>
          <cell r="B52">
            <v>5055</v>
          </cell>
        </row>
        <row r="53">
          <cell r="A53">
            <v>204</v>
          </cell>
          <cell r="B53">
            <v>5053</v>
          </cell>
        </row>
        <row r="54">
          <cell r="A54">
            <v>205</v>
          </cell>
          <cell r="B54">
            <v>5055</v>
          </cell>
        </row>
        <row r="55">
          <cell r="A55">
            <v>206</v>
          </cell>
          <cell r="B55">
            <v>5055</v>
          </cell>
        </row>
        <row r="56">
          <cell r="A56">
            <v>207</v>
          </cell>
          <cell r="B56">
            <v>5055</v>
          </cell>
        </row>
        <row r="57">
          <cell r="A57">
            <v>208</v>
          </cell>
          <cell r="B57">
            <v>5052</v>
          </cell>
        </row>
        <row r="58">
          <cell r="A58">
            <v>209</v>
          </cell>
          <cell r="B58">
            <v>5055</v>
          </cell>
        </row>
        <row r="59">
          <cell r="A59">
            <v>210</v>
          </cell>
          <cell r="B59">
            <v>5055</v>
          </cell>
        </row>
        <row r="60">
          <cell r="A60">
            <v>211</v>
          </cell>
          <cell r="B60">
            <v>5055</v>
          </cell>
        </row>
        <row r="61">
          <cell r="A61">
            <v>212</v>
          </cell>
          <cell r="B61">
            <v>5053</v>
          </cell>
        </row>
        <row r="62">
          <cell r="A62">
            <v>213</v>
          </cell>
          <cell r="B62">
            <v>5055</v>
          </cell>
        </row>
        <row r="63">
          <cell r="A63">
            <v>214</v>
          </cell>
          <cell r="B63">
            <v>5052</v>
          </cell>
        </row>
        <row r="64">
          <cell r="A64">
            <v>215</v>
          </cell>
          <cell r="B64">
            <v>5053</v>
          </cell>
        </row>
        <row r="65">
          <cell r="A65">
            <v>216</v>
          </cell>
          <cell r="B65">
            <v>5055</v>
          </cell>
        </row>
        <row r="66">
          <cell r="A66">
            <v>217</v>
          </cell>
          <cell r="B66">
            <v>5055</v>
          </cell>
        </row>
        <row r="67">
          <cell r="A67">
            <v>218</v>
          </cell>
          <cell r="B67">
            <v>5055</v>
          </cell>
        </row>
        <row r="68">
          <cell r="A68">
            <v>219</v>
          </cell>
          <cell r="B68">
            <v>5055</v>
          </cell>
        </row>
        <row r="69">
          <cell r="A69">
            <v>220</v>
          </cell>
          <cell r="B69">
            <v>5055</v>
          </cell>
        </row>
        <row r="70">
          <cell r="A70">
            <v>221</v>
          </cell>
          <cell r="B70">
            <v>5053</v>
          </cell>
        </row>
        <row r="71">
          <cell r="A71">
            <v>222</v>
          </cell>
          <cell r="B71">
            <v>5055</v>
          </cell>
        </row>
        <row r="72">
          <cell r="A72">
            <v>223</v>
          </cell>
          <cell r="B72">
            <v>5054</v>
          </cell>
        </row>
        <row r="73">
          <cell r="A73">
            <v>224</v>
          </cell>
          <cell r="B73">
            <v>5055</v>
          </cell>
        </row>
        <row r="74">
          <cell r="A74">
            <v>225</v>
          </cell>
          <cell r="B74">
            <v>5054</v>
          </cell>
        </row>
        <row r="75">
          <cell r="A75">
            <v>226</v>
          </cell>
          <cell r="B75">
            <v>5055</v>
          </cell>
        </row>
        <row r="76">
          <cell r="A76">
            <v>301</v>
          </cell>
          <cell r="B76">
            <v>5056</v>
          </cell>
        </row>
        <row r="77">
          <cell r="A77">
            <v>302</v>
          </cell>
          <cell r="B77">
            <v>5055</v>
          </cell>
        </row>
        <row r="78">
          <cell r="A78">
            <v>303</v>
          </cell>
          <cell r="B78">
            <v>5055</v>
          </cell>
        </row>
        <row r="79">
          <cell r="A79">
            <v>304</v>
          </cell>
          <cell r="B79">
            <v>5055</v>
          </cell>
        </row>
        <row r="80">
          <cell r="A80">
            <v>305</v>
          </cell>
          <cell r="B80">
            <v>5059</v>
          </cell>
        </row>
        <row r="81">
          <cell r="A81">
            <v>306</v>
          </cell>
          <cell r="B81">
            <v>5054</v>
          </cell>
        </row>
        <row r="82">
          <cell r="A82">
            <v>307</v>
          </cell>
          <cell r="B82">
            <v>5055</v>
          </cell>
        </row>
        <row r="83">
          <cell r="A83">
            <v>308</v>
          </cell>
          <cell r="B83">
            <v>5056</v>
          </cell>
        </row>
        <row r="84">
          <cell r="A84">
            <v>309</v>
          </cell>
          <cell r="B84">
            <v>5054</v>
          </cell>
        </row>
        <row r="85">
          <cell r="A85">
            <v>310</v>
          </cell>
          <cell r="B85">
            <v>5054</v>
          </cell>
        </row>
        <row r="86">
          <cell r="A86">
            <v>311</v>
          </cell>
          <cell r="B86">
            <v>5054</v>
          </cell>
        </row>
        <row r="87">
          <cell r="A87">
            <v>312</v>
          </cell>
          <cell r="B87">
            <v>5056</v>
          </cell>
        </row>
        <row r="88">
          <cell r="A88">
            <v>313</v>
          </cell>
          <cell r="B88">
            <v>5057</v>
          </cell>
        </row>
        <row r="89">
          <cell r="A89">
            <v>501</v>
          </cell>
          <cell r="B89">
            <v>5057</v>
          </cell>
        </row>
        <row r="90">
          <cell r="A90">
            <v>502</v>
          </cell>
          <cell r="B90">
            <v>5057</v>
          </cell>
        </row>
        <row r="91">
          <cell r="A91">
            <v>503</v>
          </cell>
          <cell r="B91">
            <v>5057</v>
          </cell>
        </row>
        <row r="92">
          <cell r="A92">
            <v>504</v>
          </cell>
          <cell r="B92">
            <v>5057</v>
          </cell>
        </row>
        <row r="93">
          <cell r="A93">
            <v>505</v>
          </cell>
          <cell r="B93">
            <v>5057</v>
          </cell>
        </row>
        <row r="94">
          <cell r="A94">
            <v>506</v>
          </cell>
          <cell r="B94">
            <v>5057</v>
          </cell>
        </row>
        <row r="95">
          <cell r="A95">
            <v>507</v>
          </cell>
          <cell r="B95">
            <v>5057</v>
          </cell>
        </row>
        <row r="96">
          <cell r="A96">
            <v>508</v>
          </cell>
          <cell r="B96">
            <v>5057</v>
          </cell>
        </row>
        <row r="97">
          <cell r="A97">
            <v>509</v>
          </cell>
          <cell r="B97">
            <v>5057</v>
          </cell>
        </row>
        <row r="98">
          <cell r="A98">
            <v>510</v>
          </cell>
          <cell r="B98">
            <v>5057</v>
          </cell>
        </row>
        <row r="99">
          <cell r="A99">
            <v>511</v>
          </cell>
          <cell r="B99">
            <v>5057</v>
          </cell>
        </row>
        <row r="100">
          <cell r="A100">
            <v>512</v>
          </cell>
          <cell r="B100">
            <v>5057</v>
          </cell>
        </row>
        <row r="101">
          <cell r="A101">
            <v>513</v>
          </cell>
          <cell r="B101">
            <v>5057</v>
          </cell>
        </row>
        <row r="102">
          <cell r="A102">
            <v>514</v>
          </cell>
          <cell r="B102">
            <v>5057</v>
          </cell>
        </row>
        <row r="103">
          <cell r="A103">
            <v>515</v>
          </cell>
          <cell r="B103">
            <v>5057</v>
          </cell>
        </row>
        <row r="104">
          <cell r="A104">
            <v>516</v>
          </cell>
          <cell r="B104">
            <v>5057</v>
          </cell>
        </row>
        <row r="105">
          <cell r="A105">
            <v>517</v>
          </cell>
          <cell r="B105">
            <v>5057</v>
          </cell>
        </row>
        <row r="106">
          <cell r="A106">
            <v>518</v>
          </cell>
          <cell r="B106">
            <v>5057</v>
          </cell>
        </row>
        <row r="107">
          <cell r="A107">
            <v>519</v>
          </cell>
          <cell r="B107">
            <v>5059</v>
          </cell>
        </row>
        <row r="108">
          <cell r="A108">
            <v>520</v>
          </cell>
          <cell r="B108">
            <v>5057</v>
          </cell>
        </row>
        <row r="109">
          <cell r="A109">
            <v>521</v>
          </cell>
          <cell r="B109">
            <v>5059</v>
          </cell>
        </row>
        <row r="110">
          <cell r="A110">
            <v>522</v>
          </cell>
          <cell r="B110">
            <v>5057</v>
          </cell>
        </row>
        <row r="111">
          <cell r="A111">
            <v>523</v>
          </cell>
          <cell r="B111">
            <v>5059</v>
          </cell>
        </row>
        <row r="112">
          <cell r="A112">
            <v>524</v>
          </cell>
          <cell r="B112">
            <v>5057</v>
          </cell>
        </row>
        <row r="113">
          <cell r="A113">
            <v>525</v>
          </cell>
          <cell r="B113">
            <v>5059</v>
          </cell>
        </row>
        <row r="114">
          <cell r="A114">
            <v>601</v>
          </cell>
          <cell r="B114">
            <v>5059</v>
          </cell>
        </row>
        <row r="115">
          <cell r="A115">
            <v>801</v>
          </cell>
          <cell r="B115">
            <v>5059</v>
          </cell>
        </row>
        <row r="116">
          <cell r="A116">
            <v>802</v>
          </cell>
          <cell r="B116">
            <v>5059</v>
          </cell>
        </row>
        <row r="117">
          <cell r="A117">
            <v>803</v>
          </cell>
          <cell r="B117">
            <v>5059</v>
          </cell>
        </row>
        <row r="118">
          <cell r="A118">
            <v>804</v>
          </cell>
          <cell r="B118">
            <v>5059</v>
          </cell>
        </row>
        <row r="119">
          <cell r="A119">
            <v>901</v>
          </cell>
          <cell r="B119">
            <v>5059</v>
          </cell>
        </row>
        <row r="120">
          <cell r="A120">
            <v>902</v>
          </cell>
          <cell r="B120">
            <v>5059</v>
          </cell>
        </row>
        <row r="121">
          <cell r="A121">
            <v>903</v>
          </cell>
          <cell r="B121">
            <v>5059</v>
          </cell>
        </row>
        <row r="122">
          <cell r="A122">
            <v>904</v>
          </cell>
          <cell r="B122">
            <v>5059</v>
          </cell>
        </row>
        <row r="123">
          <cell r="A123">
            <v>905</v>
          </cell>
          <cell r="B123">
            <v>5059</v>
          </cell>
        </row>
        <row r="124">
          <cell r="A124">
            <v>906</v>
          </cell>
          <cell r="B124">
            <v>5059</v>
          </cell>
        </row>
        <row r="125">
          <cell r="A125">
            <v>907</v>
          </cell>
          <cell r="B125">
            <v>5059</v>
          </cell>
        </row>
        <row r="126">
          <cell r="A126">
            <v>908</v>
          </cell>
          <cell r="B126">
            <v>5059</v>
          </cell>
        </row>
        <row r="127">
          <cell r="A127">
            <v>909</v>
          </cell>
          <cell r="B127">
            <v>5059</v>
          </cell>
        </row>
      </sheetData>
      <sheetData sheetId="2"/>
      <sheetData sheetId="3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1 (2)"/>
      <sheetName val="AVM PTO 12-31-09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4">
          <cell r="A4">
            <v>102</v>
          </cell>
          <cell r="B4">
            <v>5057</v>
          </cell>
        </row>
        <row r="6">
          <cell r="A6">
            <v>103</v>
          </cell>
          <cell r="B6">
            <v>5051</v>
          </cell>
        </row>
        <row r="7">
          <cell r="A7">
            <v>104</v>
          </cell>
          <cell r="B7">
            <v>5051</v>
          </cell>
        </row>
        <row r="8">
          <cell r="A8">
            <v>105</v>
          </cell>
          <cell r="B8">
            <v>5050</v>
          </cell>
        </row>
        <row r="10">
          <cell r="A10">
            <v>106</v>
          </cell>
          <cell r="B10">
            <v>5051</v>
          </cell>
        </row>
        <row r="12">
          <cell r="A12">
            <v>107</v>
          </cell>
          <cell r="B12">
            <v>5051</v>
          </cell>
        </row>
        <row r="14">
          <cell r="A14">
            <v>108</v>
          </cell>
          <cell r="B14">
            <v>5051</v>
          </cell>
        </row>
        <row r="16">
          <cell r="A16">
            <v>109</v>
          </cell>
          <cell r="B16">
            <v>5051</v>
          </cell>
        </row>
        <row r="17">
          <cell r="A17">
            <v>110</v>
          </cell>
          <cell r="B17">
            <v>5051</v>
          </cell>
        </row>
        <row r="19">
          <cell r="A19">
            <v>111</v>
          </cell>
          <cell r="B19">
            <v>5051</v>
          </cell>
        </row>
        <row r="21">
          <cell r="A21">
            <v>112</v>
          </cell>
          <cell r="B21">
            <v>5051</v>
          </cell>
        </row>
        <row r="23">
          <cell r="A23">
            <v>113</v>
          </cell>
          <cell r="B23">
            <v>5051</v>
          </cell>
        </row>
        <row r="25">
          <cell r="A25">
            <v>114</v>
          </cell>
          <cell r="B25">
            <v>5051</v>
          </cell>
        </row>
        <row r="27">
          <cell r="A27">
            <v>115</v>
          </cell>
          <cell r="B27">
            <v>5051</v>
          </cell>
        </row>
        <row r="29">
          <cell r="A29">
            <v>116</v>
          </cell>
          <cell r="B29">
            <v>5051</v>
          </cell>
        </row>
        <row r="31">
          <cell r="A31">
            <v>117</v>
          </cell>
          <cell r="B31">
            <v>5051</v>
          </cell>
        </row>
        <row r="33">
          <cell r="A33">
            <v>118</v>
          </cell>
          <cell r="B33">
            <v>5057</v>
          </cell>
        </row>
        <row r="35">
          <cell r="A35">
            <v>119</v>
          </cell>
          <cell r="B35">
            <v>5051</v>
          </cell>
        </row>
        <row r="37">
          <cell r="A37">
            <v>120</v>
          </cell>
          <cell r="B37">
            <v>5051</v>
          </cell>
        </row>
        <row r="39">
          <cell r="A39">
            <v>121</v>
          </cell>
          <cell r="B39">
            <v>5050</v>
          </cell>
        </row>
        <row r="41">
          <cell r="A41">
            <v>122</v>
          </cell>
          <cell r="B41">
            <v>5052</v>
          </cell>
        </row>
        <row r="43">
          <cell r="A43">
            <v>123</v>
          </cell>
          <cell r="B43">
            <v>5052</v>
          </cell>
        </row>
        <row r="45">
          <cell r="A45">
            <v>124</v>
          </cell>
          <cell r="B45">
            <v>5052</v>
          </cell>
        </row>
        <row r="47">
          <cell r="A47">
            <v>125</v>
          </cell>
          <cell r="B47">
            <v>5051</v>
          </cell>
        </row>
        <row r="49">
          <cell r="A49">
            <v>126</v>
          </cell>
          <cell r="B49">
            <v>5051</v>
          </cell>
        </row>
        <row r="51">
          <cell r="A51">
            <v>127</v>
          </cell>
          <cell r="B51">
            <v>5051</v>
          </cell>
        </row>
        <row r="53">
          <cell r="A53">
            <v>128</v>
          </cell>
          <cell r="B53">
            <v>5051</v>
          </cell>
        </row>
        <row r="55">
          <cell r="A55">
            <v>129</v>
          </cell>
          <cell r="B55">
            <v>5052</v>
          </cell>
        </row>
        <row r="57">
          <cell r="A57">
            <v>130</v>
          </cell>
          <cell r="B57">
            <v>5052</v>
          </cell>
        </row>
        <row r="58">
          <cell r="A58">
            <v>131</v>
          </cell>
          <cell r="B58">
            <v>5052</v>
          </cell>
        </row>
        <row r="60">
          <cell r="A60">
            <v>132</v>
          </cell>
          <cell r="B60">
            <v>5052</v>
          </cell>
        </row>
        <row r="61">
          <cell r="A61">
            <v>133</v>
          </cell>
          <cell r="B61">
            <v>5052</v>
          </cell>
        </row>
        <row r="63">
          <cell r="A63">
            <v>134</v>
          </cell>
          <cell r="B63">
            <v>5052</v>
          </cell>
        </row>
        <row r="65">
          <cell r="A65">
            <v>135</v>
          </cell>
          <cell r="B65">
            <v>5052</v>
          </cell>
        </row>
        <row r="66">
          <cell r="A66">
            <v>136</v>
          </cell>
          <cell r="B66">
            <v>5052</v>
          </cell>
        </row>
        <row r="68">
          <cell r="A68">
            <v>137</v>
          </cell>
          <cell r="B68">
            <v>5052</v>
          </cell>
        </row>
        <row r="70">
          <cell r="A70">
            <v>138</v>
          </cell>
          <cell r="B70">
            <v>5052</v>
          </cell>
        </row>
        <row r="72">
          <cell r="A72">
            <v>139</v>
          </cell>
          <cell r="B72">
            <v>5052</v>
          </cell>
        </row>
        <row r="74">
          <cell r="A74">
            <v>140</v>
          </cell>
          <cell r="B74">
            <v>5052</v>
          </cell>
        </row>
        <row r="76">
          <cell r="A76">
            <v>141</v>
          </cell>
          <cell r="B76">
            <v>5052</v>
          </cell>
        </row>
        <row r="78">
          <cell r="A78">
            <v>142</v>
          </cell>
          <cell r="B78">
            <v>5052</v>
          </cell>
        </row>
        <row r="79">
          <cell r="A79">
            <v>143</v>
          </cell>
          <cell r="B79">
            <v>5052</v>
          </cell>
        </row>
        <row r="81">
          <cell r="A81">
            <v>145</v>
          </cell>
          <cell r="B81">
            <v>5052</v>
          </cell>
        </row>
        <row r="83">
          <cell r="A83">
            <v>201</v>
          </cell>
          <cell r="B83">
            <v>5055</v>
          </cell>
        </row>
        <row r="84">
          <cell r="A84">
            <v>202</v>
          </cell>
          <cell r="B84">
            <v>5055</v>
          </cell>
        </row>
        <row r="86">
          <cell r="A86">
            <v>203</v>
          </cell>
          <cell r="B86">
            <v>5055</v>
          </cell>
        </row>
        <row r="88">
          <cell r="A88">
            <v>204</v>
          </cell>
          <cell r="B88">
            <v>5053</v>
          </cell>
        </row>
        <row r="90">
          <cell r="A90">
            <v>205</v>
          </cell>
          <cell r="B90">
            <v>5055</v>
          </cell>
        </row>
        <row r="92">
          <cell r="A92">
            <v>206</v>
          </cell>
          <cell r="B92">
            <v>5055</v>
          </cell>
        </row>
        <row r="94">
          <cell r="A94">
            <v>207</v>
          </cell>
          <cell r="B94">
            <v>5055</v>
          </cell>
        </row>
        <row r="96">
          <cell r="A96">
            <v>208</v>
          </cell>
          <cell r="B96">
            <v>5052</v>
          </cell>
        </row>
        <row r="98">
          <cell r="A98">
            <v>209</v>
          </cell>
          <cell r="B98">
            <v>5055</v>
          </cell>
        </row>
        <row r="100">
          <cell r="A100">
            <v>210</v>
          </cell>
          <cell r="B100">
            <v>5055</v>
          </cell>
        </row>
        <row r="102">
          <cell r="A102">
            <v>211</v>
          </cell>
          <cell r="B102">
            <v>5055</v>
          </cell>
        </row>
        <row r="104">
          <cell r="A104">
            <v>212</v>
          </cell>
          <cell r="B104">
            <v>5053</v>
          </cell>
        </row>
        <row r="106">
          <cell r="A106">
            <v>213</v>
          </cell>
          <cell r="B106">
            <v>5055</v>
          </cell>
        </row>
        <row r="108">
          <cell r="A108">
            <v>214</v>
          </cell>
          <cell r="B108">
            <v>5052</v>
          </cell>
        </row>
        <row r="110">
          <cell r="A110">
            <v>215</v>
          </cell>
          <cell r="B110">
            <v>5053</v>
          </cell>
        </row>
        <row r="112">
          <cell r="A112">
            <v>216</v>
          </cell>
          <cell r="B112">
            <v>5055</v>
          </cell>
        </row>
        <row r="114">
          <cell r="A114">
            <v>217</v>
          </cell>
          <cell r="B114">
            <v>5055</v>
          </cell>
        </row>
        <row r="116">
          <cell r="A116">
            <v>218</v>
          </cell>
          <cell r="B116">
            <v>5055</v>
          </cell>
        </row>
        <row r="118">
          <cell r="A118">
            <v>219</v>
          </cell>
          <cell r="B118">
            <v>5055</v>
          </cell>
        </row>
        <row r="119">
          <cell r="A119">
            <v>220</v>
          </cell>
          <cell r="B119">
            <v>5055</v>
          </cell>
        </row>
        <row r="121">
          <cell r="A121">
            <v>221</v>
          </cell>
          <cell r="B121">
            <v>5053</v>
          </cell>
        </row>
        <row r="123">
          <cell r="A123">
            <v>222</v>
          </cell>
          <cell r="B123">
            <v>5055</v>
          </cell>
        </row>
        <row r="125">
          <cell r="A125">
            <v>223</v>
          </cell>
          <cell r="B125">
            <v>5054</v>
          </cell>
        </row>
        <row r="127">
          <cell r="A127">
            <v>224</v>
          </cell>
          <cell r="B127">
            <v>5055</v>
          </cell>
        </row>
        <row r="129">
          <cell r="A129">
            <v>225</v>
          </cell>
          <cell r="B129">
            <v>5054</v>
          </cell>
        </row>
        <row r="130">
          <cell r="A130">
            <v>301</v>
          </cell>
          <cell r="B130">
            <v>5054</v>
          </cell>
        </row>
        <row r="132">
          <cell r="A132">
            <v>302</v>
          </cell>
          <cell r="B132">
            <v>5055</v>
          </cell>
        </row>
        <row r="134">
          <cell r="A134">
            <v>303</v>
          </cell>
          <cell r="B134">
            <v>5055</v>
          </cell>
        </row>
        <row r="135">
          <cell r="A135">
            <v>304</v>
          </cell>
          <cell r="B135">
            <v>5055</v>
          </cell>
        </row>
        <row r="137">
          <cell r="A137">
            <v>305</v>
          </cell>
          <cell r="B137">
            <v>5059</v>
          </cell>
        </row>
        <row r="139">
          <cell r="A139">
            <v>306</v>
          </cell>
          <cell r="B139">
            <v>5054</v>
          </cell>
        </row>
        <row r="141">
          <cell r="A141">
            <v>307</v>
          </cell>
          <cell r="B141">
            <v>5055</v>
          </cell>
        </row>
        <row r="143">
          <cell r="A143">
            <v>308</v>
          </cell>
          <cell r="B143">
            <v>5056</v>
          </cell>
        </row>
        <row r="145">
          <cell r="A145">
            <v>309</v>
          </cell>
          <cell r="B145">
            <v>5054</v>
          </cell>
        </row>
        <row r="146">
          <cell r="A146">
            <v>310</v>
          </cell>
          <cell r="B146">
            <v>5054</v>
          </cell>
        </row>
        <row r="148">
          <cell r="A148">
            <v>311</v>
          </cell>
          <cell r="B148">
            <v>5054</v>
          </cell>
        </row>
        <row r="150">
          <cell r="A150">
            <v>312</v>
          </cell>
          <cell r="B150">
            <v>5056</v>
          </cell>
        </row>
        <row r="152">
          <cell r="A152">
            <v>313</v>
          </cell>
          <cell r="B152">
            <v>5057</v>
          </cell>
        </row>
        <row r="154">
          <cell r="A154">
            <v>501</v>
          </cell>
          <cell r="B154">
            <v>5057</v>
          </cell>
        </row>
        <row r="156">
          <cell r="A156">
            <v>502</v>
          </cell>
          <cell r="B156">
            <v>5057</v>
          </cell>
        </row>
        <row r="158">
          <cell r="A158">
            <v>503</v>
          </cell>
          <cell r="B158">
            <v>5057</v>
          </cell>
        </row>
        <row r="160">
          <cell r="A160">
            <v>504</v>
          </cell>
          <cell r="B160">
            <v>5057</v>
          </cell>
        </row>
        <row r="162">
          <cell r="A162">
            <v>505</v>
          </cell>
          <cell r="B162">
            <v>5057</v>
          </cell>
        </row>
        <row r="164">
          <cell r="A164">
            <v>506</v>
          </cell>
          <cell r="B164">
            <v>5057</v>
          </cell>
        </row>
        <row r="166">
          <cell r="A166">
            <v>507</v>
          </cell>
          <cell r="B166">
            <v>5057</v>
          </cell>
        </row>
        <row r="168">
          <cell r="A168">
            <v>508</v>
          </cell>
          <cell r="B168">
            <v>5057</v>
          </cell>
        </row>
        <row r="170">
          <cell r="A170">
            <v>509</v>
          </cell>
          <cell r="B170">
            <v>5057</v>
          </cell>
        </row>
        <row r="172">
          <cell r="A172">
            <v>510</v>
          </cell>
          <cell r="B172">
            <v>5057</v>
          </cell>
        </row>
        <row r="174">
          <cell r="A174">
            <v>511</v>
          </cell>
          <cell r="B174">
            <v>5057</v>
          </cell>
        </row>
        <row r="176">
          <cell r="A176">
            <v>512</v>
          </cell>
          <cell r="B176">
            <v>5057</v>
          </cell>
        </row>
        <row r="178">
          <cell r="A178">
            <v>513</v>
          </cell>
          <cell r="B178">
            <v>5057</v>
          </cell>
        </row>
        <row r="180">
          <cell r="A180">
            <v>514</v>
          </cell>
          <cell r="B180">
            <v>5057</v>
          </cell>
        </row>
        <row r="182">
          <cell r="A182">
            <v>515</v>
          </cell>
          <cell r="B182">
            <v>5057</v>
          </cell>
        </row>
        <row r="184">
          <cell r="A184">
            <v>516</v>
          </cell>
          <cell r="B184">
            <v>5057</v>
          </cell>
        </row>
        <row r="186">
          <cell r="A186">
            <v>517</v>
          </cell>
          <cell r="B186">
            <v>5057</v>
          </cell>
        </row>
        <row r="188">
          <cell r="A188">
            <v>518</v>
          </cell>
          <cell r="B188">
            <v>5057</v>
          </cell>
        </row>
        <row r="190">
          <cell r="A190">
            <v>519</v>
          </cell>
          <cell r="B190">
            <v>5059</v>
          </cell>
        </row>
        <row r="192">
          <cell r="A192">
            <v>520</v>
          </cell>
          <cell r="B192">
            <v>5057</v>
          </cell>
        </row>
        <row r="194">
          <cell r="A194">
            <v>521</v>
          </cell>
          <cell r="B194">
            <v>5059</v>
          </cell>
        </row>
        <row r="196">
          <cell r="A196">
            <v>601</v>
          </cell>
          <cell r="B196">
            <v>5059</v>
          </cell>
        </row>
        <row r="198">
          <cell r="A198">
            <v>801</v>
          </cell>
          <cell r="B198">
            <v>5059</v>
          </cell>
        </row>
        <row r="200">
          <cell r="A200">
            <v>802</v>
          </cell>
          <cell r="B200">
            <v>5059</v>
          </cell>
        </row>
        <row r="202">
          <cell r="A202">
            <v>803</v>
          </cell>
          <cell r="B202">
            <v>5059</v>
          </cell>
        </row>
        <row r="204">
          <cell r="A204">
            <v>901</v>
          </cell>
          <cell r="B204">
            <v>5059</v>
          </cell>
        </row>
        <row r="206">
          <cell r="A206">
            <v>902</v>
          </cell>
          <cell r="B206">
            <v>5059</v>
          </cell>
        </row>
        <row r="208">
          <cell r="A208">
            <v>903</v>
          </cell>
          <cell r="B208">
            <v>5059</v>
          </cell>
        </row>
        <row r="210">
          <cell r="A210">
            <v>904</v>
          </cell>
          <cell r="B210">
            <v>5059</v>
          </cell>
        </row>
        <row r="212">
          <cell r="A212">
            <v>905</v>
          </cell>
          <cell r="B212">
            <v>5059</v>
          </cell>
        </row>
        <row r="214">
          <cell r="A214">
            <v>906</v>
          </cell>
          <cell r="B214">
            <v>5059</v>
          </cell>
        </row>
        <row r="216">
          <cell r="A216">
            <v>907</v>
          </cell>
          <cell r="B216">
            <v>5059</v>
          </cell>
        </row>
        <row r="218">
          <cell r="A218">
            <v>908</v>
          </cell>
          <cell r="B218">
            <v>5059</v>
          </cell>
        </row>
        <row r="220">
          <cell r="A220">
            <v>909</v>
          </cell>
          <cell r="B220">
            <v>5059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avm pto 33110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3">
          <cell r="A3">
            <v>102</v>
          </cell>
          <cell r="B3">
            <v>5057</v>
          </cell>
        </row>
        <row r="4">
          <cell r="A4">
            <v>103</v>
          </cell>
          <cell r="B4">
            <v>5051</v>
          </cell>
        </row>
        <row r="5">
          <cell r="A5">
            <v>104</v>
          </cell>
          <cell r="B5">
            <v>5051</v>
          </cell>
        </row>
        <row r="6">
          <cell r="A6">
            <v>105</v>
          </cell>
          <cell r="B6">
            <v>5050</v>
          </cell>
        </row>
        <row r="7">
          <cell r="A7">
            <v>106</v>
          </cell>
          <cell r="B7">
            <v>5051</v>
          </cell>
        </row>
        <row r="8">
          <cell r="A8">
            <v>107</v>
          </cell>
          <cell r="B8">
            <v>5051</v>
          </cell>
        </row>
        <row r="9">
          <cell r="A9">
            <v>108</v>
          </cell>
          <cell r="B9">
            <v>5051</v>
          </cell>
        </row>
        <row r="10">
          <cell r="A10">
            <v>109</v>
          </cell>
          <cell r="B10">
            <v>5051</v>
          </cell>
        </row>
        <row r="11">
          <cell r="A11">
            <v>110</v>
          </cell>
          <cell r="B11">
            <v>5051</v>
          </cell>
        </row>
        <row r="12">
          <cell r="A12">
            <v>111</v>
          </cell>
          <cell r="B12">
            <v>5051</v>
          </cell>
        </row>
        <row r="13">
          <cell r="A13">
            <v>112</v>
          </cell>
          <cell r="B13">
            <v>5051</v>
          </cell>
        </row>
        <row r="14">
          <cell r="A14">
            <v>113</v>
          </cell>
          <cell r="B14">
            <v>5051</v>
          </cell>
        </row>
        <row r="15">
          <cell r="A15">
            <v>114</v>
          </cell>
          <cell r="B15">
            <v>5051</v>
          </cell>
        </row>
        <row r="16">
          <cell r="A16">
            <v>115</v>
          </cell>
          <cell r="B16">
            <v>5051</v>
          </cell>
        </row>
        <row r="17">
          <cell r="A17">
            <v>116</v>
          </cell>
          <cell r="B17">
            <v>5051</v>
          </cell>
        </row>
        <row r="18">
          <cell r="A18">
            <v>117</v>
          </cell>
          <cell r="B18">
            <v>5051</v>
          </cell>
        </row>
        <row r="19">
          <cell r="A19">
            <v>118</v>
          </cell>
          <cell r="B19">
            <v>5057</v>
          </cell>
        </row>
        <row r="20">
          <cell r="A20">
            <v>119</v>
          </cell>
          <cell r="B20">
            <v>5051</v>
          </cell>
        </row>
        <row r="21">
          <cell r="A21">
            <v>120</v>
          </cell>
          <cell r="B21">
            <v>5051</v>
          </cell>
        </row>
        <row r="22">
          <cell r="A22">
            <v>121</v>
          </cell>
          <cell r="B22">
            <v>5050</v>
          </cell>
        </row>
        <row r="23">
          <cell r="A23">
            <v>122</v>
          </cell>
          <cell r="B23">
            <v>5052</v>
          </cell>
        </row>
        <row r="24">
          <cell r="A24">
            <v>123</v>
          </cell>
          <cell r="B24">
            <v>5052</v>
          </cell>
        </row>
        <row r="25">
          <cell r="A25">
            <v>124</v>
          </cell>
          <cell r="B25">
            <v>5052</v>
          </cell>
        </row>
        <row r="26">
          <cell r="A26">
            <v>125</v>
          </cell>
          <cell r="B26">
            <v>5051</v>
          </cell>
        </row>
        <row r="27">
          <cell r="A27">
            <v>126</v>
          </cell>
          <cell r="B27">
            <v>5051</v>
          </cell>
        </row>
        <row r="28">
          <cell r="A28">
            <v>127</v>
          </cell>
          <cell r="B28">
            <v>5051</v>
          </cell>
        </row>
        <row r="29">
          <cell r="A29">
            <v>128</v>
          </cell>
          <cell r="B29">
            <v>5051</v>
          </cell>
        </row>
        <row r="30">
          <cell r="A30">
            <v>129</v>
          </cell>
          <cell r="B30">
            <v>5052</v>
          </cell>
        </row>
        <row r="31">
          <cell r="A31">
            <v>130</v>
          </cell>
          <cell r="B31">
            <v>5052</v>
          </cell>
        </row>
        <row r="32">
          <cell r="A32">
            <v>131</v>
          </cell>
          <cell r="B32">
            <v>5052</v>
          </cell>
        </row>
        <row r="33">
          <cell r="A33">
            <v>132</v>
          </cell>
          <cell r="B33">
            <v>5052</v>
          </cell>
        </row>
        <row r="34">
          <cell r="A34">
            <v>133</v>
          </cell>
          <cell r="B34">
            <v>5052</v>
          </cell>
        </row>
        <row r="35">
          <cell r="A35">
            <v>134</v>
          </cell>
          <cell r="B35">
            <v>5052</v>
          </cell>
        </row>
        <row r="36">
          <cell r="A36">
            <v>135</v>
          </cell>
          <cell r="B36">
            <v>5052</v>
          </cell>
        </row>
        <row r="37">
          <cell r="A37">
            <v>136</v>
          </cell>
          <cell r="B37">
            <v>5052</v>
          </cell>
        </row>
        <row r="38">
          <cell r="A38">
            <v>137</v>
          </cell>
          <cell r="B38">
            <v>5052</v>
          </cell>
        </row>
        <row r="39">
          <cell r="A39">
            <v>138</v>
          </cell>
          <cell r="B39">
            <v>5052</v>
          </cell>
        </row>
        <row r="40">
          <cell r="A40">
            <v>139</v>
          </cell>
          <cell r="B40">
            <v>5052</v>
          </cell>
        </row>
        <row r="41">
          <cell r="A41">
            <v>140</v>
          </cell>
          <cell r="B41">
            <v>5052</v>
          </cell>
        </row>
        <row r="42">
          <cell r="A42">
            <v>141</v>
          </cell>
          <cell r="B42">
            <v>5052</v>
          </cell>
        </row>
        <row r="43">
          <cell r="A43">
            <v>142</v>
          </cell>
          <cell r="B43">
            <v>5052</v>
          </cell>
        </row>
        <row r="44">
          <cell r="A44">
            <v>143</v>
          </cell>
          <cell r="B44">
            <v>5052</v>
          </cell>
        </row>
        <row r="45">
          <cell r="A45">
            <v>145</v>
          </cell>
          <cell r="B45">
            <v>5052</v>
          </cell>
        </row>
        <row r="46">
          <cell r="A46">
            <v>201</v>
          </cell>
          <cell r="B46">
            <v>5055</v>
          </cell>
        </row>
        <row r="47">
          <cell r="A47">
            <v>202</v>
          </cell>
          <cell r="B47">
            <v>5055</v>
          </cell>
        </row>
        <row r="48">
          <cell r="A48">
            <v>203</v>
          </cell>
          <cell r="B48">
            <v>5055</v>
          </cell>
        </row>
        <row r="49">
          <cell r="A49">
            <v>204</v>
          </cell>
          <cell r="B49">
            <v>5053</v>
          </cell>
        </row>
        <row r="50">
          <cell r="A50">
            <v>205</v>
          </cell>
          <cell r="B50">
            <v>5055</v>
          </cell>
        </row>
        <row r="51">
          <cell r="A51">
            <v>206</v>
          </cell>
          <cell r="B51">
            <v>5055</v>
          </cell>
        </row>
        <row r="52">
          <cell r="A52">
            <v>207</v>
          </cell>
          <cell r="B52">
            <v>5055</v>
          </cell>
        </row>
        <row r="53">
          <cell r="A53">
            <v>208</v>
          </cell>
          <cell r="B53">
            <v>5052</v>
          </cell>
        </row>
        <row r="54">
          <cell r="A54">
            <v>209</v>
          </cell>
          <cell r="B54">
            <v>5055</v>
          </cell>
        </row>
        <row r="55">
          <cell r="A55">
            <v>210</v>
          </cell>
          <cell r="B55">
            <v>5055</v>
          </cell>
        </row>
        <row r="56">
          <cell r="A56">
            <v>211</v>
          </cell>
          <cell r="B56">
            <v>5055</v>
          </cell>
        </row>
        <row r="57">
          <cell r="A57">
            <v>212</v>
          </cell>
          <cell r="B57">
            <v>5053</v>
          </cell>
        </row>
        <row r="58">
          <cell r="A58">
            <v>213</v>
          </cell>
          <cell r="B58">
            <v>5055</v>
          </cell>
        </row>
        <row r="59">
          <cell r="A59">
            <v>214</v>
          </cell>
          <cell r="B59">
            <v>5052</v>
          </cell>
        </row>
        <row r="60">
          <cell r="A60">
            <v>215</v>
          </cell>
          <cell r="B60">
            <v>5053</v>
          </cell>
        </row>
        <row r="61">
          <cell r="A61">
            <v>216</v>
          </cell>
          <cell r="B61">
            <v>5055</v>
          </cell>
        </row>
        <row r="62">
          <cell r="A62">
            <v>217</v>
          </cell>
          <cell r="B62">
            <v>5055</v>
          </cell>
        </row>
        <row r="63">
          <cell r="A63">
            <v>218</v>
          </cell>
          <cell r="B63">
            <v>5055</v>
          </cell>
        </row>
        <row r="64">
          <cell r="A64">
            <v>219</v>
          </cell>
          <cell r="B64">
            <v>5055</v>
          </cell>
        </row>
        <row r="65">
          <cell r="A65">
            <v>220</v>
          </cell>
          <cell r="B65">
            <v>5055</v>
          </cell>
        </row>
        <row r="66">
          <cell r="A66">
            <v>221</v>
          </cell>
          <cell r="B66">
            <v>5053</v>
          </cell>
        </row>
        <row r="67">
          <cell r="A67">
            <v>222</v>
          </cell>
          <cell r="B67">
            <v>5055</v>
          </cell>
        </row>
        <row r="68">
          <cell r="A68">
            <v>223</v>
          </cell>
          <cell r="B68">
            <v>5054</v>
          </cell>
        </row>
        <row r="69">
          <cell r="A69">
            <v>224</v>
          </cell>
          <cell r="B69">
            <v>5055</v>
          </cell>
        </row>
        <row r="70">
          <cell r="A70">
            <v>225</v>
          </cell>
          <cell r="B70">
            <v>5054</v>
          </cell>
        </row>
        <row r="71">
          <cell r="A71">
            <v>301</v>
          </cell>
          <cell r="B71">
            <v>5054</v>
          </cell>
        </row>
        <row r="72">
          <cell r="A72">
            <v>302</v>
          </cell>
          <cell r="B72">
            <v>5055</v>
          </cell>
        </row>
        <row r="73">
          <cell r="A73">
            <v>303</v>
          </cell>
          <cell r="B73">
            <v>5055</v>
          </cell>
        </row>
        <row r="74">
          <cell r="A74">
            <v>304</v>
          </cell>
          <cell r="B74">
            <v>5055</v>
          </cell>
        </row>
        <row r="75">
          <cell r="A75">
            <v>305</v>
          </cell>
          <cell r="B75">
            <v>5059</v>
          </cell>
        </row>
        <row r="76">
          <cell r="A76">
            <v>306</v>
          </cell>
          <cell r="B76">
            <v>5054</v>
          </cell>
        </row>
        <row r="77">
          <cell r="A77">
            <v>307</v>
          </cell>
          <cell r="B77">
            <v>5055</v>
          </cell>
        </row>
        <row r="78">
          <cell r="A78">
            <v>308</v>
          </cell>
          <cell r="B78">
            <v>5056</v>
          </cell>
        </row>
        <row r="79">
          <cell r="A79">
            <v>309</v>
          </cell>
          <cell r="B79">
            <v>5054</v>
          </cell>
        </row>
        <row r="80">
          <cell r="A80">
            <v>310</v>
          </cell>
          <cell r="B80">
            <v>5054</v>
          </cell>
        </row>
        <row r="81">
          <cell r="A81">
            <v>311</v>
          </cell>
          <cell r="B81">
            <v>5054</v>
          </cell>
        </row>
        <row r="82">
          <cell r="A82">
            <v>312</v>
          </cell>
          <cell r="B82">
            <v>5056</v>
          </cell>
        </row>
        <row r="83">
          <cell r="A83">
            <v>313</v>
          </cell>
          <cell r="B83">
            <v>5057</v>
          </cell>
        </row>
        <row r="84">
          <cell r="A84">
            <v>501</v>
          </cell>
          <cell r="B84">
            <v>5057</v>
          </cell>
        </row>
        <row r="85">
          <cell r="A85">
            <v>502</v>
          </cell>
          <cell r="B85">
            <v>5057</v>
          </cell>
        </row>
        <row r="86">
          <cell r="A86">
            <v>503</v>
          </cell>
          <cell r="B86">
            <v>5057</v>
          </cell>
        </row>
        <row r="87">
          <cell r="A87">
            <v>504</v>
          </cell>
          <cell r="B87">
            <v>5057</v>
          </cell>
        </row>
        <row r="88">
          <cell r="A88">
            <v>505</v>
          </cell>
          <cell r="B88">
            <v>5057</v>
          </cell>
        </row>
        <row r="89">
          <cell r="A89">
            <v>506</v>
          </cell>
          <cell r="B89">
            <v>5057</v>
          </cell>
        </row>
        <row r="90">
          <cell r="A90">
            <v>507</v>
          </cell>
          <cell r="B90">
            <v>5057</v>
          </cell>
        </row>
        <row r="91">
          <cell r="A91">
            <v>508</v>
          </cell>
          <cell r="B91">
            <v>5057</v>
          </cell>
        </row>
        <row r="92">
          <cell r="A92">
            <v>509</v>
          </cell>
          <cell r="B92">
            <v>5057</v>
          </cell>
        </row>
        <row r="93">
          <cell r="A93">
            <v>510</v>
          </cell>
          <cell r="B93">
            <v>5057</v>
          </cell>
        </row>
        <row r="94">
          <cell r="A94">
            <v>511</v>
          </cell>
          <cell r="B94">
            <v>5057</v>
          </cell>
        </row>
        <row r="95">
          <cell r="A95">
            <v>512</v>
          </cell>
          <cell r="B95">
            <v>5057</v>
          </cell>
        </row>
        <row r="96">
          <cell r="A96">
            <v>513</v>
          </cell>
          <cell r="B96">
            <v>5057</v>
          </cell>
        </row>
        <row r="97">
          <cell r="A97">
            <v>514</v>
          </cell>
          <cell r="B97">
            <v>5057</v>
          </cell>
        </row>
        <row r="98">
          <cell r="A98">
            <v>515</v>
          </cell>
          <cell r="B98">
            <v>5057</v>
          </cell>
        </row>
        <row r="99">
          <cell r="A99">
            <v>516</v>
          </cell>
          <cell r="B99">
            <v>5057</v>
          </cell>
        </row>
        <row r="100">
          <cell r="A100">
            <v>517</v>
          </cell>
          <cell r="B100">
            <v>5057</v>
          </cell>
        </row>
        <row r="101">
          <cell r="A101">
            <v>518</v>
          </cell>
          <cell r="B101">
            <v>5057</v>
          </cell>
        </row>
        <row r="102">
          <cell r="A102">
            <v>519</v>
          </cell>
          <cell r="B102">
            <v>5059</v>
          </cell>
        </row>
        <row r="103">
          <cell r="A103">
            <v>520</v>
          </cell>
          <cell r="B103">
            <v>5057</v>
          </cell>
        </row>
        <row r="104">
          <cell r="A104">
            <v>521</v>
          </cell>
          <cell r="B104">
            <v>5059</v>
          </cell>
        </row>
        <row r="105">
          <cell r="A105">
            <v>601</v>
          </cell>
          <cell r="B105">
            <v>5059</v>
          </cell>
        </row>
        <row r="106">
          <cell r="A106">
            <v>801</v>
          </cell>
          <cell r="B106">
            <v>5059</v>
          </cell>
        </row>
        <row r="107">
          <cell r="A107">
            <v>802</v>
          </cell>
          <cell r="B107">
            <v>5059</v>
          </cell>
        </row>
        <row r="108">
          <cell r="A108">
            <v>803</v>
          </cell>
          <cell r="B108">
            <v>5059</v>
          </cell>
        </row>
        <row r="109">
          <cell r="A109">
            <v>901</v>
          </cell>
          <cell r="B109">
            <v>5059</v>
          </cell>
        </row>
        <row r="110">
          <cell r="A110">
            <v>902</v>
          </cell>
          <cell r="B110">
            <v>5059</v>
          </cell>
        </row>
        <row r="111">
          <cell r="A111">
            <v>903</v>
          </cell>
          <cell r="B111">
            <v>5059</v>
          </cell>
        </row>
        <row r="112">
          <cell r="A112">
            <v>904</v>
          </cell>
          <cell r="B112">
            <v>5059</v>
          </cell>
        </row>
        <row r="113">
          <cell r="A113">
            <v>905</v>
          </cell>
          <cell r="B113">
            <v>5059</v>
          </cell>
        </row>
        <row r="114">
          <cell r="A114">
            <v>906</v>
          </cell>
          <cell r="B114">
            <v>5059</v>
          </cell>
        </row>
        <row r="115">
          <cell r="A115">
            <v>907</v>
          </cell>
          <cell r="B115">
            <v>5059</v>
          </cell>
        </row>
        <row r="116">
          <cell r="A116">
            <v>908</v>
          </cell>
          <cell r="B116">
            <v>5059</v>
          </cell>
        </row>
        <row r="117">
          <cell r="A117">
            <v>909</v>
          </cell>
          <cell r="B117">
            <v>5059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05-2008 "/>
      <sheetName val="Import"/>
      <sheetName val="JE"/>
      <sheetName val="Depreciation 6-2009"/>
      <sheetName val="Depreciation 5-2009"/>
      <sheetName val="Depreciation 4-2009"/>
      <sheetName val="Depreciation 3-2009"/>
      <sheetName val="Depreciation 2-2009"/>
      <sheetName val="Depreciation 1-2009"/>
      <sheetName val="Depreciation 12-2008"/>
      <sheetName val="Depreciation 11-2008"/>
      <sheetName val="Depreciation 10-2008"/>
      <sheetName val="Depreciation 09-2008 "/>
      <sheetName val="Depreciation 08-2008"/>
      <sheetName val="Depreciation 07-2008"/>
      <sheetName val="Depreciation 06-2008"/>
      <sheetName val="Depreciation 04-2008"/>
      <sheetName val="Depreciation 03-2008 "/>
      <sheetName val="Depreciation 02-2008 "/>
      <sheetName val="Depreciation 01-2008  "/>
      <sheetName val="Depreciation 12-2007  "/>
    </sheetNames>
    <sheetDataSet>
      <sheetData sheetId="0" refreshError="1">
        <row r="1">
          <cell r="I1">
            <v>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m 10-13"/>
      <sheetName val="AVM-12-13 ORIG"/>
      <sheetName val="AVM (2)"/>
      <sheetName val="PIVOT"/>
      <sheetName val="PTO ACCRL 12-13"/>
    </sheetNames>
    <sheetDataSet>
      <sheetData sheetId="0">
        <row r="1">
          <cell r="A1" t="str">
            <v>Employee ID</v>
          </cell>
          <cell r="B1" t="str">
            <v>Name</v>
          </cell>
          <cell r="C1" t="str">
            <v>Department</v>
          </cell>
          <cell r="D1" t="str">
            <v>Job</v>
          </cell>
          <cell r="E1" t="str">
            <v>Available</v>
          </cell>
          <cell r="F1" t="str">
            <v>Pending 
 Grants</v>
          </cell>
        </row>
        <row r="2">
          <cell r="A2">
            <v>5129</v>
          </cell>
          <cell r="B2" t="str">
            <v>Adams, Brittany L</v>
          </cell>
          <cell r="C2" t="str">
            <v>004006</v>
          </cell>
          <cell r="D2">
            <v>512</v>
          </cell>
          <cell r="E2" t="str">
            <v>0.0</v>
          </cell>
          <cell r="F2" t="str">
            <v>3.08</v>
          </cell>
        </row>
        <row r="3">
          <cell r="A3">
            <v>5434</v>
          </cell>
          <cell r="B3" t="str">
            <v>Singh, Catherine V</v>
          </cell>
          <cell r="C3" t="str">
            <v>003360</v>
          </cell>
          <cell r="D3">
            <v>308</v>
          </cell>
          <cell r="E3" t="str">
            <v>3.08</v>
          </cell>
          <cell r="F3" t="str">
            <v>3.08</v>
          </cell>
        </row>
        <row r="4">
          <cell r="A4">
            <v>3840</v>
          </cell>
          <cell r="B4" t="str">
            <v>Riss, Pamela A</v>
          </cell>
          <cell r="C4" t="str">
            <v>004261</v>
          </cell>
          <cell r="D4">
            <v>129</v>
          </cell>
          <cell r="E4" t="str">
            <v>9.25</v>
          </cell>
          <cell r="F4" t="str">
            <v>3.08</v>
          </cell>
        </row>
        <row r="5">
          <cell r="A5">
            <v>3903</v>
          </cell>
          <cell r="B5" t="str">
            <v>Santos, Aisha M</v>
          </cell>
          <cell r="C5" t="str">
            <v>003640</v>
          </cell>
          <cell r="D5">
            <v>306</v>
          </cell>
          <cell r="E5" t="str">
            <v>12.33</v>
          </cell>
          <cell r="F5" t="str">
            <v>3.08</v>
          </cell>
        </row>
        <row r="6">
          <cell r="A6">
            <v>5492</v>
          </cell>
          <cell r="B6" t="str">
            <v>Luis, Janet</v>
          </cell>
          <cell r="C6" t="str">
            <v>003360</v>
          </cell>
          <cell r="D6">
            <v>308</v>
          </cell>
          <cell r="E6" t="str">
            <v>15.42</v>
          </cell>
          <cell r="F6" t="str">
            <v>3.08</v>
          </cell>
        </row>
        <row r="7">
          <cell r="A7">
            <v>2717</v>
          </cell>
          <cell r="B7" t="str">
            <v>Bullard, Kimberly Y</v>
          </cell>
          <cell r="C7" t="str">
            <v>003340</v>
          </cell>
          <cell r="D7">
            <v>306</v>
          </cell>
          <cell r="E7" t="str">
            <v>24.33</v>
          </cell>
          <cell r="F7" t="str">
            <v>3.08</v>
          </cell>
        </row>
        <row r="8">
          <cell r="A8">
            <v>3247</v>
          </cell>
          <cell r="B8" t="str">
            <v>Froelich, Wyn M</v>
          </cell>
          <cell r="C8" t="str">
            <v>003340</v>
          </cell>
          <cell r="D8">
            <v>212</v>
          </cell>
          <cell r="E8" t="str">
            <v>24.53</v>
          </cell>
          <cell r="F8" t="str">
            <v>3.08</v>
          </cell>
        </row>
        <row r="9">
          <cell r="A9">
            <v>5598</v>
          </cell>
          <cell r="B9" t="str">
            <v>Pearce, Andrew C</v>
          </cell>
          <cell r="C9" t="str">
            <v>004061</v>
          </cell>
          <cell r="D9">
            <v>525</v>
          </cell>
          <cell r="E9" t="str">
            <v>27.67</v>
          </cell>
          <cell r="F9" t="str">
            <v>3.08</v>
          </cell>
        </row>
        <row r="10">
          <cell r="A10">
            <v>4872</v>
          </cell>
          <cell r="B10" t="str">
            <v>Molina, Anthony J</v>
          </cell>
          <cell r="C10" t="str">
            <v>003360</v>
          </cell>
          <cell r="D10">
            <v>308</v>
          </cell>
          <cell r="E10" t="str">
            <v>36.25</v>
          </cell>
          <cell r="F10" t="str">
            <v>3.08</v>
          </cell>
        </row>
        <row r="11">
          <cell r="A11">
            <v>4753</v>
          </cell>
          <cell r="B11" t="str">
            <v>Dorman-Ellis, Melissa L</v>
          </cell>
          <cell r="C11" t="str">
            <v>003340</v>
          </cell>
          <cell r="D11">
            <v>212</v>
          </cell>
          <cell r="E11" t="str">
            <v>40.5</v>
          </cell>
          <cell r="F11" t="str">
            <v>3.08</v>
          </cell>
        </row>
        <row r="12">
          <cell r="A12">
            <v>2845</v>
          </cell>
          <cell r="B12" t="str">
            <v>Zafra, Aberon S</v>
          </cell>
          <cell r="C12" t="str">
            <v>003340</v>
          </cell>
          <cell r="D12">
            <v>308</v>
          </cell>
          <cell r="E12" t="str">
            <v>46.67</v>
          </cell>
          <cell r="F12" t="str">
            <v>3.08</v>
          </cell>
        </row>
        <row r="13">
          <cell r="A13">
            <v>4928</v>
          </cell>
          <cell r="B13" t="str">
            <v>Amezcua, Sonia R</v>
          </cell>
          <cell r="C13" t="str">
            <v>004017</v>
          </cell>
          <cell r="D13">
            <v>221</v>
          </cell>
          <cell r="E13" t="str">
            <v>49.08</v>
          </cell>
          <cell r="F13" t="str">
            <v>3.08</v>
          </cell>
        </row>
        <row r="14">
          <cell r="A14">
            <v>3214</v>
          </cell>
          <cell r="B14" t="str">
            <v>Reynolds, Jack C</v>
          </cell>
          <cell r="C14" t="str">
            <v>003340</v>
          </cell>
          <cell r="D14">
            <v>306</v>
          </cell>
          <cell r="E14" t="str">
            <v>54.65</v>
          </cell>
          <cell r="F14" t="str">
            <v>3.08</v>
          </cell>
        </row>
        <row r="15">
          <cell r="A15">
            <v>4729</v>
          </cell>
          <cell r="B15" t="str">
            <v>Solinap, Jeffrey H</v>
          </cell>
          <cell r="C15" t="str">
            <v>003340</v>
          </cell>
          <cell r="D15">
            <v>306</v>
          </cell>
          <cell r="E15" t="str">
            <v>61.13</v>
          </cell>
          <cell r="F15" t="str">
            <v>3.08</v>
          </cell>
        </row>
        <row r="16">
          <cell r="A16">
            <v>3892</v>
          </cell>
          <cell r="B16" t="str">
            <v>Tallman, Jamie N</v>
          </cell>
          <cell r="C16" t="str">
            <v>003340</v>
          </cell>
          <cell r="D16">
            <v>212</v>
          </cell>
          <cell r="E16" t="str">
            <v>80.0</v>
          </cell>
          <cell r="F16" t="str">
            <v>3.08</v>
          </cell>
        </row>
        <row r="17">
          <cell r="A17">
            <v>1079</v>
          </cell>
          <cell r="B17" t="str">
            <v>Smith, Sandra S</v>
          </cell>
          <cell r="C17" t="str">
            <v>004043</v>
          </cell>
          <cell r="D17">
            <v>519</v>
          </cell>
          <cell r="E17" t="str">
            <v>17.7</v>
          </cell>
          <cell r="F17" t="str">
            <v>3.85</v>
          </cell>
        </row>
        <row r="18">
          <cell r="A18">
            <v>2408</v>
          </cell>
          <cell r="B18" t="str">
            <v>Quezon, Dawn B</v>
          </cell>
          <cell r="C18" t="str">
            <v>003340</v>
          </cell>
          <cell r="D18">
            <v>306</v>
          </cell>
          <cell r="E18" t="str">
            <v>29.38</v>
          </cell>
          <cell r="F18" t="str">
            <v>3.85</v>
          </cell>
        </row>
        <row r="19">
          <cell r="A19">
            <v>2209</v>
          </cell>
          <cell r="B19" t="str">
            <v>Duffy, Daniel L</v>
          </cell>
          <cell r="C19" t="str">
            <v>003340</v>
          </cell>
          <cell r="D19">
            <v>306</v>
          </cell>
          <cell r="E19" t="str">
            <v>47.7</v>
          </cell>
          <cell r="F19" t="str">
            <v>3.85</v>
          </cell>
        </row>
        <row r="20">
          <cell r="A20">
            <v>1022</v>
          </cell>
          <cell r="B20" t="str">
            <v>Laxson, Mary C</v>
          </cell>
          <cell r="C20" t="str">
            <v>003360</v>
          </cell>
          <cell r="D20">
            <v>212</v>
          </cell>
          <cell r="E20" t="str">
            <v>49.0</v>
          </cell>
          <cell r="F20" t="str">
            <v>3.85</v>
          </cell>
        </row>
        <row r="21">
          <cell r="A21">
            <v>1679</v>
          </cell>
          <cell r="B21" t="str">
            <v>Keyes, Rosalyn G</v>
          </cell>
          <cell r="C21" t="str">
            <v>003951</v>
          </cell>
          <cell r="D21">
            <v>201</v>
          </cell>
          <cell r="E21" t="str">
            <v>52.75</v>
          </cell>
          <cell r="F21" t="str">
            <v>3.85</v>
          </cell>
        </row>
        <row r="22">
          <cell r="A22">
            <v>1268</v>
          </cell>
          <cell r="B22" t="str">
            <v>Kackert, Bette M</v>
          </cell>
          <cell r="C22" t="str">
            <v>004017</v>
          </cell>
          <cell r="D22">
            <v>221</v>
          </cell>
          <cell r="E22" t="str">
            <v>53.9</v>
          </cell>
          <cell r="F22" t="str">
            <v>3.85</v>
          </cell>
        </row>
        <row r="23">
          <cell r="A23">
            <v>1238</v>
          </cell>
          <cell r="B23" t="str">
            <v>Ford, Leslie A</v>
          </cell>
          <cell r="C23" t="str">
            <v>003360</v>
          </cell>
          <cell r="D23">
            <v>306</v>
          </cell>
          <cell r="E23" t="str">
            <v>72.2</v>
          </cell>
          <cell r="F23" t="str">
            <v>3.85</v>
          </cell>
        </row>
        <row r="24">
          <cell r="A24">
            <v>2848</v>
          </cell>
          <cell r="B24" t="str">
            <v>Shire, April M</v>
          </cell>
          <cell r="C24" t="str">
            <v>003340</v>
          </cell>
          <cell r="D24">
            <v>306</v>
          </cell>
          <cell r="E24" t="str">
            <v>0.0</v>
          </cell>
          <cell r="F24" t="str">
            <v>6.17</v>
          </cell>
        </row>
        <row r="25">
          <cell r="A25">
            <v>4755</v>
          </cell>
          <cell r="B25" t="str">
            <v>Seay, Matthew L</v>
          </cell>
          <cell r="C25" t="str">
            <v>003340</v>
          </cell>
          <cell r="D25">
            <v>306</v>
          </cell>
          <cell r="E25" t="str">
            <v>3.58</v>
          </cell>
          <cell r="F25" t="str">
            <v>6.17</v>
          </cell>
        </row>
        <row r="26">
          <cell r="A26">
            <v>4749</v>
          </cell>
          <cell r="B26" t="str">
            <v>Gomez, Christa</v>
          </cell>
          <cell r="C26" t="str">
            <v>003340</v>
          </cell>
          <cell r="D26">
            <v>306</v>
          </cell>
          <cell r="E26" t="str">
            <v>10.15</v>
          </cell>
          <cell r="F26" t="str">
            <v>6.17</v>
          </cell>
        </row>
        <row r="27">
          <cell r="A27">
            <v>5653</v>
          </cell>
          <cell r="B27" t="str">
            <v>Crump, Jamal L</v>
          </cell>
          <cell r="C27" t="str">
            <v>003360</v>
          </cell>
          <cell r="D27">
            <v>308</v>
          </cell>
          <cell r="E27" t="str">
            <v>11.25</v>
          </cell>
          <cell r="F27" t="str">
            <v>6.17</v>
          </cell>
        </row>
        <row r="28">
          <cell r="A28">
            <v>5491</v>
          </cell>
          <cell r="B28" t="str">
            <v>Perez, Nicole M</v>
          </cell>
          <cell r="C28" t="str">
            <v>004043</v>
          </cell>
          <cell r="D28">
            <v>208</v>
          </cell>
          <cell r="E28" t="str">
            <v>12.28</v>
          </cell>
          <cell r="F28" t="str">
            <v>6.17</v>
          </cell>
        </row>
        <row r="29">
          <cell r="A29">
            <v>5539</v>
          </cell>
          <cell r="B29" t="str">
            <v>Gielow, Katrina A</v>
          </cell>
          <cell r="C29" t="str">
            <v>003360</v>
          </cell>
          <cell r="D29">
            <v>212</v>
          </cell>
          <cell r="E29" t="str">
            <v>14.83</v>
          </cell>
          <cell r="F29" t="str">
            <v>6.17</v>
          </cell>
        </row>
        <row r="30">
          <cell r="A30">
            <v>5538</v>
          </cell>
          <cell r="B30" t="str">
            <v>Manns, Ariel M</v>
          </cell>
          <cell r="C30" t="str">
            <v>003360</v>
          </cell>
          <cell r="D30">
            <v>306</v>
          </cell>
          <cell r="E30" t="str">
            <v>16.67</v>
          </cell>
          <cell r="F30" t="str">
            <v>6.17</v>
          </cell>
        </row>
        <row r="31">
          <cell r="A31">
            <v>4863</v>
          </cell>
          <cell r="B31" t="str">
            <v>Mendoza, Arleen M</v>
          </cell>
          <cell r="C31" t="str">
            <v>004061</v>
          </cell>
          <cell r="D31">
            <v>506</v>
          </cell>
          <cell r="E31" t="str">
            <v>17.92</v>
          </cell>
          <cell r="F31" t="str">
            <v>6.17</v>
          </cell>
        </row>
        <row r="32">
          <cell r="A32">
            <v>5429</v>
          </cell>
          <cell r="B32" t="str">
            <v>Robertson, Tamara L</v>
          </cell>
          <cell r="C32" t="str">
            <v>003901</v>
          </cell>
          <cell r="D32">
            <v>216</v>
          </cell>
          <cell r="E32" t="str">
            <v>18.5</v>
          </cell>
          <cell r="F32" t="str">
            <v>6.17</v>
          </cell>
        </row>
        <row r="33">
          <cell r="A33">
            <v>5651</v>
          </cell>
          <cell r="B33" t="str">
            <v>Carter, Ryan E</v>
          </cell>
          <cell r="C33" t="str">
            <v>003360</v>
          </cell>
          <cell r="D33">
            <v>308</v>
          </cell>
          <cell r="E33" t="str">
            <v>18.5</v>
          </cell>
          <cell r="F33" t="str">
            <v>6.17</v>
          </cell>
        </row>
        <row r="34">
          <cell r="A34">
            <v>5778</v>
          </cell>
          <cell r="B34" t="str">
            <v>Martinez, Juan T</v>
          </cell>
          <cell r="C34" t="str">
            <v>003340</v>
          </cell>
          <cell r="D34">
            <v>308</v>
          </cell>
          <cell r="E34" t="str">
            <v>18.5</v>
          </cell>
          <cell r="F34" t="str">
            <v>6.17</v>
          </cell>
        </row>
        <row r="35">
          <cell r="A35">
            <v>5470</v>
          </cell>
          <cell r="B35" t="str">
            <v>Rodriguez, Yolanda J</v>
          </cell>
          <cell r="C35" t="str">
            <v>003360</v>
          </cell>
          <cell r="D35">
            <v>212</v>
          </cell>
          <cell r="E35" t="str">
            <v>18.63</v>
          </cell>
          <cell r="F35" t="str">
            <v>6.17</v>
          </cell>
        </row>
        <row r="36">
          <cell r="A36">
            <v>2945</v>
          </cell>
          <cell r="B36" t="str">
            <v>Perez, Nicole O</v>
          </cell>
          <cell r="C36" t="str">
            <v>004043</v>
          </cell>
          <cell r="D36">
            <v>208</v>
          </cell>
          <cell r="E36" t="str">
            <v>20.0</v>
          </cell>
          <cell r="F36" t="str">
            <v>6.17</v>
          </cell>
        </row>
        <row r="37">
          <cell r="A37">
            <v>5852</v>
          </cell>
          <cell r="B37" t="str">
            <v>Oros, Veronica E</v>
          </cell>
          <cell r="C37" t="str">
            <v>003901</v>
          </cell>
          <cell r="D37">
            <v>216</v>
          </cell>
          <cell r="E37" t="str">
            <v>20.67</v>
          </cell>
          <cell r="F37" t="str">
            <v>6.17</v>
          </cell>
        </row>
        <row r="38">
          <cell r="A38">
            <v>4332</v>
          </cell>
          <cell r="B38" t="str">
            <v>Morales, Krystal L</v>
          </cell>
          <cell r="C38" t="str">
            <v>003340</v>
          </cell>
          <cell r="D38">
            <v>308</v>
          </cell>
          <cell r="E38" t="str">
            <v>20.75</v>
          </cell>
          <cell r="F38" t="str">
            <v>6.17</v>
          </cell>
        </row>
        <row r="39">
          <cell r="A39">
            <v>5417</v>
          </cell>
          <cell r="B39" t="str">
            <v>Astronomo, Maria Shenica R</v>
          </cell>
          <cell r="C39" t="str">
            <v>003360</v>
          </cell>
          <cell r="D39">
            <v>212</v>
          </cell>
          <cell r="E39" t="str">
            <v>22.17</v>
          </cell>
          <cell r="F39" t="str">
            <v>6.17</v>
          </cell>
        </row>
        <row r="40">
          <cell r="A40">
            <v>4858</v>
          </cell>
          <cell r="B40" t="str">
            <v>Collazo, Michelle Y</v>
          </cell>
          <cell r="C40" t="str">
            <v>004261</v>
          </cell>
          <cell r="D40">
            <v>212</v>
          </cell>
          <cell r="E40" t="str">
            <v>22.48</v>
          </cell>
          <cell r="F40" t="str">
            <v>6.17</v>
          </cell>
        </row>
        <row r="41">
          <cell r="A41">
            <v>5541</v>
          </cell>
          <cell r="B41" t="str">
            <v>Parker, Megumi S</v>
          </cell>
          <cell r="C41" t="str">
            <v>003360</v>
          </cell>
          <cell r="D41">
            <v>212</v>
          </cell>
          <cell r="E41" t="str">
            <v>27.17</v>
          </cell>
          <cell r="F41" t="str">
            <v>6.17</v>
          </cell>
        </row>
        <row r="42">
          <cell r="A42">
            <v>5654</v>
          </cell>
          <cell r="B42" t="str">
            <v>Morse, Gavin G</v>
          </cell>
          <cell r="C42" t="str">
            <v>003360</v>
          </cell>
          <cell r="D42">
            <v>308</v>
          </cell>
          <cell r="E42" t="str">
            <v>30.83</v>
          </cell>
          <cell r="F42" t="str">
            <v>6.17</v>
          </cell>
        </row>
        <row r="43">
          <cell r="A43">
            <v>4486</v>
          </cell>
          <cell r="B43" t="str">
            <v>Poliquin, Victoria L</v>
          </cell>
          <cell r="C43" t="str">
            <v>004041</v>
          </cell>
          <cell r="D43">
            <v>118</v>
          </cell>
          <cell r="E43" t="str">
            <v>32.28</v>
          </cell>
          <cell r="F43" t="str">
            <v>6.17</v>
          </cell>
        </row>
        <row r="44">
          <cell r="A44">
            <v>5372</v>
          </cell>
          <cell r="B44" t="str">
            <v>Lopez, Lisa D</v>
          </cell>
          <cell r="C44" t="str">
            <v>003901</v>
          </cell>
          <cell r="D44">
            <v>216</v>
          </cell>
          <cell r="E44" t="str">
            <v>32.42</v>
          </cell>
          <cell r="F44" t="str">
            <v>6.17</v>
          </cell>
        </row>
        <row r="45">
          <cell r="A45">
            <v>5060</v>
          </cell>
          <cell r="B45" t="str">
            <v>Juarez, Monica</v>
          </cell>
          <cell r="C45" t="str">
            <v>004006</v>
          </cell>
          <cell r="D45">
            <v>512</v>
          </cell>
          <cell r="E45" t="str">
            <v>35.5</v>
          </cell>
          <cell r="F45" t="str">
            <v>6.17</v>
          </cell>
        </row>
        <row r="46">
          <cell r="A46">
            <v>5185</v>
          </cell>
          <cell r="B46" t="str">
            <v>Nava, Sarah M</v>
          </cell>
          <cell r="C46" t="str">
            <v>004043</v>
          </cell>
          <cell r="D46">
            <v>514</v>
          </cell>
          <cell r="E46" t="str">
            <v>37.0</v>
          </cell>
          <cell r="F46" t="str">
            <v>6.17</v>
          </cell>
        </row>
        <row r="47">
          <cell r="A47">
            <v>5323</v>
          </cell>
          <cell r="B47" t="str">
            <v>Cardenas, Yuri L</v>
          </cell>
          <cell r="C47" t="str">
            <v>004005</v>
          </cell>
          <cell r="D47">
            <v>515</v>
          </cell>
          <cell r="E47" t="str">
            <v>37.25</v>
          </cell>
          <cell r="F47" t="str">
            <v>6.17</v>
          </cell>
        </row>
        <row r="48">
          <cell r="A48">
            <v>4734</v>
          </cell>
          <cell r="B48" t="str">
            <v>Daniels, Allison J</v>
          </cell>
          <cell r="C48" t="str">
            <v>003340</v>
          </cell>
          <cell r="D48">
            <v>306</v>
          </cell>
          <cell r="E48" t="str">
            <v>37.73</v>
          </cell>
          <cell r="F48" t="str">
            <v>6.17</v>
          </cell>
        </row>
        <row r="49">
          <cell r="A49">
            <v>3222</v>
          </cell>
          <cell r="B49" t="str">
            <v>Twaddell, Brian A</v>
          </cell>
          <cell r="C49" t="str">
            <v>003340</v>
          </cell>
          <cell r="D49">
            <v>306</v>
          </cell>
          <cell r="E49" t="str">
            <v>38.82</v>
          </cell>
          <cell r="F49" t="str">
            <v>6.17</v>
          </cell>
        </row>
        <row r="50">
          <cell r="A50">
            <v>5322</v>
          </cell>
          <cell r="B50" t="str">
            <v>Chavez, Griselda</v>
          </cell>
          <cell r="C50" t="str">
            <v>004013</v>
          </cell>
          <cell r="D50">
            <v>907</v>
          </cell>
          <cell r="E50" t="str">
            <v>40.75</v>
          </cell>
          <cell r="F50" t="str">
            <v>6.17</v>
          </cell>
        </row>
        <row r="51">
          <cell r="A51">
            <v>3101</v>
          </cell>
          <cell r="B51" t="str">
            <v>Argaez, Sonia C</v>
          </cell>
          <cell r="C51" t="str">
            <v>003340</v>
          </cell>
          <cell r="D51">
            <v>306</v>
          </cell>
          <cell r="E51" t="str">
            <v>44.0</v>
          </cell>
          <cell r="F51" t="str">
            <v>6.17</v>
          </cell>
        </row>
        <row r="52">
          <cell r="A52">
            <v>5235</v>
          </cell>
          <cell r="B52" t="str">
            <v>Morales, Lauren M</v>
          </cell>
          <cell r="C52" t="str">
            <v>004061</v>
          </cell>
          <cell r="D52">
            <v>506</v>
          </cell>
          <cell r="E52" t="str">
            <v>44.5</v>
          </cell>
          <cell r="F52" t="str">
            <v>6.17</v>
          </cell>
        </row>
        <row r="53">
          <cell r="A53">
            <v>4356</v>
          </cell>
          <cell r="B53" t="str">
            <v>Valencia, Juan P</v>
          </cell>
          <cell r="C53" t="str">
            <v>003360</v>
          </cell>
          <cell r="D53">
            <v>308</v>
          </cell>
          <cell r="E53" t="str">
            <v>46.08</v>
          </cell>
          <cell r="F53" t="str">
            <v>6.17</v>
          </cell>
        </row>
        <row r="54">
          <cell r="A54">
            <v>5401</v>
          </cell>
          <cell r="B54" t="str">
            <v>DeSantiago, Mariela</v>
          </cell>
          <cell r="C54" t="str">
            <v>003360</v>
          </cell>
          <cell r="D54">
            <v>306</v>
          </cell>
          <cell r="E54" t="str">
            <v>51.33</v>
          </cell>
          <cell r="F54" t="str">
            <v>6.17</v>
          </cell>
        </row>
        <row r="55">
          <cell r="A55">
            <v>5184</v>
          </cell>
          <cell r="B55" t="str">
            <v>Moreles, Celeste J</v>
          </cell>
          <cell r="C55" t="str">
            <v>003360</v>
          </cell>
          <cell r="D55">
            <v>308</v>
          </cell>
          <cell r="E55" t="str">
            <v>52.08</v>
          </cell>
          <cell r="F55" t="str">
            <v>6.17</v>
          </cell>
        </row>
        <row r="56">
          <cell r="A56">
            <v>5400</v>
          </cell>
          <cell r="B56" t="str">
            <v>Billic, Shannon M</v>
          </cell>
          <cell r="C56" t="str">
            <v>003340</v>
          </cell>
          <cell r="D56">
            <v>306</v>
          </cell>
          <cell r="E56" t="str">
            <v>55.08</v>
          </cell>
          <cell r="F56" t="str">
            <v>6.17</v>
          </cell>
        </row>
        <row r="57">
          <cell r="A57">
            <v>5309</v>
          </cell>
          <cell r="B57" t="str">
            <v>Hewlett, Kristen M</v>
          </cell>
          <cell r="C57" t="str">
            <v>003901</v>
          </cell>
          <cell r="D57">
            <v>216</v>
          </cell>
          <cell r="E57" t="str">
            <v>59.17</v>
          </cell>
          <cell r="F57" t="str">
            <v>6.17</v>
          </cell>
        </row>
        <row r="58">
          <cell r="A58">
            <v>5234</v>
          </cell>
          <cell r="B58" t="str">
            <v>Green, Danielle F</v>
          </cell>
          <cell r="C58" t="str">
            <v>004261</v>
          </cell>
          <cell r="D58">
            <v>218</v>
          </cell>
          <cell r="E58" t="str">
            <v>59.58</v>
          </cell>
          <cell r="F58" t="str">
            <v>6.17</v>
          </cell>
        </row>
        <row r="59">
          <cell r="A59">
            <v>4397</v>
          </cell>
          <cell r="B59" t="str">
            <v>Aldana, Rodolfo</v>
          </cell>
          <cell r="C59" t="str">
            <v>004015</v>
          </cell>
          <cell r="D59">
            <v>802</v>
          </cell>
          <cell r="E59" t="str">
            <v>60.92</v>
          </cell>
          <cell r="F59" t="str">
            <v>6.17</v>
          </cell>
        </row>
        <row r="60">
          <cell r="A60">
            <v>5183</v>
          </cell>
          <cell r="B60" t="str">
            <v>Paramo, Gabriel C</v>
          </cell>
          <cell r="C60" t="str">
            <v>003360</v>
          </cell>
          <cell r="D60">
            <v>308</v>
          </cell>
          <cell r="E60" t="str">
            <v>62.67</v>
          </cell>
          <cell r="F60" t="str">
            <v>6.17</v>
          </cell>
        </row>
        <row r="61">
          <cell r="A61">
            <v>3312</v>
          </cell>
          <cell r="B61" t="str">
            <v>Cypert, Ingrid M</v>
          </cell>
          <cell r="C61" t="str">
            <v>003340</v>
          </cell>
          <cell r="D61">
            <v>212</v>
          </cell>
          <cell r="E61" t="str">
            <v>63.58</v>
          </cell>
          <cell r="F61" t="str">
            <v>6.17</v>
          </cell>
        </row>
        <row r="62">
          <cell r="A62">
            <v>4187</v>
          </cell>
          <cell r="B62" t="str">
            <v>Harrington, Ryanne R</v>
          </cell>
          <cell r="C62" t="str">
            <v>004005</v>
          </cell>
          <cell r="D62">
            <v>515</v>
          </cell>
          <cell r="E62" t="str">
            <v>64.17</v>
          </cell>
          <cell r="F62" t="str">
            <v>6.17</v>
          </cell>
        </row>
        <row r="63">
          <cell r="A63">
            <v>5306</v>
          </cell>
          <cell r="B63" t="str">
            <v>Irwin, Gail M</v>
          </cell>
          <cell r="C63" t="str">
            <v>003901</v>
          </cell>
          <cell r="D63">
            <v>216</v>
          </cell>
          <cell r="E63" t="str">
            <v>64.33</v>
          </cell>
          <cell r="F63" t="str">
            <v>6.17</v>
          </cell>
        </row>
        <row r="64">
          <cell r="A64">
            <v>3036</v>
          </cell>
          <cell r="B64" t="str">
            <v>Omana, Marc J</v>
          </cell>
          <cell r="C64" t="str">
            <v>003340</v>
          </cell>
          <cell r="D64">
            <v>306</v>
          </cell>
          <cell r="E64" t="str">
            <v>70.17</v>
          </cell>
          <cell r="F64" t="str">
            <v>6.17</v>
          </cell>
        </row>
        <row r="65">
          <cell r="A65">
            <v>3510</v>
          </cell>
          <cell r="B65" t="str">
            <v>Sandefur, Cade C</v>
          </cell>
          <cell r="C65" t="str">
            <v>003340</v>
          </cell>
          <cell r="D65">
            <v>306</v>
          </cell>
          <cell r="E65" t="str">
            <v>71.17</v>
          </cell>
          <cell r="F65" t="str">
            <v>6.17</v>
          </cell>
        </row>
        <row r="66">
          <cell r="A66">
            <v>5238</v>
          </cell>
          <cell r="B66" t="str">
            <v>Love, Jeanette L</v>
          </cell>
          <cell r="C66" t="str">
            <v>003901</v>
          </cell>
          <cell r="D66">
            <v>216</v>
          </cell>
          <cell r="E66" t="str">
            <v>73.0</v>
          </cell>
          <cell r="F66" t="str">
            <v>6.17</v>
          </cell>
        </row>
        <row r="67">
          <cell r="A67">
            <v>4146</v>
          </cell>
          <cell r="B67" t="str">
            <v>Bauer, Jesse R</v>
          </cell>
          <cell r="C67" t="str">
            <v>003360</v>
          </cell>
          <cell r="D67">
            <v>308</v>
          </cell>
          <cell r="E67" t="str">
            <v>80.0</v>
          </cell>
          <cell r="F67" t="str">
            <v>6.17</v>
          </cell>
        </row>
        <row r="68">
          <cell r="A68">
            <v>3099</v>
          </cell>
          <cell r="B68" t="str">
            <v>Lopez, Frank S</v>
          </cell>
          <cell r="C68" t="str">
            <v>003340</v>
          </cell>
          <cell r="D68">
            <v>308</v>
          </cell>
          <cell r="E68" t="str">
            <v>87.67</v>
          </cell>
          <cell r="F68" t="str">
            <v>6.17</v>
          </cell>
        </row>
        <row r="69">
          <cell r="A69">
            <v>4305</v>
          </cell>
          <cell r="B69" t="str">
            <v>Allbright, Sarah R</v>
          </cell>
          <cell r="C69" t="str">
            <v>003901</v>
          </cell>
          <cell r="D69">
            <v>218</v>
          </cell>
          <cell r="E69" t="str">
            <v>90.75</v>
          </cell>
          <cell r="F69" t="str">
            <v>6.17</v>
          </cell>
        </row>
        <row r="70">
          <cell r="A70">
            <v>4436</v>
          </cell>
          <cell r="B70" t="str">
            <v>Lepper, Jesaca M</v>
          </cell>
          <cell r="C70" t="str">
            <v>003901</v>
          </cell>
          <cell r="D70">
            <v>216</v>
          </cell>
          <cell r="E70" t="str">
            <v>92.08</v>
          </cell>
          <cell r="F70" t="str">
            <v>6.17</v>
          </cell>
        </row>
        <row r="71">
          <cell r="A71">
            <v>5190</v>
          </cell>
          <cell r="B71" t="str">
            <v>Bernardino, Rafael</v>
          </cell>
          <cell r="C71" t="str">
            <v>003360</v>
          </cell>
          <cell r="D71">
            <v>308</v>
          </cell>
          <cell r="E71" t="str">
            <v>92.75</v>
          </cell>
          <cell r="F71" t="str">
            <v>6.17</v>
          </cell>
        </row>
        <row r="72">
          <cell r="A72">
            <v>3691</v>
          </cell>
          <cell r="B72" t="str">
            <v>Reyes, Shelly M</v>
          </cell>
          <cell r="C72" t="str">
            <v>003640</v>
          </cell>
          <cell r="D72">
            <v>306</v>
          </cell>
          <cell r="E72" t="str">
            <v>96.17</v>
          </cell>
          <cell r="F72" t="str">
            <v>6.17</v>
          </cell>
        </row>
        <row r="73">
          <cell r="A73">
            <v>4093</v>
          </cell>
          <cell r="B73" t="str">
            <v>Garcia, Arnold A</v>
          </cell>
          <cell r="C73" t="str">
            <v>003360</v>
          </cell>
          <cell r="D73">
            <v>308</v>
          </cell>
          <cell r="E73" t="str">
            <v>103.45</v>
          </cell>
          <cell r="F73" t="str">
            <v>6.17</v>
          </cell>
        </row>
        <row r="74">
          <cell r="A74">
            <v>3146</v>
          </cell>
          <cell r="B74" t="str">
            <v>Castillo, Josefa</v>
          </cell>
          <cell r="C74" t="str">
            <v>004011</v>
          </cell>
          <cell r="D74">
            <v>906</v>
          </cell>
          <cell r="E74" t="str">
            <v>110.83</v>
          </cell>
          <cell r="F74" t="str">
            <v>6.17</v>
          </cell>
        </row>
        <row r="75">
          <cell r="A75">
            <v>4336</v>
          </cell>
          <cell r="B75" t="str">
            <v>Ramos, Elishaun O</v>
          </cell>
          <cell r="C75" t="str">
            <v>003360</v>
          </cell>
          <cell r="D75">
            <v>306</v>
          </cell>
          <cell r="E75" t="str">
            <v>127.67</v>
          </cell>
          <cell r="F75" t="str">
            <v>6.17</v>
          </cell>
        </row>
        <row r="76">
          <cell r="A76">
            <v>3225</v>
          </cell>
          <cell r="B76" t="str">
            <v>Smith, Eva E</v>
          </cell>
          <cell r="C76" t="str">
            <v>003640</v>
          </cell>
          <cell r="D76">
            <v>308</v>
          </cell>
          <cell r="E76" t="str">
            <v>136.08</v>
          </cell>
          <cell r="F76" t="str">
            <v>6.17</v>
          </cell>
        </row>
        <row r="77">
          <cell r="A77">
            <v>4429</v>
          </cell>
          <cell r="B77" t="str">
            <v>Sanchez, Shiela M</v>
          </cell>
          <cell r="C77" t="str">
            <v>003340</v>
          </cell>
          <cell r="D77">
            <v>306</v>
          </cell>
          <cell r="E77" t="str">
            <v>137.5</v>
          </cell>
          <cell r="F77" t="str">
            <v>6.17</v>
          </cell>
        </row>
        <row r="78">
          <cell r="A78">
            <v>3239</v>
          </cell>
          <cell r="B78" t="str">
            <v>Hernandez, Evelyn P</v>
          </cell>
          <cell r="C78" t="str">
            <v>004011</v>
          </cell>
          <cell r="D78">
            <v>906</v>
          </cell>
          <cell r="E78" t="str">
            <v>151.45</v>
          </cell>
          <cell r="F78" t="str">
            <v>6.17</v>
          </cell>
        </row>
        <row r="79">
          <cell r="A79">
            <v>6225</v>
          </cell>
          <cell r="B79" t="str">
            <v>Vargas, Manuel</v>
          </cell>
          <cell r="C79" t="str">
            <v>004011</v>
          </cell>
          <cell r="D79">
            <v>906</v>
          </cell>
          <cell r="E79">
            <v>12.33</v>
          </cell>
          <cell r="F79" t="str">
            <v>6.17</v>
          </cell>
        </row>
        <row r="80">
          <cell r="A80">
            <v>1634</v>
          </cell>
          <cell r="B80" t="str">
            <v>Felix, Frederwins D</v>
          </cell>
          <cell r="C80" t="str">
            <v>003340</v>
          </cell>
          <cell r="D80">
            <v>212</v>
          </cell>
          <cell r="E80" t="str">
            <v>0.0</v>
          </cell>
          <cell r="F80" t="str">
            <v>7.7</v>
          </cell>
        </row>
        <row r="81">
          <cell r="A81">
            <v>1793</v>
          </cell>
          <cell r="B81" t="str">
            <v>Marie, Lisa A</v>
          </cell>
          <cell r="C81" t="str">
            <v>003901</v>
          </cell>
          <cell r="D81">
            <v>216</v>
          </cell>
          <cell r="E81" t="str">
            <v>26.2</v>
          </cell>
          <cell r="F81" t="str">
            <v>7.7</v>
          </cell>
        </row>
        <row r="82">
          <cell r="A82">
            <v>2318</v>
          </cell>
          <cell r="B82" t="str">
            <v>Cardone, Wendy J</v>
          </cell>
          <cell r="C82" t="str">
            <v>003901</v>
          </cell>
          <cell r="D82">
            <v>216</v>
          </cell>
          <cell r="E82" t="str">
            <v>28.15</v>
          </cell>
          <cell r="F82" t="str">
            <v>7.7</v>
          </cell>
        </row>
        <row r="83">
          <cell r="A83">
            <v>2461</v>
          </cell>
          <cell r="B83" t="str">
            <v>Ahmedov, Felix</v>
          </cell>
          <cell r="C83" t="str">
            <v>003340</v>
          </cell>
          <cell r="D83">
            <v>212</v>
          </cell>
          <cell r="E83" t="str">
            <v>33.2</v>
          </cell>
          <cell r="F83" t="str">
            <v>7.7</v>
          </cell>
        </row>
        <row r="84">
          <cell r="A84">
            <v>2224</v>
          </cell>
          <cell r="B84" t="str">
            <v>Branson, David A</v>
          </cell>
          <cell r="C84" t="str">
            <v>003640</v>
          </cell>
          <cell r="D84">
            <v>308</v>
          </cell>
          <cell r="E84" t="str">
            <v>37.58</v>
          </cell>
          <cell r="F84" t="str">
            <v>7.7</v>
          </cell>
        </row>
        <row r="85">
          <cell r="A85">
            <v>1055</v>
          </cell>
          <cell r="B85" t="str">
            <v>Bolduc, Marnie D</v>
          </cell>
          <cell r="C85" t="str">
            <v>003340</v>
          </cell>
          <cell r="D85">
            <v>308</v>
          </cell>
          <cell r="E85" t="str">
            <v>41.45</v>
          </cell>
          <cell r="F85" t="str">
            <v>7.7</v>
          </cell>
        </row>
        <row r="86">
          <cell r="A86">
            <v>1640</v>
          </cell>
          <cell r="B86" t="str">
            <v>Swart, Sherry C</v>
          </cell>
          <cell r="C86" t="str">
            <v>003640</v>
          </cell>
          <cell r="D86">
            <v>212</v>
          </cell>
          <cell r="E86" t="str">
            <v>42.25</v>
          </cell>
          <cell r="F86" t="str">
            <v>7.7</v>
          </cell>
        </row>
        <row r="87">
          <cell r="A87">
            <v>1696</v>
          </cell>
          <cell r="B87" t="str">
            <v>Fuller, Deana</v>
          </cell>
          <cell r="C87" t="str">
            <v>003340</v>
          </cell>
          <cell r="D87">
            <v>308</v>
          </cell>
          <cell r="E87" t="str">
            <v>43.05</v>
          </cell>
          <cell r="F87" t="str">
            <v>7.7</v>
          </cell>
        </row>
        <row r="88">
          <cell r="A88">
            <v>1041</v>
          </cell>
          <cell r="B88" t="str">
            <v>Lambert, Lorraine J</v>
          </cell>
          <cell r="C88" t="str">
            <v>003340</v>
          </cell>
          <cell r="D88">
            <v>212</v>
          </cell>
          <cell r="E88" t="str">
            <v>47.75</v>
          </cell>
          <cell r="F88" t="str">
            <v>7.7</v>
          </cell>
        </row>
        <row r="89">
          <cell r="A89">
            <v>2310</v>
          </cell>
          <cell r="B89" t="str">
            <v>English, Deborah</v>
          </cell>
          <cell r="C89" t="str">
            <v>004043</v>
          </cell>
          <cell r="D89">
            <v>104</v>
          </cell>
          <cell r="E89" t="str">
            <v>49.18</v>
          </cell>
          <cell r="F89" t="str">
            <v>7.7</v>
          </cell>
        </row>
        <row r="90">
          <cell r="A90">
            <v>1451</v>
          </cell>
          <cell r="B90" t="str">
            <v>Rawlins, Sean A</v>
          </cell>
          <cell r="C90" t="str">
            <v>003640</v>
          </cell>
          <cell r="D90">
            <v>212</v>
          </cell>
          <cell r="E90" t="str">
            <v>49.67</v>
          </cell>
          <cell r="F90" t="str">
            <v>7.7</v>
          </cell>
        </row>
        <row r="91">
          <cell r="A91">
            <v>1300</v>
          </cell>
          <cell r="B91" t="str">
            <v>Foster, Jon A</v>
          </cell>
          <cell r="C91" t="str">
            <v>003340</v>
          </cell>
          <cell r="D91">
            <v>308</v>
          </cell>
          <cell r="E91" t="str">
            <v>52.2</v>
          </cell>
          <cell r="F91" t="str">
            <v>7.7</v>
          </cell>
        </row>
        <row r="92">
          <cell r="A92">
            <v>1034</v>
          </cell>
          <cell r="B92" t="str">
            <v>Estrada, Victor M</v>
          </cell>
          <cell r="C92" t="str">
            <v>004013</v>
          </cell>
          <cell r="D92">
            <v>907</v>
          </cell>
          <cell r="E92" t="str">
            <v>66.9</v>
          </cell>
          <cell r="F92" t="str">
            <v>7.7</v>
          </cell>
        </row>
        <row r="93">
          <cell r="A93">
            <v>1019</v>
          </cell>
          <cell r="B93" t="str">
            <v>McCormack, Taylor N</v>
          </cell>
          <cell r="C93" t="str">
            <v>003340</v>
          </cell>
          <cell r="D93">
            <v>306</v>
          </cell>
          <cell r="E93" t="str">
            <v>70.95</v>
          </cell>
          <cell r="F93" t="str">
            <v>7.7</v>
          </cell>
        </row>
        <row r="94">
          <cell r="A94">
            <v>1036</v>
          </cell>
          <cell r="B94" t="str">
            <v>Bolisay, Teresita P</v>
          </cell>
          <cell r="C94" t="str">
            <v>003340</v>
          </cell>
          <cell r="D94">
            <v>212</v>
          </cell>
          <cell r="E94" t="str">
            <v>74.7</v>
          </cell>
          <cell r="F94" t="str">
            <v>7.7</v>
          </cell>
        </row>
        <row r="95">
          <cell r="A95">
            <v>2333</v>
          </cell>
          <cell r="B95" t="str">
            <v>Gonzales, Jose R</v>
          </cell>
          <cell r="C95" t="str">
            <v>003340</v>
          </cell>
          <cell r="D95">
            <v>306</v>
          </cell>
          <cell r="E95" t="str">
            <v>78.57</v>
          </cell>
          <cell r="F95" t="str">
            <v>7.7</v>
          </cell>
        </row>
        <row r="96">
          <cell r="A96">
            <v>1067</v>
          </cell>
          <cell r="B96" t="str">
            <v>Becerra, Michelle R</v>
          </cell>
          <cell r="C96" t="str">
            <v>004043</v>
          </cell>
          <cell r="D96">
            <v>514</v>
          </cell>
          <cell r="E96" t="str">
            <v>82.6</v>
          </cell>
          <cell r="F96" t="str">
            <v>7.7</v>
          </cell>
        </row>
        <row r="97">
          <cell r="A97">
            <v>2624</v>
          </cell>
          <cell r="B97" t="str">
            <v>Newman, Kristine K</v>
          </cell>
          <cell r="C97" t="str">
            <v>004043</v>
          </cell>
          <cell r="D97">
            <v>208</v>
          </cell>
          <cell r="E97" t="str">
            <v>83.45</v>
          </cell>
          <cell r="F97" t="str">
            <v>7.7</v>
          </cell>
        </row>
        <row r="98">
          <cell r="A98">
            <v>2130</v>
          </cell>
          <cell r="B98" t="str">
            <v>Hernandez, Jon M</v>
          </cell>
          <cell r="C98" t="str">
            <v>004015</v>
          </cell>
          <cell r="D98">
            <v>802</v>
          </cell>
          <cell r="E98" t="str">
            <v>86.42</v>
          </cell>
          <cell r="F98" t="str">
            <v>7.7</v>
          </cell>
        </row>
        <row r="99">
          <cell r="A99">
            <v>2628</v>
          </cell>
          <cell r="B99" t="str">
            <v>Avila, Peter J</v>
          </cell>
          <cell r="C99" t="str">
            <v>003340</v>
          </cell>
          <cell r="D99">
            <v>308</v>
          </cell>
          <cell r="E99" t="str">
            <v>90.75</v>
          </cell>
          <cell r="F99" t="str">
            <v>7.7</v>
          </cell>
        </row>
        <row r="100">
          <cell r="A100">
            <v>1003</v>
          </cell>
          <cell r="B100" t="str">
            <v>Turnbull, Vicki S</v>
          </cell>
          <cell r="C100" t="str">
            <v>003360</v>
          </cell>
          <cell r="D100">
            <v>212</v>
          </cell>
          <cell r="E100" t="str">
            <v>95.05</v>
          </cell>
          <cell r="F100" t="str">
            <v>7.7</v>
          </cell>
        </row>
        <row r="101">
          <cell r="A101">
            <v>1074</v>
          </cell>
          <cell r="B101" t="str">
            <v>Vaca, Maria C</v>
          </cell>
          <cell r="C101" t="str">
            <v>004013</v>
          </cell>
          <cell r="D101">
            <v>907</v>
          </cell>
          <cell r="E101" t="str">
            <v>95.5</v>
          </cell>
          <cell r="F101" t="str">
            <v>7.7</v>
          </cell>
        </row>
        <row r="102">
          <cell r="A102">
            <v>2276</v>
          </cell>
          <cell r="B102" t="str">
            <v>Tervalon, Tracie</v>
          </cell>
          <cell r="C102" t="str">
            <v>003340</v>
          </cell>
          <cell r="D102">
            <v>212</v>
          </cell>
          <cell r="E102" t="str">
            <v>96.03</v>
          </cell>
          <cell r="F102" t="str">
            <v>7.7</v>
          </cell>
        </row>
        <row r="103">
          <cell r="A103">
            <v>1047</v>
          </cell>
          <cell r="B103" t="str">
            <v>Levitoff, Joseph D</v>
          </cell>
          <cell r="C103" t="str">
            <v>003640</v>
          </cell>
          <cell r="D103">
            <v>308</v>
          </cell>
          <cell r="E103" t="str">
            <v>102.05</v>
          </cell>
          <cell r="F103" t="str">
            <v>7.7</v>
          </cell>
        </row>
        <row r="104">
          <cell r="A104">
            <v>2382</v>
          </cell>
          <cell r="B104" t="str">
            <v>Dominguez, Ricardo C</v>
          </cell>
          <cell r="C104" t="str">
            <v>003340</v>
          </cell>
          <cell r="D104">
            <v>308</v>
          </cell>
          <cell r="E104" t="str">
            <v>103.47</v>
          </cell>
          <cell r="F104" t="str">
            <v>7.7</v>
          </cell>
        </row>
        <row r="105">
          <cell r="A105">
            <v>1075</v>
          </cell>
          <cell r="B105" t="str">
            <v>Ramirez, Josefina B</v>
          </cell>
          <cell r="C105" t="str">
            <v>004013</v>
          </cell>
          <cell r="D105">
            <v>907</v>
          </cell>
          <cell r="E105" t="str">
            <v>103.8</v>
          </cell>
          <cell r="F105" t="str">
            <v>7.7</v>
          </cell>
        </row>
        <row r="106">
          <cell r="A106">
            <v>2455</v>
          </cell>
          <cell r="B106" t="str">
            <v>Ramirez, Norma Y</v>
          </cell>
          <cell r="C106" t="str">
            <v>004005</v>
          </cell>
          <cell r="D106">
            <v>518</v>
          </cell>
          <cell r="E106" t="str">
            <v>105.73</v>
          </cell>
          <cell r="F106" t="str">
            <v>7.7</v>
          </cell>
        </row>
        <row r="107">
          <cell r="A107">
            <v>1358</v>
          </cell>
          <cell r="B107" t="str">
            <v>Barber, Kali M</v>
          </cell>
          <cell r="C107" t="str">
            <v>004017</v>
          </cell>
          <cell r="D107">
            <v>135</v>
          </cell>
          <cell r="E107" t="str">
            <v>106.05</v>
          </cell>
          <cell r="F107" t="str">
            <v>7.7</v>
          </cell>
        </row>
        <row r="108">
          <cell r="A108">
            <v>1256</v>
          </cell>
          <cell r="B108" t="str">
            <v>Uy, Niel A</v>
          </cell>
          <cell r="C108" t="str">
            <v>003340</v>
          </cell>
          <cell r="D108">
            <v>212</v>
          </cell>
          <cell r="E108" t="str">
            <v>110.35</v>
          </cell>
          <cell r="F108" t="str">
            <v>7.7</v>
          </cell>
        </row>
        <row r="109">
          <cell r="A109">
            <v>1005</v>
          </cell>
          <cell r="B109" t="str">
            <v>Ramos, Perla M</v>
          </cell>
          <cell r="C109" t="str">
            <v>003360</v>
          </cell>
          <cell r="D109">
            <v>308</v>
          </cell>
          <cell r="E109" t="str">
            <v>112.65</v>
          </cell>
          <cell r="F109" t="str">
            <v>7.7</v>
          </cell>
        </row>
        <row r="110">
          <cell r="A110">
            <v>2211</v>
          </cell>
          <cell r="B110" t="str">
            <v>Zoleta, Glenn G</v>
          </cell>
          <cell r="C110" t="str">
            <v>004043</v>
          </cell>
          <cell r="D110">
            <v>208</v>
          </cell>
          <cell r="E110" t="str">
            <v>113.52</v>
          </cell>
          <cell r="F110" t="str">
            <v>7.7</v>
          </cell>
        </row>
        <row r="111">
          <cell r="A111">
            <v>1015</v>
          </cell>
          <cell r="B111" t="str">
            <v>Gustafson, James A</v>
          </cell>
          <cell r="C111" t="str">
            <v>003640</v>
          </cell>
          <cell r="D111">
            <v>308</v>
          </cell>
          <cell r="E111" t="str">
            <v>122.2</v>
          </cell>
          <cell r="F111" t="str">
            <v>7.7</v>
          </cell>
        </row>
        <row r="112">
          <cell r="A112">
            <v>1060</v>
          </cell>
          <cell r="B112" t="str">
            <v>Blakeman, Jason L</v>
          </cell>
          <cell r="C112" t="str">
            <v>004062</v>
          </cell>
          <cell r="D112">
            <v>310</v>
          </cell>
          <cell r="E112" t="str">
            <v>125.2</v>
          </cell>
          <cell r="F112" t="str">
            <v>7.7</v>
          </cell>
        </row>
        <row r="113">
          <cell r="A113">
            <v>2460</v>
          </cell>
          <cell r="B113" t="str">
            <v>Seeley, Jessica D</v>
          </cell>
          <cell r="C113" t="str">
            <v>003340</v>
          </cell>
          <cell r="D113">
            <v>308</v>
          </cell>
          <cell r="E113" t="str">
            <v>127.1</v>
          </cell>
          <cell r="F113" t="str">
            <v>7.7</v>
          </cell>
        </row>
        <row r="114">
          <cell r="A114">
            <v>1048</v>
          </cell>
          <cell r="B114" t="str">
            <v>Ranum, Mary K</v>
          </cell>
          <cell r="C114" t="str">
            <v>004062</v>
          </cell>
          <cell r="D114">
            <v>215</v>
          </cell>
          <cell r="E114" t="str">
            <v>137.17</v>
          </cell>
          <cell r="F114" t="str">
            <v>7.7</v>
          </cell>
        </row>
        <row r="115">
          <cell r="A115">
            <v>1038</v>
          </cell>
          <cell r="B115" t="str">
            <v>Reyes, Mario R</v>
          </cell>
          <cell r="C115" t="str">
            <v>004018</v>
          </cell>
          <cell r="D115">
            <v>905</v>
          </cell>
          <cell r="E115" t="str">
            <v>141.8</v>
          </cell>
          <cell r="F115" t="str">
            <v>7.7</v>
          </cell>
        </row>
        <row r="116">
          <cell r="A116">
            <v>2395</v>
          </cell>
          <cell r="B116" t="str">
            <v>Gallagher, Deborah D</v>
          </cell>
          <cell r="C116" t="str">
            <v>004001</v>
          </cell>
          <cell r="D116">
            <v>501</v>
          </cell>
          <cell r="E116" t="str">
            <v>143.65</v>
          </cell>
          <cell r="F116" t="str">
            <v>7.7</v>
          </cell>
        </row>
        <row r="117">
          <cell r="A117">
            <v>1497</v>
          </cell>
          <cell r="B117" t="str">
            <v>Gilliar, Nancy L</v>
          </cell>
          <cell r="C117" t="str">
            <v>003340</v>
          </cell>
          <cell r="D117">
            <v>212</v>
          </cell>
          <cell r="E117" t="str">
            <v>145.77</v>
          </cell>
          <cell r="F117" t="str">
            <v>7.7</v>
          </cell>
        </row>
        <row r="118">
          <cell r="A118">
            <v>1050</v>
          </cell>
          <cell r="B118" t="str">
            <v>Donart, Leigh M</v>
          </cell>
          <cell r="C118" t="str">
            <v>004062</v>
          </cell>
          <cell r="D118">
            <v>310</v>
          </cell>
          <cell r="E118" t="str">
            <v>150.78</v>
          </cell>
          <cell r="F118" t="str">
            <v>7.7</v>
          </cell>
        </row>
        <row r="119">
          <cell r="A119">
            <v>1024</v>
          </cell>
          <cell r="B119" t="str">
            <v>Gomez, Keri L</v>
          </cell>
          <cell r="C119" t="str">
            <v>004062</v>
          </cell>
          <cell r="D119">
            <v>115</v>
          </cell>
          <cell r="E119" t="str">
            <v>162.9</v>
          </cell>
          <cell r="F119" t="str">
            <v>7.7</v>
          </cell>
        </row>
        <row r="120">
          <cell r="A120">
            <v>2418</v>
          </cell>
          <cell r="B120" t="str">
            <v>Cruz, Hermelinda</v>
          </cell>
          <cell r="C120" t="str">
            <v>004013</v>
          </cell>
          <cell r="D120">
            <v>907</v>
          </cell>
          <cell r="E120" t="str">
            <v>170.45</v>
          </cell>
          <cell r="F120" t="str">
            <v>7.7</v>
          </cell>
        </row>
        <row r="121">
          <cell r="A121">
            <v>1031</v>
          </cell>
          <cell r="B121" t="str">
            <v>Castro, Adella A</v>
          </cell>
          <cell r="C121" t="str">
            <v>004011</v>
          </cell>
          <cell r="D121">
            <v>902</v>
          </cell>
          <cell r="E121" t="str">
            <v>173.22</v>
          </cell>
          <cell r="F121" t="str">
            <v>7.7</v>
          </cell>
        </row>
        <row r="122">
          <cell r="A122">
            <v>1057</v>
          </cell>
          <cell r="B122" t="str">
            <v>Rendon, Pascual I</v>
          </cell>
          <cell r="C122" t="str">
            <v>004043</v>
          </cell>
          <cell r="D122">
            <v>513</v>
          </cell>
          <cell r="E122" t="str">
            <v>178.9</v>
          </cell>
          <cell r="F122" t="str">
            <v>7.7</v>
          </cell>
        </row>
        <row r="123">
          <cell r="A123">
            <v>1029</v>
          </cell>
          <cell r="B123" t="str">
            <v>Perez, Maria N</v>
          </cell>
          <cell r="C123" t="str">
            <v>004011</v>
          </cell>
          <cell r="D123">
            <v>906</v>
          </cell>
          <cell r="E123" t="str">
            <v>180.6</v>
          </cell>
          <cell r="F123" t="str">
            <v>7.7</v>
          </cell>
        </row>
        <row r="124">
          <cell r="A124">
            <v>1004</v>
          </cell>
          <cell r="B124" t="str">
            <v>Azevedo, Nadine D</v>
          </cell>
          <cell r="C124" t="str">
            <v>004005</v>
          </cell>
          <cell r="D124">
            <v>516</v>
          </cell>
          <cell r="E124" t="str">
            <v>181.35</v>
          </cell>
          <cell r="F124" t="str">
            <v>7.7</v>
          </cell>
        </row>
        <row r="125">
          <cell r="A125">
            <v>1044</v>
          </cell>
          <cell r="B125" t="str">
            <v>Burbon, Victor N</v>
          </cell>
          <cell r="C125" t="str">
            <v>003340</v>
          </cell>
          <cell r="D125">
            <v>308</v>
          </cell>
          <cell r="E125" t="str">
            <v>181.52</v>
          </cell>
          <cell r="F125" t="str">
            <v>7.7</v>
          </cell>
        </row>
        <row r="126">
          <cell r="A126">
            <v>1032</v>
          </cell>
          <cell r="B126" t="str">
            <v>Paler, Elie A</v>
          </cell>
          <cell r="C126" t="str">
            <v>004011</v>
          </cell>
          <cell r="D126">
            <v>132</v>
          </cell>
          <cell r="E126" t="str">
            <v>183.1</v>
          </cell>
          <cell r="F126" t="str">
            <v>7.7</v>
          </cell>
        </row>
        <row r="127">
          <cell r="A127">
            <v>1033</v>
          </cell>
          <cell r="B127" t="str">
            <v>Martinez, Eleazar M</v>
          </cell>
          <cell r="C127" t="str">
            <v>004011</v>
          </cell>
          <cell r="D127">
            <v>902</v>
          </cell>
          <cell r="E127" t="str">
            <v>186.02</v>
          </cell>
          <cell r="F127" t="str">
            <v>7.7</v>
          </cell>
        </row>
        <row r="128">
          <cell r="A128">
            <v>1039</v>
          </cell>
          <cell r="B128" t="str">
            <v>Zagal, Tito P</v>
          </cell>
          <cell r="C128" t="str">
            <v>004013</v>
          </cell>
          <cell r="D128">
            <v>133</v>
          </cell>
          <cell r="E128" t="str">
            <v>193.2</v>
          </cell>
          <cell r="F128" t="str">
            <v>7.7</v>
          </cell>
        </row>
        <row r="129">
          <cell r="A129">
            <v>1030</v>
          </cell>
          <cell r="B129" t="str">
            <v>Hernandez-Perez, Antonio</v>
          </cell>
          <cell r="C129" t="str">
            <v>004011</v>
          </cell>
          <cell r="D129">
            <v>906</v>
          </cell>
          <cell r="E129" t="str">
            <v>200.0</v>
          </cell>
          <cell r="F129" t="str">
            <v>7.7</v>
          </cell>
        </row>
        <row r="130">
          <cell r="A130">
            <v>5577</v>
          </cell>
          <cell r="B130" t="str">
            <v>Wade, Sarah J</v>
          </cell>
          <cell r="C130" t="str">
            <v>004045</v>
          </cell>
          <cell r="D130">
            <v>509</v>
          </cell>
          <cell r="E130" t="str">
            <v>33.33</v>
          </cell>
          <cell r="F130" t="str">
            <v>6.17</v>
          </cell>
        </row>
        <row r="131">
          <cell r="A131">
            <v>3383</v>
          </cell>
          <cell r="B131" t="str">
            <v>Price-Torkay, Kristen D</v>
          </cell>
          <cell r="C131" t="str">
            <v>004021</v>
          </cell>
          <cell r="D131">
            <v>146</v>
          </cell>
          <cell r="E131" t="str">
            <v>110.0</v>
          </cell>
          <cell r="F131" t="str">
            <v>6.17</v>
          </cell>
        </row>
        <row r="132">
          <cell r="A132">
            <v>4011</v>
          </cell>
          <cell r="B132" t="str">
            <v>Sumalpong, Pilar M</v>
          </cell>
          <cell r="C132" t="str">
            <v>004021</v>
          </cell>
          <cell r="D132">
            <v>128</v>
          </cell>
          <cell r="E132" t="str">
            <v>90.75</v>
          </cell>
          <cell r="F132" t="str">
            <v>7.7</v>
          </cell>
        </row>
        <row r="133">
          <cell r="A133">
            <v>3300</v>
          </cell>
          <cell r="B133" t="str">
            <v>Zellner, Jetta S</v>
          </cell>
          <cell r="C133" t="str">
            <v>004045</v>
          </cell>
          <cell r="D133">
            <v>111</v>
          </cell>
          <cell r="E133" t="str">
            <v>100.2</v>
          </cell>
          <cell r="F133" t="str">
            <v>7.7</v>
          </cell>
        </row>
        <row r="134">
          <cell r="A134">
            <v>1042</v>
          </cell>
          <cell r="B134" t="str">
            <v>Yvarra, Pamela S</v>
          </cell>
          <cell r="C134" t="str">
            <v>004043</v>
          </cell>
          <cell r="D134">
            <v>126</v>
          </cell>
          <cell r="E134" t="str">
            <v>25.7</v>
          </cell>
          <cell r="F134">
            <v>9.24</v>
          </cell>
        </row>
        <row r="135">
          <cell r="A135">
            <v>1071</v>
          </cell>
          <cell r="B135" t="str">
            <v>Ramirez, Carol M</v>
          </cell>
          <cell r="C135" t="str">
            <v>004005</v>
          </cell>
          <cell r="D135">
            <v>124</v>
          </cell>
          <cell r="E135" t="str">
            <v>101.57</v>
          </cell>
          <cell r="F135">
            <v>9.24</v>
          </cell>
        </row>
        <row r="136">
          <cell r="A136">
            <v>1014</v>
          </cell>
          <cell r="B136" t="str">
            <v>Kohagen, Matthew J</v>
          </cell>
          <cell r="C136" t="str">
            <v>004042</v>
          </cell>
          <cell r="D136">
            <v>108</v>
          </cell>
          <cell r="E136" t="str">
            <v>123.13</v>
          </cell>
          <cell r="F136">
            <v>9.24</v>
          </cell>
        </row>
        <row r="137">
          <cell r="A137">
            <v>1204</v>
          </cell>
          <cell r="B137" t="str">
            <v>Williams, Sarah M</v>
          </cell>
          <cell r="C137" t="str">
            <v>003901</v>
          </cell>
          <cell r="D137">
            <v>131</v>
          </cell>
          <cell r="E137" t="str">
            <v>130.17</v>
          </cell>
          <cell r="F137">
            <v>9.24</v>
          </cell>
        </row>
        <row r="138">
          <cell r="A138">
            <v>1009</v>
          </cell>
          <cell r="B138" t="str">
            <v>Block, Sherri R</v>
          </cell>
          <cell r="C138" t="str">
            <v>004041</v>
          </cell>
          <cell r="D138">
            <v>121</v>
          </cell>
          <cell r="E138" t="str">
            <v>155.13</v>
          </cell>
          <cell r="F138">
            <v>9.24</v>
          </cell>
        </row>
        <row r="139">
          <cell r="A139">
            <v>1006</v>
          </cell>
          <cell r="B139" t="str">
            <v>Martinez, John J</v>
          </cell>
          <cell r="C139" t="str">
            <v>004015</v>
          </cell>
          <cell r="D139">
            <v>112</v>
          </cell>
          <cell r="E139" t="str">
            <v>178.65</v>
          </cell>
          <cell r="F139">
            <v>9.24</v>
          </cell>
        </row>
        <row r="140">
          <cell r="A140">
            <v>1045</v>
          </cell>
          <cell r="B140" t="str">
            <v>Salmons, Lori A</v>
          </cell>
          <cell r="C140" t="str">
            <v>004061</v>
          </cell>
          <cell r="D140">
            <v>127</v>
          </cell>
          <cell r="E140" t="str">
            <v>212.32</v>
          </cell>
          <cell r="F140">
            <v>9.24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04.19"/>
      <sheetName val="1251s"/>
      <sheetName val="1252s"/>
      <sheetName val="1253s"/>
      <sheetName val="1320"/>
      <sheetName val="1408.13"/>
      <sheetName val="1409.13"/>
      <sheetName val="1500s"/>
      <sheetName val="Inventory"/>
      <sheetName val="1600s"/>
      <sheetName val="1773-1877"/>
      <sheetName val="1930"/>
      <sheetName val="1940"/>
      <sheetName val="2000"/>
      <sheetName val="2050"/>
      <sheetName val="2110"/>
      <sheetName val="2120"/>
      <sheetName val="2124"/>
      <sheetName val="Year End 08"/>
      <sheetName val="Year End 09"/>
      <sheetName val="2130"/>
      <sheetName val="2140"/>
      <sheetName val="2150"/>
      <sheetName val="2200"/>
      <sheetName val="2210"/>
      <sheetName val="2230"/>
      <sheetName val="2231"/>
      <sheetName val="2232"/>
      <sheetName val="2233"/>
      <sheetName val="2234"/>
      <sheetName val="2235"/>
      <sheetName val="2240"/>
      <sheetName val="2245"/>
      <sheetName val="2249"/>
      <sheetName val="2250"/>
      <sheetName val="2340"/>
      <sheetName val="2540"/>
      <sheetName val="3000"/>
      <sheetName val="3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"/>
      <sheetName val="Payment"/>
    </sheetNames>
    <sheetDataSet>
      <sheetData sheetId="0">
        <row r="5">
          <cell r="K5" t="str">
            <v>Annual</v>
          </cell>
        </row>
        <row r="6">
          <cell r="K6" t="str">
            <v>Semi-Annual</v>
          </cell>
        </row>
        <row r="7">
          <cell r="K7" t="str">
            <v>Quarterly</v>
          </cell>
        </row>
        <row r="8">
          <cell r="K8" t="str">
            <v>Bi-Monthly</v>
          </cell>
        </row>
        <row r="9">
          <cell r="D9" t="str">
            <v>Monthly</v>
          </cell>
          <cell r="K9" t="str">
            <v>Monthly</v>
          </cell>
        </row>
        <row r="10">
          <cell r="K10" t="str">
            <v>Semi-Monthly</v>
          </cell>
        </row>
        <row r="11">
          <cell r="K11" t="str">
            <v>Bi-Weekly</v>
          </cell>
        </row>
        <row r="12">
          <cell r="K12" t="str">
            <v>Weekly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 BIJ 11-13"/>
      <sheetName val="BALANCE SHEET"/>
      <sheetName val="JE-Phy H&amp;P Accrual"/>
      <sheetName val="JE-Phy All Inc Accrual"/>
      <sheetName val="Patient Admission Report-HP"/>
      <sheetName val="Patient Discharge Report-Phy"/>
      <sheetName val="Program Master Repor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Aurora Las Encinas</v>
          </cell>
        </row>
        <row r="2">
          <cell r="A2" t="str">
            <v>Program Code Report</v>
          </cell>
        </row>
        <row r="3">
          <cell r="A3" t="str">
            <v>12-20-2013</v>
          </cell>
        </row>
        <row r="5">
          <cell r="A5" t="str">
            <v>Code</v>
          </cell>
          <cell r="C5" t="str">
            <v>Description</v>
          </cell>
          <cell r="D5" t="str">
            <v>Dept Code</v>
          </cell>
          <cell r="E5" t="str">
            <v>RB Proc Code</v>
          </cell>
          <cell r="F5" t="str">
            <v>Type</v>
          </cell>
          <cell r="G5" t="str">
            <v>Active</v>
          </cell>
          <cell r="H5" t="str">
            <v>AIS ProgCode</v>
          </cell>
          <cell r="I5" t="str">
            <v>AIS CodeDesc</v>
          </cell>
        </row>
        <row r="6">
          <cell r="A6" t="str">
            <v>13Z</v>
          </cell>
          <cell r="B6" t="str">
            <v>IP</v>
          </cell>
          <cell r="C6" t="str">
            <v>Adult IP Psych</v>
          </cell>
          <cell r="D6">
            <v>3340</v>
          </cell>
          <cell r="E6">
            <v>17000124</v>
          </cell>
          <cell r="F6" t="str">
            <v>Psy_A</v>
          </cell>
          <cell r="G6">
            <v>1</v>
          </cell>
          <cell r="H6" t="str">
            <v>IPA</v>
          </cell>
          <cell r="I6" t="str">
            <v>Inpatient Psych Adult</v>
          </cell>
        </row>
        <row r="7">
          <cell r="A7" t="str">
            <v>53Z</v>
          </cell>
          <cell r="B7" t="str">
            <v>IP</v>
          </cell>
          <cell r="C7" t="str">
            <v>Adult IP Detox</v>
          </cell>
          <cell r="D7">
            <v>3340</v>
          </cell>
          <cell r="E7">
            <v>17000126</v>
          </cell>
          <cell r="F7" t="str">
            <v>Det_A</v>
          </cell>
          <cell r="G7">
            <v>1</v>
          </cell>
          <cell r="H7" t="str">
            <v>IDA</v>
          </cell>
          <cell r="I7" t="str">
            <v>Inpatient Detox Adult</v>
          </cell>
        </row>
        <row r="8">
          <cell r="A8" t="str">
            <v>73Z</v>
          </cell>
          <cell r="B8" t="str">
            <v>IP</v>
          </cell>
          <cell r="C8" t="str">
            <v>Adult IP Rehab</v>
          </cell>
          <cell r="D8">
            <v>3340</v>
          </cell>
          <cell r="E8">
            <v>17000128</v>
          </cell>
          <cell r="F8" t="str">
            <v>REH_A</v>
          </cell>
          <cell r="G8">
            <v>1</v>
          </cell>
          <cell r="H8" t="str">
            <v>IRA</v>
          </cell>
          <cell r="I8" t="str">
            <v>Inpatient Rehab Adult</v>
          </cell>
        </row>
        <row r="9">
          <cell r="A9" t="str">
            <v>93R</v>
          </cell>
          <cell r="B9" t="str">
            <v>RTC</v>
          </cell>
          <cell r="C9" t="str">
            <v>Residential IP</v>
          </cell>
          <cell r="D9">
            <v>3450</v>
          </cell>
          <cell r="E9">
            <v>17000125</v>
          </cell>
          <cell r="F9" t="str">
            <v>RTC</v>
          </cell>
          <cell r="G9">
            <v>1</v>
          </cell>
          <cell r="H9" t="str">
            <v>RCA</v>
          </cell>
          <cell r="I9" t="str">
            <v>Residential CD Adult</v>
          </cell>
        </row>
        <row r="10">
          <cell r="A10" t="str">
            <v>14Z</v>
          </cell>
          <cell r="B10" t="str">
            <v>OP</v>
          </cell>
          <cell r="C10" t="str">
            <v>Adult Psych Partial</v>
          </cell>
          <cell r="D10">
            <v>4261</v>
          </cell>
          <cell r="F10" t="str">
            <v>MHPHP_A</v>
          </cell>
          <cell r="G10">
            <v>1</v>
          </cell>
          <cell r="H10" t="str">
            <v>PPA</v>
          </cell>
          <cell r="I10" t="str">
            <v>Partial Psych Adult</v>
          </cell>
        </row>
        <row r="11">
          <cell r="A11" t="str">
            <v>74Z</v>
          </cell>
          <cell r="B11" t="str">
            <v>OP</v>
          </cell>
          <cell r="C11" t="str">
            <v>Adult CD Partial</v>
          </cell>
          <cell r="D11">
            <v>4261</v>
          </cell>
          <cell r="F11" t="str">
            <v>CDPHP_A</v>
          </cell>
          <cell r="G11">
            <v>1</v>
          </cell>
          <cell r="H11" t="str">
            <v>PCA</v>
          </cell>
          <cell r="I11" t="str">
            <v>Partial CD Adult</v>
          </cell>
        </row>
        <row r="12">
          <cell r="A12" t="str">
            <v>15Z</v>
          </cell>
          <cell r="B12" t="str">
            <v>OP</v>
          </cell>
          <cell r="C12" t="str">
            <v>Adult Psych IOP</v>
          </cell>
          <cell r="D12">
            <v>4361</v>
          </cell>
          <cell r="F12" t="str">
            <v>MHIOP_A</v>
          </cell>
          <cell r="G12">
            <v>1</v>
          </cell>
          <cell r="H12" t="str">
            <v>OPA</v>
          </cell>
          <cell r="I12" t="str">
            <v>Intensive Outpatient Psych Adult</v>
          </cell>
        </row>
        <row r="13">
          <cell r="A13" t="str">
            <v>75Z</v>
          </cell>
          <cell r="B13" t="str">
            <v>OP</v>
          </cell>
          <cell r="C13" t="str">
            <v>Adult CD IOP</v>
          </cell>
          <cell r="D13">
            <v>4361</v>
          </cell>
          <cell r="F13" t="str">
            <v>CDIOP_A</v>
          </cell>
          <cell r="G13">
            <v>1</v>
          </cell>
          <cell r="H13" t="str">
            <v>OCA</v>
          </cell>
          <cell r="I13" t="str">
            <v>Intensive Outpatient CD Adult</v>
          </cell>
        </row>
      </sheetData>
      <sheetData sheetId="7">
        <row r="13">
          <cell r="A13" t="str">
            <v>Doctor Name</v>
          </cell>
          <cell r="B13" t="str">
            <v xml:space="preserve">Phy All-Inclusive </v>
          </cell>
        </row>
        <row r="14">
          <cell r="A14" t="str">
            <v>ElGABALAWY, MOHAMED</v>
          </cell>
          <cell r="B14">
            <v>200</v>
          </cell>
        </row>
        <row r="15">
          <cell r="A15" t="str">
            <v>BIJANPOUR, KAMAL</v>
          </cell>
          <cell r="B15">
            <v>300</v>
          </cell>
        </row>
        <row r="16">
          <cell r="A16" t="str">
            <v>JOHNSON, GADSON</v>
          </cell>
          <cell r="B16">
            <v>300</v>
          </cell>
        </row>
        <row r="17">
          <cell r="A17" t="str">
            <v>MANNING, RAYMOND A</v>
          </cell>
          <cell r="B17">
            <v>200</v>
          </cell>
        </row>
        <row r="18">
          <cell r="A18" t="str">
            <v>PYLKO, TIMOTHY</v>
          </cell>
          <cell r="B18">
            <v>200</v>
          </cell>
        </row>
        <row r="19">
          <cell r="A19" t="str">
            <v>WANG, DORA</v>
          </cell>
          <cell r="B19">
            <v>200</v>
          </cell>
        </row>
        <row r="20">
          <cell r="A20" t="str">
            <v>CHRISTIANSON, WARREN</v>
          </cell>
          <cell r="B20">
            <v>200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JE Preimport"/>
      <sheetName val="prepje adj"/>
      <sheetName val="prepje"/>
      <sheetName val="201010"/>
      <sheetName val="201009"/>
      <sheetName val="201008"/>
      <sheetName val="201007"/>
      <sheetName val="201006"/>
      <sheetName val="201005"/>
      <sheetName val="201004"/>
      <sheetName val="201002"/>
      <sheetName val="201001"/>
    </sheetNames>
    <sheetDataSet>
      <sheetData sheetId="0"/>
      <sheetData sheetId="1"/>
      <sheetData sheetId="2"/>
      <sheetData sheetId="3"/>
      <sheetData sheetId="4" refreshError="1">
        <row r="1">
          <cell r="I1" t="str">
            <v>need to copy current accum months from last month and copy special value to Col Q - Accum Months</v>
          </cell>
        </row>
        <row r="3">
          <cell r="A3">
            <v>40482</v>
          </cell>
          <cell r="H3">
            <v>0</v>
          </cell>
        </row>
        <row r="4">
          <cell r="H4">
            <v>0</v>
          </cell>
          <cell r="I4" t="str">
            <v>(only use for installments)</v>
          </cell>
        </row>
        <row r="5">
          <cell r="F5" t="str">
            <v>To Date</v>
          </cell>
          <cell r="H5" t="str">
            <v>Total Invoice Amount</v>
          </cell>
          <cell r="I5" t="str">
            <v>Deposit Amount</v>
          </cell>
        </row>
        <row r="6">
          <cell r="F6">
            <v>40786</v>
          </cell>
          <cell r="H6">
            <v>8402</v>
          </cell>
          <cell r="I6">
            <v>639</v>
          </cell>
        </row>
        <row r="7">
          <cell r="F7">
            <v>40786</v>
          </cell>
          <cell r="H7">
            <v>107418</v>
          </cell>
          <cell r="I7">
            <v>8175</v>
          </cell>
        </row>
        <row r="8">
          <cell r="F8">
            <v>40786</v>
          </cell>
          <cell r="H8">
            <v>5503</v>
          </cell>
          <cell r="I8">
            <v>419</v>
          </cell>
        </row>
        <row r="9">
          <cell r="F9">
            <v>40786</v>
          </cell>
          <cell r="H9">
            <v>772</v>
          </cell>
          <cell r="I9">
            <v>59</v>
          </cell>
        </row>
        <row r="10">
          <cell r="F10">
            <v>40694</v>
          </cell>
          <cell r="H10">
            <v>21200</v>
          </cell>
          <cell r="I10">
            <v>5558</v>
          </cell>
        </row>
        <row r="11">
          <cell r="F11">
            <v>40513</v>
          </cell>
          <cell r="H11">
            <v>6151.51</v>
          </cell>
          <cell r="I11">
            <v>0</v>
          </cell>
        </row>
        <row r="12">
          <cell r="F12">
            <v>40724</v>
          </cell>
          <cell r="H12">
            <v>1879</v>
          </cell>
          <cell r="I12">
            <v>1879</v>
          </cell>
        </row>
        <row r="13">
          <cell r="F13" t="str">
            <v>-</v>
          </cell>
          <cell r="H13" t="str">
            <v>-</v>
          </cell>
          <cell r="I13" t="str">
            <v>-</v>
          </cell>
        </row>
        <row r="14">
          <cell r="F14">
            <v>0</v>
          </cell>
          <cell r="H14">
            <v>151325.51</v>
          </cell>
          <cell r="I14">
            <v>16729</v>
          </cell>
        </row>
        <row r="15">
          <cell r="F15">
            <v>40694</v>
          </cell>
          <cell r="H15">
            <v>58965</v>
          </cell>
          <cell r="I15">
            <v>24322</v>
          </cell>
        </row>
        <row r="16">
          <cell r="F16" t="str">
            <v>-</v>
          </cell>
          <cell r="H16" t="str">
            <v>-</v>
          </cell>
          <cell r="I16" t="str">
            <v>-</v>
          </cell>
        </row>
        <row r="17">
          <cell r="F17">
            <v>0</v>
          </cell>
          <cell r="H17">
            <v>58965</v>
          </cell>
          <cell r="I17">
            <v>24322</v>
          </cell>
        </row>
        <row r="18">
          <cell r="F18">
            <v>40786</v>
          </cell>
          <cell r="H18">
            <v>173645</v>
          </cell>
          <cell r="I18">
            <v>81473.81</v>
          </cell>
        </row>
        <row r="19">
          <cell r="H19">
            <v>275356.71000000002</v>
          </cell>
          <cell r="I19">
            <v>0</v>
          </cell>
        </row>
        <row r="20">
          <cell r="F20" t="str">
            <v>-</v>
          </cell>
          <cell r="H20" t="str">
            <v>-</v>
          </cell>
          <cell r="I20" t="str">
            <v>-</v>
          </cell>
        </row>
        <row r="21">
          <cell r="F21">
            <v>0</v>
          </cell>
          <cell r="H21">
            <v>449001.71</v>
          </cell>
          <cell r="I21">
            <v>81473.81</v>
          </cell>
        </row>
        <row r="22">
          <cell r="F22">
            <v>0</v>
          </cell>
          <cell r="H22">
            <v>34485</v>
          </cell>
          <cell r="I22">
            <v>0</v>
          </cell>
        </row>
        <row r="23">
          <cell r="F23" t="str">
            <v>-</v>
          </cell>
          <cell r="H23" t="str">
            <v>-</v>
          </cell>
          <cell r="I23" t="str">
            <v>-</v>
          </cell>
        </row>
        <row r="24">
          <cell r="F24">
            <v>0</v>
          </cell>
          <cell r="H24">
            <v>34485</v>
          </cell>
          <cell r="I24">
            <v>0</v>
          </cell>
        </row>
        <row r="25">
          <cell r="F25">
            <v>40482</v>
          </cell>
          <cell r="H25">
            <v>974.06</v>
          </cell>
          <cell r="I25">
            <v>0</v>
          </cell>
        </row>
        <row r="26">
          <cell r="F26">
            <v>40421</v>
          </cell>
          <cell r="H26">
            <v>1948.12</v>
          </cell>
          <cell r="I26">
            <v>0</v>
          </cell>
        </row>
        <row r="27">
          <cell r="F27">
            <v>40451</v>
          </cell>
          <cell r="H27">
            <v>974.06</v>
          </cell>
          <cell r="I27">
            <v>0</v>
          </cell>
        </row>
        <row r="28">
          <cell r="F28" t="str">
            <v>-</v>
          </cell>
          <cell r="H28" t="str">
            <v>-</v>
          </cell>
          <cell r="I28" t="str">
            <v>-</v>
          </cell>
        </row>
        <row r="29">
          <cell r="F29">
            <v>0</v>
          </cell>
          <cell r="H29">
            <v>3896.24</v>
          </cell>
          <cell r="I29">
            <v>0</v>
          </cell>
        </row>
        <row r="30">
          <cell r="F30">
            <v>40574</v>
          </cell>
          <cell r="H30">
            <v>4087</v>
          </cell>
          <cell r="I30">
            <v>0</v>
          </cell>
        </row>
        <row r="31">
          <cell r="F31">
            <v>40724</v>
          </cell>
          <cell r="H31">
            <v>1393.29</v>
          </cell>
          <cell r="I31">
            <v>0</v>
          </cell>
        </row>
        <row r="32">
          <cell r="F32">
            <v>40574</v>
          </cell>
          <cell r="H32">
            <v>11306</v>
          </cell>
          <cell r="I32">
            <v>0</v>
          </cell>
        </row>
        <row r="33">
          <cell r="F33" t="str">
            <v>-</v>
          </cell>
          <cell r="H33" t="str">
            <v>-</v>
          </cell>
          <cell r="I33" t="str">
            <v>-</v>
          </cell>
        </row>
        <row r="34">
          <cell r="F34">
            <v>0</v>
          </cell>
          <cell r="H34">
            <v>16786.29</v>
          </cell>
          <cell r="I34">
            <v>0</v>
          </cell>
        </row>
        <row r="35">
          <cell r="F35">
            <v>41255</v>
          </cell>
          <cell r="H35">
            <v>1785.72</v>
          </cell>
          <cell r="I35">
            <v>0</v>
          </cell>
        </row>
        <row r="36">
          <cell r="F36">
            <v>40390</v>
          </cell>
          <cell r="H36">
            <v>205.03</v>
          </cell>
          <cell r="I36">
            <v>0</v>
          </cell>
        </row>
        <row r="37">
          <cell r="F37">
            <v>40663</v>
          </cell>
          <cell r="H37">
            <v>1413.75</v>
          </cell>
          <cell r="I37">
            <v>0</v>
          </cell>
        </row>
        <row r="38">
          <cell r="F38">
            <v>40298</v>
          </cell>
          <cell r="H38">
            <v>1211.79</v>
          </cell>
          <cell r="I38">
            <v>0</v>
          </cell>
        </row>
        <row r="39">
          <cell r="F39" t="str">
            <v>-</v>
          </cell>
          <cell r="H39" t="str">
            <v>-</v>
          </cell>
          <cell r="I39" t="str">
            <v>-</v>
          </cell>
        </row>
        <row r="40">
          <cell r="F40">
            <v>0</v>
          </cell>
          <cell r="H40">
            <v>4616.29</v>
          </cell>
          <cell r="I40">
            <v>0</v>
          </cell>
        </row>
        <row r="41">
          <cell r="F41">
            <v>40359</v>
          </cell>
          <cell r="H41">
            <v>2770.68</v>
          </cell>
          <cell r="I41">
            <v>0</v>
          </cell>
        </row>
        <row r="42">
          <cell r="F42">
            <v>40359</v>
          </cell>
          <cell r="H42">
            <v>1193.47</v>
          </cell>
          <cell r="I42">
            <v>0</v>
          </cell>
        </row>
        <row r="43">
          <cell r="F43">
            <v>40390</v>
          </cell>
          <cell r="H43">
            <v>4734.37</v>
          </cell>
          <cell r="I43">
            <v>0</v>
          </cell>
        </row>
        <row r="44">
          <cell r="F44">
            <v>40574</v>
          </cell>
          <cell r="H44">
            <v>1858.3200000000002</v>
          </cell>
          <cell r="I44">
            <v>0</v>
          </cell>
        </row>
        <row r="45">
          <cell r="F45">
            <v>40482</v>
          </cell>
          <cell r="H45">
            <v>2088.1200000000003</v>
          </cell>
          <cell r="I45">
            <v>0</v>
          </cell>
        </row>
        <row r="46">
          <cell r="F46">
            <v>40512</v>
          </cell>
          <cell r="H46">
            <v>1396.68</v>
          </cell>
          <cell r="I46">
            <v>0</v>
          </cell>
        </row>
        <row r="47">
          <cell r="F47">
            <v>40359</v>
          </cell>
          <cell r="H47">
            <v>2280.9699999999998</v>
          </cell>
          <cell r="I47">
            <v>0</v>
          </cell>
        </row>
        <row r="48">
          <cell r="F48">
            <v>40329</v>
          </cell>
          <cell r="H48">
            <v>525</v>
          </cell>
          <cell r="I48">
            <v>0</v>
          </cell>
        </row>
        <row r="49">
          <cell r="F49">
            <v>40633</v>
          </cell>
          <cell r="H49">
            <v>3125</v>
          </cell>
          <cell r="I49">
            <v>0</v>
          </cell>
        </row>
        <row r="50">
          <cell r="F50">
            <v>40390</v>
          </cell>
          <cell r="H50">
            <v>6442.52</v>
          </cell>
          <cell r="I50">
            <v>0</v>
          </cell>
        </row>
        <row r="51">
          <cell r="F51">
            <v>40451</v>
          </cell>
          <cell r="H51">
            <v>3218.4</v>
          </cell>
          <cell r="I51">
            <v>0</v>
          </cell>
        </row>
        <row r="52">
          <cell r="F52">
            <v>40482</v>
          </cell>
          <cell r="H52">
            <v>2826.66</v>
          </cell>
          <cell r="I52">
            <v>0</v>
          </cell>
        </row>
        <row r="53">
          <cell r="F53">
            <v>40543</v>
          </cell>
          <cell r="H53">
            <v>11368.86</v>
          </cell>
          <cell r="I53">
            <v>0</v>
          </cell>
        </row>
        <row r="54">
          <cell r="F54">
            <v>40543</v>
          </cell>
          <cell r="H54">
            <v>2640</v>
          </cell>
          <cell r="I54">
            <v>0</v>
          </cell>
        </row>
        <row r="55">
          <cell r="F55">
            <v>40602</v>
          </cell>
          <cell r="H55">
            <v>1584</v>
          </cell>
          <cell r="I55">
            <v>0</v>
          </cell>
        </row>
        <row r="56">
          <cell r="F56">
            <v>40663</v>
          </cell>
          <cell r="H56">
            <v>3264</v>
          </cell>
          <cell r="I56">
            <v>0</v>
          </cell>
        </row>
        <row r="57">
          <cell r="F57">
            <v>40633</v>
          </cell>
          <cell r="H57">
            <v>2698.62</v>
          </cell>
          <cell r="I57">
            <v>0</v>
          </cell>
        </row>
        <row r="58">
          <cell r="F58">
            <v>40633</v>
          </cell>
          <cell r="H58">
            <v>3148.7</v>
          </cell>
          <cell r="I58">
            <v>0</v>
          </cell>
        </row>
        <row r="59">
          <cell r="F59">
            <v>40724</v>
          </cell>
          <cell r="H59">
            <v>16128.06</v>
          </cell>
          <cell r="I59">
            <v>0</v>
          </cell>
        </row>
        <row r="60">
          <cell r="F60">
            <v>40451</v>
          </cell>
          <cell r="H60">
            <v>584.41999999999996</v>
          </cell>
          <cell r="I60">
            <v>0</v>
          </cell>
        </row>
        <row r="61">
          <cell r="F61">
            <v>40816</v>
          </cell>
          <cell r="H61">
            <v>2640</v>
          </cell>
          <cell r="I61">
            <v>0</v>
          </cell>
        </row>
        <row r="62">
          <cell r="F62">
            <v>40543</v>
          </cell>
          <cell r="H62">
            <v>4999.75</v>
          </cell>
          <cell r="I62">
            <v>0</v>
          </cell>
        </row>
        <row r="63">
          <cell r="F63">
            <v>40543</v>
          </cell>
          <cell r="H63">
            <v>2165</v>
          </cell>
          <cell r="I63">
            <v>0</v>
          </cell>
        </row>
        <row r="64">
          <cell r="F64">
            <v>40908</v>
          </cell>
          <cell r="H64">
            <v>10596.78</v>
          </cell>
          <cell r="I64">
            <v>0</v>
          </cell>
        </row>
        <row r="65">
          <cell r="F65">
            <v>41333</v>
          </cell>
          <cell r="H65">
            <v>150</v>
          </cell>
          <cell r="I65">
            <v>0</v>
          </cell>
        </row>
        <row r="66">
          <cell r="F66">
            <v>40602</v>
          </cell>
          <cell r="H66">
            <v>22425.119999999999</v>
          </cell>
          <cell r="I66">
            <v>0</v>
          </cell>
        </row>
        <row r="67">
          <cell r="F67">
            <v>40421</v>
          </cell>
          <cell r="H67">
            <v>19000</v>
          </cell>
          <cell r="I67">
            <v>0</v>
          </cell>
        </row>
        <row r="68">
          <cell r="F68">
            <v>40451</v>
          </cell>
          <cell r="H68">
            <v>19051</v>
          </cell>
          <cell r="I68">
            <v>0</v>
          </cell>
        </row>
        <row r="69">
          <cell r="F69">
            <v>40482</v>
          </cell>
          <cell r="H69">
            <v>19051</v>
          </cell>
          <cell r="I69">
            <v>0</v>
          </cell>
        </row>
        <row r="70">
          <cell r="F70">
            <v>40724</v>
          </cell>
          <cell r="H70">
            <v>3501.32</v>
          </cell>
          <cell r="I70">
            <v>0</v>
          </cell>
        </row>
        <row r="71">
          <cell r="F71">
            <v>40268</v>
          </cell>
          <cell r="H71">
            <v>189.04</v>
          </cell>
          <cell r="I71">
            <v>0</v>
          </cell>
        </row>
        <row r="72">
          <cell r="F72">
            <v>40359</v>
          </cell>
          <cell r="H72">
            <v>4500</v>
          </cell>
          <cell r="I72">
            <v>0</v>
          </cell>
        </row>
        <row r="73">
          <cell r="F73">
            <v>40724</v>
          </cell>
          <cell r="H73">
            <v>4750</v>
          </cell>
          <cell r="I73">
            <v>0</v>
          </cell>
        </row>
        <row r="74">
          <cell r="F74">
            <v>40209</v>
          </cell>
          <cell r="H74">
            <v>3082</v>
          </cell>
          <cell r="I74">
            <v>0</v>
          </cell>
        </row>
        <row r="75">
          <cell r="F75">
            <v>40209</v>
          </cell>
          <cell r="H75">
            <v>769</v>
          </cell>
          <cell r="I75">
            <v>0</v>
          </cell>
        </row>
        <row r="76">
          <cell r="F76">
            <v>40237</v>
          </cell>
          <cell r="H76">
            <v>1289.92</v>
          </cell>
          <cell r="I76">
            <v>0</v>
          </cell>
        </row>
        <row r="77">
          <cell r="F77">
            <v>40543</v>
          </cell>
          <cell r="H77">
            <v>180</v>
          </cell>
          <cell r="I77">
            <v>0</v>
          </cell>
        </row>
        <row r="78">
          <cell r="F78">
            <v>40329</v>
          </cell>
          <cell r="H78">
            <v>225</v>
          </cell>
          <cell r="I78">
            <v>0</v>
          </cell>
        </row>
        <row r="79">
          <cell r="F79">
            <v>40421</v>
          </cell>
          <cell r="H79">
            <v>385.72</v>
          </cell>
          <cell r="I79">
            <v>0</v>
          </cell>
        </row>
        <row r="80">
          <cell r="F80">
            <v>40602</v>
          </cell>
          <cell r="H80">
            <v>112.5</v>
          </cell>
          <cell r="I80">
            <v>0</v>
          </cell>
        </row>
        <row r="81">
          <cell r="F81">
            <v>40268</v>
          </cell>
          <cell r="H81">
            <v>769</v>
          </cell>
          <cell r="I81">
            <v>0</v>
          </cell>
        </row>
        <row r="82">
          <cell r="F82">
            <v>40451</v>
          </cell>
          <cell r="H82">
            <v>79.39</v>
          </cell>
          <cell r="I82">
            <v>0</v>
          </cell>
        </row>
        <row r="83">
          <cell r="F83">
            <v>40359</v>
          </cell>
          <cell r="H83">
            <v>79.39</v>
          </cell>
          <cell r="I83">
            <v>0</v>
          </cell>
        </row>
        <row r="84">
          <cell r="F84">
            <v>40543</v>
          </cell>
          <cell r="H84">
            <v>68.05</v>
          </cell>
          <cell r="I84">
            <v>0</v>
          </cell>
        </row>
        <row r="85">
          <cell r="F85">
            <v>40724</v>
          </cell>
          <cell r="H85">
            <v>4803</v>
          </cell>
          <cell r="I85">
            <v>0</v>
          </cell>
        </row>
        <row r="86">
          <cell r="F86">
            <v>40543</v>
          </cell>
          <cell r="H86">
            <v>1875</v>
          </cell>
          <cell r="I86">
            <v>0</v>
          </cell>
        </row>
        <row r="87">
          <cell r="F87">
            <v>40724</v>
          </cell>
          <cell r="H87">
            <v>2274.52</v>
          </cell>
          <cell r="I87">
            <v>0</v>
          </cell>
        </row>
        <row r="88">
          <cell r="F88">
            <v>40482</v>
          </cell>
          <cell r="H88">
            <v>192.85</v>
          </cell>
          <cell r="I88">
            <v>0</v>
          </cell>
        </row>
        <row r="89">
          <cell r="F89">
            <v>40847</v>
          </cell>
          <cell r="H89">
            <v>2212.9699999999998</v>
          </cell>
          <cell r="I89">
            <v>0</v>
          </cell>
        </row>
        <row r="90">
          <cell r="F90" t="str">
            <v>-</v>
          </cell>
          <cell r="H90" t="str">
            <v>-</v>
          </cell>
          <cell r="I90" t="str">
            <v>-</v>
          </cell>
        </row>
        <row r="91">
          <cell r="F91">
            <v>0</v>
          </cell>
          <cell r="H91">
            <v>205294.17000000004</v>
          </cell>
          <cell r="I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</row>
        <row r="99">
          <cell r="F99">
            <v>0</v>
          </cell>
          <cell r="H99">
            <v>0</v>
          </cell>
          <cell r="I99">
            <v>0</v>
          </cell>
        </row>
        <row r="100">
          <cell r="F100">
            <v>0</v>
          </cell>
          <cell r="H100">
            <v>0</v>
          </cell>
          <cell r="I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</row>
        <row r="103">
          <cell r="F103">
            <v>0</v>
          </cell>
          <cell r="H103">
            <v>0</v>
          </cell>
          <cell r="I103">
            <v>0</v>
          </cell>
        </row>
        <row r="104">
          <cell r="F104">
            <v>0</v>
          </cell>
          <cell r="H104">
            <v>0</v>
          </cell>
          <cell r="I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</row>
        <row r="107">
          <cell r="F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H108">
            <v>0</v>
          </cell>
          <cell r="I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</row>
        <row r="110">
          <cell r="F110">
            <v>0</v>
          </cell>
          <cell r="H110">
            <v>0</v>
          </cell>
          <cell r="I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</row>
        <row r="115">
          <cell r="F115">
            <v>0</v>
          </cell>
          <cell r="H115">
            <v>0</v>
          </cell>
          <cell r="I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</row>
        <row r="117">
          <cell r="F117">
            <v>0</v>
          </cell>
          <cell r="H117">
            <v>0</v>
          </cell>
          <cell r="I117">
            <v>0</v>
          </cell>
        </row>
        <row r="118">
          <cell r="F118">
            <v>0</v>
          </cell>
          <cell r="H118">
            <v>0</v>
          </cell>
          <cell r="I118">
            <v>0</v>
          </cell>
        </row>
        <row r="119">
          <cell r="F119">
            <v>0</v>
          </cell>
          <cell r="H119">
            <v>0</v>
          </cell>
          <cell r="I119">
            <v>0</v>
          </cell>
        </row>
        <row r="120">
          <cell r="F120">
            <v>0</v>
          </cell>
          <cell r="H120">
            <v>0</v>
          </cell>
          <cell r="I120">
            <v>0</v>
          </cell>
        </row>
        <row r="121">
          <cell r="F121">
            <v>0</v>
          </cell>
          <cell r="H121">
            <v>0</v>
          </cell>
          <cell r="I121">
            <v>0</v>
          </cell>
        </row>
        <row r="122">
          <cell r="F122">
            <v>0</v>
          </cell>
          <cell r="H122">
            <v>0</v>
          </cell>
          <cell r="I122">
            <v>0</v>
          </cell>
        </row>
        <row r="123">
          <cell r="F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</row>
        <row r="126">
          <cell r="F126">
            <v>0</v>
          </cell>
          <cell r="H126">
            <v>0</v>
          </cell>
          <cell r="I126">
            <v>0</v>
          </cell>
        </row>
        <row r="127">
          <cell r="F127">
            <v>0</v>
          </cell>
          <cell r="H127">
            <v>0</v>
          </cell>
          <cell r="I127">
            <v>0</v>
          </cell>
        </row>
        <row r="128">
          <cell r="F128">
            <v>0</v>
          </cell>
          <cell r="H128">
            <v>0</v>
          </cell>
          <cell r="I128">
            <v>0</v>
          </cell>
        </row>
        <row r="129">
          <cell r="F129">
            <v>0</v>
          </cell>
          <cell r="H129">
            <v>0</v>
          </cell>
          <cell r="I129">
            <v>0</v>
          </cell>
        </row>
        <row r="130">
          <cell r="F130">
            <v>0</v>
          </cell>
          <cell r="H130">
            <v>0</v>
          </cell>
          <cell r="I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</row>
        <row r="132">
          <cell r="F132">
            <v>0</v>
          </cell>
          <cell r="H132">
            <v>0</v>
          </cell>
          <cell r="I132">
            <v>0</v>
          </cell>
        </row>
        <row r="133">
          <cell r="F133">
            <v>0</v>
          </cell>
          <cell r="H133">
            <v>0</v>
          </cell>
          <cell r="I133">
            <v>0</v>
          </cell>
        </row>
        <row r="134">
          <cell r="F134">
            <v>0</v>
          </cell>
          <cell r="H134">
            <v>0</v>
          </cell>
          <cell r="I134">
            <v>0</v>
          </cell>
        </row>
        <row r="135">
          <cell r="F135">
            <v>0</v>
          </cell>
          <cell r="H135">
            <v>0</v>
          </cell>
          <cell r="I135">
            <v>0</v>
          </cell>
        </row>
        <row r="136">
          <cell r="F136">
            <v>0</v>
          </cell>
          <cell r="H136">
            <v>0</v>
          </cell>
          <cell r="I136">
            <v>0</v>
          </cell>
        </row>
        <row r="137">
          <cell r="F137">
            <v>0</v>
          </cell>
          <cell r="H137">
            <v>0</v>
          </cell>
          <cell r="I137">
            <v>0</v>
          </cell>
        </row>
        <row r="138">
          <cell r="F138">
            <v>0</v>
          </cell>
          <cell r="H138">
            <v>0</v>
          </cell>
          <cell r="I138">
            <v>0</v>
          </cell>
        </row>
        <row r="139">
          <cell r="F139">
            <v>0</v>
          </cell>
          <cell r="H139">
            <v>0</v>
          </cell>
          <cell r="I139">
            <v>0</v>
          </cell>
        </row>
        <row r="140">
          <cell r="F140">
            <v>0</v>
          </cell>
          <cell r="H140">
            <v>0</v>
          </cell>
          <cell r="I140">
            <v>0</v>
          </cell>
        </row>
        <row r="141">
          <cell r="F141">
            <v>0</v>
          </cell>
          <cell r="H141">
            <v>0</v>
          </cell>
          <cell r="I141">
            <v>0</v>
          </cell>
        </row>
        <row r="142">
          <cell r="F142">
            <v>0</v>
          </cell>
          <cell r="H142">
            <v>0</v>
          </cell>
          <cell r="I142">
            <v>0</v>
          </cell>
        </row>
        <row r="143">
          <cell r="F143">
            <v>0</v>
          </cell>
          <cell r="H143">
            <v>0</v>
          </cell>
          <cell r="I143">
            <v>0</v>
          </cell>
        </row>
        <row r="144">
          <cell r="F144">
            <v>0</v>
          </cell>
          <cell r="H144">
            <v>0</v>
          </cell>
          <cell r="I144">
            <v>0</v>
          </cell>
        </row>
        <row r="145">
          <cell r="F145">
            <v>0</v>
          </cell>
          <cell r="H145">
            <v>0</v>
          </cell>
          <cell r="I145">
            <v>0</v>
          </cell>
        </row>
        <row r="146">
          <cell r="F146">
            <v>0</v>
          </cell>
          <cell r="H146">
            <v>0</v>
          </cell>
          <cell r="I146">
            <v>0</v>
          </cell>
        </row>
        <row r="147">
          <cell r="F147">
            <v>0</v>
          </cell>
          <cell r="H147">
            <v>0</v>
          </cell>
          <cell r="I147">
            <v>0</v>
          </cell>
        </row>
        <row r="148">
          <cell r="F148">
            <v>0</v>
          </cell>
          <cell r="H148">
            <v>0</v>
          </cell>
          <cell r="I148">
            <v>0</v>
          </cell>
        </row>
        <row r="149">
          <cell r="F149">
            <v>0</v>
          </cell>
          <cell r="H149">
            <v>0</v>
          </cell>
          <cell r="I149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</row>
        <row r="151">
          <cell r="F151">
            <v>0</v>
          </cell>
          <cell r="H151">
            <v>0</v>
          </cell>
          <cell r="I151">
            <v>0</v>
          </cell>
        </row>
        <row r="152">
          <cell r="F152">
            <v>0</v>
          </cell>
          <cell r="H152">
            <v>0</v>
          </cell>
          <cell r="I152">
            <v>0</v>
          </cell>
        </row>
        <row r="153">
          <cell r="F153">
            <v>0</v>
          </cell>
          <cell r="H153">
            <v>0</v>
          </cell>
          <cell r="I153">
            <v>0</v>
          </cell>
        </row>
        <row r="154">
          <cell r="F154">
            <v>0</v>
          </cell>
          <cell r="H154">
            <v>0</v>
          </cell>
          <cell r="I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</row>
        <row r="156">
          <cell r="F156">
            <v>0</v>
          </cell>
          <cell r="H156">
            <v>0</v>
          </cell>
          <cell r="I156">
            <v>0</v>
          </cell>
        </row>
        <row r="157">
          <cell r="F157">
            <v>0</v>
          </cell>
          <cell r="H157">
            <v>0</v>
          </cell>
          <cell r="I157">
            <v>0</v>
          </cell>
        </row>
        <row r="158">
          <cell r="F158">
            <v>0</v>
          </cell>
          <cell r="H158">
            <v>0</v>
          </cell>
          <cell r="I158">
            <v>0</v>
          </cell>
        </row>
        <row r="159">
          <cell r="F159">
            <v>0</v>
          </cell>
          <cell r="H159">
            <v>0</v>
          </cell>
          <cell r="I159">
            <v>0</v>
          </cell>
        </row>
        <row r="160">
          <cell r="F160">
            <v>0</v>
          </cell>
          <cell r="H160">
            <v>0</v>
          </cell>
          <cell r="I160">
            <v>0</v>
          </cell>
        </row>
        <row r="161">
          <cell r="F161">
            <v>0</v>
          </cell>
          <cell r="H161">
            <v>0</v>
          </cell>
          <cell r="I161">
            <v>0</v>
          </cell>
        </row>
        <row r="162">
          <cell r="F162">
            <v>0</v>
          </cell>
          <cell r="H162">
            <v>0</v>
          </cell>
          <cell r="I162">
            <v>0</v>
          </cell>
        </row>
        <row r="163">
          <cell r="F163">
            <v>0</v>
          </cell>
          <cell r="H163">
            <v>0</v>
          </cell>
          <cell r="I163">
            <v>0</v>
          </cell>
        </row>
        <row r="164">
          <cell r="F164">
            <v>0</v>
          </cell>
          <cell r="H164">
            <v>0</v>
          </cell>
          <cell r="I164">
            <v>0</v>
          </cell>
        </row>
        <row r="165">
          <cell r="F165">
            <v>0</v>
          </cell>
          <cell r="H165">
            <v>0</v>
          </cell>
          <cell r="I165">
            <v>0</v>
          </cell>
        </row>
        <row r="166">
          <cell r="F166">
            <v>0</v>
          </cell>
          <cell r="H166">
            <v>0</v>
          </cell>
          <cell r="I166">
            <v>0</v>
          </cell>
        </row>
        <row r="167">
          <cell r="F167">
            <v>0</v>
          </cell>
          <cell r="H167">
            <v>0</v>
          </cell>
          <cell r="I167">
            <v>0</v>
          </cell>
        </row>
        <row r="168">
          <cell r="F168">
            <v>0</v>
          </cell>
          <cell r="H168">
            <v>0</v>
          </cell>
          <cell r="I168">
            <v>0</v>
          </cell>
        </row>
        <row r="169">
          <cell r="F169">
            <v>0</v>
          </cell>
          <cell r="H169">
            <v>0</v>
          </cell>
          <cell r="I169">
            <v>0</v>
          </cell>
        </row>
        <row r="170">
          <cell r="F170">
            <v>0</v>
          </cell>
          <cell r="H170">
            <v>0</v>
          </cell>
          <cell r="I170">
            <v>0</v>
          </cell>
        </row>
        <row r="171">
          <cell r="F171">
            <v>0</v>
          </cell>
          <cell r="H171">
            <v>0</v>
          </cell>
          <cell r="I171">
            <v>0</v>
          </cell>
        </row>
        <row r="172">
          <cell r="F172">
            <v>0</v>
          </cell>
          <cell r="H172">
            <v>0</v>
          </cell>
          <cell r="I172">
            <v>0</v>
          </cell>
        </row>
        <row r="173">
          <cell r="F173">
            <v>0</v>
          </cell>
          <cell r="H173">
            <v>0</v>
          </cell>
          <cell r="I173">
            <v>0</v>
          </cell>
        </row>
        <row r="174">
          <cell r="F174">
            <v>0</v>
          </cell>
          <cell r="H174">
            <v>0</v>
          </cell>
          <cell r="I174">
            <v>0</v>
          </cell>
        </row>
        <row r="175">
          <cell r="F175">
            <v>0</v>
          </cell>
          <cell r="H175">
            <v>0</v>
          </cell>
          <cell r="I175">
            <v>0</v>
          </cell>
        </row>
        <row r="176">
          <cell r="F176">
            <v>0</v>
          </cell>
          <cell r="H176">
            <v>0</v>
          </cell>
          <cell r="I176">
            <v>0</v>
          </cell>
        </row>
        <row r="177">
          <cell r="F177">
            <v>0</v>
          </cell>
          <cell r="H177">
            <v>0</v>
          </cell>
          <cell r="I177">
            <v>0</v>
          </cell>
        </row>
        <row r="178">
          <cell r="F178">
            <v>0</v>
          </cell>
          <cell r="H178">
            <v>0</v>
          </cell>
          <cell r="I178">
            <v>0</v>
          </cell>
        </row>
        <row r="179">
          <cell r="F179">
            <v>0</v>
          </cell>
          <cell r="H179">
            <v>0</v>
          </cell>
          <cell r="I179">
            <v>0</v>
          </cell>
        </row>
        <row r="180">
          <cell r="F180">
            <v>0</v>
          </cell>
          <cell r="H180">
            <v>0</v>
          </cell>
          <cell r="I180">
            <v>0</v>
          </cell>
        </row>
        <row r="181">
          <cell r="F181">
            <v>0</v>
          </cell>
          <cell r="H181">
            <v>0</v>
          </cell>
          <cell r="I181">
            <v>0</v>
          </cell>
        </row>
        <row r="182">
          <cell r="F182">
            <v>0</v>
          </cell>
          <cell r="H182">
            <v>0</v>
          </cell>
          <cell r="I182">
            <v>0</v>
          </cell>
        </row>
        <row r="183">
          <cell r="F183">
            <v>0</v>
          </cell>
          <cell r="H183">
            <v>0</v>
          </cell>
          <cell r="I183">
            <v>0</v>
          </cell>
        </row>
        <row r="184">
          <cell r="F184">
            <v>0</v>
          </cell>
          <cell r="H184">
            <v>0</v>
          </cell>
          <cell r="I184">
            <v>0</v>
          </cell>
        </row>
        <row r="185">
          <cell r="F185">
            <v>0</v>
          </cell>
          <cell r="H185">
            <v>0</v>
          </cell>
          <cell r="I185">
            <v>0</v>
          </cell>
        </row>
        <row r="186">
          <cell r="F186">
            <v>0</v>
          </cell>
          <cell r="H186">
            <v>0</v>
          </cell>
          <cell r="I186">
            <v>0</v>
          </cell>
        </row>
        <row r="187">
          <cell r="F187">
            <v>0</v>
          </cell>
          <cell r="H187">
            <v>0</v>
          </cell>
          <cell r="I187">
            <v>0</v>
          </cell>
        </row>
        <row r="188">
          <cell r="F188">
            <v>0</v>
          </cell>
          <cell r="H188">
            <v>0</v>
          </cell>
          <cell r="I188">
            <v>0</v>
          </cell>
        </row>
        <row r="189">
          <cell r="F189">
            <v>0</v>
          </cell>
          <cell r="H189">
            <v>0</v>
          </cell>
          <cell r="I189">
            <v>0</v>
          </cell>
        </row>
        <row r="190">
          <cell r="F190">
            <v>0</v>
          </cell>
          <cell r="H190">
            <v>0</v>
          </cell>
          <cell r="I190">
            <v>0</v>
          </cell>
        </row>
        <row r="191">
          <cell r="F191">
            <v>0</v>
          </cell>
          <cell r="H191">
            <v>0</v>
          </cell>
          <cell r="I191">
            <v>0</v>
          </cell>
        </row>
        <row r="192">
          <cell r="F192">
            <v>0</v>
          </cell>
          <cell r="H192">
            <v>0</v>
          </cell>
          <cell r="I192">
            <v>0</v>
          </cell>
        </row>
        <row r="193">
          <cell r="F193">
            <v>0</v>
          </cell>
          <cell r="H193">
            <v>0</v>
          </cell>
          <cell r="I193">
            <v>0</v>
          </cell>
        </row>
        <row r="194">
          <cell r="F194">
            <v>0</v>
          </cell>
          <cell r="H194">
            <v>0</v>
          </cell>
          <cell r="I194">
            <v>0</v>
          </cell>
        </row>
        <row r="195">
          <cell r="F195">
            <v>0</v>
          </cell>
          <cell r="H195">
            <v>0</v>
          </cell>
          <cell r="I195">
            <v>0</v>
          </cell>
        </row>
        <row r="196">
          <cell r="F196">
            <v>0</v>
          </cell>
          <cell r="H196">
            <v>0</v>
          </cell>
          <cell r="I196">
            <v>0</v>
          </cell>
        </row>
        <row r="197">
          <cell r="F197">
            <v>0</v>
          </cell>
          <cell r="H197">
            <v>0</v>
          </cell>
          <cell r="I197">
            <v>0</v>
          </cell>
        </row>
        <row r="198">
          <cell r="F198">
            <v>0</v>
          </cell>
          <cell r="H198">
            <v>0</v>
          </cell>
          <cell r="I198">
            <v>0</v>
          </cell>
        </row>
        <row r="199">
          <cell r="F199">
            <v>0</v>
          </cell>
          <cell r="H199">
            <v>0</v>
          </cell>
          <cell r="I199">
            <v>0</v>
          </cell>
        </row>
        <row r="200">
          <cell r="F200">
            <v>0</v>
          </cell>
          <cell r="H200">
            <v>0</v>
          </cell>
          <cell r="I200">
            <v>0</v>
          </cell>
        </row>
        <row r="201">
          <cell r="F201">
            <v>0</v>
          </cell>
          <cell r="H201">
            <v>0</v>
          </cell>
          <cell r="I201">
            <v>0</v>
          </cell>
        </row>
        <row r="202">
          <cell r="F202">
            <v>0</v>
          </cell>
          <cell r="H202">
            <v>0</v>
          </cell>
          <cell r="I202">
            <v>0</v>
          </cell>
        </row>
        <row r="203">
          <cell r="F203">
            <v>0</v>
          </cell>
          <cell r="H203">
            <v>0</v>
          </cell>
          <cell r="I203">
            <v>0</v>
          </cell>
        </row>
        <row r="204">
          <cell r="F204">
            <v>0</v>
          </cell>
          <cell r="H204">
            <v>0</v>
          </cell>
          <cell r="I204">
            <v>0</v>
          </cell>
        </row>
        <row r="205">
          <cell r="F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H206">
            <v>0</v>
          </cell>
          <cell r="I206">
            <v>0</v>
          </cell>
        </row>
        <row r="207">
          <cell r="F207">
            <v>0</v>
          </cell>
          <cell r="H207">
            <v>0</v>
          </cell>
          <cell r="I207">
            <v>0</v>
          </cell>
        </row>
        <row r="208">
          <cell r="F208">
            <v>0</v>
          </cell>
          <cell r="H208">
            <v>0</v>
          </cell>
          <cell r="I208">
            <v>0</v>
          </cell>
        </row>
        <row r="209">
          <cell r="F209">
            <v>0</v>
          </cell>
          <cell r="H209">
            <v>0</v>
          </cell>
          <cell r="I209">
            <v>0</v>
          </cell>
        </row>
        <row r="210">
          <cell r="F210">
            <v>0</v>
          </cell>
          <cell r="H210">
            <v>0</v>
          </cell>
          <cell r="I210">
            <v>0</v>
          </cell>
        </row>
        <row r="211">
          <cell r="F211">
            <v>0</v>
          </cell>
          <cell r="H211">
            <v>0</v>
          </cell>
          <cell r="I211">
            <v>0</v>
          </cell>
        </row>
        <row r="212">
          <cell r="F212">
            <v>0</v>
          </cell>
          <cell r="H212">
            <v>0</v>
          </cell>
          <cell r="I212">
            <v>0</v>
          </cell>
        </row>
        <row r="213">
          <cell r="F213">
            <v>0</v>
          </cell>
          <cell r="H213">
            <v>0</v>
          </cell>
          <cell r="I213">
            <v>0</v>
          </cell>
        </row>
        <row r="214">
          <cell r="F214">
            <v>0</v>
          </cell>
          <cell r="H214">
            <v>0</v>
          </cell>
          <cell r="I214">
            <v>0</v>
          </cell>
        </row>
        <row r="215">
          <cell r="F215">
            <v>0</v>
          </cell>
          <cell r="H215">
            <v>0</v>
          </cell>
          <cell r="I215">
            <v>0</v>
          </cell>
        </row>
        <row r="216">
          <cell r="F216">
            <v>0</v>
          </cell>
          <cell r="H216">
            <v>0</v>
          </cell>
          <cell r="I216">
            <v>0</v>
          </cell>
        </row>
        <row r="217">
          <cell r="F217">
            <v>0</v>
          </cell>
          <cell r="H217">
            <v>0</v>
          </cell>
          <cell r="I217">
            <v>0</v>
          </cell>
        </row>
        <row r="218">
          <cell r="F218">
            <v>0</v>
          </cell>
          <cell r="H218">
            <v>0</v>
          </cell>
          <cell r="I218">
            <v>0</v>
          </cell>
        </row>
        <row r="219">
          <cell r="F219">
            <v>0</v>
          </cell>
          <cell r="H219">
            <v>0</v>
          </cell>
          <cell r="I219">
            <v>0</v>
          </cell>
        </row>
        <row r="220">
          <cell r="F220">
            <v>0</v>
          </cell>
          <cell r="H220">
            <v>0</v>
          </cell>
          <cell r="I220">
            <v>0</v>
          </cell>
        </row>
        <row r="221">
          <cell r="F221">
            <v>0</v>
          </cell>
          <cell r="H221">
            <v>0</v>
          </cell>
          <cell r="I221">
            <v>0</v>
          </cell>
        </row>
        <row r="222">
          <cell r="F222">
            <v>0</v>
          </cell>
          <cell r="H222">
            <v>0</v>
          </cell>
          <cell r="I222">
            <v>0</v>
          </cell>
        </row>
        <row r="223">
          <cell r="F223">
            <v>0</v>
          </cell>
          <cell r="H223">
            <v>0</v>
          </cell>
          <cell r="I223">
            <v>0</v>
          </cell>
        </row>
        <row r="224">
          <cell r="F224">
            <v>0</v>
          </cell>
          <cell r="H224">
            <v>0</v>
          </cell>
          <cell r="I224">
            <v>0</v>
          </cell>
        </row>
        <row r="225">
          <cell r="F225">
            <v>0</v>
          </cell>
          <cell r="H225">
            <v>0</v>
          </cell>
          <cell r="I225">
            <v>0</v>
          </cell>
        </row>
        <row r="226">
          <cell r="F226">
            <v>0</v>
          </cell>
          <cell r="H226">
            <v>0</v>
          </cell>
          <cell r="I226">
            <v>0</v>
          </cell>
        </row>
        <row r="227">
          <cell r="F227">
            <v>0</v>
          </cell>
          <cell r="H227">
            <v>0</v>
          </cell>
          <cell r="I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</row>
        <row r="230">
          <cell r="F230">
            <v>0</v>
          </cell>
          <cell r="H230">
            <v>0</v>
          </cell>
          <cell r="I230">
            <v>0</v>
          </cell>
        </row>
        <row r="231">
          <cell r="F231">
            <v>0</v>
          </cell>
          <cell r="H231">
            <v>0</v>
          </cell>
          <cell r="I231">
            <v>0</v>
          </cell>
        </row>
        <row r="232">
          <cell r="F232">
            <v>0</v>
          </cell>
          <cell r="H232">
            <v>0</v>
          </cell>
          <cell r="I232">
            <v>0</v>
          </cell>
        </row>
        <row r="233">
          <cell r="F233">
            <v>0</v>
          </cell>
          <cell r="H233">
            <v>0</v>
          </cell>
          <cell r="I233">
            <v>0</v>
          </cell>
        </row>
        <row r="234">
          <cell r="F234">
            <v>0</v>
          </cell>
          <cell r="H234">
            <v>0</v>
          </cell>
          <cell r="I234">
            <v>0</v>
          </cell>
        </row>
        <row r="235">
          <cell r="F235">
            <v>0</v>
          </cell>
          <cell r="H235">
            <v>0</v>
          </cell>
          <cell r="I235">
            <v>0</v>
          </cell>
        </row>
        <row r="236">
          <cell r="F236">
            <v>0</v>
          </cell>
          <cell r="H236">
            <v>0</v>
          </cell>
          <cell r="I236">
            <v>0</v>
          </cell>
        </row>
        <row r="237">
          <cell r="F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H241">
            <v>0</v>
          </cell>
          <cell r="I241">
            <v>0</v>
          </cell>
        </row>
        <row r="242">
          <cell r="F242">
            <v>0</v>
          </cell>
          <cell r="H242">
            <v>0</v>
          </cell>
          <cell r="I242">
            <v>0</v>
          </cell>
        </row>
        <row r="243">
          <cell r="F243">
            <v>0</v>
          </cell>
          <cell r="H243">
            <v>0</v>
          </cell>
          <cell r="I243">
            <v>0</v>
          </cell>
        </row>
        <row r="244">
          <cell r="F244">
            <v>0</v>
          </cell>
          <cell r="H244">
            <v>0</v>
          </cell>
          <cell r="I244">
            <v>0</v>
          </cell>
        </row>
        <row r="245">
          <cell r="F245">
            <v>0</v>
          </cell>
          <cell r="H245">
            <v>0</v>
          </cell>
          <cell r="I245">
            <v>0</v>
          </cell>
        </row>
        <row r="246">
          <cell r="F246">
            <v>0</v>
          </cell>
          <cell r="H246">
            <v>0</v>
          </cell>
          <cell r="I246">
            <v>0</v>
          </cell>
        </row>
        <row r="247">
          <cell r="F247">
            <v>0</v>
          </cell>
          <cell r="H247">
            <v>0</v>
          </cell>
          <cell r="I247">
            <v>0</v>
          </cell>
        </row>
        <row r="248">
          <cell r="F248">
            <v>0</v>
          </cell>
          <cell r="H248">
            <v>0</v>
          </cell>
          <cell r="I248">
            <v>0</v>
          </cell>
        </row>
        <row r="249">
          <cell r="F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H250">
            <v>0</v>
          </cell>
          <cell r="I250">
            <v>0</v>
          </cell>
        </row>
        <row r="251">
          <cell r="F251">
            <v>0</v>
          </cell>
          <cell r="H251">
            <v>0</v>
          </cell>
          <cell r="I251">
            <v>0</v>
          </cell>
        </row>
        <row r="252">
          <cell r="F252">
            <v>0</v>
          </cell>
          <cell r="H252">
            <v>0</v>
          </cell>
          <cell r="I252">
            <v>0</v>
          </cell>
        </row>
        <row r="253">
          <cell r="F253">
            <v>0</v>
          </cell>
          <cell r="H253">
            <v>0</v>
          </cell>
          <cell r="I253">
            <v>0</v>
          </cell>
        </row>
        <row r="254">
          <cell r="F254">
            <v>0</v>
          </cell>
          <cell r="H254">
            <v>0</v>
          </cell>
          <cell r="I254">
            <v>0</v>
          </cell>
        </row>
        <row r="255">
          <cell r="F255">
            <v>0</v>
          </cell>
          <cell r="H255">
            <v>0</v>
          </cell>
          <cell r="I255">
            <v>0</v>
          </cell>
        </row>
        <row r="256">
          <cell r="F256">
            <v>0</v>
          </cell>
          <cell r="H256">
            <v>0</v>
          </cell>
          <cell r="I256">
            <v>0</v>
          </cell>
        </row>
        <row r="257">
          <cell r="F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H260">
            <v>0</v>
          </cell>
          <cell r="I260">
            <v>0</v>
          </cell>
        </row>
        <row r="261">
          <cell r="F261">
            <v>0</v>
          </cell>
          <cell r="H261">
            <v>0</v>
          </cell>
          <cell r="I261">
            <v>0</v>
          </cell>
        </row>
        <row r="262">
          <cell r="F262">
            <v>0</v>
          </cell>
          <cell r="H262">
            <v>0</v>
          </cell>
          <cell r="I262">
            <v>0</v>
          </cell>
        </row>
        <row r="263">
          <cell r="F263">
            <v>0</v>
          </cell>
          <cell r="H263">
            <v>0</v>
          </cell>
          <cell r="I263">
            <v>0</v>
          </cell>
        </row>
        <row r="264">
          <cell r="F264">
            <v>0</v>
          </cell>
          <cell r="H264">
            <v>0</v>
          </cell>
          <cell r="I264">
            <v>0</v>
          </cell>
        </row>
        <row r="265">
          <cell r="F265">
            <v>0</v>
          </cell>
          <cell r="H265">
            <v>0</v>
          </cell>
          <cell r="I265">
            <v>0</v>
          </cell>
        </row>
        <row r="266">
          <cell r="F266">
            <v>0</v>
          </cell>
          <cell r="H266">
            <v>0</v>
          </cell>
          <cell r="I266">
            <v>0</v>
          </cell>
        </row>
        <row r="267">
          <cell r="F267">
            <v>0</v>
          </cell>
          <cell r="H267">
            <v>0</v>
          </cell>
          <cell r="I267">
            <v>0</v>
          </cell>
        </row>
        <row r="268">
          <cell r="F268">
            <v>0</v>
          </cell>
          <cell r="H268">
            <v>0</v>
          </cell>
          <cell r="I268">
            <v>0</v>
          </cell>
        </row>
        <row r="269">
          <cell r="F269">
            <v>0</v>
          </cell>
          <cell r="H269">
            <v>0</v>
          </cell>
          <cell r="I269">
            <v>0</v>
          </cell>
        </row>
        <row r="270">
          <cell r="F270">
            <v>0</v>
          </cell>
          <cell r="H270">
            <v>0</v>
          </cell>
          <cell r="I270">
            <v>0</v>
          </cell>
        </row>
        <row r="271">
          <cell r="F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H274">
            <v>0</v>
          </cell>
          <cell r="I274">
            <v>0</v>
          </cell>
        </row>
        <row r="275">
          <cell r="F275">
            <v>0</v>
          </cell>
          <cell r="H275">
            <v>0</v>
          </cell>
          <cell r="I275">
            <v>0</v>
          </cell>
        </row>
        <row r="276">
          <cell r="F276">
            <v>0</v>
          </cell>
          <cell r="H276">
            <v>0</v>
          </cell>
          <cell r="I276">
            <v>0</v>
          </cell>
        </row>
        <row r="277">
          <cell r="F277">
            <v>0</v>
          </cell>
          <cell r="H277">
            <v>0</v>
          </cell>
          <cell r="I277">
            <v>0</v>
          </cell>
        </row>
        <row r="278">
          <cell r="F278">
            <v>0</v>
          </cell>
          <cell r="H278">
            <v>0</v>
          </cell>
          <cell r="I278">
            <v>0</v>
          </cell>
        </row>
        <row r="279">
          <cell r="F279">
            <v>0</v>
          </cell>
          <cell r="H279">
            <v>0</v>
          </cell>
          <cell r="I279">
            <v>0</v>
          </cell>
        </row>
        <row r="280">
          <cell r="F280">
            <v>0</v>
          </cell>
          <cell r="H280">
            <v>0</v>
          </cell>
          <cell r="I280">
            <v>0</v>
          </cell>
        </row>
        <row r="281">
          <cell r="F281">
            <v>0</v>
          </cell>
          <cell r="H281">
            <v>0</v>
          </cell>
          <cell r="I281">
            <v>0</v>
          </cell>
        </row>
        <row r="282">
          <cell r="F282">
            <v>0</v>
          </cell>
          <cell r="H282">
            <v>0</v>
          </cell>
          <cell r="I282">
            <v>0</v>
          </cell>
        </row>
        <row r="283">
          <cell r="F283">
            <v>0</v>
          </cell>
          <cell r="H283">
            <v>0</v>
          </cell>
          <cell r="I283">
            <v>0</v>
          </cell>
        </row>
        <row r="284">
          <cell r="F284">
            <v>0</v>
          </cell>
          <cell r="H284">
            <v>0</v>
          </cell>
          <cell r="I284">
            <v>0</v>
          </cell>
        </row>
        <row r="285">
          <cell r="F285">
            <v>0</v>
          </cell>
          <cell r="H285">
            <v>0</v>
          </cell>
          <cell r="I285">
            <v>0</v>
          </cell>
        </row>
        <row r="286">
          <cell r="F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H288">
            <v>0</v>
          </cell>
          <cell r="I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H290">
            <v>0</v>
          </cell>
          <cell r="I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</row>
        <row r="293">
          <cell r="F293">
            <v>0</v>
          </cell>
          <cell r="H293">
            <v>0</v>
          </cell>
          <cell r="I293">
            <v>0</v>
          </cell>
        </row>
        <row r="294">
          <cell r="F294">
            <v>0</v>
          </cell>
          <cell r="H294">
            <v>0</v>
          </cell>
          <cell r="I294">
            <v>0</v>
          </cell>
        </row>
        <row r="295">
          <cell r="F295">
            <v>0</v>
          </cell>
          <cell r="H295">
            <v>0</v>
          </cell>
          <cell r="I295">
            <v>0</v>
          </cell>
        </row>
        <row r="296">
          <cell r="F296">
            <v>0</v>
          </cell>
          <cell r="H296">
            <v>0</v>
          </cell>
          <cell r="I296">
            <v>0</v>
          </cell>
        </row>
        <row r="297">
          <cell r="F297">
            <v>0</v>
          </cell>
          <cell r="H297">
            <v>0</v>
          </cell>
          <cell r="I297">
            <v>0</v>
          </cell>
        </row>
        <row r="298">
          <cell r="F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H299">
            <v>0</v>
          </cell>
          <cell r="I299">
            <v>0</v>
          </cell>
        </row>
        <row r="300">
          <cell r="F300">
            <v>0</v>
          </cell>
          <cell r="H300">
            <v>0</v>
          </cell>
          <cell r="I300">
            <v>0</v>
          </cell>
        </row>
        <row r="301">
          <cell r="F301">
            <v>0</v>
          </cell>
          <cell r="H301">
            <v>0</v>
          </cell>
          <cell r="I301">
            <v>0</v>
          </cell>
        </row>
        <row r="302">
          <cell r="F302">
            <v>0</v>
          </cell>
          <cell r="H302">
            <v>0</v>
          </cell>
          <cell r="I302">
            <v>0</v>
          </cell>
        </row>
        <row r="303">
          <cell r="F303">
            <v>0</v>
          </cell>
          <cell r="H303">
            <v>0</v>
          </cell>
          <cell r="I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</row>
        <row r="305">
          <cell r="F305">
            <v>0</v>
          </cell>
          <cell r="H305">
            <v>0</v>
          </cell>
          <cell r="I305">
            <v>0</v>
          </cell>
        </row>
        <row r="306">
          <cell r="F306">
            <v>0</v>
          </cell>
          <cell r="H306">
            <v>0</v>
          </cell>
          <cell r="I306">
            <v>0</v>
          </cell>
        </row>
        <row r="307">
          <cell r="F307">
            <v>0</v>
          </cell>
          <cell r="H307">
            <v>0</v>
          </cell>
          <cell r="I307">
            <v>0</v>
          </cell>
        </row>
        <row r="308">
          <cell r="F308">
            <v>0</v>
          </cell>
          <cell r="H308">
            <v>0</v>
          </cell>
          <cell r="I308">
            <v>0</v>
          </cell>
        </row>
        <row r="309">
          <cell r="F309">
            <v>0</v>
          </cell>
          <cell r="H309">
            <v>0</v>
          </cell>
          <cell r="I309">
            <v>0</v>
          </cell>
        </row>
        <row r="310">
          <cell r="F310">
            <v>0</v>
          </cell>
          <cell r="H310">
            <v>0</v>
          </cell>
          <cell r="I310">
            <v>0</v>
          </cell>
        </row>
        <row r="311">
          <cell r="F311">
            <v>0</v>
          </cell>
          <cell r="H311">
            <v>0</v>
          </cell>
          <cell r="I311">
            <v>0</v>
          </cell>
        </row>
        <row r="312">
          <cell r="F312">
            <v>0</v>
          </cell>
          <cell r="H312">
            <v>0</v>
          </cell>
          <cell r="I312">
            <v>0</v>
          </cell>
        </row>
        <row r="313">
          <cell r="F313">
            <v>0</v>
          </cell>
          <cell r="H313">
            <v>0</v>
          </cell>
          <cell r="I313">
            <v>0</v>
          </cell>
        </row>
        <row r="314">
          <cell r="F314">
            <v>0</v>
          </cell>
          <cell r="H314">
            <v>0</v>
          </cell>
          <cell r="I314">
            <v>0</v>
          </cell>
        </row>
        <row r="315">
          <cell r="F315">
            <v>0</v>
          </cell>
          <cell r="H315">
            <v>0</v>
          </cell>
          <cell r="I315">
            <v>0</v>
          </cell>
        </row>
        <row r="316">
          <cell r="F316">
            <v>0</v>
          </cell>
          <cell r="H316">
            <v>0</v>
          </cell>
          <cell r="I316">
            <v>0</v>
          </cell>
        </row>
        <row r="317">
          <cell r="F317">
            <v>0</v>
          </cell>
          <cell r="H317">
            <v>0</v>
          </cell>
          <cell r="I317">
            <v>0</v>
          </cell>
        </row>
        <row r="318">
          <cell r="F318">
            <v>0</v>
          </cell>
          <cell r="H318">
            <v>0</v>
          </cell>
          <cell r="I318">
            <v>0</v>
          </cell>
        </row>
        <row r="319">
          <cell r="F319">
            <v>0</v>
          </cell>
          <cell r="H319">
            <v>0</v>
          </cell>
          <cell r="I319">
            <v>0</v>
          </cell>
        </row>
        <row r="320">
          <cell r="F320">
            <v>0</v>
          </cell>
          <cell r="H320">
            <v>0</v>
          </cell>
          <cell r="I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</row>
        <row r="322">
          <cell r="F322">
            <v>0</v>
          </cell>
          <cell r="H322">
            <v>0</v>
          </cell>
          <cell r="I322">
            <v>0</v>
          </cell>
        </row>
        <row r="323">
          <cell r="F323">
            <v>0</v>
          </cell>
          <cell r="H323">
            <v>0</v>
          </cell>
          <cell r="I323">
            <v>0</v>
          </cell>
        </row>
        <row r="324">
          <cell r="F324">
            <v>0</v>
          </cell>
          <cell r="H324">
            <v>0</v>
          </cell>
          <cell r="I324">
            <v>0</v>
          </cell>
        </row>
        <row r="325">
          <cell r="F325">
            <v>0</v>
          </cell>
          <cell r="H325">
            <v>0</v>
          </cell>
          <cell r="I325">
            <v>0</v>
          </cell>
        </row>
        <row r="326">
          <cell r="F326">
            <v>0</v>
          </cell>
          <cell r="H326">
            <v>0</v>
          </cell>
          <cell r="I326">
            <v>0</v>
          </cell>
        </row>
        <row r="327">
          <cell r="F327">
            <v>0</v>
          </cell>
          <cell r="H327">
            <v>0</v>
          </cell>
          <cell r="I327">
            <v>0</v>
          </cell>
        </row>
        <row r="328">
          <cell r="F328">
            <v>0</v>
          </cell>
          <cell r="H328">
            <v>0</v>
          </cell>
          <cell r="I328">
            <v>0</v>
          </cell>
        </row>
        <row r="329">
          <cell r="F329">
            <v>0</v>
          </cell>
          <cell r="H329">
            <v>0</v>
          </cell>
          <cell r="I329">
            <v>0</v>
          </cell>
        </row>
        <row r="330">
          <cell r="F330">
            <v>0</v>
          </cell>
          <cell r="H330">
            <v>0</v>
          </cell>
          <cell r="I330">
            <v>0</v>
          </cell>
        </row>
        <row r="331">
          <cell r="F331">
            <v>0</v>
          </cell>
          <cell r="H331">
            <v>0</v>
          </cell>
          <cell r="I331">
            <v>0</v>
          </cell>
        </row>
        <row r="332">
          <cell r="F332">
            <v>0</v>
          </cell>
          <cell r="H332">
            <v>0</v>
          </cell>
          <cell r="I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</row>
        <row r="334">
          <cell r="F334">
            <v>0</v>
          </cell>
          <cell r="H334">
            <v>0</v>
          </cell>
          <cell r="I334">
            <v>0</v>
          </cell>
        </row>
        <row r="335">
          <cell r="F335">
            <v>0</v>
          </cell>
          <cell r="H335">
            <v>0</v>
          </cell>
          <cell r="I335">
            <v>0</v>
          </cell>
        </row>
        <row r="336">
          <cell r="F336">
            <v>0</v>
          </cell>
          <cell r="H336">
            <v>0</v>
          </cell>
          <cell r="I336">
            <v>0</v>
          </cell>
        </row>
        <row r="337">
          <cell r="F337">
            <v>0</v>
          </cell>
          <cell r="H337">
            <v>0</v>
          </cell>
          <cell r="I337">
            <v>0</v>
          </cell>
        </row>
        <row r="338">
          <cell r="F338">
            <v>0</v>
          </cell>
          <cell r="H338">
            <v>0</v>
          </cell>
          <cell r="I338">
            <v>0</v>
          </cell>
        </row>
        <row r="339">
          <cell r="F339">
            <v>0</v>
          </cell>
          <cell r="H339">
            <v>0</v>
          </cell>
          <cell r="I339">
            <v>0</v>
          </cell>
        </row>
        <row r="340">
          <cell r="F340">
            <v>0</v>
          </cell>
          <cell r="H340">
            <v>0</v>
          </cell>
          <cell r="I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</row>
        <row r="343">
          <cell r="F343">
            <v>0</v>
          </cell>
          <cell r="H343">
            <v>0</v>
          </cell>
          <cell r="I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</row>
        <row r="345">
          <cell r="F345">
            <v>0</v>
          </cell>
          <cell r="H345">
            <v>0</v>
          </cell>
          <cell r="I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</row>
        <row r="347">
          <cell r="F347">
            <v>0</v>
          </cell>
          <cell r="H347">
            <v>0</v>
          </cell>
          <cell r="I347">
            <v>0</v>
          </cell>
        </row>
        <row r="348">
          <cell r="F348">
            <v>0</v>
          </cell>
          <cell r="H348">
            <v>0</v>
          </cell>
          <cell r="I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</row>
        <row r="352">
          <cell r="F352">
            <v>0</v>
          </cell>
          <cell r="H352">
            <v>0</v>
          </cell>
          <cell r="I352">
            <v>0</v>
          </cell>
        </row>
        <row r="353">
          <cell r="F353">
            <v>0</v>
          </cell>
          <cell r="H353">
            <v>0</v>
          </cell>
          <cell r="I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</row>
        <row r="355">
          <cell r="F355">
            <v>0</v>
          </cell>
          <cell r="H355">
            <v>0</v>
          </cell>
          <cell r="I355">
            <v>0</v>
          </cell>
        </row>
        <row r="356">
          <cell r="F356">
            <v>0</v>
          </cell>
          <cell r="H356">
            <v>0</v>
          </cell>
          <cell r="I356">
            <v>0</v>
          </cell>
        </row>
        <row r="357">
          <cell r="F357">
            <v>0</v>
          </cell>
          <cell r="H357">
            <v>0</v>
          </cell>
          <cell r="I357">
            <v>0</v>
          </cell>
        </row>
        <row r="358">
          <cell r="F358">
            <v>0</v>
          </cell>
          <cell r="H358">
            <v>0</v>
          </cell>
          <cell r="I358">
            <v>0</v>
          </cell>
        </row>
        <row r="359">
          <cell r="F359">
            <v>0</v>
          </cell>
          <cell r="H359">
            <v>0</v>
          </cell>
          <cell r="I359">
            <v>0</v>
          </cell>
        </row>
        <row r="360">
          <cell r="F360">
            <v>0</v>
          </cell>
          <cell r="H360">
            <v>0</v>
          </cell>
          <cell r="I360">
            <v>0</v>
          </cell>
        </row>
        <row r="361">
          <cell r="F361">
            <v>0</v>
          </cell>
          <cell r="H361">
            <v>0</v>
          </cell>
          <cell r="I361">
            <v>0</v>
          </cell>
        </row>
        <row r="362">
          <cell r="F362">
            <v>0</v>
          </cell>
          <cell r="H362">
            <v>0</v>
          </cell>
          <cell r="I362">
            <v>0</v>
          </cell>
        </row>
        <row r="363">
          <cell r="F363">
            <v>0</v>
          </cell>
          <cell r="H363">
            <v>0</v>
          </cell>
          <cell r="I363">
            <v>0</v>
          </cell>
        </row>
        <row r="364">
          <cell r="F364">
            <v>0</v>
          </cell>
          <cell r="H364">
            <v>0</v>
          </cell>
          <cell r="I364">
            <v>0</v>
          </cell>
        </row>
        <row r="365">
          <cell r="F365">
            <v>0</v>
          </cell>
          <cell r="H365">
            <v>0</v>
          </cell>
          <cell r="I365">
            <v>0</v>
          </cell>
        </row>
        <row r="366">
          <cell r="F366">
            <v>0</v>
          </cell>
          <cell r="H366">
            <v>0</v>
          </cell>
          <cell r="I366">
            <v>0</v>
          </cell>
        </row>
        <row r="367">
          <cell r="F367">
            <v>0</v>
          </cell>
          <cell r="H367">
            <v>0</v>
          </cell>
          <cell r="I367">
            <v>0</v>
          </cell>
        </row>
        <row r="368">
          <cell r="F368">
            <v>0</v>
          </cell>
          <cell r="H368">
            <v>0</v>
          </cell>
          <cell r="I368">
            <v>0</v>
          </cell>
        </row>
        <row r="369">
          <cell r="F369">
            <v>0</v>
          </cell>
          <cell r="H369">
            <v>0</v>
          </cell>
          <cell r="I369">
            <v>0</v>
          </cell>
        </row>
        <row r="370">
          <cell r="F370">
            <v>0</v>
          </cell>
          <cell r="H370">
            <v>0</v>
          </cell>
          <cell r="I370">
            <v>0</v>
          </cell>
        </row>
        <row r="371">
          <cell r="F371">
            <v>0</v>
          </cell>
          <cell r="H371">
            <v>0</v>
          </cell>
          <cell r="I371">
            <v>0</v>
          </cell>
        </row>
        <row r="372">
          <cell r="F372">
            <v>0</v>
          </cell>
          <cell r="H372">
            <v>0</v>
          </cell>
          <cell r="I372">
            <v>0</v>
          </cell>
        </row>
        <row r="373">
          <cell r="F373">
            <v>0</v>
          </cell>
          <cell r="H373">
            <v>0</v>
          </cell>
          <cell r="I373">
            <v>0</v>
          </cell>
        </row>
        <row r="374">
          <cell r="F374">
            <v>0</v>
          </cell>
          <cell r="H374">
            <v>0</v>
          </cell>
          <cell r="I374">
            <v>0</v>
          </cell>
        </row>
        <row r="375">
          <cell r="F375">
            <v>0</v>
          </cell>
          <cell r="H375">
            <v>0</v>
          </cell>
          <cell r="I375">
            <v>0</v>
          </cell>
        </row>
        <row r="376">
          <cell r="F376">
            <v>0</v>
          </cell>
          <cell r="H376">
            <v>0</v>
          </cell>
          <cell r="I376">
            <v>0</v>
          </cell>
        </row>
        <row r="377">
          <cell r="F377">
            <v>0</v>
          </cell>
          <cell r="H377">
            <v>0</v>
          </cell>
          <cell r="I377">
            <v>0</v>
          </cell>
        </row>
        <row r="378">
          <cell r="F378">
            <v>0</v>
          </cell>
          <cell r="H378">
            <v>0</v>
          </cell>
          <cell r="I378">
            <v>0</v>
          </cell>
        </row>
        <row r="379">
          <cell r="F379">
            <v>0</v>
          </cell>
          <cell r="H379">
            <v>0</v>
          </cell>
          <cell r="I379">
            <v>0</v>
          </cell>
        </row>
        <row r="380">
          <cell r="F380">
            <v>0</v>
          </cell>
          <cell r="H380">
            <v>0</v>
          </cell>
          <cell r="I380">
            <v>0</v>
          </cell>
        </row>
        <row r="381">
          <cell r="F381">
            <v>0</v>
          </cell>
          <cell r="H381">
            <v>0</v>
          </cell>
          <cell r="I381">
            <v>0</v>
          </cell>
        </row>
        <row r="382">
          <cell r="F382">
            <v>0</v>
          </cell>
          <cell r="H382">
            <v>0</v>
          </cell>
          <cell r="I382">
            <v>0</v>
          </cell>
        </row>
        <row r="383">
          <cell r="F383">
            <v>0</v>
          </cell>
          <cell r="H383">
            <v>0</v>
          </cell>
          <cell r="I383">
            <v>0</v>
          </cell>
        </row>
        <row r="384">
          <cell r="F384">
            <v>0</v>
          </cell>
          <cell r="H384">
            <v>0</v>
          </cell>
          <cell r="I384">
            <v>0</v>
          </cell>
        </row>
        <row r="385">
          <cell r="F385">
            <v>0</v>
          </cell>
          <cell r="H385">
            <v>0</v>
          </cell>
          <cell r="I385">
            <v>0</v>
          </cell>
        </row>
        <row r="386">
          <cell r="F386">
            <v>0</v>
          </cell>
          <cell r="H386">
            <v>0</v>
          </cell>
          <cell r="I386">
            <v>0</v>
          </cell>
        </row>
        <row r="387">
          <cell r="F387">
            <v>0</v>
          </cell>
          <cell r="H387">
            <v>0</v>
          </cell>
          <cell r="I387">
            <v>0</v>
          </cell>
        </row>
        <row r="388">
          <cell r="F388">
            <v>0</v>
          </cell>
          <cell r="H388">
            <v>0</v>
          </cell>
          <cell r="I388">
            <v>0</v>
          </cell>
        </row>
        <row r="389">
          <cell r="F389">
            <v>0</v>
          </cell>
          <cell r="H389">
            <v>0</v>
          </cell>
          <cell r="I389">
            <v>0</v>
          </cell>
        </row>
        <row r="390">
          <cell r="F390">
            <v>0</v>
          </cell>
          <cell r="H390">
            <v>0</v>
          </cell>
          <cell r="I390">
            <v>0</v>
          </cell>
        </row>
        <row r="391">
          <cell r="F391">
            <v>0</v>
          </cell>
          <cell r="H391">
            <v>0</v>
          </cell>
          <cell r="I391">
            <v>0</v>
          </cell>
        </row>
        <row r="392">
          <cell r="F392">
            <v>0</v>
          </cell>
          <cell r="H392">
            <v>0</v>
          </cell>
          <cell r="I392">
            <v>0</v>
          </cell>
        </row>
        <row r="393">
          <cell r="F393">
            <v>0</v>
          </cell>
          <cell r="H393">
            <v>0</v>
          </cell>
          <cell r="I393">
            <v>0</v>
          </cell>
        </row>
        <row r="394">
          <cell r="F394">
            <v>0</v>
          </cell>
          <cell r="H394">
            <v>0</v>
          </cell>
          <cell r="I394">
            <v>0</v>
          </cell>
        </row>
        <row r="395">
          <cell r="F395">
            <v>0</v>
          </cell>
          <cell r="H395">
            <v>0</v>
          </cell>
          <cell r="I395">
            <v>0</v>
          </cell>
        </row>
        <row r="396">
          <cell r="F396">
            <v>0</v>
          </cell>
          <cell r="H396">
            <v>0</v>
          </cell>
          <cell r="I396">
            <v>0</v>
          </cell>
        </row>
        <row r="397">
          <cell r="F397">
            <v>0</v>
          </cell>
          <cell r="H397">
            <v>0</v>
          </cell>
          <cell r="I397">
            <v>0</v>
          </cell>
        </row>
        <row r="398">
          <cell r="F398">
            <v>0</v>
          </cell>
          <cell r="H398">
            <v>0</v>
          </cell>
          <cell r="I398">
            <v>0</v>
          </cell>
        </row>
        <row r="399">
          <cell r="F399">
            <v>0</v>
          </cell>
          <cell r="H399">
            <v>0</v>
          </cell>
          <cell r="I399">
            <v>0</v>
          </cell>
        </row>
        <row r="400">
          <cell r="F400">
            <v>0</v>
          </cell>
          <cell r="H400">
            <v>0</v>
          </cell>
          <cell r="I400">
            <v>0</v>
          </cell>
        </row>
        <row r="401">
          <cell r="F401">
            <v>0</v>
          </cell>
          <cell r="H401">
            <v>0</v>
          </cell>
          <cell r="I401">
            <v>0</v>
          </cell>
        </row>
        <row r="402">
          <cell r="F402">
            <v>0</v>
          </cell>
          <cell r="H402">
            <v>0</v>
          </cell>
          <cell r="I402">
            <v>0</v>
          </cell>
        </row>
        <row r="403">
          <cell r="F403">
            <v>0</v>
          </cell>
          <cell r="H403">
            <v>0</v>
          </cell>
          <cell r="I403">
            <v>0</v>
          </cell>
        </row>
        <row r="404">
          <cell r="F404">
            <v>0</v>
          </cell>
          <cell r="H404">
            <v>0</v>
          </cell>
          <cell r="I404">
            <v>0</v>
          </cell>
        </row>
        <row r="405">
          <cell r="F405">
            <v>0</v>
          </cell>
          <cell r="H405">
            <v>0</v>
          </cell>
          <cell r="I405">
            <v>0</v>
          </cell>
        </row>
        <row r="406">
          <cell r="F406">
            <v>0</v>
          </cell>
          <cell r="H406">
            <v>0</v>
          </cell>
          <cell r="I406">
            <v>0</v>
          </cell>
        </row>
        <row r="407">
          <cell r="F407">
            <v>0</v>
          </cell>
          <cell r="H407">
            <v>0</v>
          </cell>
          <cell r="I407">
            <v>0</v>
          </cell>
        </row>
        <row r="408">
          <cell r="F408">
            <v>0</v>
          </cell>
          <cell r="H408">
            <v>0</v>
          </cell>
          <cell r="I408">
            <v>0</v>
          </cell>
        </row>
        <row r="409">
          <cell r="F409">
            <v>0</v>
          </cell>
          <cell r="H409">
            <v>0</v>
          </cell>
          <cell r="I409">
            <v>0</v>
          </cell>
        </row>
        <row r="410">
          <cell r="F410">
            <v>0</v>
          </cell>
          <cell r="H410">
            <v>0</v>
          </cell>
          <cell r="I410">
            <v>0</v>
          </cell>
        </row>
        <row r="411">
          <cell r="F411">
            <v>0</v>
          </cell>
          <cell r="H411">
            <v>0</v>
          </cell>
          <cell r="I411">
            <v>0</v>
          </cell>
        </row>
        <row r="412">
          <cell r="F412">
            <v>0</v>
          </cell>
          <cell r="H412">
            <v>0</v>
          </cell>
          <cell r="I412">
            <v>0</v>
          </cell>
        </row>
        <row r="413">
          <cell r="F413">
            <v>0</v>
          </cell>
          <cell r="H413">
            <v>0</v>
          </cell>
          <cell r="I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</row>
        <row r="415">
          <cell r="F415">
            <v>0</v>
          </cell>
          <cell r="H415">
            <v>0</v>
          </cell>
          <cell r="I415">
            <v>0</v>
          </cell>
        </row>
        <row r="416">
          <cell r="F416">
            <v>0</v>
          </cell>
          <cell r="H416">
            <v>0</v>
          </cell>
          <cell r="I416">
            <v>0</v>
          </cell>
        </row>
        <row r="417">
          <cell r="F417">
            <v>0</v>
          </cell>
          <cell r="H417">
            <v>0</v>
          </cell>
          <cell r="I417">
            <v>0</v>
          </cell>
        </row>
        <row r="418">
          <cell r="F418">
            <v>0</v>
          </cell>
          <cell r="H418">
            <v>0</v>
          </cell>
          <cell r="I418">
            <v>0</v>
          </cell>
        </row>
        <row r="419">
          <cell r="F419">
            <v>0</v>
          </cell>
          <cell r="H419">
            <v>0</v>
          </cell>
          <cell r="I419">
            <v>0</v>
          </cell>
        </row>
        <row r="420">
          <cell r="F420">
            <v>0</v>
          </cell>
          <cell r="H420">
            <v>0</v>
          </cell>
          <cell r="I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</row>
        <row r="422">
          <cell r="F422">
            <v>0</v>
          </cell>
          <cell r="H422">
            <v>0</v>
          </cell>
          <cell r="I422">
            <v>0</v>
          </cell>
        </row>
        <row r="423">
          <cell r="F423">
            <v>0</v>
          </cell>
          <cell r="H423">
            <v>0</v>
          </cell>
          <cell r="I423">
            <v>0</v>
          </cell>
        </row>
        <row r="424">
          <cell r="F424">
            <v>0</v>
          </cell>
          <cell r="H424">
            <v>0</v>
          </cell>
          <cell r="I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</row>
        <row r="426">
          <cell r="F426">
            <v>0</v>
          </cell>
          <cell r="H426">
            <v>0</v>
          </cell>
          <cell r="I426">
            <v>0</v>
          </cell>
        </row>
        <row r="427">
          <cell r="F427">
            <v>0</v>
          </cell>
          <cell r="H427">
            <v>0</v>
          </cell>
          <cell r="I427">
            <v>0</v>
          </cell>
        </row>
        <row r="428">
          <cell r="F428">
            <v>0</v>
          </cell>
          <cell r="H428">
            <v>0</v>
          </cell>
          <cell r="I428">
            <v>0</v>
          </cell>
        </row>
        <row r="429">
          <cell r="F429">
            <v>0</v>
          </cell>
          <cell r="H429">
            <v>0</v>
          </cell>
          <cell r="I429">
            <v>0</v>
          </cell>
        </row>
        <row r="430">
          <cell r="F430">
            <v>0</v>
          </cell>
          <cell r="H430">
            <v>0</v>
          </cell>
          <cell r="I430">
            <v>0</v>
          </cell>
        </row>
        <row r="431">
          <cell r="F431">
            <v>0</v>
          </cell>
          <cell r="H431">
            <v>0</v>
          </cell>
          <cell r="I431">
            <v>0</v>
          </cell>
        </row>
        <row r="432">
          <cell r="F432">
            <v>0</v>
          </cell>
          <cell r="H432">
            <v>0</v>
          </cell>
          <cell r="I432">
            <v>0</v>
          </cell>
        </row>
        <row r="433">
          <cell r="F433">
            <v>0</v>
          </cell>
          <cell r="H433">
            <v>0</v>
          </cell>
          <cell r="I433">
            <v>0</v>
          </cell>
        </row>
        <row r="434">
          <cell r="F434">
            <v>0</v>
          </cell>
          <cell r="H434">
            <v>0</v>
          </cell>
          <cell r="I434">
            <v>0</v>
          </cell>
        </row>
        <row r="435">
          <cell r="F435">
            <v>0</v>
          </cell>
          <cell r="H435">
            <v>0</v>
          </cell>
          <cell r="I435">
            <v>0</v>
          </cell>
        </row>
        <row r="436">
          <cell r="F436">
            <v>0</v>
          </cell>
          <cell r="H436">
            <v>0</v>
          </cell>
          <cell r="I436">
            <v>0</v>
          </cell>
        </row>
        <row r="437">
          <cell r="F437">
            <v>0</v>
          </cell>
          <cell r="H437">
            <v>0</v>
          </cell>
          <cell r="I437">
            <v>0</v>
          </cell>
        </row>
        <row r="438">
          <cell r="F438">
            <v>0</v>
          </cell>
          <cell r="H438">
            <v>0</v>
          </cell>
          <cell r="I438">
            <v>0</v>
          </cell>
        </row>
        <row r="439">
          <cell r="F439">
            <v>0</v>
          </cell>
          <cell r="H439">
            <v>0</v>
          </cell>
          <cell r="I439">
            <v>0</v>
          </cell>
        </row>
        <row r="440">
          <cell r="F440">
            <v>0</v>
          </cell>
          <cell r="H440">
            <v>0</v>
          </cell>
          <cell r="I440">
            <v>0</v>
          </cell>
        </row>
        <row r="441">
          <cell r="F441">
            <v>0</v>
          </cell>
          <cell r="H441">
            <v>0</v>
          </cell>
          <cell r="I441">
            <v>0</v>
          </cell>
        </row>
        <row r="442">
          <cell r="F442">
            <v>0</v>
          </cell>
          <cell r="H442">
            <v>0</v>
          </cell>
          <cell r="I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</row>
        <row r="444">
          <cell r="F444">
            <v>0</v>
          </cell>
          <cell r="H444">
            <v>0</v>
          </cell>
          <cell r="I444">
            <v>0</v>
          </cell>
        </row>
        <row r="445">
          <cell r="F445">
            <v>0</v>
          </cell>
          <cell r="H445">
            <v>0</v>
          </cell>
          <cell r="I445">
            <v>0</v>
          </cell>
        </row>
        <row r="446">
          <cell r="F446">
            <v>0</v>
          </cell>
          <cell r="H446">
            <v>0</v>
          </cell>
          <cell r="I446">
            <v>0</v>
          </cell>
        </row>
        <row r="447">
          <cell r="F447">
            <v>0</v>
          </cell>
          <cell r="H447">
            <v>0</v>
          </cell>
          <cell r="I447">
            <v>0</v>
          </cell>
        </row>
        <row r="448">
          <cell r="F448">
            <v>0</v>
          </cell>
          <cell r="H448">
            <v>0</v>
          </cell>
          <cell r="I448">
            <v>0</v>
          </cell>
        </row>
        <row r="449">
          <cell r="F449">
            <v>0</v>
          </cell>
          <cell r="H449">
            <v>0</v>
          </cell>
          <cell r="I449">
            <v>0</v>
          </cell>
        </row>
        <row r="450">
          <cell r="F450">
            <v>0</v>
          </cell>
          <cell r="H450">
            <v>0</v>
          </cell>
          <cell r="I450">
            <v>0</v>
          </cell>
        </row>
        <row r="451">
          <cell r="F451">
            <v>0</v>
          </cell>
          <cell r="H451">
            <v>0</v>
          </cell>
          <cell r="I451">
            <v>0</v>
          </cell>
        </row>
        <row r="452">
          <cell r="F452">
            <v>0</v>
          </cell>
          <cell r="H452">
            <v>0</v>
          </cell>
          <cell r="I452">
            <v>0</v>
          </cell>
        </row>
        <row r="453">
          <cell r="F453">
            <v>0</v>
          </cell>
          <cell r="H453">
            <v>0</v>
          </cell>
          <cell r="I453">
            <v>0</v>
          </cell>
        </row>
        <row r="454">
          <cell r="F454">
            <v>0</v>
          </cell>
          <cell r="H454">
            <v>0</v>
          </cell>
          <cell r="I454">
            <v>0</v>
          </cell>
        </row>
        <row r="455">
          <cell r="F455">
            <v>0</v>
          </cell>
          <cell r="H455">
            <v>0</v>
          </cell>
          <cell r="I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</row>
        <row r="457">
          <cell r="F457">
            <v>0</v>
          </cell>
          <cell r="H457">
            <v>0</v>
          </cell>
          <cell r="I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</row>
        <row r="461">
          <cell r="F461">
            <v>0</v>
          </cell>
          <cell r="H461">
            <v>0</v>
          </cell>
          <cell r="I461">
            <v>0</v>
          </cell>
        </row>
        <row r="462">
          <cell r="F462">
            <v>0</v>
          </cell>
          <cell r="H462">
            <v>0</v>
          </cell>
          <cell r="I462">
            <v>0</v>
          </cell>
        </row>
        <row r="463">
          <cell r="F463">
            <v>0</v>
          </cell>
          <cell r="H463">
            <v>0</v>
          </cell>
          <cell r="I463">
            <v>0</v>
          </cell>
        </row>
        <row r="464">
          <cell r="F464">
            <v>0</v>
          </cell>
          <cell r="H464">
            <v>0</v>
          </cell>
          <cell r="I464">
            <v>0</v>
          </cell>
        </row>
        <row r="465">
          <cell r="F465">
            <v>0</v>
          </cell>
          <cell r="H465">
            <v>0</v>
          </cell>
          <cell r="I465">
            <v>0</v>
          </cell>
        </row>
        <row r="466">
          <cell r="F466">
            <v>0</v>
          </cell>
          <cell r="H466">
            <v>0</v>
          </cell>
          <cell r="I466">
            <v>0</v>
          </cell>
        </row>
        <row r="467">
          <cell r="F467">
            <v>0</v>
          </cell>
          <cell r="H467">
            <v>0</v>
          </cell>
          <cell r="I467">
            <v>0</v>
          </cell>
        </row>
        <row r="468">
          <cell r="F468">
            <v>0</v>
          </cell>
          <cell r="H468">
            <v>0</v>
          </cell>
          <cell r="I468">
            <v>0</v>
          </cell>
        </row>
        <row r="469">
          <cell r="F469">
            <v>0</v>
          </cell>
          <cell r="H469">
            <v>0</v>
          </cell>
          <cell r="I469">
            <v>0</v>
          </cell>
        </row>
        <row r="470">
          <cell r="F470">
            <v>0</v>
          </cell>
          <cell r="H470">
            <v>0</v>
          </cell>
          <cell r="I470">
            <v>0</v>
          </cell>
        </row>
        <row r="471">
          <cell r="F471">
            <v>0</v>
          </cell>
          <cell r="H471">
            <v>0</v>
          </cell>
          <cell r="I471">
            <v>0</v>
          </cell>
        </row>
        <row r="472">
          <cell r="F472">
            <v>0</v>
          </cell>
          <cell r="H472">
            <v>0</v>
          </cell>
          <cell r="I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</row>
        <row r="474">
          <cell r="F474">
            <v>0</v>
          </cell>
          <cell r="H474">
            <v>0</v>
          </cell>
          <cell r="I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</row>
        <row r="476">
          <cell r="F476">
            <v>0</v>
          </cell>
          <cell r="H476">
            <v>0</v>
          </cell>
          <cell r="I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</row>
        <row r="479">
          <cell r="F479">
            <v>0</v>
          </cell>
          <cell r="H479">
            <v>0</v>
          </cell>
          <cell r="I479">
            <v>0</v>
          </cell>
        </row>
        <row r="480">
          <cell r="F480">
            <v>0</v>
          </cell>
          <cell r="H480">
            <v>0</v>
          </cell>
          <cell r="I480">
            <v>0</v>
          </cell>
        </row>
        <row r="481">
          <cell r="F481">
            <v>0</v>
          </cell>
          <cell r="H481">
            <v>0</v>
          </cell>
          <cell r="I481">
            <v>0</v>
          </cell>
        </row>
        <row r="482">
          <cell r="F482">
            <v>0</v>
          </cell>
          <cell r="H482">
            <v>0</v>
          </cell>
          <cell r="I482">
            <v>0</v>
          </cell>
        </row>
        <row r="483">
          <cell r="F483">
            <v>0</v>
          </cell>
          <cell r="H483">
            <v>0</v>
          </cell>
          <cell r="I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</row>
        <row r="485">
          <cell r="F485">
            <v>0</v>
          </cell>
          <cell r="H485">
            <v>0</v>
          </cell>
          <cell r="I485">
            <v>0</v>
          </cell>
        </row>
        <row r="486">
          <cell r="F486">
            <v>0</v>
          </cell>
          <cell r="H486">
            <v>0</v>
          </cell>
          <cell r="I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</row>
        <row r="488">
          <cell r="F488">
            <v>0</v>
          </cell>
          <cell r="H488">
            <v>0</v>
          </cell>
          <cell r="I488">
            <v>0</v>
          </cell>
        </row>
        <row r="489">
          <cell r="F489">
            <v>0</v>
          </cell>
          <cell r="H489">
            <v>0</v>
          </cell>
          <cell r="I489">
            <v>0</v>
          </cell>
        </row>
        <row r="490">
          <cell r="F490">
            <v>0</v>
          </cell>
          <cell r="H490">
            <v>0</v>
          </cell>
          <cell r="I490">
            <v>0</v>
          </cell>
        </row>
        <row r="491">
          <cell r="F491">
            <v>0</v>
          </cell>
          <cell r="H491">
            <v>0</v>
          </cell>
          <cell r="I491">
            <v>0</v>
          </cell>
        </row>
        <row r="492">
          <cell r="F492">
            <v>0</v>
          </cell>
          <cell r="H492">
            <v>0</v>
          </cell>
          <cell r="I492">
            <v>0</v>
          </cell>
        </row>
        <row r="493">
          <cell r="F493">
            <v>0</v>
          </cell>
          <cell r="H493">
            <v>0</v>
          </cell>
          <cell r="I493">
            <v>0</v>
          </cell>
        </row>
        <row r="494">
          <cell r="F494">
            <v>0</v>
          </cell>
          <cell r="H494">
            <v>0</v>
          </cell>
          <cell r="I494">
            <v>0</v>
          </cell>
        </row>
        <row r="495">
          <cell r="F495">
            <v>0</v>
          </cell>
          <cell r="H495">
            <v>0</v>
          </cell>
          <cell r="I495">
            <v>0</v>
          </cell>
        </row>
        <row r="496">
          <cell r="F496">
            <v>0</v>
          </cell>
          <cell r="H496">
            <v>0</v>
          </cell>
          <cell r="I496">
            <v>0</v>
          </cell>
        </row>
        <row r="497">
          <cell r="F497">
            <v>0</v>
          </cell>
          <cell r="H497">
            <v>0</v>
          </cell>
          <cell r="I497">
            <v>0</v>
          </cell>
        </row>
        <row r="498">
          <cell r="F498">
            <v>0</v>
          </cell>
          <cell r="H498">
            <v>0</v>
          </cell>
          <cell r="I498">
            <v>0</v>
          </cell>
        </row>
        <row r="499">
          <cell r="F499">
            <v>0</v>
          </cell>
          <cell r="H499">
            <v>0</v>
          </cell>
          <cell r="I499">
            <v>0</v>
          </cell>
        </row>
        <row r="500">
          <cell r="F500">
            <v>0</v>
          </cell>
          <cell r="H500">
            <v>0</v>
          </cell>
          <cell r="I500">
            <v>0</v>
          </cell>
        </row>
        <row r="501">
          <cell r="F501">
            <v>0</v>
          </cell>
          <cell r="H501">
            <v>0</v>
          </cell>
          <cell r="I501">
            <v>0</v>
          </cell>
        </row>
        <row r="502">
          <cell r="F502">
            <v>0</v>
          </cell>
          <cell r="H502">
            <v>0</v>
          </cell>
          <cell r="I502">
            <v>0</v>
          </cell>
        </row>
        <row r="503">
          <cell r="F503">
            <v>0</v>
          </cell>
          <cell r="H503">
            <v>0</v>
          </cell>
          <cell r="I503">
            <v>0</v>
          </cell>
        </row>
        <row r="504">
          <cell r="F504">
            <v>0</v>
          </cell>
          <cell r="H504">
            <v>0</v>
          </cell>
          <cell r="I504">
            <v>0</v>
          </cell>
        </row>
        <row r="505">
          <cell r="F505">
            <v>0</v>
          </cell>
          <cell r="H505">
            <v>0</v>
          </cell>
          <cell r="I505">
            <v>0</v>
          </cell>
        </row>
        <row r="506">
          <cell r="F506">
            <v>0</v>
          </cell>
          <cell r="H506">
            <v>0</v>
          </cell>
          <cell r="I506">
            <v>0</v>
          </cell>
        </row>
        <row r="507">
          <cell r="F507">
            <v>0</v>
          </cell>
          <cell r="H507">
            <v>0</v>
          </cell>
          <cell r="I507">
            <v>0</v>
          </cell>
        </row>
        <row r="508">
          <cell r="F508">
            <v>0</v>
          </cell>
          <cell r="H508">
            <v>0</v>
          </cell>
          <cell r="I508">
            <v>0</v>
          </cell>
        </row>
        <row r="509">
          <cell r="F509">
            <v>0</v>
          </cell>
          <cell r="H509">
            <v>0</v>
          </cell>
          <cell r="I509">
            <v>0</v>
          </cell>
        </row>
        <row r="510">
          <cell r="F510">
            <v>0</v>
          </cell>
          <cell r="H510">
            <v>0</v>
          </cell>
          <cell r="I510">
            <v>0</v>
          </cell>
        </row>
        <row r="511">
          <cell r="F511">
            <v>0</v>
          </cell>
          <cell r="H511">
            <v>0</v>
          </cell>
          <cell r="I511">
            <v>0</v>
          </cell>
        </row>
        <row r="512">
          <cell r="F512">
            <v>0</v>
          </cell>
          <cell r="H512">
            <v>0</v>
          </cell>
          <cell r="I512">
            <v>0</v>
          </cell>
        </row>
        <row r="513">
          <cell r="F513">
            <v>0</v>
          </cell>
          <cell r="H513">
            <v>0</v>
          </cell>
          <cell r="I513">
            <v>0</v>
          </cell>
        </row>
        <row r="514">
          <cell r="F514">
            <v>0</v>
          </cell>
          <cell r="H514">
            <v>0</v>
          </cell>
          <cell r="I514">
            <v>0</v>
          </cell>
        </row>
        <row r="515">
          <cell r="F515">
            <v>0</v>
          </cell>
          <cell r="H515">
            <v>0</v>
          </cell>
          <cell r="I515">
            <v>0</v>
          </cell>
        </row>
        <row r="516">
          <cell r="F516">
            <v>0</v>
          </cell>
          <cell r="H516">
            <v>0</v>
          </cell>
          <cell r="I516">
            <v>0</v>
          </cell>
        </row>
        <row r="517">
          <cell r="F517">
            <v>0</v>
          </cell>
          <cell r="H517">
            <v>0</v>
          </cell>
          <cell r="I517">
            <v>0</v>
          </cell>
        </row>
        <row r="518">
          <cell r="F518">
            <v>0</v>
          </cell>
          <cell r="H518">
            <v>0</v>
          </cell>
          <cell r="I518">
            <v>0</v>
          </cell>
        </row>
        <row r="519">
          <cell r="F519">
            <v>0</v>
          </cell>
          <cell r="H519">
            <v>0</v>
          </cell>
          <cell r="I519">
            <v>0</v>
          </cell>
        </row>
        <row r="520">
          <cell r="F520">
            <v>0</v>
          </cell>
          <cell r="H520">
            <v>0</v>
          </cell>
          <cell r="I520">
            <v>0</v>
          </cell>
        </row>
        <row r="521">
          <cell r="F521">
            <v>0</v>
          </cell>
          <cell r="H521">
            <v>0</v>
          </cell>
          <cell r="I521">
            <v>0</v>
          </cell>
        </row>
        <row r="522">
          <cell r="F522">
            <v>0</v>
          </cell>
          <cell r="H522">
            <v>0</v>
          </cell>
          <cell r="I522">
            <v>0</v>
          </cell>
        </row>
        <row r="523">
          <cell r="F523">
            <v>0</v>
          </cell>
          <cell r="H523">
            <v>0</v>
          </cell>
          <cell r="I523">
            <v>0</v>
          </cell>
        </row>
        <row r="524">
          <cell r="F524">
            <v>0</v>
          </cell>
          <cell r="H524">
            <v>0</v>
          </cell>
          <cell r="I524">
            <v>0</v>
          </cell>
        </row>
        <row r="525">
          <cell r="F525">
            <v>0</v>
          </cell>
          <cell r="H525">
            <v>0</v>
          </cell>
          <cell r="I525">
            <v>0</v>
          </cell>
        </row>
        <row r="526">
          <cell r="F526">
            <v>0</v>
          </cell>
          <cell r="H526">
            <v>0</v>
          </cell>
          <cell r="I526">
            <v>0</v>
          </cell>
        </row>
        <row r="527">
          <cell r="F527">
            <v>0</v>
          </cell>
          <cell r="H527">
            <v>0</v>
          </cell>
          <cell r="I527">
            <v>0</v>
          </cell>
        </row>
        <row r="528">
          <cell r="F528">
            <v>0</v>
          </cell>
          <cell r="H528">
            <v>0</v>
          </cell>
          <cell r="I528">
            <v>0</v>
          </cell>
        </row>
        <row r="529">
          <cell r="F529">
            <v>0</v>
          </cell>
          <cell r="H529">
            <v>0</v>
          </cell>
          <cell r="I529">
            <v>0</v>
          </cell>
        </row>
        <row r="530">
          <cell r="F530">
            <v>0</v>
          </cell>
          <cell r="H530">
            <v>0</v>
          </cell>
          <cell r="I530">
            <v>0</v>
          </cell>
        </row>
        <row r="531">
          <cell r="F531">
            <v>0</v>
          </cell>
          <cell r="H531">
            <v>0</v>
          </cell>
          <cell r="I531">
            <v>0</v>
          </cell>
        </row>
        <row r="532">
          <cell r="F532">
            <v>0</v>
          </cell>
          <cell r="H532">
            <v>0</v>
          </cell>
          <cell r="I532">
            <v>0</v>
          </cell>
        </row>
        <row r="533">
          <cell r="F533">
            <v>0</v>
          </cell>
          <cell r="H533">
            <v>0</v>
          </cell>
          <cell r="I533">
            <v>0</v>
          </cell>
        </row>
        <row r="534">
          <cell r="F534">
            <v>0</v>
          </cell>
          <cell r="H534">
            <v>0</v>
          </cell>
          <cell r="I534">
            <v>0</v>
          </cell>
        </row>
        <row r="535">
          <cell r="F535">
            <v>0</v>
          </cell>
          <cell r="H535">
            <v>0</v>
          </cell>
          <cell r="I535">
            <v>0</v>
          </cell>
        </row>
        <row r="536">
          <cell r="F536">
            <v>0</v>
          </cell>
          <cell r="H536">
            <v>0</v>
          </cell>
          <cell r="I536">
            <v>0</v>
          </cell>
        </row>
        <row r="537">
          <cell r="F537">
            <v>0</v>
          </cell>
          <cell r="H537">
            <v>0</v>
          </cell>
          <cell r="I537">
            <v>0</v>
          </cell>
        </row>
        <row r="538">
          <cell r="F538">
            <v>0</v>
          </cell>
          <cell r="H538">
            <v>0</v>
          </cell>
          <cell r="I538">
            <v>0</v>
          </cell>
        </row>
        <row r="539">
          <cell r="F539">
            <v>0</v>
          </cell>
          <cell r="H539">
            <v>0</v>
          </cell>
          <cell r="I539">
            <v>0</v>
          </cell>
        </row>
        <row r="540">
          <cell r="F540">
            <v>0</v>
          </cell>
          <cell r="H540">
            <v>0</v>
          </cell>
          <cell r="I540">
            <v>0</v>
          </cell>
        </row>
        <row r="541">
          <cell r="F541">
            <v>0</v>
          </cell>
          <cell r="H541">
            <v>0</v>
          </cell>
          <cell r="I541">
            <v>0</v>
          </cell>
        </row>
        <row r="542">
          <cell r="F542">
            <v>0</v>
          </cell>
          <cell r="H542">
            <v>0</v>
          </cell>
          <cell r="I542">
            <v>0</v>
          </cell>
        </row>
        <row r="543">
          <cell r="F543">
            <v>0</v>
          </cell>
          <cell r="H543">
            <v>0</v>
          </cell>
          <cell r="I543">
            <v>0</v>
          </cell>
        </row>
        <row r="544">
          <cell r="F544">
            <v>0</v>
          </cell>
          <cell r="H544">
            <v>0</v>
          </cell>
          <cell r="I544">
            <v>0</v>
          </cell>
        </row>
        <row r="545">
          <cell r="F545">
            <v>0</v>
          </cell>
          <cell r="H545">
            <v>0</v>
          </cell>
          <cell r="I545">
            <v>0</v>
          </cell>
        </row>
        <row r="546">
          <cell r="F546">
            <v>0</v>
          </cell>
          <cell r="H546">
            <v>0</v>
          </cell>
          <cell r="I546">
            <v>0</v>
          </cell>
        </row>
        <row r="547">
          <cell r="F547">
            <v>0</v>
          </cell>
          <cell r="H547">
            <v>0</v>
          </cell>
          <cell r="I547">
            <v>0</v>
          </cell>
        </row>
        <row r="548">
          <cell r="F548">
            <v>0</v>
          </cell>
          <cell r="H548">
            <v>0</v>
          </cell>
          <cell r="I548">
            <v>0</v>
          </cell>
        </row>
        <row r="549">
          <cell r="F549">
            <v>0</v>
          </cell>
          <cell r="H549">
            <v>0</v>
          </cell>
          <cell r="I549">
            <v>0</v>
          </cell>
        </row>
        <row r="550">
          <cell r="F550">
            <v>0</v>
          </cell>
          <cell r="H550">
            <v>0</v>
          </cell>
          <cell r="I550">
            <v>0</v>
          </cell>
        </row>
        <row r="551">
          <cell r="F551">
            <v>0</v>
          </cell>
          <cell r="H551">
            <v>0</v>
          </cell>
          <cell r="I551">
            <v>0</v>
          </cell>
        </row>
        <row r="552">
          <cell r="F552">
            <v>0</v>
          </cell>
          <cell r="H552">
            <v>0</v>
          </cell>
          <cell r="I552">
            <v>0</v>
          </cell>
        </row>
        <row r="553">
          <cell r="F553">
            <v>0</v>
          </cell>
          <cell r="H553">
            <v>0</v>
          </cell>
          <cell r="I553">
            <v>0</v>
          </cell>
        </row>
        <row r="554">
          <cell r="F554">
            <v>0</v>
          </cell>
          <cell r="H554">
            <v>0</v>
          </cell>
          <cell r="I554">
            <v>0</v>
          </cell>
        </row>
        <row r="555">
          <cell r="F555">
            <v>0</v>
          </cell>
          <cell r="H555">
            <v>0</v>
          </cell>
          <cell r="I555">
            <v>0</v>
          </cell>
        </row>
        <row r="556">
          <cell r="F556">
            <v>0</v>
          </cell>
          <cell r="H556">
            <v>0</v>
          </cell>
          <cell r="I556">
            <v>0</v>
          </cell>
        </row>
        <row r="557">
          <cell r="F557">
            <v>0</v>
          </cell>
          <cell r="H557">
            <v>0</v>
          </cell>
          <cell r="I557">
            <v>0</v>
          </cell>
        </row>
        <row r="558">
          <cell r="F558">
            <v>0</v>
          </cell>
          <cell r="H558">
            <v>0</v>
          </cell>
          <cell r="I558">
            <v>0</v>
          </cell>
        </row>
        <row r="559">
          <cell r="F559">
            <v>0</v>
          </cell>
          <cell r="H559">
            <v>0</v>
          </cell>
          <cell r="I559">
            <v>0</v>
          </cell>
        </row>
        <row r="560">
          <cell r="F560">
            <v>0</v>
          </cell>
          <cell r="H560">
            <v>0</v>
          </cell>
          <cell r="I560">
            <v>0</v>
          </cell>
        </row>
        <row r="561">
          <cell r="F561">
            <v>0</v>
          </cell>
          <cell r="H561">
            <v>0</v>
          </cell>
          <cell r="I561">
            <v>0</v>
          </cell>
        </row>
        <row r="562">
          <cell r="F562">
            <v>0</v>
          </cell>
          <cell r="H562">
            <v>0</v>
          </cell>
          <cell r="I562">
            <v>0</v>
          </cell>
        </row>
        <row r="563">
          <cell r="F563">
            <v>0</v>
          </cell>
          <cell r="H563">
            <v>0</v>
          </cell>
          <cell r="I563">
            <v>0</v>
          </cell>
        </row>
        <row r="564">
          <cell r="F564">
            <v>0</v>
          </cell>
          <cell r="H564">
            <v>0</v>
          </cell>
          <cell r="I564">
            <v>0</v>
          </cell>
        </row>
        <row r="565">
          <cell r="F565">
            <v>0</v>
          </cell>
          <cell r="H565">
            <v>0</v>
          </cell>
          <cell r="I565">
            <v>0</v>
          </cell>
        </row>
        <row r="566">
          <cell r="F566">
            <v>0</v>
          </cell>
          <cell r="H566">
            <v>0</v>
          </cell>
          <cell r="I566">
            <v>0</v>
          </cell>
        </row>
        <row r="567">
          <cell r="F567">
            <v>0</v>
          </cell>
          <cell r="H567">
            <v>0</v>
          </cell>
          <cell r="I567">
            <v>0</v>
          </cell>
        </row>
        <row r="568">
          <cell r="F568">
            <v>0</v>
          </cell>
          <cell r="H568">
            <v>0</v>
          </cell>
          <cell r="I568">
            <v>0</v>
          </cell>
        </row>
        <row r="569">
          <cell r="F569">
            <v>0</v>
          </cell>
          <cell r="H569">
            <v>0</v>
          </cell>
          <cell r="I569">
            <v>0</v>
          </cell>
        </row>
        <row r="570">
          <cell r="F570">
            <v>0</v>
          </cell>
          <cell r="H570">
            <v>0</v>
          </cell>
          <cell r="I570">
            <v>0</v>
          </cell>
        </row>
        <row r="571">
          <cell r="F571">
            <v>0</v>
          </cell>
          <cell r="H571">
            <v>0</v>
          </cell>
          <cell r="I571">
            <v>0</v>
          </cell>
        </row>
        <row r="572">
          <cell r="F572">
            <v>0</v>
          </cell>
          <cell r="H572">
            <v>0</v>
          </cell>
          <cell r="I572">
            <v>0</v>
          </cell>
        </row>
        <row r="573">
          <cell r="F573">
            <v>0</v>
          </cell>
          <cell r="H573">
            <v>0</v>
          </cell>
          <cell r="I573">
            <v>0</v>
          </cell>
        </row>
        <row r="574">
          <cell r="F574">
            <v>0</v>
          </cell>
          <cell r="H574">
            <v>0</v>
          </cell>
          <cell r="I574">
            <v>0</v>
          </cell>
        </row>
        <row r="575">
          <cell r="F575">
            <v>0</v>
          </cell>
          <cell r="H575">
            <v>0</v>
          </cell>
          <cell r="I575">
            <v>0</v>
          </cell>
        </row>
        <row r="576">
          <cell r="F576">
            <v>0</v>
          </cell>
          <cell r="H576">
            <v>0</v>
          </cell>
          <cell r="I576">
            <v>0</v>
          </cell>
        </row>
        <row r="577">
          <cell r="F577">
            <v>0</v>
          </cell>
          <cell r="H577">
            <v>0</v>
          </cell>
          <cell r="I577">
            <v>0</v>
          </cell>
        </row>
        <row r="578">
          <cell r="F578">
            <v>0</v>
          </cell>
          <cell r="H578">
            <v>0</v>
          </cell>
          <cell r="I578">
            <v>0</v>
          </cell>
        </row>
        <row r="579">
          <cell r="F579">
            <v>0</v>
          </cell>
          <cell r="H579">
            <v>0</v>
          </cell>
          <cell r="I579">
            <v>0</v>
          </cell>
        </row>
        <row r="580">
          <cell r="F580">
            <v>0</v>
          </cell>
          <cell r="H580">
            <v>0</v>
          </cell>
          <cell r="I580">
            <v>0</v>
          </cell>
        </row>
        <row r="581">
          <cell r="F581">
            <v>0</v>
          </cell>
          <cell r="H581">
            <v>0</v>
          </cell>
          <cell r="I581">
            <v>0</v>
          </cell>
        </row>
        <row r="582">
          <cell r="F582">
            <v>0</v>
          </cell>
          <cell r="H582">
            <v>0</v>
          </cell>
          <cell r="I582">
            <v>0</v>
          </cell>
        </row>
        <row r="583">
          <cell r="F583">
            <v>0</v>
          </cell>
          <cell r="H583">
            <v>0</v>
          </cell>
          <cell r="I583">
            <v>0</v>
          </cell>
        </row>
        <row r="584">
          <cell r="F584">
            <v>0</v>
          </cell>
          <cell r="H584">
            <v>0</v>
          </cell>
          <cell r="I584">
            <v>0</v>
          </cell>
        </row>
        <row r="585">
          <cell r="F585">
            <v>0</v>
          </cell>
          <cell r="H585">
            <v>0</v>
          </cell>
          <cell r="I585">
            <v>0</v>
          </cell>
        </row>
        <row r="586">
          <cell r="F586">
            <v>0</v>
          </cell>
          <cell r="H586">
            <v>0</v>
          </cell>
          <cell r="I586">
            <v>0</v>
          </cell>
        </row>
        <row r="587">
          <cell r="F587">
            <v>0</v>
          </cell>
          <cell r="H587">
            <v>0</v>
          </cell>
          <cell r="I587">
            <v>0</v>
          </cell>
        </row>
        <row r="588">
          <cell r="F588">
            <v>0</v>
          </cell>
          <cell r="H588">
            <v>0</v>
          </cell>
          <cell r="I588">
            <v>0</v>
          </cell>
        </row>
        <row r="589">
          <cell r="F589">
            <v>0</v>
          </cell>
          <cell r="H589">
            <v>0</v>
          </cell>
          <cell r="I589">
            <v>0</v>
          </cell>
        </row>
        <row r="590">
          <cell r="F590">
            <v>0</v>
          </cell>
          <cell r="H590">
            <v>0</v>
          </cell>
          <cell r="I590">
            <v>0</v>
          </cell>
        </row>
        <row r="591">
          <cell r="F591">
            <v>0</v>
          </cell>
          <cell r="H591">
            <v>0</v>
          </cell>
          <cell r="I591">
            <v>0</v>
          </cell>
        </row>
        <row r="592"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H593">
            <v>0</v>
          </cell>
          <cell r="I593">
            <v>0</v>
          </cell>
        </row>
        <row r="594">
          <cell r="F594">
            <v>0</v>
          </cell>
          <cell r="H594">
            <v>0</v>
          </cell>
          <cell r="I594">
            <v>0</v>
          </cell>
        </row>
        <row r="595">
          <cell r="F595">
            <v>0</v>
          </cell>
          <cell r="H595">
            <v>0</v>
          </cell>
          <cell r="I595">
            <v>0</v>
          </cell>
        </row>
        <row r="596">
          <cell r="F596">
            <v>0</v>
          </cell>
          <cell r="H596">
            <v>0</v>
          </cell>
          <cell r="I596">
            <v>0</v>
          </cell>
        </row>
        <row r="597">
          <cell r="F597">
            <v>0</v>
          </cell>
          <cell r="H597">
            <v>0</v>
          </cell>
          <cell r="I597">
            <v>0</v>
          </cell>
        </row>
        <row r="598">
          <cell r="F598">
            <v>0</v>
          </cell>
          <cell r="H598">
            <v>0</v>
          </cell>
          <cell r="I598">
            <v>0</v>
          </cell>
        </row>
        <row r="599">
          <cell r="F599">
            <v>0</v>
          </cell>
          <cell r="H599">
            <v>0</v>
          </cell>
          <cell r="I599">
            <v>0</v>
          </cell>
        </row>
        <row r="600">
          <cell r="F600">
            <v>0</v>
          </cell>
          <cell r="H600">
            <v>0</v>
          </cell>
          <cell r="I600">
            <v>0</v>
          </cell>
        </row>
        <row r="601">
          <cell r="F601">
            <v>0</v>
          </cell>
          <cell r="H601">
            <v>0</v>
          </cell>
          <cell r="I601">
            <v>0</v>
          </cell>
        </row>
        <row r="602">
          <cell r="F602">
            <v>0</v>
          </cell>
          <cell r="H602">
            <v>0</v>
          </cell>
          <cell r="I602">
            <v>0</v>
          </cell>
        </row>
        <row r="603">
          <cell r="F603">
            <v>0</v>
          </cell>
          <cell r="H603">
            <v>0</v>
          </cell>
          <cell r="I603">
            <v>0</v>
          </cell>
        </row>
        <row r="604">
          <cell r="F604">
            <v>0</v>
          </cell>
          <cell r="H604">
            <v>0</v>
          </cell>
          <cell r="I604">
            <v>0</v>
          </cell>
        </row>
        <row r="605">
          <cell r="F605">
            <v>0</v>
          </cell>
          <cell r="H605">
            <v>0</v>
          </cell>
          <cell r="I605">
            <v>0</v>
          </cell>
        </row>
        <row r="606">
          <cell r="F606">
            <v>0</v>
          </cell>
          <cell r="H606">
            <v>0</v>
          </cell>
          <cell r="I606">
            <v>0</v>
          </cell>
        </row>
        <row r="607">
          <cell r="F607">
            <v>0</v>
          </cell>
          <cell r="H607">
            <v>0</v>
          </cell>
          <cell r="I607">
            <v>0</v>
          </cell>
        </row>
        <row r="608">
          <cell r="F608">
            <v>0</v>
          </cell>
          <cell r="H608">
            <v>0</v>
          </cell>
          <cell r="I608">
            <v>0</v>
          </cell>
        </row>
        <row r="609">
          <cell r="F609">
            <v>0</v>
          </cell>
          <cell r="H609">
            <v>0</v>
          </cell>
          <cell r="I609">
            <v>0</v>
          </cell>
        </row>
        <row r="610">
          <cell r="F610">
            <v>0</v>
          </cell>
          <cell r="H610">
            <v>0</v>
          </cell>
          <cell r="I610">
            <v>0</v>
          </cell>
        </row>
        <row r="611">
          <cell r="F611">
            <v>0</v>
          </cell>
          <cell r="H611">
            <v>0</v>
          </cell>
          <cell r="I611">
            <v>0</v>
          </cell>
        </row>
        <row r="612">
          <cell r="F612">
            <v>0</v>
          </cell>
          <cell r="H612">
            <v>0</v>
          </cell>
          <cell r="I612">
            <v>0</v>
          </cell>
        </row>
        <row r="613">
          <cell r="F613">
            <v>0</v>
          </cell>
          <cell r="H613">
            <v>0</v>
          </cell>
          <cell r="I613">
            <v>0</v>
          </cell>
        </row>
        <row r="614">
          <cell r="F614">
            <v>0</v>
          </cell>
          <cell r="H614">
            <v>0</v>
          </cell>
          <cell r="I614">
            <v>0</v>
          </cell>
        </row>
        <row r="615">
          <cell r="F615">
            <v>0</v>
          </cell>
          <cell r="H615">
            <v>0</v>
          </cell>
          <cell r="I615">
            <v>0</v>
          </cell>
        </row>
        <row r="616">
          <cell r="F616">
            <v>0</v>
          </cell>
          <cell r="H616">
            <v>0</v>
          </cell>
          <cell r="I616">
            <v>0</v>
          </cell>
        </row>
        <row r="617">
          <cell r="F617">
            <v>0</v>
          </cell>
          <cell r="H617">
            <v>0</v>
          </cell>
          <cell r="I617">
            <v>0</v>
          </cell>
        </row>
        <row r="618">
          <cell r="F618">
            <v>0</v>
          </cell>
          <cell r="H618">
            <v>0</v>
          </cell>
          <cell r="I618">
            <v>0</v>
          </cell>
        </row>
        <row r="619">
          <cell r="F619">
            <v>0</v>
          </cell>
          <cell r="H619">
            <v>0</v>
          </cell>
          <cell r="I619">
            <v>0</v>
          </cell>
        </row>
        <row r="620">
          <cell r="F620">
            <v>0</v>
          </cell>
          <cell r="H620">
            <v>0</v>
          </cell>
          <cell r="I620">
            <v>0</v>
          </cell>
        </row>
        <row r="621">
          <cell r="F621">
            <v>0</v>
          </cell>
          <cell r="H621">
            <v>0</v>
          </cell>
          <cell r="I621">
            <v>0</v>
          </cell>
        </row>
        <row r="622">
          <cell r="F622">
            <v>0</v>
          </cell>
          <cell r="H622">
            <v>0</v>
          </cell>
          <cell r="I622">
            <v>0</v>
          </cell>
        </row>
        <row r="623">
          <cell r="F623">
            <v>0</v>
          </cell>
          <cell r="H623">
            <v>0</v>
          </cell>
          <cell r="I623">
            <v>0</v>
          </cell>
        </row>
        <row r="624">
          <cell r="F624">
            <v>0</v>
          </cell>
          <cell r="H624">
            <v>0</v>
          </cell>
          <cell r="I624">
            <v>0</v>
          </cell>
        </row>
        <row r="625">
          <cell r="F625">
            <v>0</v>
          </cell>
          <cell r="H625">
            <v>0</v>
          </cell>
          <cell r="I625">
            <v>0</v>
          </cell>
        </row>
        <row r="626">
          <cell r="F626">
            <v>0</v>
          </cell>
          <cell r="H626">
            <v>0</v>
          </cell>
          <cell r="I626">
            <v>0</v>
          </cell>
        </row>
        <row r="627">
          <cell r="F627">
            <v>0</v>
          </cell>
          <cell r="H627">
            <v>0</v>
          </cell>
          <cell r="I627">
            <v>0</v>
          </cell>
        </row>
        <row r="628">
          <cell r="F628">
            <v>0</v>
          </cell>
          <cell r="H628">
            <v>0</v>
          </cell>
          <cell r="I628">
            <v>0</v>
          </cell>
        </row>
        <row r="629">
          <cell r="F629">
            <v>0</v>
          </cell>
          <cell r="H629">
            <v>0</v>
          </cell>
          <cell r="I629">
            <v>0</v>
          </cell>
        </row>
        <row r="630">
          <cell r="F630">
            <v>0</v>
          </cell>
          <cell r="H630">
            <v>0</v>
          </cell>
          <cell r="I630">
            <v>0</v>
          </cell>
        </row>
        <row r="631">
          <cell r="F631">
            <v>0</v>
          </cell>
          <cell r="H631">
            <v>0</v>
          </cell>
          <cell r="I631">
            <v>0</v>
          </cell>
        </row>
        <row r="632">
          <cell r="F632">
            <v>0</v>
          </cell>
          <cell r="H632">
            <v>0</v>
          </cell>
          <cell r="I632">
            <v>0</v>
          </cell>
        </row>
        <row r="633">
          <cell r="F633">
            <v>0</v>
          </cell>
          <cell r="H633">
            <v>0</v>
          </cell>
          <cell r="I633">
            <v>0</v>
          </cell>
        </row>
        <row r="634">
          <cell r="F634">
            <v>0</v>
          </cell>
          <cell r="H634">
            <v>0</v>
          </cell>
          <cell r="I634">
            <v>0</v>
          </cell>
        </row>
        <row r="635">
          <cell r="F635">
            <v>0</v>
          </cell>
          <cell r="H635">
            <v>0</v>
          </cell>
          <cell r="I635">
            <v>0</v>
          </cell>
        </row>
        <row r="636">
          <cell r="F636">
            <v>0</v>
          </cell>
          <cell r="H636">
            <v>0</v>
          </cell>
          <cell r="I636">
            <v>0</v>
          </cell>
        </row>
        <row r="637">
          <cell r="F637">
            <v>0</v>
          </cell>
          <cell r="H637">
            <v>0</v>
          </cell>
          <cell r="I637">
            <v>0</v>
          </cell>
        </row>
        <row r="638">
          <cell r="F638">
            <v>0</v>
          </cell>
          <cell r="H638">
            <v>0</v>
          </cell>
          <cell r="I638">
            <v>0</v>
          </cell>
        </row>
        <row r="639">
          <cell r="F639">
            <v>0</v>
          </cell>
          <cell r="H639">
            <v>0</v>
          </cell>
          <cell r="I639">
            <v>0</v>
          </cell>
        </row>
        <row r="640">
          <cell r="F640">
            <v>0</v>
          </cell>
          <cell r="H640">
            <v>0</v>
          </cell>
          <cell r="I640">
            <v>0</v>
          </cell>
        </row>
        <row r="641">
          <cell r="F641">
            <v>0</v>
          </cell>
          <cell r="H641">
            <v>0</v>
          </cell>
          <cell r="I641">
            <v>0</v>
          </cell>
        </row>
        <row r="642">
          <cell r="F642">
            <v>0</v>
          </cell>
          <cell r="H642">
            <v>0</v>
          </cell>
          <cell r="I642">
            <v>0</v>
          </cell>
        </row>
        <row r="643">
          <cell r="F643">
            <v>0</v>
          </cell>
          <cell r="H643">
            <v>0</v>
          </cell>
          <cell r="I643">
            <v>0</v>
          </cell>
        </row>
        <row r="644">
          <cell r="F644">
            <v>0</v>
          </cell>
          <cell r="H644">
            <v>0</v>
          </cell>
          <cell r="I644">
            <v>0</v>
          </cell>
        </row>
        <row r="645">
          <cell r="F645">
            <v>0</v>
          </cell>
          <cell r="H645">
            <v>0</v>
          </cell>
          <cell r="I645">
            <v>0</v>
          </cell>
        </row>
        <row r="646">
          <cell r="F646">
            <v>0</v>
          </cell>
          <cell r="H646">
            <v>0</v>
          </cell>
          <cell r="I646">
            <v>0</v>
          </cell>
        </row>
        <row r="647">
          <cell r="F647">
            <v>0</v>
          </cell>
          <cell r="H647">
            <v>0</v>
          </cell>
          <cell r="I647">
            <v>0</v>
          </cell>
        </row>
        <row r="648">
          <cell r="F648">
            <v>0</v>
          </cell>
          <cell r="H648">
            <v>0</v>
          </cell>
          <cell r="I648">
            <v>0</v>
          </cell>
        </row>
        <row r="649">
          <cell r="F649">
            <v>0</v>
          </cell>
          <cell r="H649">
            <v>0</v>
          </cell>
          <cell r="I649">
            <v>0</v>
          </cell>
        </row>
        <row r="650">
          <cell r="F650">
            <v>0</v>
          </cell>
          <cell r="H650">
            <v>0</v>
          </cell>
          <cell r="I650">
            <v>0</v>
          </cell>
        </row>
        <row r="651">
          <cell r="F651">
            <v>0</v>
          </cell>
          <cell r="H651">
            <v>0</v>
          </cell>
          <cell r="I651">
            <v>0</v>
          </cell>
        </row>
        <row r="652">
          <cell r="F652">
            <v>0</v>
          </cell>
          <cell r="H652">
            <v>0</v>
          </cell>
          <cell r="I652">
            <v>0</v>
          </cell>
        </row>
        <row r="653">
          <cell r="F653">
            <v>0</v>
          </cell>
          <cell r="H653">
            <v>0</v>
          </cell>
          <cell r="I653">
            <v>0</v>
          </cell>
        </row>
        <row r="654">
          <cell r="F654">
            <v>0</v>
          </cell>
          <cell r="H654">
            <v>0</v>
          </cell>
          <cell r="I654">
            <v>0</v>
          </cell>
        </row>
        <row r="655">
          <cell r="F655">
            <v>0</v>
          </cell>
          <cell r="H655">
            <v>0</v>
          </cell>
          <cell r="I655">
            <v>0</v>
          </cell>
        </row>
        <row r="656">
          <cell r="F656">
            <v>0</v>
          </cell>
          <cell r="H656">
            <v>0</v>
          </cell>
          <cell r="I656">
            <v>0</v>
          </cell>
        </row>
        <row r="657">
          <cell r="F657">
            <v>0</v>
          </cell>
          <cell r="H657">
            <v>0</v>
          </cell>
          <cell r="I657">
            <v>0</v>
          </cell>
        </row>
        <row r="658">
          <cell r="F658">
            <v>0</v>
          </cell>
          <cell r="H658">
            <v>0</v>
          </cell>
          <cell r="I658">
            <v>0</v>
          </cell>
        </row>
        <row r="659">
          <cell r="F659">
            <v>0</v>
          </cell>
          <cell r="H659">
            <v>0</v>
          </cell>
          <cell r="I659">
            <v>0</v>
          </cell>
        </row>
        <row r="660">
          <cell r="F660">
            <v>0</v>
          </cell>
          <cell r="H660">
            <v>0</v>
          </cell>
          <cell r="I660">
            <v>0</v>
          </cell>
        </row>
        <row r="661">
          <cell r="F661">
            <v>0</v>
          </cell>
          <cell r="H661">
            <v>0</v>
          </cell>
          <cell r="I661">
            <v>0</v>
          </cell>
        </row>
        <row r="662">
          <cell r="F662">
            <v>0</v>
          </cell>
          <cell r="H662">
            <v>0</v>
          </cell>
          <cell r="I662">
            <v>0</v>
          </cell>
        </row>
        <row r="663">
          <cell r="F663">
            <v>0</v>
          </cell>
          <cell r="H663">
            <v>0</v>
          </cell>
          <cell r="I663">
            <v>0</v>
          </cell>
        </row>
        <row r="664">
          <cell r="F664">
            <v>0</v>
          </cell>
          <cell r="H664">
            <v>0</v>
          </cell>
          <cell r="I664">
            <v>0</v>
          </cell>
        </row>
        <row r="665">
          <cell r="F665">
            <v>0</v>
          </cell>
          <cell r="H665">
            <v>0</v>
          </cell>
          <cell r="I665">
            <v>0</v>
          </cell>
        </row>
        <row r="666">
          <cell r="F666">
            <v>0</v>
          </cell>
          <cell r="H666">
            <v>0</v>
          </cell>
          <cell r="I666">
            <v>0</v>
          </cell>
        </row>
        <row r="667">
          <cell r="F667">
            <v>0</v>
          </cell>
          <cell r="H667">
            <v>0</v>
          </cell>
          <cell r="I667">
            <v>0</v>
          </cell>
        </row>
        <row r="668">
          <cell r="F668">
            <v>0</v>
          </cell>
          <cell r="H668">
            <v>0</v>
          </cell>
          <cell r="I668">
            <v>0</v>
          </cell>
        </row>
        <row r="669">
          <cell r="F669">
            <v>0</v>
          </cell>
          <cell r="H669">
            <v>0</v>
          </cell>
          <cell r="I669">
            <v>0</v>
          </cell>
        </row>
        <row r="670">
          <cell r="F670">
            <v>0</v>
          </cell>
          <cell r="H670">
            <v>0</v>
          </cell>
          <cell r="I670">
            <v>0</v>
          </cell>
        </row>
        <row r="671">
          <cell r="F671">
            <v>0</v>
          </cell>
          <cell r="H671">
            <v>0</v>
          </cell>
          <cell r="I671">
            <v>0</v>
          </cell>
        </row>
        <row r="672">
          <cell r="F672">
            <v>0</v>
          </cell>
          <cell r="H672">
            <v>0</v>
          </cell>
          <cell r="I672">
            <v>0</v>
          </cell>
        </row>
        <row r="673">
          <cell r="F673">
            <v>0</v>
          </cell>
          <cell r="H673">
            <v>0</v>
          </cell>
          <cell r="I673">
            <v>0</v>
          </cell>
        </row>
        <row r="674">
          <cell r="F674">
            <v>0</v>
          </cell>
          <cell r="H674">
            <v>0</v>
          </cell>
          <cell r="I674">
            <v>0</v>
          </cell>
        </row>
        <row r="675">
          <cell r="F675">
            <v>0</v>
          </cell>
          <cell r="H675">
            <v>0</v>
          </cell>
          <cell r="I675">
            <v>0</v>
          </cell>
        </row>
        <row r="676">
          <cell r="F676">
            <v>0</v>
          </cell>
          <cell r="H676">
            <v>0</v>
          </cell>
          <cell r="I676">
            <v>0</v>
          </cell>
        </row>
        <row r="677">
          <cell r="F677">
            <v>0</v>
          </cell>
          <cell r="H677">
            <v>0</v>
          </cell>
          <cell r="I677">
            <v>0</v>
          </cell>
        </row>
        <row r="678">
          <cell r="F678">
            <v>0</v>
          </cell>
          <cell r="H678">
            <v>0</v>
          </cell>
          <cell r="I678">
            <v>0</v>
          </cell>
        </row>
        <row r="679">
          <cell r="F679">
            <v>0</v>
          </cell>
          <cell r="H679">
            <v>0</v>
          </cell>
          <cell r="I679">
            <v>0</v>
          </cell>
        </row>
        <row r="680">
          <cell r="F680">
            <v>0</v>
          </cell>
          <cell r="H680">
            <v>0</v>
          </cell>
          <cell r="I680">
            <v>0</v>
          </cell>
        </row>
        <row r="681">
          <cell r="F681">
            <v>0</v>
          </cell>
          <cell r="H681">
            <v>0</v>
          </cell>
          <cell r="I681">
            <v>0</v>
          </cell>
        </row>
        <row r="682">
          <cell r="F682">
            <v>0</v>
          </cell>
          <cell r="H682">
            <v>0</v>
          </cell>
          <cell r="I682">
            <v>0</v>
          </cell>
        </row>
        <row r="683">
          <cell r="F683">
            <v>0</v>
          </cell>
          <cell r="H683">
            <v>0</v>
          </cell>
          <cell r="I683">
            <v>0</v>
          </cell>
        </row>
        <row r="684">
          <cell r="F684">
            <v>0</v>
          </cell>
          <cell r="H684">
            <v>0</v>
          </cell>
          <cell r="I684">
            <v>0</v>
          </cell>
        </row>
        <row r="685">
          <cell r="F685">
            <v>0</v>
          </cell>
          <cell r="H685">
            <v>0</v>
          </cell>
          <cell r="I685">
            <v>0</v>
          </cell>
        </row>
        <row r="686">
          <cell r="F686">
            <v>0</v>
          </cell>
          <cell r="H686">
            <v>0</v>
          </cell>
          <cell r="I686">
            <v>0</v>
          </cell>
        </row>
        <row r="687">
          <cell r="F687">
            <v>0</v>
          </cell>
          <cell r="H687">
            <v>0</v>
          </cell>
          <cell r="I687">
            <v>0</v>
          </cell>
        </row>
        <row r="688">
          <cell r="F688">
            <v>0</v>
          </cell>
          <cell r="H688">
            <v>0</v>
          </cell>
          <cell r="I688">
            <v>0</v>
          </cell>
        </row>
        <row r="689">
          <cell r="F689">
            <v>0</v>
          </cell>
          <cell r="H689">
            <v>0</v>
          </cell>
          <cell r="I689">
            <v>0</v>
          </cell>
        </row>
        <row r="690">
          <cell r="F690">
            <v>0</v>
          </cell>
          <cell r="H690">
            <v>0</v>
          </cell>
          <cell r="I690">
            <v>0</v>
          </cell>
        </row>
        <row r="691">
          <cell r="F691">
            <v>0</v>
          </cell>
          <cell r="H691">
            <v>0</v>
          </cell>
          <cell r="I691">
            <v>0</v>
          </cell>
        </row>
        <row r="692">
          <cell r="F692">
            <v>0</v>
          </cell>
          <cell r="H692">
            <v>0</v>
          </cell>
          <cell r="I692">
            <v>0</v>
          </cell>
        </row>
        <row r="693">
          <cell r="F693">
            <v>0</v>
          </cell>
          <cell r="H693">
            <v>0</v>
          </cell>
          <cell r="I693">
            <v>0</v>
          </cell>
        </row>
        <row r="694">
          <cell r="F694">
            <v>0</v>
          </cell>
          <cell r="H694">
            <v>0</v>
          </cell>
          <cell r="I694">
            <v>0</v>
          </cell>
        </row>
        <row r="695">
          <cell r="F695">
            <v>0</v>
          </cell>
          <cell r="H695">
            <v>0</v>
          </cell>
          <cell r="I695">
            <v>0</v>
          </cell>
        </row>
        <row r="696">
          <cell r="F696">
            <v>0</v>
          </cell>
          <cell r="H696">
            <v>0</v>
          </cell>
          <cell r="I696">
            <v>0</v>
          </cell>
        </row>
        <row r="697">
          <cell r="F697">
            <v>0</v>
          </cell>
          <cell r="H697">
            <v>0</v>
          </cell>
          <cell r="I697">
            <v>0</v>
          </cell>
        </row>
        <row r="698">
          <cell r="F698">
            <v>0</v>
          </cell>
          <cell r="H698">
            <v>0</v>
          </cell>
          <cell r="I698">
            <v>0</v>
          </cell>
        </row>
        <row r="699">
          <cell r="F699">
            <v>0</v>
          </cell>
          <cell r="H699">
            <v>0</v>
          </cell>
          <cell r="I699">
            <v>0</v>
          </cell>
        </row>
        <row r="700">
          <cell r="F700">
            <v>0</v>
          </cell>
          <cell r="H700">
            <v>0</v>
          </cell>
          <cell r="I700">
            <v>0</v>
          </cell>
        </row>
        <row r="701">
          <cell r="F701">
            <v>0</v>
          </cell>
          <cell r="H701">
            <v>0</v>
          </cell>
          <cell r="I701">
            <v>0</v>
          </cell>
        </row>
        <row r="702">
          <cell r="F702">
            <v>0</v>
          </cell>
          <cell r="H702">
            <v>0</v>
          </cell>
          <cell r="I702">
            <v>0</v>
          </cell>
        </row>
        <row r="703">
          <cell r="F703">
            <v>0</v>
          </cell>
          <cell r="H703">
            <v>0</v>
          </cell>
          <cell r="I703">
            <v>0</v>
          </cell>
        </row>
        <row r="704">
          <cell r="F704">
            <v>0</v>
          </cell>
          <cell r="H704">
            <v>0</v>
          </cell>
          <cell r="I704">
            <v>0</v>
          </cell>
        </row>
        <row r="705">
          <cell r="F705">
            <v>0</v>
          </cell>
          <cell r="H705">
            <v>0</v>
          </cell>
          <cell r="I705">
            <v>0</v>
          </cell>
        </row>
        <row r="706">
          <cell r="F706">
            <v>0</v>
          </cell>
          <cell r="H706">
            <v>0</v>
          </cell>
          <cell r="I706">
            <v>0</v>
          </cell>
        </row>
        <row r="707">
          <cell r="F707">
            <v>0</v>
          </cell>
          <cell r="H707">
            <v>0</v>
          </cell>
          <cell r="I707">
            <v>0</v>
          </cell>
        </row>
        <row r="708">
          <cell r="F708">
            <v>0</v>
          </cell>
          <cell r="H708">
            <v>0</v>
          </cell>
          <cell r="I708">
            <v>0</v>
          </cell>
        </row>
        <row r="709">
          <cell r="F709">
            <v>0</v>
          </cell>
          <cell r="H709">
            <v>0</v>
          </cell>
          <cell r="I709">
            <v>0</v>
          </cell>
        </row>
        <row r="710">
          <cell r="F710">
            <v>0</v>
          </cell>
          <cell r="H710">
            <v>0</v>
          </cell>
          <cell r="I710">
            <v>0</v>
          </cell>
        </row>
        <row r="711">
          <cell r="F711">
            <v>0</v>
          </cell>
          <cell r="H711">
            <v>0</v>
          </cell>
          <cell r="I711">
            <v>0</v>
          </cell>
        </row>
        <row r="712">
          <cell r="F712">
            <v>0</v>
          </cell>
          <cell r="H712">
            <v>0</v>
          </cell>
          <cell r="I712">
            <v>0</v>
          </cell>
        </row>
        <row r="713">
          <cell r="F713">
            <v>0</v>
          </cell>
          <cell r="H713">
            <v>0</v>
          </cell>
          <cell r="I713">
            <v>0</v>
          </cell>
        </row>
        <row r="714">
          <cell r="F714">
            <v>0</v>
          </cell>
          <cell r="H714">
            <v>0</v>
          </cell>
          <cell r="I714">
            <v>0</v>
          </cell>
        </row>
        <row r="715">
          <cell r="F715">
            <v>0</v>
          </cell>
          <cell r="H715">
            <v>0</v>
          </cell>
          <cell r="I715">
            <v>0</v>
          </cell>
        </row>
        <row r="716">
          <cell r="F716">
            <v>0</v>
          </cell>
          <cell r="H716">
            <v>0</v>
          </cell>
          <cell r="I716">
            <v>0</v>
          </cell>
        </row>
        <row r="717">
          <cell r="F717">
            <v>0</v>
          </cell>
          <cell r="H717">
            <v>0</v>
          </cell>
          <cell r="I717">
            <v>0</v>
          </cell>
        </row>
        <row r="718">
          <cell r="F718">
            <v>0</v>
          </cell>
          <cell r="H718">
            <v>0</v>
          </cell>
          <cell r="I718">
            <v>0</v>
          </cell>
        </row>
        <row r="719">
          <cell r="F719">
            <v>0</v>
          </cell>
          <cell r="H719">
            <v>0</v>
          </cell>
          <cell r="I719">
            <v>0</v>
          </cell>
        </row>
        <row r="720">
          <cell r="F720">
            <v>0</v>
          </cell>
          <cell r="H720">
            <v>0</v>
          </cell>
          <cell r="I720">
            <v>0</v>
          </cell>
        </row>
        <row r="721">
          <cell r="F721">
            <v>0</v>
          </cell>
          <cell r="H721">
            <v>0</v>
          </cell>
          <cell r="I721">
            <v>0</v>
          </cell>
        </row>
        <row r="722">
          <cell r="F722">
            <v>0</v>
          </cell>
          <cell r="H722">
            <v>0</v>
          </cell>
          <cell r="I722">
            <v>0</v>
          </cell>
        </row>
        <row r="723">
          <cell r="F723">
            <v>0</v>
          </cell>
          <cell r="H723">
            <v>0</v>
          </cell>
          <cell r="I723">
            <v>0</v>
          </cell>
        </row>
        <row r="724">
          <cell r="F724">
            <v>0</v>
          </cell>
          <cell r="H724">
            <v>0</v>
          </cell>
          <cell r="I724">
            <v>0</v>
          </cell>
        </row>
        <row r="725">
          <cell r="F725">
            <v>0</v>
          </cell>
          <cell r="H725">
            <v>0</v>
          </cell>
          <cell r="I725">
            <v>0</v>
          </cell>
        </row>
        <row r="726">
          <cell r="F726">
            <v>0</v>
          </cell>
          <cell r="H726">
            <v>0</v>
          </cell>
          <cell r="I726">
            <v>0</v>
          </cell>
        </row>
        <row r="727">
          <cell r="F727">
            <v>0</v>
          </cell>
          <cell r="H727">
            <v>0</v>
          </cell>
          <cell r="I727">
            <v>0</v>
          </cell>
        </row>
        <row r="728">
          <cell r="F728">
            <v>0</v>
          </cell>
          <cell r="H728">
            <v>0</v>
          </cell>
          <cell r="I728">
            <v>0</v>
          </cell>
        </row>
        <row r="729">
          <cell r="F729">
            <v>0</v>
          </cell>
          <cell r="H729">
            <v>0</v>
          </cell>
          <cell r="I729">
            <v>0</v>
          </cell>
        </row>
        <row r="730">
          <cell r="F730">
            <v>0</v>
          </cell>
          <cell r="H730">
            <v>0</v>
          </cell>
          <cell r="I730">
            <v>0</v>
          </cell>
        </row>
        <row r="731">
          <cell r="F731">
            <v>0</v>
          </cell>
          <cell r="H731">
            <v>0</v>
          </cell>
          <cell r="I731">
            <v>0</v>
          </cell>
        </row>
        <row r="732">
          <cell r="F732">
            <v>0</v>
          </cell>
          <cell r="H732">
            <v>0</v>
          </cell>
          <cell r="I732">
            <v>0</v>
          </cell>
        </row>
        <row r="733">
          <cell r="F733">
            <v>0</v>
          </cell>
          <cell r="H733">
            <v>0</v>
          </cell>
          <cell r="I733">
            <v>0</v>
          </cell>
        </row>
        <row r="734">
          <cell r="F734">
            <v>0</v>
          </cell>
          <cell r="H734">
            <v>0</v>
          </cell>
          <cell r="I734">
            <v>0</v>
          </cell>
        </row>
        <row r="735">
          <cell r="F735">
            <v>0</v>
          </cell>
          <cell r="H735">
            <v>0</v>
          </cell>
          <cell r="I735">
            <v>0</v>
          </cell>
        </row>
        <row r="736">
          <cell r="F736">
            <v>0</v>
          </cell>
          <cell r="H736">
            <v>0</v>
          </cell>
          <cell r="I736">
            <v>0</v>
          </cell>
        </row>
        <row r="737">
          <cell r="F737">
            <v>0</v>
          </cell>
          <cell r="H737">
            <v>0</v>
          </cell>
          <cell r="I737">
            <v>0</v>
          </cell>
        </row>
        <row r="738">
          <cell r="F738">
            <v>0</v>
          </cell>
          <cell r="H738">
            <v>0</v>
          </cell>
          <cell r="I738">
            <v>0</v>
          </cell>
        </row>
        <row r="739">
          <cell r="F739">
            <v>0</v>
          </cell>
          <cell r="H739">
            <v>0</v>
          </cell>
          <cell r="I739">
            <v>0</v>
          </cell>
        </row>
        <row r="740">
          <cell r="F740">
            <v>0</v>
          </cell>
          <cell r="H740">
            <v>0</v>
          </cell>
          <cell r="I740">
            <v>0</v>
          </cell>
        </row>
        <row r="741">
          <cell r="F741">
            <v>0</v>
          </cell>
          <cell r="H741">
            <v>0</v>
          </cell>
          <cell r="I741">
            <v>0</v>
          </cell>
        </row>
        <row r="742">
          <cell r="F742">
            <v>0</v>
          </cell>
          <cell r="H742">
            <v>0</v>
          </cell>
          <cell r="I742">
            <v>0</v>
          </cell>
        </row>
        <row r="743">
          <cell r="F743">
            <v>0</v>
          </cell>
          <cell r="H743">
            <v>0</v>
          </cell>
          <cell r="I743">
            <v>0</v>
          </cell>
        </row>
        <row r="744">
          <cell r="F744">
            <v>0</v>
          </cell>
          <cell r="H744">
            <v>0</v>
          </cell>
          <cell r="I744">
            <v>0</v>
          </cell>
        </row>
        <row r="745">
          <cell r="F745">
            <v>0</v>
          </cell>
          <cell r="H745">
            <v>0</v>
          </cell>
          <cell r="I745">
            <v>0</v>
          </cell>
        </row>
        <row r="746">
          <cell r="F746">
            <v>0</v>
          </cell>
          <cell r="H746">
            <v>0</v>
          </cell>
          <cell r="I746">
            <v>0</v>
          </cell>
        </row>
        <row r="747">
          <cell r="F747">
            <v>0</v>
          </cell>
          <cell r="H747">
            <v>0</v>
          </cell>
          <cell r="I747">
            <v>0</v>
          </cell>
        </row>
        <row r="748">
          <cell r="F748">
            <v>0</v>
          </cell>
          <cell r="H748">
            <v>0</v>
          </cell>
          <cell r="I748">
            <v>0</v>
          </cell>
        </row>
        <row r="749">
          <cell r="F749">
            <v>0</v>
          </cell>
          <cell r="H749">
            <v>0</v>
          </cell>
          <cell r="I749">
            <v>0</v>
          </cell>
        </row>
        <row r="750">
          <cell r="F750">
            <v>0</v>
          </cell>
          <cell r="H750">
            <v>0</v>
          </cell>
          <cell r="I750">
            <v>0</v>
          </cell>
        </row>
        <row r="751">
          <cell r="F751">
            <v>0</v>
          </cell>
          <cell r="H751">
            <v>0</v>
          </cell>
          <cell r="I751">
            <v>0</v>
          </cell>
        </row>
        <row r="752">
          <cell r="F752">
            <v>0</v>
          </cell>
          <cell r="H752">
            <v>0</v>
          </cell>
          <cell r="I752">
            <v>0</v>
          </cell>
        </row>
        <row r="753">
          <cell r="F753">
            <v>0</v>
          </cell>
          <cell r="H753">
            <v>0</v>
          </cell>
          <cell r="I753">
            <v>0</v>
          </cell>
        </row>
        <row r="754">
          <cell r="F754">
            <v>0</v>
          </cell>
          <cell r="H754">
            <v>0</v>
          </cell>
          <cell r="I754">
            <v>0</v>
          </cell>
        </row>
        <row r="755">
          <cell r="F755">
            <v>0</v>
          </cell>
          <cell r="H755">
            <v>0</v>
          </cell>
          <cell r="I755">
            <v>0</v>
          </cell>
        </row>
        <row r="756">
          <cell r="F756">
            <v>0</v>
          </cell>
          <cell r="H756">
            <v>0</v>
          </cell>
          <cell r="I756">
            <v>0</v>
          </cell>
        </row>
        <row r="757">
          <cell r="F757">
            <v>0</v>
          </cell>
          <cell r="H757">
            <v>0</v>
          </cell>
          <cell r="I757">
            <v>0</v>
          </cell>
        </row>
        <row r="758">
          <cell r="F758">
            <v>0</v>
          </cell>
          <cell r="H758">
            <v>0</v>
          </cell>
          <cell r="I758">
            <v>0</v>
          </cell>
        </row>
        <row r="759">
          <cell r="F759">
            <v>0</v>
          </cell>
          <cell r="H759">
            <v>0</v>
          </cell>
          <cell r="I759">
            <v>0</v>
          </cell>
        </row>
        <row r="760">
          <cell r="F760">
            <v>0</v>
          </cell>
          <cell r="H760">
            <v>0</v>
          </cell>
          <cell r="I760">
            <v>0</v>
          </cell>
        </row>
        <row r="761">
          <cell r="F761">
            <v>0</v>
          </cell>
          <cell r="H761">
            <v>0</v>
          </cell>
          <cell r="I761">
            <v>0</v>
          </cell>
        </row>
        <row r="762">
          <cell r="F762">
            <v>0</v>
          </cell>
          <cell r="H762">
            <v>0</v>
          </cell>
          <cell r="I762">
            <v>0</v>
          </cell>
        </row>
        <row r="763">
          <cell r="F763">
            <v>0</v>
          </cell>
          <cell r="H763">
            <v>0</v>
          </cell>
          <cell r="I763">
            <v>0</v>
          </cell>
        </row>
        <row r="764">
          <cell r="F764">
            <v>0</v>
          </cell>
          <cell r="H764">
            <v>0</v>
          </cell>
          <cell r="I764">
            <v>0</v>
          </cell>
        </row>
        <row r="765">
          <cell r="F765">
            <v>0</v>
          </cell>
          <cell r="H765">
            <v>0</v>
          </cell>
          <cell r="I765">
            <v>0</v>
          </cell>
        </row>
        <row r="766">
          <cell r="F766">
            <v>0</v>
          </cell>
          <cell r="H766">
            <v>0</v>
          </cell>
          <cell r="I766">
            <v>0</v>
          </cell>
        </row>
        <row r="767">
          <cell r="F767">
            <v>0</v>
          </cell>
          <cell r="H767">
            <v>0</v>
          </cell>
          <cell r="I767">
            <v>0</v>
          </cell>
        </row>
        <row r="768">
          <cell r="F768">
            <v>0</v>
          </cell>
          <cell r="H768">
            <v>0</v>
          </cell>
          <cell r="I768">
            <v>0</v>
          </cell>
        </row>
        <row r="769">
          <cell r="F769">
            <v>0</v>
          </cell>
          <cell r="H769">
            <v>0</v>
          </cell>
          <cell r="I769">
            <v>0</v>
          </cell>
        </row>
        <row r="770">
          <cell r="F770">
            <v>0</v>
          </cell>
          <cell r="H770">
            <v>0</v>
          </cell>
          <cell r="I770">
            <v>0</v>
          </cell>
        </row>
        <row r="771">
          <cell r="F771">
            <v>0</v>
          </cell>
          <cell r="H771">
            <v>0</v>
          </cell>
          <cell r="I771">
            <v>0</v>
          </cell>
        </row>
        <row r="772">
          <cell r="F772">
            <v>0</v>
          </cell>
          <cell r="H772">
            <v>0</v>
          </cell>
          <cell r="I772">
            <v>0</v>
          </cell>
        </row>
        <row r="773">
          <cell r="F773">
            <v>0</v>
          </cell>
          <cell r="H773">
            <v>0</v>
          </cell>
          <cell r="I773">
            <v>0</v>
          </cell>
        </row>
        <row r="774">
          <cell r="F774">
            <v>0</v>
          </cell>
          <cell r="H774">
            <v>0</v>
          </cell>
          <cell r="I774">
            <v>0</v>
          </cell>
        </row>
        <row r="775">
          <cell r="F775">
            <v>0</v>
          </cell>
          <cell r="H775">
            <v>0</v>
          </cell>
          <cell r="I775">
            <v>0</v>
          </cell>
        </row>
        <row r="776">
          <cell r="F776">
            <v>0</v>
          </cell>
          <cell r="H776">
            <v>0</v>
          </cell>
          <cell r="I776">
            <v>0</v>
          </cell>
        </row>
        <row r="777">
          <cell r="F777">
            <v>0</v>
          </cell>
          <cell r="H777">
            <v>0</v>
          </cell>
          <cell r="I777">
            <v>0</v>
          </cell>
        </row>
        <row r="778">
          <cell r="F778">
            <v>0</v>
          </cell>
          <cell r="H778">
            <v>0</v>
          </cell>
          <cell r="I778">
            <v>0</v>
          </cell>
        </row>
        <row r="779">
          <cell r="F779">
            <v>0</v>
          </cell>
          <cell r="H779">
            <v>0</v>
          </cell>
          <cell r="I779">
            <v>0</v>
          </cell>
        </row>
        <row r="780">
          <cell r="F780">
            <v>0</v>
          </cell>
          <cell r="H780">
            <v>0</v>
          </cell>
          <cell r="I780">
            <v>0</v>
          </cell>
        </row>
        <row r="781">
          <cell r="F781">
            <v>0</v>
          </cell>
          <cell r="H781">
            <v>0</v>
          </cell>
          <cell r="I781">
            <v>0</v>
          </cell>
        </row>
        <row r="782">
          <cell r="F782">
            <v>0</v>
          </cell>
          <cell r="H782">
            <v>0</v>
          </cell>
          <cell r="I782">
            <v>0</v>
          </cell>
        </row>
        <row r="783">
          <cell r="F783">
            <v>0</v>
          </cell>
          <cell r="H783">
            <v>0</v>
          </cell>
          <cell r="I783">
            <v>0</v>
          </cell>
        </row>
        <row r="784">
          <cell r="F784">
            <v>0</v>
          </cell>
          <cell r="H784">
            <v>0</v>
          </cell>
          <cell r="I784">
            <v>0</v>
          </cell>
        </row>
        <row r="785">
          <cell r="F785">
            <v>0</v>
          </cell>
          <cell r="H785">
            <v>0</v>
          </cell>
          <cell r="I785">
            <v>0</v>
          </cell>
        </row>
        <row r="786">
          <cell r="F786">
            <v>0</v>
          </cell>
          <cell r="H786">
            <v>0</v>
          </cell>
          <cell r="I786">
            <v>0</v>
          </cell>
        </row>
        <row r="787">
          <cell r="F787">
            <v>0</v>
          </cell>
          <cell r="H787">
            <v>0</v>
          </cell>
          <cell r="I787">
            <v>0</v>
          </cell>
        </row>
        <row r="788">
          <cell r="F788">
            <v>0</v>
          </cell>
          <cell r="H788">
            <v>0</v>
          </cell>
          <cell r="I788">
            <v>0</v>
          </cell>
        </row>
        <row r="789">
          <cell r="F789">
            <v>0</v>
          </cell>
          <cell r="H789">
            <v>0</v>
          </cell>
          <cell r="I789">
            <v>0</v>
          </cell>
        </row>
        <row r="790">
          <cell r="F790">
            <v>0</v>
          </cell>
          <cell r="H790">
            <v>0</v>
          </cell>
          <cell r="I790">
            <v>0</v>
          </cell>
        </row>
        <row r="791">
          <cell r="F791">
            <v>0</v>
          </cell>
          <cell r="H791">
            <v>0</v>
          </cell>
          <cell r="I791">
            <v>0</v>
          </cell>
        </row>
        <row r="792">
          <cell r="F792">
            <v>0</v>
          </cell>
          <cell r="H792">
            <v>0</v>
          </cell>
          <cell r="I792">
            <v>0</v>
          </cell>
        </row>
        <row r="793">
          <cell r="F793">
            <v>0</v>
          </cell>
          <cell r="H793">
            <v>0</v>
          </cell>
          <cell r="I793">
            <v>0</v>
          </cell>
        </row>
        <row r="794">
          <cell r="F794">
            <v>0</v>
          </cell>
          <cell r="H794">
            <v>0</v>
          </cell>
          <cell r="I794">
            <v>0</v>
          </cell>
        </row>
        <row r="795">
          <cell r="F795">
            <v>0</v>
          </cell>
          <cell r="H795">
            <v>0</v>
          </cell>
          <cell r="I795">
            <v>0</v>
          </cell>
        </row>
        <row r="796">
          <cell r="F796">
            <v>0</v>
          </cell>
          <cell r="H796">
            <v>0</v>
          </cell>
          <cell r="I796">
            <v>0</v>
          </cell>
        </row>
        <row r="797">
          <cell r="F797">
            <v>0</v>
          </cell>
          <cell r="H797">
            <v>0</v>
          </cell>
          <cell r="I797">
            <v>0</v>
          </cell>
        </row>
        <row r="798">
          <cell r="F798">
            <v>0</v>
          </cell>
          <cell r="H798">
            <v>0</v>
          </cell>
          <cell r="I798">
            <v>0</v>
          </cell>
        </row>
        <row r="799">
          <cell r="F799">
            <v>0</v>
          </cell>
          <cell r="H799">
            <v>0</v>
          </cell>
          <cell r="I799">
            <v>0</v>
          </cell>
        </row>
        <row r="800">
          <cell r="F800">
            <v>0</v>
          </cell>
          <cell r="H800">
            <v>0</v>
          </cell>
          <cell r="I800">
            <v>0</v>
          </cell>
        </row>
        <row r="801">
          <cell r="F801">
            <v>0</v>
          </cell>
          <cell r="H801">
            <v>0</v>
          </cell>
          <cell r="I801">
            <v>0</v>
          </cell>
        </row>
        <row r="802">
          <cell r="F802">
            <v>0</v>
          </cell>
          <cell r="H802">
            <v>0</v>
          </cell>
          <cell r="I802">
            <v>0</v>
          </cell>
        </row>
        <row r="803">
          <cell r="F803">
            <v>0</v>
          </cell>
          <cell r="H803">
            <v>0</v>
          </cell>
          <cell r="I803">
            <v>0</v>
          </cell>
        </row>
        <row r="804">
          <cell r="F804">
            <v>0</v>
          </cell>
          <cell r="H804">
            <v>0</v>
          </cell>
          <cell r="I804">
            <v>0</v>
          </cell>
        </row>
        <row r="805">
          <cell r="F805">
            <v>0</v>
          </cell>
          <cell r="H805">
            <v>0</v>
          </cell>
          <cell r="I805">
            <v>0</v>
          </cell>
        </row>
        <row r="806">
          <cell r="F806">
            <v>0</v>
          </cell>
          <cell r="H806">
            <v>0</v>
          </cell>
          <cell r="I806">
            <v>0</v>
          </cell>
        </row>
        <row r="807">
          <cell r="F807">
            <v>0</v>
          </cell>
          <cell r="H807">
            <v>0</v>
          </cell>
          <cell r="I807">
            <v>0</v>
          </cell>
        </row>
        <row r="808">
          <cell r="F808">
            <v>0</v>
          </cell>
          <cell r="H808">
            <v>0</v>
          </cell>
          <cell r="I808">
            <v>0</v>
          </cell>
        </row>
        <row r="809">
          <cell r="F809">
            <v>0</v>
          </cell>
          <cell r="H809">
            <v>0</v>
          </cell>
          <cell r="I809">
            <v>0</v>
          </cell>
        </row>
        <row r="810">
          <cell r="F810">
            <v>0</v>
          </cell>
          <cell r="H810">
            <v>0</v>
          </cell>
          <cell r="I810">
            <v>0</v>
          </cell>
        </row>
        <row r="811">
          <cell r="F811">
            <v>0</v>
          </cell>
          <cell r="H811">
            <v>0</v>
          </cell>
          <cell r="I811">
            <v>0</v>
          </cell>
        </row>
        <row r="812">
          <cell r="F812">
            <v>0</v>
          </cell>
          <cell r="H812">
            <v>0</v>
          </cell>
          <cell r="I812">
            <v>0</v>
          </cell>
        </row>
        <row r="813">
          <cell r="F813">
            <v>0</v>
          </cell>
          <cell r="H813">
            <v>0</v>
          </cell>
          <cell r="I813">
            <v>0</v>
          </cell>
        </row>
        <row r="814">
          <cell r="F814">
            <v>0</v>
          </cell>
          <cell r="H814">
            <v>0</v>
          </cell>
          <cell r="I814">
            <v>0</v>
          </cell>
        </row>
        <row r="815">
          <cell r="F815">
            <v>0</v>
          </cell>
          <cell r="H815">
            <v>0</v>
          </cell>
          <cell r="I815">
            <v>0</v>
          </cell>
        </row>
        <row r="816">
          <cell r="F816">
            <v>0</v>
          </cell>
          <cell r="H816">
            <v>0</v>
          </cell>
          <cell r="I816">
            <v>0</v>
          </cell>
        </row>
        <row r="817">
          <cell r="F817">
            <v>0</v>
          </cell>
          <cell r="H817">
            <v>0</v>
          </cell>
          <cell r="I817">
            <v>0</v>
          </cell>
        </row>
        <row r="818">
          <cell r="F818">
            <v>0</v>
          </cell>
          <cell r="H818">
            <v>0</v>
          </cell>
          <cell r="I818">
            <v>0</v>
          </cell>
        </row>
        <row r="819">
          <cell r="F819">
            <v>0</v>
          </cell>
          <cell r="H819">
            <v>0</v>
          </cell>
          <cell r="I819">
            <v>0</v>
          </cell>
        </row>
        <row r="820">
          <cell r="F820">
            <v>0</v>
          </cell>
          <cell r="H820">
            <v>0</v>
          </cell>
          <cell r="I820">
            <v>0</v>
          </cell>
        </row>
        <row r="821">
          <cell r="F821">
            <v>0</v>
          </cell>
          <cell r="H821">
            <v>0</v>
          </cell>
          <cell r="I821">
            <v>0</v>
          </cell>
        </row>
        <row r="822">
          <cell r="F822">
            <v>0</v>
          </cell>
          <cell r="H822">
            <v>0</v>
          </cell>
          <cell r="I822">
            <v>0</v>
          </cell>
        </row>
        <row r="823">
          <cell r="F823">
            <v>0</v>
          </cell>
          <cell r="H823">
            <v>0</v>
          </cell>
          <cell r="I823">
            <v>0</v>
          </cell>
        </row>
        <row r="824">
          <cell r="F824">
            <v>0</v>
          </cell>
          <cell r="H824">
            <v>0</v>
          </cell>
          <cell r="I824">
            <v>0</v>
          </cell>
        </row>
        <row r="825">
          <cell r="F825">
            <v>0</v>
          </cell>
          <cell r="H825">
            <v>0</v>
          </cell>
          <cell r="I825">
            <v>0</v>
          </cell>
        </row>
        <row r="826">
          <cell r="F826">
            <v>0</v>
          </cell>
          <cell r="H826">
            <v>0</v>
          </cell>
          <cell r="I826">
            <v>0</v>
          </cell>
        </row>
        <row r="827">
          <cell r="F827">
            <v>0</v>
          </cell>
          <cell r="H827">
            <v>0</v>
          </cell>
          <cell r="I827">
            <v>0</v>
          </cell>
        </row>
        <row r="828">
          <cell r="F828">
            <v>0</v>
          </cell>
          <cell r="H828">
            <v>0</v>
          </cell>
          <cell r="I828">
            <v>0</v>
          </cell>
        </row>
        <row r="829">
          <cell r="F829">
            <v>0</v>
          </cell>
          <cell r="H829">
            <v>0</v>
          </cell>
          <cell r="I829">
            <v>0</v>
          </cell>
        </row>
        <row r="830">
          <cell r="F830">
            <v>0</v>
          </cell>
          <cell r="H830">
            <v>0</v>
          </cell>
          <cell r="I830">
            <v>0</v>
          </cell>
        </row>
        <row r="831">
          <cell r="F831">
            <v>0</v>
          </cell>
          <cell r="H831">
            <v>0</v>
          </cell>
          <cell r="I831">
            <v>0</v>
          </cell>
        </row>
        <row r="832">
          <cell r="F832">
            <v>0</v>
          </cell>
          <cell r="H832">
            <v>0</v>
          </cell>
          <cell r="I832">
            <v>0</v>
          </cell>
        </row>
        <row r="833">
          <cell r="F833">
            <v>0</v>
          </cell>
          <cell r="H833">
            <v>0</v>
          </cell>
          <cell r="I833">
            <v>0</v>
          </cell>
        </row>
        <row r="834">
          <cell r="F834">
            <v>0</v>
          </cell>
          <cell r="H834">
            <v>0</v>
          </cell>
          <cell r="I834">
            <v>0</v>
          </cell>
        </row>
        <row r="835">
          <cell r="F835">
            <v>0</v>
          </cell>
          <cell r="H835">
            <v>0</v>
          </cell>
          <cell r="I835">
            <v>0</v>
          </cell>
        </row>
        <row r="836">
          <cell r="F836">
            <v>0</v>
          </cell>
          <cell r="H836">
            <v>0</v>
          </cell>
          <cell r="I836">
            <v>0</v>
          </cell>
        </row>
        <row r="837">
          <cell r="F837">
            <v>0</v>
          </cell>
          <cell r="H837">
            <v>0</v>
          </cell>
          <cell r="I837">
            <v>0</v>
          </cell>
        </row>
        <row r="838">
          <cell r="F838">
            <v>0</v>
          </cell>
          <cell r="H838">
            <v>0</v>
          </cell>
          <cell r="I838">
            <v>0</v>
          </cell>
        </row>
        <row r="839">
          <cell r="F839">
            <v>0</v>
          </cell>
          <cell r="H839">
            <v>0</v>
          </cell>
          <cell r="I839">
            <v>0</v>
          </cell>
        </row>
        <row r="840">
          <cell r="F840">
            <v>0</v>
          </cell>
          <cell r="H840">
            <v>0</v>
          </cell>
          <cell r="I840">
            <v>0</v>
          </cell>
        </row>
        <row r="841">
          <cell r="F841">
            <v>0</v>
          </cell>
          <cell r="H841">
            <v>0</v>
          </cell>
          <cell r="I841">
            <v>0</v>
          </cell>
        </row>
        <row r="842">
          <cell r="F842">
            <v>0</v>
          </cell>
          <cell r="H842">
            <v>0</v>
          </cell>
          <cell r="I842">
            <v>0</v>
          </cell>
        </row>
        <row r="843">
          <cell r="F843">
            <v>0</v>
          </cell>
          <cell r="H843">
            <v>0</v>
          </cell>
          <cell r="I843">
            <v>0</v>
          </cell>
        </row>
        <row r="844">
          <cell r="F844">
            <v>0</v>
          </cell>
          <cell r="H844">
            <v>0</v>
          </cell>
          <cell r="I844">
            <v>0</v>
          </cell>
        </row>
        <row r="845">
          <cell r="F845">
            <v>0</v>
          </cell>
          <cell r="H845">
            <v>0</v>
          </cell>
          <cell r="I845">
            <v>0</v>
          </cell>
        </row>
        <row r="846">
          <cell r="F846">
            <v>0</v>
          </cell>
          <cell r="H846">
            <v>0</v>
          </cell>
          <cell r="I846">
            <v>0</v>
          </cell>
        </row>
        <row r="847">
          <cell r="F847">
            <v>0</v>
          </cell>
          <cell r="H847">
            <v>0</v>
          </cell>
          <cell r="I847">
            <v>0</v>
          </cell>
        </row>
        <row r="848">
          <cell r="F848">
            <v>0</v>
          </cell>
          <cell r="H848">
            <v>0</v>
          </cell>
          <cell r="I848">
            <v>0</v>
          </cell>
        </row>
        <row r="849">
          <cell r="F849">
            <v>0</v>
          </cell>
          <cell r="H849">
            <v>0</v>
          </cell>
          <cell r="I849">
            <v>0</v>
          </cell>
        </row>
        <row r="850">
          <cell r="F850">
            <v>0</v>
          </cell>
          <cell r="H850">
            <v>0</v>
          </cell>
          <cell r="I850">
            <v>0</v>
          </cell>
        </row>
        <row r="851">
          <cell r="F851">
            <v>0</v>
          </cell>
          <cell r="H851">
            <v>0</v>
          </cell>
          <cell r="I851">
            <v>0</v>
          </cell>
        </row>
        <row r="852">
          <cell r="F852">
            <v>0</v>
          </cell>
          <cell r="H852">
            <v>0</v>
          </cell>
          <cell r="I852">
            <v>0</v>
          </cell>
        </row>
        <row r="853">
          <cell r="F853">
            <v>0</v>
          </cell>
          <cell r="H853">
            <v>0</v>
          </cell>
          <cell r="I853">
            <v>0</v>
          </cell>
        </row>
        <row r="854">
          <cell r="F854">
            <v>0</v>
          </cell>
          <cell r="H854">
            <v>0</v>
          </cell>
          <cell r="I854">
            <v>0</v>
          </cell>
        </row>
        <row r="855">
          <cell r="F855">
            <v>0</v>
          </cell>
          <cell r="H855">
            <v>0</v>
          </cell>
          <cell r="I855">
            <v>0</v>
          </cell>
        </row>
        <row r="856">
          <cell r="F856">
            <v>0</v>
          </cell>
          <cell r="H856">
            <v>0</v>
          </cell>
          <cell r="I856">
            <v>0</v>
          </cell>
        </row>
        <row r="857">
          <cell r="F857">
            <v>0</v>
          </cell>
          <cell r="H857">
            <v>0</v>
          </cell>
          <cell r="I857">
            <v>0</v>
          </cell>
        </row>
        <row r="858">
          <cell r="F858">
            <v>0</v>
          </cell>
          <cell r="H858">
            <v>0</v>
          </cell>
          <cell r="I858">
            <v>0</v>
          </cell>
        </row>
        <row r="859">
          <cell r="F859">
            <v>0</v>
          </cell>
          <cell r="H859">
            <v>0</v>
          </cell>
          <cell r="I859">
            <v>0</v>
          </cell>
        </row>
        <row r="860">
          <cell r="F860">
            <v>0</v>
          </cell>
          <cell r="H860">
            <v>0</v>
          </cell>
          <cell r="I860">
            <v>0</v>
          </cell>
        </row>
        <row r="861">
          <cell r="F861">
            <v>0</v>
          </cell>
          <cell r="H861">
            <v>0</v>
          </cell>
          <cell r="I861">
            <v>0</v>
          </cell>
        </row>
        <row r="862">
          <cell r="F862">
            <v>0</v>
          </cell>
          <cell r="H862">
            <v>0</v>
          </cell>
          <cell r="I862">
            <v>0</v>
          </cell>
        </row>
        <row r="863">
          <cell r="F863">
            <v>0</v>
          </cell>
          <cell r="H863">
            <v>0</v>
          </cell>
          <cell r="I863">
            <v>0</v>
          </cell>
        </row>
        <row r="864">
          <cell r="F864">
            <v>0</v>
          </cell>
          <cell r="H864">
            <v>0</v>
          </cell>
          <cell r="I864">
            <v>0</v>
          </cell>
        </row>
        <row r="865">
          <cell r="F865">
            <v>0</v>
          </cell>
          <cell r="H865">
            <v>0</v>
          </cell>
          <cell r="I865">
            <v>0</v>
          </cell>
        </row>
        <row r="866">
          <cell r="F866">
            <v>0</v>
          </cell>
          <cell r="H866">
            <v>0</v>
          </cell>
          <cell r="I866">
            <v>0</v>
          </cell>
        </row>
        <row r="867">
          <cell r="F867">
            <v>0</v>
          </cell>
          <cell r="H867">
            <v>0</v>
          </cell>
          <cell r="I867">
            <v>0</v>
          </cell>
        </row>
        <row r="868">
          <cell r="F868">
            <v>0</v>
          </cell>
          <cell r="H868">
            <v>0</v>
          </cell>
          <cell r="I868">
            <v>0</v>
          </cell>
        </row>
        <row r="869">
          <cell r="F869">
            <v>0</v>
          </cell>
          <cell r="H869">
            <v>0</v>
          </cell>
          <cell r="I869">
            <v>0</v>
          </cell>
        </row>
        <row r="870">
          <cell r="F870">
            <v>0</v>
          </cell>
          <cell r="H870">
            <v>0</v>
          </cell>
          <cell r="I870">
            <v>0</v>
          </cell>
        </row>
        <row r="871">
          <cell r="F871">
            <v>0</v>
          </cell>
          <cell r="H871">
            <v>0</v>
          </cell>
          <cell r="I871">
            <v>0</v>
          </cell>
        </row>
        <row r="872">
          <cell r="F872">
            <v>0</v>
          </cell>
          <cell r="H872">
            <v>0</v>
          </cell>
          <cell r="I872">
            <v>0</v>
          </cell>
        </row>
        <row r="873">
          <cell r="F873">
            <v>0</v>
          </cell>
          <cell r="H873">
            <v>0</v>
          </cell>
          <cell r="I873">
            <v>0</v>
          </cell>
        </row>
        <row r="874">
          <cell r="F874">
            <v>0</v>
          </cell>
          <cell r="H874">
            <v>0</v>
          </cell>
          <cell r="I874">
            <v>0</v>
          </cell>
        </row>
        <row r="875">
          <cell r="F875">
            <v>0</v>
          </cell>
          <cell r="H875">
            <v>0</v>
          </cell>
          <cell r="I875">
            <v>0</v>
          </cell>
        </row>
        <row r="876">
          <cell r="F876">
            <v>0</v>
          </cell>
          <cell r="H876">
            <v>0</v>
          </cell>
          <cell r="I876">
            <v>0</v>
          </cell>
        </row>
        <row r="877">
          <cell r="F877">
            <v>0</v>
          </cell>
          <cell r="H877">
            <v>0</v>
          </cell>
          <cell r="I877">
            <v>0</v>
          </cell>
        </row>
        <row r="878">
          <cell r="F878">
            <v>0</v>
          </cell>
          <cell r="H878">
            <v>0</v>
          </cell>
          <cell r="I878">
            <v>0</v>
          </cell>
        </row>
        <row r="879">
          <cell r="F879">
            <v>0</v>
          </cell>
          <cell r="H879">
            <v>0</v>
          </cell>
          <cell r="I879">
            <v>0</v>
          </cell>
        </row>
        <row r="880">
          <cell r="F880">
            <v>0</v>
          </cell>
          <cell r="H880">
            <v>0</v>
          </cell>
          <cell r="I880">
            <v>0</v>
          </cell>
        </row>
        <row r="881">
          <cell r="F881">
            <v>0</v>
          </cell>
          <cell r="H881">
            <v>0</v>
          </cell>
          <cell r="I881">
            <v>0</v>
          </cell>
        </row>
        <row r="882">
          <cell r="F882">
            <v>0</v>
          </cell>
          <cell r="H882">
            <v>0</v>
          </cell>
          <cell r="I882">
            <v>0</v>
          </cell>
        </row>
        <row r="883">
          <cell r="F883">
            <v>0</v>
          </cell>
          <cell r="H883">
            <v>0</v>
          </cell>
          <cell r="I883">
            <v>0</v>
          </cell>
        </row>
        <row r="884">
          <cell r="F884">
            <v>0</v>
          </cell>
          <cell r="H884">
            <v>0</v>
          </cell>
          <cell r="I884">
            <v>0</v>
          </cell>
        </row>
        <row r="885">
          <cell r="F885">
            <v>0</v>
          </cell>
          <cell r="H885">
            <v>0</v>
          </cell>
          <cell r="I885">
            <v>0</v>
          </cell>
        </row>
        <row r="886">
          <cell r="F886">
            <v>0</v>
          </cell>
          <cell r="H886">
            <v>0</v>
          </cell>
          <cell r="I886">
            <v>0</v>
          </cell>
        </row>
        <row r="887">
          <cell r="F887">
            <v>0</v>
          </cell>
          <cell r="H887">
            <v>0</v>
          </cell>
          <cell r="I887">
            <v>0</v>
          </cell>
        </row>
        <row r="888">
          <cell r="F888">
            <v>0</v>
          </cell>
          <cell r="H888">
            <v>0</v>
          </cell>
          <cell r="I888">
            <v>0</v>
          </cell>
        </row>
        <row r="889">
          <cell r="F889">
            <v>0</v>
          </cell>
          <cell r="H889">
            <v>0</v>
          </cell>
          <cell r="I889">
            <v>0</v>
          </cell>
        </row>
        <row r="890">
          <cell r="F890">
            <v>0</v>
          </cell>
          <cell r="H890">
            <v>0</v>
          </cell>
          <cell r="I890">
            <v>0</v>
          </cell>
        </row>
        <row r="891">
          <cell r="F891">
            <v>0</v>
          </cell>
          <cell r="H891">
            <v>0</v>
          </cell>
          <cell r="I891">
            <v>0</v>
          </cell>
        </row>
        <row r="892">
          <cell r="F892">
            <v>0</v>
          </cell>
          <cell r="H892">
            <v>0</v>
          </cell>
          <cell r="I892">
            <v>0</v>
          </cell>
        </row>
        <row r="893">
          <cell r="F893">
            <v>0</v>
          </cell>
          <cell r="H893">
            <v>0</v>
          </cell>
          <cell r="I893">
            <v>0</v>
          </cell>
        </row>
        <row r="894">
          <cell r="F894">
            <v>0</v>
          </cell>
          <cell r="H894">
            <v>0</v>
          </cell>
          <cell r="I894">
            <v>0</v>
          </cell>
        </row>
        <row r="895">
          <cell r="F895">
            <v>0</v>
          </cell>
          <cell r="H895">
            <v>0</v>
          </cell>
          <cell r="I895">
            <v>0</v>
          </cell>
        </row>
        <row r="896">
          <cell r="F896">
            <v>0</v>
          </cell>
          <cell r="H896">
            <v>0</v>
          </cell>
          <cell r="I896">
            <v>0</v>
          </cell>
        </row>
        <row r="897">
          <cell r="F897">
            <v>0</v>
          </cell>
          <cell r="H897">
            <v>0</v>
          </cell>
          <cell r="I897">
            <v>0</v>
          </cell>
        </row>
        <row r="898">
          <cell r="F898">
            <v>0</v>
          </cell>
          <cell r="H898">
            <v>0</v>
          </cell>
          <cell r="I898">
            <v>0</v>
          </cell>
        </row>
        <row r="899">
          <cell r="F899">
            <v>0</v>
          </cell>
          <cell r="H899">
            <v>0</v>
          </cell>
          <cell r="I899">
            <v>0</v>
          </cell>
        </row>
        <row r="900">
          <cell r="F900">
            <v>0</v>
          </cell>
          <cell r="H900">
            <v>0</v>
          </cell>
          <cell r="I900">
            <v>0</v>
          </cell>
        </row>
        <row r="901">
          <cell r="F901">
            <v>0</v>
          </cell>
          <cell r="H901">
            <v>0</v>
          </cell>
          <cell r="I901">
            <v>0</v>
          </cell>
        </row>
        <row r="902">
          <cell r="F902">
            <v>0</v>
          </cell>
          <cell r="H902">
            <v>0</v>
          </cell>
          <cell r="I902">
            <v>0</v>
          </cell>
        </row>
        <row r="903">
          <cell r="F903">
            <v>0</v>
          </cell>
          <cell r="H903">
            <v>0</v>
          </cell>
          <cell r="I903">
            <v>0</v>
          </cell>
        </row>
        <row r="904">
          <cell r="F904">
            <v>0</v>
          </cell>
          <cell r="H904">
            <v>0</v>
          </cell>
          <cell r="I904">
            <v>0</v>
          </cell>
        </row>
        <row r="905">
          <cell r="F905">
            <v>0</v>
          </cell>
          <cell r="H905">
            <v>0</v>
          </cell>
          <cell r="I905">
            <v>0</v>
          </cell>
        </row>
        <row r="906">
          <cell r="F906">
            <v>0</v>
          </cell>
          <cell r="H906">
            <v>0</v>
          </cell>
          <cell r="I906">
            <v>0</v>
          </cell>
        </row>
        <row r="907">
          <cell r="F907">
            <v>0</v>
          </cell>
          <cell r="H907">
            <v>0</v>
          </cell>
          <cell r="I907">
            <v>0</v>
          </cell>
        </row>
        <row r="908">
          <cell r="F908">
            <v>0</v>
          </cell>
          <cell r="H908">
            <v>0</v>
          </cell>
          <cell r="I908">
            <v>0</v>
          </cell>
        </row>
        <row r="909">
          <cell r="F909">
            <v>0</v>
          </cell>
          <cell r="H909">
            <v>0</v>
          </cell>
          <cell r="I909">
            <v>0</v>
          </cell>
        </row>
        <row r="910">
          <cell r="F910">
            <v>0</v>
          </cell>
          <cell r="H910">
            <v>0</v>
          </cell>
          <cell r="I910">
            <v>0</v>
          </cell>
        </row>
        <row r="911">
          <cell r="F911">
            <v>0</v>
          </cell>
          <cell r="H911">
            <v>0</v>
          </cell>
          <cell r="I911">
            <v>0</v>
          </cell>
        </row>
        <row r="912">
          <cell r="F912">
            <v>0</v>
          </cell>
          <cell r="H912">
            <v>0</v>
          </cell>
          <cell r="I912">
            <v>0</v>
          </cell>
        </row>
        <row r="913">
          <cell r="F913">
            <v>0</v>
          </cell>
          <cell r="H913">
            <v>0</v>
          </cell>
          <cell r="I913">
            <v>0</v>
          </cell>
        </row>
        <row r="914">
          <cell r="F914">
            <v>0</v>
          </cell>
          <cell r="H914">
            <v>0</v>
          </cell>
          <cell r="I914">
            <v>0</v>
          </cell>
        </row>
        <row r="915">
          <cell r="F915">
            <v>0</v>
          </cell>
          <cell r="H915">
            <v>0</v>
          </cell>
          <cell r="I915">
            <v>0</v>
          </cell>
        </row>
        <row r="916">
          <cell r="F916">
            <v>0</v>
          </cell>
          <cell r="H916">
            <v>0</v>
          </cell>
          <cell r="I916">
            <v>0</v>
          </cell>
        </row>
        <row r="917">
          <cell r="F917">
            <v>0</v>
          </cell>
          <cell r="H917">
            <v>0</v>
          </cell>
          <cell r="I917">
            <v>0</v>
          </cell>
        </row>
        <row r="918">
          <cell r="F918">
            <v>0</v>
          </cell>
          <cell r="H918">
            <v>0</v>
          </cell>
          <cell r="I918">
            <v>0</v>
          </cell>
        </row>
        <row r="919">
          <cell r="F919">
            <v>0</v>
          </cell>
          <cell r="H919">
            <v>0</v>
          </cell>
          <cell r="I919">
            <v>0</v>
          </cell>
        </row>
        <row r="920">
          <cell r="F920">
            <v>0</v>
          </cell>
          <cell r="H920">
            <v>0</v>
          </cell>
          <cell r="I920">
            <v>0</v>
          </cell>
        </row>
        <row r="921">
          <cell r="F921">
            <v>0</v>
          </cell>
          <cell r="H921">
            <v>0</v>
          </cell>
          <cell r="I921">
            <v>0</v>
          </cell>
        </row>
        <row r="922">
          <cell r="F922">
            <v>0</v>
          </cell>
          <cell r="H922">
            <v>0</v>
          </cell>
          <cell r="I922">
            <v>0</v>
          </cell>
        </row>
        <row r="923">
          <cell r="F923">
            <v>0</v>
          </cell>
          <cell r="H923">
            <v>0</v>
          </cell>
          <cell r="I923">
            <v>0</v>
          </cell>
        </row>
        <row r="924">
          <cell r="F924">
            <v>0</v>
          </cell>
          <cell r="H924">
            <v>0</v>
          </cell>
          <cell r="I924">
            <v>0</v>
          </cell>
        </row>
        <row r="925">
          <cell r="F925">
            <v>0</v>
          </cell>
          <cell r="H925">
            <v>0</v>
          </cell>
          <cell r="I925">
            <v>0</v>
          </cell>
        </row>
        <row r="926">
          <cell r="F926">
            <v>0</v>
          </cell>
          <cell r="H926">
            <v>0</v>
          </cell>
          <cell r="I926">
            <v>0</v>
          </cell>
        </row>
        <row r="927">
          <cell r="F927">
            <v>0</v>
          </cell>
          <cell r="H927">
            <v>0</v>
          </cell>
          <cell r="I927">
            <v>0</v>
          </cell>
        </row>
        <row r="928">
          <cell r="F928">
            <v>0</v>
          </cell>
          <cell r="H928">
            <v>0</v>
          </cell>
          <cell r="I928">
            <v>0</v>
          </cell>
        </row>
        <row r="929">
          <cell r="F929">
            <v>0</v>
          </cell>
          <cell r="H929">
            <v>0</v>
          </cell>
          <cell r="I929">
            <v>0</v>
          </cell>
        </row>
        <row r="930">
          <cell r="F930">
            <v>0</v>
          </cell>
          <cell r="H930">
            <v>0</v>
          </cell>
          <cell r="I930">
            <v>0</v>
          </cell>
        </row>
        <row r="931">
          <cell r="F931">
            <v>0</v>
          </cell>
          <cell r="H931">
            <v>0</v>
          </cell>
          <cell r="I931">
            <v>0</v>
          </cell>
        </row>
        <row r="932">
          <cell r="F932">
            <v>0</v>
          </cell>
          <cell r="H932">
            <v>0</v>
          </cell>
          <cell r="I932">
            <v>0</v>
          </cell>
        </row>
        <row r="933">
          <cell r="F933">
            <v>0</v>
          </cell>
          <cell r="H933">
            <v>0</v>
          </cell>
          <cell r="I933">
            <v>0</v>
          </cell>
        </row>
        <row r="934">
          <cell r="F934">
            <v>0</v>
          </cell>
          <cell r="H934">
            <v>0</v>
          </cell>
          <cell r="I934">
            <v>0</v>
          </cell>
        </row>
        <row r="935">
          <cell r="F935">
            <v>0</v>
          </cell>
          <cell r="H935">
            <v>0</v>
          </cell>
          <cell r="I935">
            <v>0</v>
          </cell>
        </row>
        <row r="936">
          <cell r="F936">
            <v>0</v>
          </cell>
          <cell r="H936">
            <v>0</v>
          </cell>
          <cell r="I936">
            <v>0</v>
          </cell>
        </row>
        <row r="937">
          <cell r="F937">
            <v>0</v>
          </cell>
          <cell r="H937">
            <v>0</v>
          </cell>
          <cell r="I937">
            <v>0</v>
          </cell>
        </row>
        <row r="938">
          <cell r="F938">
            <v>0</v>
          </cell>
          <cell r="H938">
            <v>0</v>
          </cell>
          <cell r="I938">
            <v>0</v>
          </cell>
        </row>
        <row r="939">
          <cell r="F939">
            <v>0</v>
          </cell>
          <cell r="H939">
            <v>0</v>
          </cell>
          <cell r="I939">
            <v>0</v>
          </cell>
        </row>
        <row r="940">
          <cell r="F940">
            <v>0</v>
          </cell>
          <cell r="H940">
            <v>0</v>
          </cell>
          <cell r="I940">
            <v>0</v>
          </cell>
        </row>
        <row r="941">
          <cell r="F941">
            <v>0</v>
          </cell>
          <cell r="H941">
            <v>0</v>
          </cell>
          <cell r="I941">
            <v>0</v>
          </cell>
        </row>
        <row r="942">
          <cell r="F942">
            <v>0</v>
          </cell>
          <cell r="H942">
            <v>0</v>
          </cell>
          <cell r="I942">
            <v>0</v>
          </cell>
        </row>
        <row r="943">
          <cell r="F943">
            <v>0</v>
          </cell>
          <cell r="H943">
            <v>0</v>
          </cell>
          <cell r="I943">
            <v>0</v>
          </cell>
        </row>
        <row r="944">
          <cell r="F944">
            <v>0</v>
          </cell>
          <cell r="H944">
            <v>0</v>
          </cell>
          <cell r="I944">
            <v>0</v>
          </cell>
        </row>
        <row r="945">
          <cell r="F945">
            <v>0</v>
          </cell>
          <cell r="H945">
            <v>0</v>
          </cell>
          <cell r="I945">
            <v>0</v>
          </cell>
        </row>
        <row r="946">
          <cell r="F946">
            <v>0</v>
          </cell>
          <cell r="H946">
            <v>0</v>
          </cell>
          <cell r="I946">
            <v>0</v>
          </cell>
        </row>
        <row r="947">
          <cell r="F947">
            <v>0</v>
          </cell>
          <cell r="H947">
            <v>0</v>
          </cell>
          <cell r="I947">
            <v>0</v>
          </cell>
        </row>
        <row r="948">
          <cell r="F948">
            <v>0</v>
          </cell>
          <cell r="H948">
            <v>0</v>
          </cell>
          <cell r="I948">
            <v>0</v>
          </cell>
        </row>
        <row r="949">
          <cell r="F949">
            <v>0</v>
          </cell>
          <cell r="H949">
            <v>0</v>
          </cell>
          <cell r="I949">
            <v>0</v>
          </cell>
        </row>
        <row r="950">
          <cell r="F950">
            <v>0</v>
          </cell>
          <cell r="H950">
            <v>0</v>
          </cell>
          <cell r="I950">
            <v>0</v>
          </cell>
        </row>
        <row r="951">
          <cell r="F951">
            <v>0</v>
          </cell>
          <cell r="H951">
            <v>0</v>
          </cell>
          <cell r="I951">
            <v>0</v>
          </cell>
        </row>
        <row r="952">
          <cell r="F952">
            <v>0</v>
          </cell>
          <cell r="H952">
            <v>0</v>
          </cell>
          <cell r="I952">
            <v>0</v>
          </cell>
        </row>
        <row r="953">
          <cell r="F953">
            <v>0</v>
          </cell>
          <cell r="H953">
            <v>0</v>
          </cell>
          <cell r="I953">
            <v>0</v>
          </cell>
        </row>
        <row r="954">
          <cell r="F954">
            <v>0</v>
          </cell>
          <cell r="H954">
            <v>0</v>
          </cell>
          <cell r="I954">
            <v>0</v>
          </cell>
        </row>
        <row r="955">
          <cell r="F955">
            <v>0</v>
          </cell>
          <cell r="H955">
            <v>0</v>
          </cell>
          <cell r="I955">
            <v>0</v>
          </cell>
        </row>
        <row r="956">
          <cell r="F956">
            <v>0</v>
          </cell>
          <cell r="H956">
            <v>0</v>
          </cell>
          <cell r="I956">
            <v>0</v>
          </cell>
        </row>
        <row r="957">
          <cell r="F957">
            <v>0</v>
          </cell>
          <cell r="H957">
            <v>0</v>
          </cell>
          <cell r="I957">
            <v>0</v>
          </cell>
        </row>
        <row r="958">
          <cell r="F958">
            <v>0</v>
          </cell>
          <cell r="H958">
            <v>0</v>
          </cell>
          <cell r="I958">
            <v>0</v>
          </cell>
        </row>
        <row r="959">
          <cell r="F959">
            <v>0</v>
          </cell>
          <cell r="H959">
            <v>0</v>
          </cell>
          <cell r="I959">
            <v>0</v>
          </cell>
        </row>
        <row r="960">
          <cell r="F960">
            <v>0</v>
          </cell>
          <cell r="H960">
            <v>0</v>
          </cell>
          <cell r="I960">
            <v>0</v>
          </cell>
        </row>
        <row r="961">
          <cell r="F961">
            <v>0</v>
          </cell>
          <cell r="H961">
            <v>0</v>
          </cell>
          <cell r="I961">
            <v>0</v>
          </cell>
        </row>
        <row r="962">
          <cell r="F962">
            <v>0</v>
          </cell>
          <cell r="H962">
            <v>0</v>
          </cell>
          <cell r="I962">
            <v>0</v>
          </cell>
        </row>
        <row r="963">
          <cell r="F963">
            <v>0</v>
          </cell>
          <cell r="H963">
            <v>0</v>
          </cell>
          <cell r="I963">
            <v>0</v>
          </cell>
        </row>
        <row r="964">
          <cell r="F964">
            <v>0</v>
          </cell>
          <cell r="H964">
            <v>0</v>
          </cell>
          <cell r="I964">
            <v>0</v>
          </cell>
        </row>
        <row r="965">
          <cell r="F965">
            <v>0</v>
          </cell>
          <cell r="H965">
            <v>0</v>
          </cell>
          <cell r="I965">
            <v>0</v>
          </cell>
        </row>
        <row r="966">
          <cell r="F966">
            <v>0</v>
          </cell>
          <cell r="H966">
            <v>0</v>
          </cell>
          <cell r="I966">
            <v>0</v>
          </cell>
        </row>
        <row r="967">
          <cell r="F967">
            <v>0</v>
          </cell>
          <cell r="H967">
            <v>0</v>
          </cell>
          <cell r="I967">
            <v>0</v>
          </cell>
        </row>
        <row r="968">
          <cell r="F968">
            <v>0</v>
          </cell>
          <cell r="H968">
            <v>0</v>
          </cell>
          <cell r="I968">
            <v>0</v>
          </cell>
        </row>
        <row r="969">
          <cell r="F969">
            <v>0</v>
          </cell>
          <cell r="H969">
            <v>0</v>
          </cell>
          <cell r="I969">
            <v>0</v>
          </cell>
        </row>
        <row r="970">
          <cell r="F970">
            <v>0</v>
          </cell>
          <cell r="H970">
            <v>0</v>
          </cell>
          <cell r="I970">
            <v>0</v>
          </cell>
        </row>
        <row r="971">
          <cell r="F971">
            <v>0</v>
          </cell>
          <cell r="H971">
            <v>0</v>
          </cell>
          <cell r="I971">
            <v>0</v>
          </cell>
        </row>
        <row r="972">
          <cell r="F972">
            <v>0</v>
          </cell>
          <cell r="H972">
            <v>0</v>
          </cell>
          <cell r="I972">
            <v>0</v>
          </cell>
        </row>
        <row r="973">
          <cell r="F973">
            <v>0</v>
          </cell>
          <cell r="H973">
            <v>0</v>
          </cell>
          <cell r="I973">
            <v>0</v>
          </cell>
        </row>
        <row r="974">
          <cell r="F974">
            <v>0</v>
          </cell>
          <cell r="H974">
            <v>0</v>
          </cell>
          <cell r="I974">
            <v>0</v>
          </cell>
        </row>
        <row r="975">
          <cell r="F975">
            <v>0</v>
          </cell>
          <cell r="H975">
            <v>0</v>
          </cell>
          <cell r="I975">
            <v>0</v>
          </cell>
        </row>
        <row r="976">
          <cell r="F976">
            <v>0</v>
          </cell>
          <cell r="H976">
            <v>0</v>
          </cell>
          <cell r="I976">
            <v>0</v>
          </cell>
        </row>
        <row r="977">
          <cell r="F977">
            <v>0</v>
          </cell>
          <cell r="H977">
            <v>0</v>
          </cell>
          <cell r="I977">
            <v>0</v>
          </cell>
        </row>
        <row r="978">
          <cell r="F978">
            <v>0</v>
          </cell>
          <cell r="H978">
            <v>0</v>
          </cell>
          <cell r="I978">
            <v>0</v>
          </cell>
        </row>
        <row r="979">
          <cell r="F979">
            <v>0</v>
          </cell>
          <cell r="H979">
            <v>0</v>
          </cell>
          <cell r="I979">
            <v>0</v>
          </cell>
        </row>
        <row r="980">
          <cell r="F980">
            <v>0</v>
          </cell>
          <cell r="H980">
            <v>0</v>
          </cell>
          <cell r="I980">
            <v>0</v>
          </cell>
        </row>
        <row r="981">
          <cell r="F981">
            <v>0</v>
          </cell>
          <cell r="H981">
            <v>0</v>
          </cell>
          <cell r="I981">
            <v>0</v>
          </cell>
        </row>
        <row r="982">
          <cell r="F982">
            <v>0</v>
          </cell>
          <cell r="H982">
            <v>0</v>
          </cell>
          <cell r="I982">
            <v>0</v>
          </cell>
        </row>
        <row r="983">
          <cell r="F983">
            <v>0</v>
          </cell>
          <cell r="H983">
            <v>0</v>
          </cell>
          <cell r="I983">
            <v>0</v>
          </cell>
        </row>
        <row r="984">
          <cell r="F984">
            <v>0</v>
          </cell>
          <cell r="H984">
            <v>0</v>
          </cell>
          <cell r="I984">
            <v>0</v>
          </cell>
        </row>
        <row r="985">
          <cell r="F985">
            <v>0</v>
          </cell>
          <cell r="H985">
            <v>0</v>
          </cell>
          <cell r="I985">
            <v>0</v>
          </cell>
        </row>
        <row r="986">
          <cell r="F986">
            <v>0</v>
          </cell>
          <cell r="H986">
            <v>0</v>
          </cell>
          <cell r="I986">
            <v>0</v>
          </cell>
        </row>
        <row r="987">
          <cell r="F987">
            <v>0</v>
          </cell>
          <cell r="H987">
            <v>0</v>
          </cell>
          <cell r="I987">
            <v>0</v>
          </cell>
        </row>
        <row r="988">
          <cell r="F988">
            <v>0</v>
          </cell>
          <cell r="H988">
            <v>0</v>
          </cell>
          <cell r="I988">
            <v>0</v>
          </cell>
        </row>
        <row r="989">
          <cell r="F989">
            <v>0</v>
          </cell>
          <cell r="H989">
            <v>0</v>
          </cell>
          <cell r="I989">
            <v>0</v>
          </cell>
        </row>
        <row r="990">
          <cell r="F990">
            <v>0</v>
          </cell>
          <cell r="H990">
            <v>0</v>
          </cell>
          <cell r="I990">
            <v>0</v>
          </cell>
        </row>
        <row r="991">
          <cell r="F991">
            <v>0</v>
          </cell>
          <cell r="H991">
            <v>0</v>
          </cell>
          <cell r="I991">
            <v>0</v>
          </cell>
        </row>
        <row r="992">
          <cell r="F992">
            <v>0</v>
          </cell>
          <cell r="H992">
            <v>0</v>
          </cell>
          <cell r="I992">
            <v>0</v>
          </cell>
        </row>
        <row r="993">
          <cell r="F993">
            <v>0</v>
          </cell>
          <cell r="H993">
            <v>0</v>
          </cell>
          <cell r="I993">
            <v>0</v>
          </cell>
        </row>
        <row r="994">
          <cell r="F994">
            <v>0</v>
          </cell>
          <cell r="H994">
            <v>0</v>
          </cell>
          <cell r="I994">
            <v>0</v>
          </cell>
        </row>
        <row r="995">
          <cell r="F995">
            <v>0</v>
          </cell>
          <cell r="H995">
            <v>0</v>
          </cell>
          <cell r="I995">
            <v>0</v>
          </cell>
        </row>
        <row r="996">
          <cell r="F996">
            <v>0</v>
          </cell>
          <cell r="H996">
            <v>0</v>
          </cell>
          <cell r="I996">
            <v>0</v>
          </cell>
        </row>
        <row r="997">
          <cell r="F997">
            <v>0</v>
          </cell>
          <cell r="H997">
            <v>0</v>
          </cell>
          <cell r="I997">
            <v>0</v>
          </cell>
        </row>
        <row r="998">
          <cell r="F998">
            <v>0</v>
          </cell>
          <cell r="H998">
            <v>0</v>
          </cell>
          <cell r="I998">
            <v>0</v>
          </cell>
        </row>
        <row r="999">
          <cell r="F999">
            <v>0</v>
          </cell>
          <cell r="H999">
            <v>0</v>
          </cell>
          <cell r="I999">
            <v>0</v>
          </cell>
        </row>
        <row r="1000">
          <cell r="F1000">
            <v>0</v>
          </cell>
          <cell r="H1000">
            <v>0</v>
          </cell>
          <cell r="I1000">
            <v>0</v>
          </cell>
        </row>
        <row r="1001">
          <cell r="F1001">
            <v>0</v>
          </cell>
          <cell r="H1001">
            <v>0</v>
          </cell>
          <cell r="I1001">
            <v>0</v>
          </cell>
        </row>
        <row r="1002">
          <cell r="F1002">
            <v>0</v>
          </cell>
          <cell r="H1002">
            <v>0</v>
          </cell>
          <cell r="I1002">
            <v>0</v>
          </cell>
        </row>
        <row r="1003">
          <cell r="F1003">
            <v>0</v>
          </cell>
          <cell r="H1003">
            <v>0</v>
          </cell>
          <cell r="I1003">
            <v>0</v>
          </cell>
        </row>
        <row r="1004">
          <cell r="F1004">
            <v>0</v>
          </cell>
          <cell r="H1004">
            <v>0</v>
          </cell>
          <cell r="I1004">
            <v>0</v>
          </cell>
        </row>
        <row r="1005">
          <cell r="F1005">
            <v>0</v>
          </cell>
          <cell r="H1005">
            <v>0</v>
          </cell>
          <cell r="I1005">
            <v>0</v>
          </cell>
        </row>
        <row r="1006">
          <cell r="F1006">
            <v>0</v>
          </cell>
          <cell r="H1006">
            <v>0</v>
          </cell>
          <cell r="I1006">
            <v>0</v>
          </cell>
        </row>
        <row r="1007">
          <cell r="F1007">
            <v>0</v>
          </cell>
          <cell r="H1007">
            <v>0</v>
          </cell>
          <cell r="I1007">
            <v>0</v>
          </cell>
        </row>
        <row r="1008">
          <cell r="F1008">
            <v>0</v>
          </cell>
          <cell r="H1008">
            <v>0</v>
          </cell>
          <cell r="I1008">
            <v>0</v>
          </cell>
        </row>
        <row r="1009">
          <cell r="F1009">
            <v>0</v>
          </cell>
          <cell r="H1009">
            <v>0</v>
          </cell>
          <cell r="I1009">
            <v>0</v>
          </cell>
        </row>
        <row r="1010">
          <cell r="F1010">
            <v>0</v>
          </cell>
          <cell r="H1010">
            <v>0</v>
          </cell>
          <cell r="I1010">
            <v>0</v>
          </cell>
        </row>
        <row r="1011">
          <cell r="F1011">
            <v>0</v>
          </cell>
          <cell r="H1011">
            <v>0</v>
          </cell>
          <cell r="I1011">
            <v>0</v>
          </cell>
        </row>
        <row r="1012">
          <cell r="F1012">
            <v>0</v>
          </cell>
          <cell r="H1012">
            <v>0</v>
          </cell>
          <cell r="I1012">
            <v>0</v>
          </cell>
        </row>
        <row r="1013">
          <cell r="F1013">
            <v>0</v>
          </cell>
          <cell r="H1013">
            <v>0</v>
          </cell>
          <cell r="I1013">
            <v>0</v>
          </cell>
        </row>
        <row r="1014">
          <cell r="F1014">
            <v>0</v>
          </cell>
          <cell r="H1014">
            <v>0</v>
          </cell>
          <cell r="I1014">
            <v>0</v>
          </cell>
        </row>
        <row r="1015">
          <cell r="F1015">
            <v>0</v>
          </cell>
          <cell r="H1015">
            <v>0</v>
          </cell>
          <cell r="I1015">
            <v>0</v>
          </cell>
        </row>
        <row r="1016">
          <cell r="F1016">
            <v>0</v>
          </cell>
          <cell r="H1016">
            <v>0</v>
          </cell>
          <cell r="I1016">
            <v>0</v>
          </cell>
        </row>
        <row r="1017">
          <cell r="F1017">
            <v>0</v>
          </cell>
          <cell r="H1017">
            <v>0</v>
          </cell>
          <cell r="I1017">
            <v>0</v>
          </cell>
        </row>
        <row r="1018">
          <cell r="F1018">
            <v>0</v>
          </cell>
          <cell r="H1018">
            <v>0</v>
          </cell>
          <cell r="I1018">
            <v>0</v>
          </cell>
        </row>
        <row r="1019">
          <cell r="F1019">
            <v>0</v>
          </cell>
          <cell r="H1019">
            <v>0</v>
          </cell>
          <cell r="I1019">
            <v>0</v>
          </cell>
        </row>
        <row r="1020">
          <cell r="F1020">
            <v>0</v>
          </cell>
          <cell r="H1020">
            <v>0</v>
          </cell>
          <cell r="I1020">
            <v>0</v>
          </cell>
        </row>
        <row r="1021">
          <cell r="F1021">
            <v>0</v>
          </cell>
          <cell r="H1021">
            <v>0</v>
          </cell>
          <cell r="I1021">
            <v>0</v>
          </cell>
        </row>
        <row r="1022">
          <cell r="F1022">
            <v>0</v>
          </cell>
          <cell r="H1022">
            <v>0</v>
          </cell>
          <cell r="I1022">
            <v>0</v>
          </cell>
        </row>
        <row r="1023">
          <cell r="F1023">
            <v>0</v>
          </cell>
          <cell r="H1023">
            <v>0</v>
          </cell>
          <cell r="I1023">
            <v>0</v>
          </cell>
        </row>
        <row r="1024">
          <cell r="F1024">
            <v>0</v>
          </cell>
          <cell r="H1024">
            <v>0</v>
          </cell>
          <cell r="I1024">
            <v>0</v>
          </cell>
        </row>
        <row r="1025">
          <cell r="F1025">
            <v>0</v>
          </cell>
          <cell r="H1025">
            <v>0</v>
          </cell>
          <cell r="I1025">
            <v>0</v>
          </cell>
        </row>
        <row r="1026">
          <cell r="F1026">
            <v>0</v>
          </cell>
          <cell r="H1026">
            <v>0</v>
          </cell>
          <cell r="I1026">
            <v>0</v>
          </cell>
        </row>
        <row r="1027">
          <cell r="F1027">
            <v>0</v>
          </cell>
          <cell r="H1027">
            <v>0</v>
          </cell>
          <cell r="I1027">
            <v>0</v>
          </cell>
        </row>
        <row r="1028">
          <cell r="F1028">
            <v>0</v>
          </cell>
          <cell r="H1028">
            <v>0</v>
          </cell>
          <cell r="I1028">
            <v>0</v>
          </cell>
        </row>
        <row r="1029">
          <cell r="F1029">
            <v>0</v>
          </cell>
          <cell r="H1029">
            <v>0</v>
          </cell>
          <cell r="I1029">
            <v>0</v>
          </cell>
        </row>
        <row r="1030">
          <cell r="F1030">
            <v>0</v>
          </cell>
          <cell r="H1030">
            <v>0</v>
          </cell>
          <cell r="I1030">
            <v>0</v>
          </cell>
        </row>
        <row r="1031">
          <cell r="F1031">
            <v>0</v>
          </cell>
          <cell r="H1031">
            <v>0</v>
          </cell>
          <cell r="I1031">
            <v>0</v>
          </cell>
        </row>
        <row r="1032">
          <cell r="F1032">
            <v>0</v>
          </cell>
          <cell r="H1032">
            <v>0</v>
          </cell>
          <cell r="I1032">
            <v>0</v>
          </cell>
        </row>
        <row r="1033">
          <cell r="F1033">
            <v>0</v>
          </cell>
          <cell r="H1033">
            <v>0</v>
          </cell>
          <cell r="I1033">
            <v>0</v>
          </cell>
        </row>
        <row r="1034">
          <cell r="F1034">
            <v>0</v>
          </cell>
          <cell r="H1034">
            <v>0</v>
          </cell>
          <cell r="I1034">
            <v>0</v>
          </cell>
        </row>
        <row r="1035">
          <cell r="F1035">
            <v>0</v>
          </cell>
          <cell r="H1035">
            <v>0</v>
          </cell>
          <cell r="I1035">
            <v>0</v>
          </cell>
        </row>
        <row r="1036">
          <cell r="F1036">
            <v>0</v>
          </cell>
          <cell r="H1036">
            <v>0</v>
          </cell>
          <cell r="I1036">
            <v>0</v>
          </cell>
        </row>
        <row r="1037">
          <cell r="F1037">
            <v>0</v>
          </cell>
          <cell r="H1037">
            <v>0</v>
          </cell>
          <cell r="I1037">
            <v>0</v>
          </cell>
        </row>
        <row r="1038">
          <cell r="F1038">
            <v>0</v>
          </cell>
          <cell r="H1038">
            <v>0</v>
          </cell>
          <cell r="I1038">
            <v>0</v>
          </cell>
        </row>
        <row r="1039">
          <cell r="F1039">
            <v>0</v>
          </cell>
          <cell r="H1039">
            <v>0</v>
          </cell>
          <cell r="I1039">
            <v>0</v>
          </cell>
        </row>
        <row r="1040">
          <cell r="F1040">
            <v>0</v>
          </cell>
          <cell r="H1040">
            <v>0</v>
          </cell>
          <cell r="I1040">
            <v>0</v>
          </cell>
        </row>
        <row r="1041">
          <cell r="F1041">
            <v>0</v>
          </cell>
          <cell r="H1041">
            <v>0</v>
          </cell>
          <cell r="I1041">
            <v>0</v>
          </cell>
        </row>
        <row r="1042">
          <cell r="F1042">
            <v>0</v>
          </cell>
          <cell r="H1042">
            <v>0</v>
          </cell>
          <cell r="I1042">
            <v>0</v>
          </cell>
        </row>
        <row r="1043">
          <cell r="F1043">
            <v>0</v>
          </cell>
          <cell r="H1043">
            <v>0</v>
          </cell>
          <cell r="I1043">
            <v>0</v>
          </cell>
        </row>
        <row r="1044">
          <cell r="F1044">
            <v>0</v>
          </cell>
          <cell r="H1044">
            <v>0</v>
          </cell>
          <cell r="I1044">
            <v>0</v>
          </cell>
        </row>
        <row r="1045">
          <cell r="F1045">
            <v>0</v>
          </cell>
          <cell r="H1045">
            <v>0</v>
          </cell>
          <cell r="I1045">
            <v>0</v>
          </cell>
        </row>
        <row r="1046">
          <cell r="F1046">
            <v>0</v>
          </cell>
          <cell r="H1046">
            <v>0</v>
          </cell>
          <cell r="I1046">
            <v>0</v>
          </cell>
        </row>
        <row r="1047">
          <cell r="F1047">
            <v>0</v>
          </cell>
          <cell r="H1047">
            <v>0</v>
          </cell>
          <cell r="I1047">
            <v>0</v>
          </cell>
        </row>
        <row r="1048">
          <cell r="F1048">
            <v>0</v>
          </cell>
          <cell r="H1048">
            <v>0</v>
          </cell>
          <cell r="I1048">
            <v>0</v>
          </cell>
        </row>
        <row r="1049">
          <cell r="F1049">
            <v>0</v>
          </cell>
          <cell r="H1049">
            <v>0</v>
          </cell>
          <cell r="I1049">
            <v>0</v>
          </cell>
        </row>
        <row r="1050">
          <cell r="F1050">
            <v>0</v>
          </cell>
          <cell r="H1050">
            <v>0</v>
          </cell>
          <cell r="I1050">
            <v>0</v>
          </cell>
        </row>
        <row r="1051">
          <cell r="F1051">
            <v>0</v>
          </cell>
          <cell r="H1051">
            <v>0</v>
          </cell>
          <cell r="I1051">
            <v>0</v>
          </cell>
        </row>
        <row r="1052">
          <cell r="F1052">
            <v>0</v>
          </cell>
          <cell r="H1052">
            <v>0</v>
          </cell>
          <cell r="I1052">
            <v>0</v>
          </cell>
        </row>
        <row r="1053">
          <cell r="F1053">
            <v>0</v>
          </cell>
          <cell r="H1053">
            <v>0</v>
          </cell>
          <cell r="I1053">
            <v>0</v>
          </cell>
        </row>
        <row r="1054">
          <cell r="F1054">
            <v>0</v>
          </cell>
          <cell r="H1054">
            <v>0</v>
          </cell>
          <cell r="I1054">
            <v>0</v>
          </cell>
        </row>
        <row r="1055">
          <cell r="F1055">
            <v>0</v>
          </cell>
          <cell r="H1055">
            <v>0</v>
          </cell>
          <cell r="I1055">
            <v>0</v>
          </cell>
        </row>
        <row r="1056">
          <cell r="F1056">
            <v>0</v>
          </cell>
          <cell r="H1056">
            <v>0</v>
          </cell>
          <cell r="I1056">
            <v>0</v>
          </cell>
        </row>
        <row r="1057">
          <cell r="F1057">
            <v>0</v>
          </cell>
          <cell r="H1057">
            <v>0</v>
          </cell>
          <cell r="I1057">
            <v>0</v>
          </cell>
        </row>
        <row r="1058">
          <cell r="F1058">
            <v>0</v>
          </cell>
          <cell r="H1058">
            <v>0</v>
          </cell>
          <cell r="I1058">
            <v>0</v>
          </cell>
        </row>
        <row r="1059">
          <cell r="F1059">
            <v>0</v>
          </cell>
          <cell r="H1059">
            <v>0</v>
          </cell>
          <cell r="I1059">
            <v>0</v>
          </cell>
        </row>
        <row r="1060">
          <cell r="F1060">
            <v>0</v>
          </cell>
          <cell r="H1060">
            <v>0</v>
          </cell>
          <cell r="I1060">
            <v>0</v>
          </cell>
        </row>
        <row r="1061">
          <cell r="F1061">
            <v>0</v>
          </cell>
          <cell r="H1061">
            <v>0</v>
          </cell>
          <cell r="I1061">
            <v>0</v>
          </cell>
        </row>
        <row r="1062">
          <cell r="F1062">
            <v>0</v>
          </cell>
          <cell r="H1062">
            <v>0</v>
          </cell>
          <cell r="I1062">
            <v>0</v>
          </cell>
        </row>
        <row r="1063">
          <cell r="F1063">
            <v>0</v>
          </cell>
          <cell r="H1063">
            <v>0</v>
          </cell>
          <cell r="I1063">
            <v>0</v>
          </cell>
        </row>
        <row r="1064">
          <cell r="F1064">
            <v>0</v>
          </cell>
          <cell r="H1064">
            <v>0</v>
          </cell>
          <cell r="I1064">
            <v>0</v>
          </cell>
        </row>
        <row r="1065">
          <cell r="F1065">
            <v>0</v>
          </cell>
          <cell r="H1065">
            <v>0</v>
          </cell>
          <cell r="I1065">
            <v>0</v>
          </cell>
        </row>
        <row r="1066">
          <cell r="F1066">
            <v>0</v>
          </cell>
          <cell r="H1066">
            <v>0</v>
          </cell>
          <cell r="I1066">
            <v>0</v>
          </cell>
        </row>
        <row r="1067">
          <cell r="F1067">
            <v>0</v>
          </cell>
          <cell r="H1067">
            <v>0</v>
          </cell>
          <cell r="I1067">
            <v>0</v>
          </cell>
        </row>
        <row r="1068">
          <cell r="F1068">
            <v>0</v>
          </cell>
          <cell r="H1068">
            <v>0</v>
          </cell>
          <cell r="I1068">
            <v>0</v>
          </cell>
        </row>
        <row r="1069">
          <cell r="F1069">
            <v>0</v>
          </cell>
          <cell r="H1069">
            <v>0</v>
          </cell>
          <cell r="I1069">
            <v>0</v>
          </cell>
        </row>
        <row r="1070">
          <cell r="F1070">
            <v>0</v>
          </cell>
          <cell r="H1070">
            <v>0</v>
          </cell>
          <cell r="I1070">
            <v>0</v>
          </cell>
        </row>
        <row r="1071">
          <cell r="F1071">
            <v>0</v>
          </cell>
          <cell r="H1071">
            <v>0</v>
          </cell>
          <cell r="I1071">
            <v>0</v>
          </cell>
        </row>
        <row r="1072">
          <cell r="F1072">
            <v>0</v>
          </cell>
          <cell r="H1072">
            <v>0</v>
          </cell>
          <cell r="I1072">
            <v>0</v>
          </cell>
        </row>
        <row r="1073">
          <cell r="F1073">
            <v>0</v>
          </cell>
          <cell r="H1073">
            <v>0</v>
          </cell>
          <cell r="I1073">
            <v>0</v>
          </cell>
        </row>
        <row r="1074">
          <cell r="F1074">
            <v>0</v>
          </cell>
          <cell r="H1074">
            <v>0</v>
          </cell>
          <cell r="I1074">
            <v>0</v>
          </cell>
        </row>
        <row r="1075">
          <cell r="F1075">
            <v>0</v>
          </cell>
          <cell r="H1075">
            <v>0</v>
          </cell>
          <cell r="I1075">
            <v>0</v>
          </cell>
        </row>
        <row r="1076">
          <cell r="F1076">
            <v>0</v>
          </cell>
          <cell r="H1076">
            <v>0</v>
          </cell>
          <cell r="I1076">
            <v>0</v>
          </cell>
        </row>
        <row r="1077">
          <cell r="F1077">
            <v>0</v>
          </cell>
          <cell r="H1077">
            <v>0</v>
          </cell>
          <cell r="I1077">
            <v>0</v>
          </cell>
        </row>
        <row r="1078">
          <cell r="F1078">
            <v>0</v>
          </cell>
          <cell r="H1078">
            <v>0</v>
          </cell>
          <cell r="I1078">
            <v>0</v>
          </cell>
        </row>
        <row r="1079">
          <cell r="F1079">
            <v>0</v>
          </cell>
          <cell r="H1079">
            <v>0</v>
          </cell>
          <cell r="I1079">
            <v>0</v>
          </cell>
        </row>
        <row r="1080">
          <cell r="F1080">
            <v>0</v>
          </cell>
          <cell r="H1080">
            <v>0</v>
          </cell>
          <cell r="I1080">
            <v>0</v>
          </cell>
        </row>
        <row r="1081">
          <cell r="F1081">
            <v>0</v>
          </cell>
          <cell r="H1081">
            <v>0</v>
          </cell>
          <cell r="I1081">
            <v>0</v>
          </cell>
        </row>
        <row r="1082">
          <cell r="F1082">
            <v>0</v>
          </cell>
          <cell r="H1082">
            <v>0</v>
          </cell>
          <cell r="I1082">
            <v>0</v>
          </cell>
        </row>
        <row r="1083">
          <cell r="F1083">
            <v>0</v>
          </cell>
          <cell r="H1083">
            <v>0</v>
          </cell>
          <cell r="I1083">
            <v>0</v>
          </cell>
        </row>
        <row r="1084">
          <cell r="F1084">
            <v>0</v>
          </cell>
          <cell r="H1084">
            <v>0</v>
          </cell>
          <cell r="I1084">
            <v>0</v>
          </cell>
        </row>
        <row r="1085">
          <cell r="F1085">
            <v>0</v>
          </cell>
          <cell r="H1085">
            <v>0</v>
          </cell>
          <cell r="I1085">
            <v>0</v>
          </cell>
        </row>
        <row r="1086">
          <cell r="F1086">
            <v>0</v>
          </cell>
          <cell r="H1086">
            <v>0</v>
          </cell>
          <cell r="I1086">
            <v>0</v>
          </cell>
        </row>
        <row r="1087">
          <cell r="F1087">
            <v>0</v>
          </cell>
          <cell r="H1087">
            <v>0</v>
          </cell>
          <cell r="I1087">
            <v>0</v>
          </cell>
        </row>
        <row r="1088">
          <cell r="F1088">
            <v>0</v>
          </cell>
          <cell r="H1088">
            <v>0</v>
          </cell>
          <cell r="I1088">
            <v>0</v>
          </cell>
        </row>
        <row r="1089">
          <cell r="F1089">
            <v>0</v>
          </cell>
          <cell r="H1089">
            <v>0</v>
          </cell>
          <cell r="I1089">
            <v>0</v>
          </cell>
        </row>
        <row r="1090">
          <cell r="F1090">
            <v>0</v>
          </cell>
          <cell r="H1090">
            <v>0</v>
          </cell>
          <cell r="I1090">
            <v>0</v>
          </cell>
        </row>
        <row r="1091">
          <cell r="F1091">
            <v>0</v>
          </cell>
          <cell r="H1091">
            <v>0</v>
          </cell>
          <cell r="I1091">
            <v>0</v>
          </cell>
        </row>
        <row r="1092">
          <cell r="F1092">
            <v>0</v>
          </cell>
          <cell r="H1092">
            <v>0</v>
          </cell>
          <cell r="I1092">
            <v>0</v>
          </cell>
        </row>
        <row r="1093">
          <cell r="F1093">
            <v>0</v>
          </cell>
          <cell r="H1093">
            <v>0</v>
          </cell>
          <cell r="I1093">
            <v>0</v>
          </cell>
        </row>
        <row r="1094">
          <cell r="F1094">
            <v>0</v>
          </cell>
          <cell r="H1094">
            <v>0</v>
          </cell>
          <cell r="I1094">
            <v>0</v>
          </cell>
        </row>
        <row r="1095">
          <cell r="F1095">
            <v>0</v>
          </cell>
          <cell r="H1095">
            <v>0</v>
          </cell>
          <cell r="I1095">
            <v>0</v>
          </cell>
        </row>
        <row r="1096">
          <cell r="F1096">
            <v>0</v>
          </cell>
          <cell r="H1096">
            <v>0</v>
          </cell>
          <cell r="I1096">
            <v>0</v>
          </cell>
        </row>
        <row r="1097">
          <cell r="F1097">
            <v>0</v>
          </cell>
          <cell r="H1097">
            <v>0</v>
          </cell>
          <cell r="I1097">
            <v>0</v>
          </cell>
        </row>
        <row r="1098">
          <cell r="F1098">
            <v>0</v>
          </cell>
          <cell r="H1098">
            <v>0</v>
          </cell>
          <cell r="I1098">
            <v>0</v>
          </cell>
        </row>
        <row r="1099">
          <cell r="F1099">
            <v>0</v>
          </cell>
          <cell r="H1099">
            <v>0</v>
          </cell>
          <cell r="I1099">
            <v>0</v>
          </cell>
        </row>
        <row r="1100">
          <cell r="F1100">
            <v>0</v>
          </cell>
          <cell r="H1100">
            <v>0</v>
          </cell>
          <cell r="I1100">
            <v>0</v>
          </cell>
        </row>
        <row r="1101">
          <cell r="F1101">
            <v>0</v>
          </cell>
          <cell r="H1101">
            <v>0</v>
          </cell>
          <cell r="I1101">
            <v>0</v>
          </cell>
        </row>
        <row r="1102">
          <cell r="F1102">
            <v>0</v>
          </cell>
          <cell r="H1102">
            <v>0</v>
          </cell>
          <cell r="I1102">
            <v>0</v>
          </cell>
        </row>
        <row r="1103">
          <cell r="F1103">
            <v>0</v>
          </cell>
          <cell r="H1103">
            <v>0</v>
          </cell>
          <cell r="I1103">
            <v>0</v>
          </cell>
        </row>
        <row r="1104">
          <cell r="F1104">
            <v>0</v>
          </cell>
          <cell r="H1104">
            <v>0</v>
          </cell>
          <cell r="I1104">
            <v>0</v>
          </cell>
        </row>
        <row r="1105">
          <cell r="F1105">
            <v>0</v>
          </cell>
          <cell r="H1105">
            <v>0</v>
          </cell>
          <cell r="I1105">
            <v>0</v>
          </cell>
        </row>
        <row r="1106">
          <cell r="F1106">
            <v>0</v>
          </cell>
          <cell r="H1106">
            <v>0</v>
          </cell>
          <cell r="I1106">
            <v>0</v>
          </cell>
        </row>
        <row r="1107">
          <cell r="F1107">
            <v>0</v>
          </cell>
          <cell r="H1107">
            <v>0</v>
          </cell>
          <cell r="I1107">
            <v>0</v>
          </cell>
        </row>
        <row r="1108">
          <cell r="F1108">
            <v>0</v>
          </cell>
          <cell r="H1108">
            <v>0</v>
          </cell>
          <cell r="I1108">
            <v>0</v>
          </cell>
        </row>
        <row r="1109">
          <cell r="F1109">
            <v>0</v>
          </cell>
          <cell r="H1109">
            <v>0</v>
          </cell>
          <cell r="I1109">
            <v>0</v>
          </cell>
        </row>
        <row r="1110">
          <cell r="F1110">
            <v>0</v>
          </cell>
          <cell r="H1110">
            <v>0</v>
          </cell>
          <cell r="I1110">
            <v>0</v>
          </cell>
        </row>
        <row r="1111">
          <cell r="F1111">
            <v>0</v>
          </cell>
          <cell r="H1111">
            <v>0</v>
          </cell>
          <cell r="I1111">
            <v>0</v>
          </cell>
        </row>
        <row r="1112">
          <cell r="F1112">
            <v>0</v>
          </cell>
          <cell r="H1112">
            <v>0</v>
          </cell>
          <cell r="I1112">
            <v>0</v>
          </cell>
        </row>
        <row r="1113">
          <cell r="F1113">
            <v>0</v>
          </cell>
          <cell r="H1113">
            <v>0</v>
          </cell>
          <cell r="I1113">
            <v>0</v>
          </cell>
        </row>
        <row r="1114">
          <cell r="F1114">
            <v>0</v>
          </cell>
          <cell r="H1114">
            <v>0</v>
          </cell>
          <cell r="I1114">
            <v>0</v>
          </cell>
        </row>
        <row r="1115">
          <cell r="F1115">
            <v>0</v>
          </cell>
          <cell r="H1115">
            <v>0</v>
          </cell>
          <cell r="I1115">
            <v>0</v>
          </cell>
        </row>
        <row r="1116">
          <cell r="F1116">
            <v>0</v>
          </cell>
          <cell r="H1116">
            <v>0</v>
          </cell>
          <cell r="I1116">
            <v>0</v>
          </cell>
        </row>
        <row r="1117">
          <cell r="F1117">
            <v>0</v>
          </cell>
          <cell r="H1117">
            <v>0</v>
          </cell>
          <cell r="I1117">
            <v>0</v>
          </cell>
        </row>
        <row r="1118">
          <cell r="F1118">
            <v>0</v>
          </cell>
          <cell r="H1118">
            <v>0</v>
          </cell>
          <cell r="I1118">
            <v>0</v>
          </cell>
        </row>
        <row r="1119">
          <cell r="F1119">
            <v>0</v>
          </cell>
          <cell r="H1119">
            <v>0</v>
          </cell>
          <cell r="I1119">
            <v>0</v>
          </cell>
        </row>
        <row r="1120">
          <cell r="F1120">
            <v>0</v>
          </cell>
          <cell r="H1120">
            <v>0</v>
          </cell>
          <cell r="I1120">
            <v>0</v>
          </cell>
        </row>
        <row r="1121">
          <cell r="F1121">
            <v>0</v>
          </cell>
          <cell r="H1121">
            <v>0</v>
          </cell>
          <cell r="I1121">
            <v>0</v>
          </cell>
        </row>
        <row r="1122">
          <cell r="F1122">
            <v>0</v>
          </cell>
          <cell r="H1122">
            <v>0</v>
          </cell>
          <cell r="I1122">
            <v>0</v>
          </cell>
        </row>
        <row r="1123">
          <cell r="F1123">
            <v>0</v>
          </cell>
          <cell r="H1123">
            <v>0</v>
          </cell>
          <cell r="I1123">
            <v>0</v>
          </cell>
        </row>
        <row r="1124">
          <cell r="F1124">
            <v>0</v>
          </cell>
          <cell r="H1124">
            <v>0</v>
          </cell>
          <cell r="I1124">
            <v>0</v>
          </cell>
        </row>
        <row r="1125">
          <cell r="F1125">
            <v>0</v>
          </cell>
          <cell r="H1125">
            <v>0</v>
          </cell>
          <cell r="I1125">
            <v>0</v>
          </cell>
        </row>
        <row r="1126">
          <cell r="F1126">
            <v>0</v>
          </cell>
          <cell r="H1126">
            <v>0</v>
          </cell>
          <cell r="I1126">
            <v>0</v>
          </cell>
        </row>
        <row r="1127">
          <cell r="F1127">
            <v>0</v>
          </cell>
          <cell r="H1127">
            <v>0</v>
          </cell>
          <cell r="I1127">
            <v>0</v>
          </cell>
        </row>
        <row r="1128">
          <cell r="F1128">
            <v>0</v>
          </cell>
          <cell r="H1128">
            <v>0</v>
          </cell>
          <cell r="I1128">
            <v>0</v>
          </cell>
        </row>
        <row r="1129">
          <cell r="F1129">
            <v>0</v>
          </cell>
          <cell r="H1129">
            <v>0</v>
          </cell>
          <cell r="I1129">
            <v>0</v>
          </cell>
        </row>
        <row r="1130">
          <cell r="F1130">
            <v>0</v>
          </cell>
          <cell r="H1130">
            <v>0</v>
          </cell>
          <cell r="I1130">
            <v>0</v>
          </cell>
        </row>
        <row r="1131">
          <cell r="F1131">
            <v>0</v>
          </cell>
          <cell r="H1131">
            <v>0</v>
          </cell>
          <cell r="I1131">
            <v>0</v>
          </cell>
        </row>
        <row r="1132">
          <cell r="F1132">
            <v>0</v>
          </cell>
          <cell r="H1132">
            <v>0</v>
          </cell>
          <cell r="I1132">
            <v>0</v>
          </cell>
        </row>
        <row r="1133">
          <cell r="F1133">
            <v>0</v>
          </cell>
          <cell r="H1133">
            <v>0</v>
          </cell>
          <cell r="I1133">
            <v>0</v>
          </cell>
        </row>
        <row r="1134">
          <cell r="F1134">
            <v>0</v>
          </cell>
          <cell r="H1134">
            <v>0</v>
          </cell>
          <cell r="I1134">
            <v>0</v>
          </cell>
        </row>
        <row r="1135">
          <cell r="F1135">
            <v>0</v>
          </cell>
          <cell r="H1135">
            <v>0</v>
          </cell>
          <cell r="I1135">
            <v>0</v>
          </cell>
        </row>
        <row r="1136">
          <cell r="F1136">
            <v>0</v>
          </cell>
          <cell r="H1136">
            <v>0</v>
          </cell>
          <cell r="I1136">
            <v>0</v>
          </cell>
        </row>
        <row r="1137">
          <cell r="F1137">
            <v>0</v>
          </cell>
          <cell r="H1137">
            <v>0</v>
          </cell>
          <cell r="I1137">
            <v>0</v>
          </cell>
        </row>
        <row r="1138">
          <cell r="F1138">
            <v>0</v>
          </cell>
          <cell r="H1138">
            <v>0</v>
          </cell>
          <cell r="I1138">
            <v>0</v>
          </cell>
        </row>
        <row r="1139">
          <cell r="F1139">
            <v>0</v>
          </cell>
          <cell r="H1139">
            <v>0</v>
          </cell>
          <cell r="I1139">
            <v>0</v>
          </cell>
        </row>
        <row r="1140">
          <cell r="F1140">
            <v>0</v>
          </cell>
          <cell r="H1140">
            <v>0</v>
          </cell>
          <cell r="I1140">
            <v>0</v>
          </cell>
        </row>
        <row r="1141">
          <cell r="F1141">
            <v>0</v>
          </cell>
          <cell r="H1141">
            <v>0</v>
          </cell>
          <cell r="I1141">
            <v>0</v>
          </cell>
        </row>
        <row r="1142">
          <cell r="F1142">
            <v>0</v>
          </cell>
          <cell r="H1142">
            <v>0</v>
          </cell>
          <cell r="I1142">
            <v>0</v>
          </cell>
        </row>
        <row r="1143">
          <cell r="F1143">
            <v>0</v>
          </cell>
          <cell r="H1143">
            <v>0</v>
          </cell>
          <cell r="I1143">
            <v>0</v>
          </cell>
        </row>
        <row r="1144">
          <cell r="F1144">
            <v>0</v>
          </cell>
          <cell r="H1144">
            <v>0</v>
          </cell>
          <cell r="I1144">
            <v>0</v>
          </cell>
        </row>
        <row r="1145">
          <cell r="F1145">
            <v>0</v>
          </cell>
          <cell r="H1145">
            <v>0</v>
          </cell>
          <cell r="I1145">
            <v>0</v>
          </cell>
        </row>
        <row r="1146">
          <cell r="F1146">
            <v>0</v>
          </cell>
          <cell r="H1146">
            <v>0</v>
          </cell>
          <cell r="I1146">
            <v>0</v>
          </cell>
        </row>
        <row r="1147">
          <cell r="F1147">
            <v>0</v>
          </cell>
          <cell r="H1147">
            <v>0</v>
          </cell>
          <cell r="I1147">
            <v>0</v>
          </cell>
        </row>
        <row r="1148">
          <cell r="F1148">
            <v>0</v>
          </cell>
          <cell r="H1148">
            <v>0</v>
          </cell>
          <cell r="I1148">
            <v>0</v>
          </cell>
        </row>
        <row r="1149">
          <cell r="F1149">
            <v>0</v>
          </cell>
          <cell r="H1149">
            <v>0</v>
          </cell>
          <cell r="I1149">
            <v>0</v>
          </cell>
        </row>
        <row r="1150">
          <cell r="F1150">
            <v>0</v>
          </cell>
          <cell r="H1150">
            <v>0</v>
          </cell>
          <cell r="I1150">
            <v>0</v>
          </cell>
        </row>
        <row r="1151">
          <cell r="F1151">
            <v>0</v>
          </cell>
          <cell r="H1151">
            <v>0</v>
          </cell>
          <cell r="I1151">
            <v>0</v>
          </cell>
        </row>
        <row r="1152">
          <cell r="F1152">
            <v>0</v>
          </cell>
          <cell r="H1152">
            <v>0</v>
          </cell>
          <cell r="I1152">
            <v>0</v>
          </cell>
        </row>
        <row r="1153">
          <cell r="F1153">
            <v>0</v>
          </cell>
          <cell r="H1153">
            <v>0</v>
          </cell>
          <cell r="I1153">
            <v>0</v>
          </cell>
        </row>
        <row r="1154">
          <cell r="F1154">
            <v>0</v>
          </cell>
          <cell r="H1154">
            <v>0</v>
          </cell>
          <cell r="I1154">
            <v>0</v>
          </cell>
        </row>
        <row r="1155">
          <cell r="F1155">
            <v>0</v>
          </cell>
          <cell r="H1155">
            <v>0</v>
          </cell>
          <cell r="I1155">
            <v>0</v>
          </cell>
        </row>
        <row r="1156">
          <cell r="F1156">
            <v>0</v>
          </cell>
          <cell r="H1156">
            <v>0</v>
          </cell>
          <cell r="I1156">
            <v>0</v>
          </cell>
        </row>
        <row r="1157">
          <cell r="F1157">
            <v>0</v>
          </cell>
          <cell r="H1157">
            <v>0</v>
          </cell>
          <cell r="I1157">
            <v>0</v>
          </cell>
        </row>
        <row r="1158">
          <cell r="F1158">
            <v>0</v>
          </cell>
          <cell r="H1158">
            <v>0</v>
          </cell>
          <cell r="I1158">
            <v>0</v>
          </cell>
        </row>
        <row r="1159">
          <cell r="F1159">
            <v>0</v>
          </cell>
          <cell r="H1159">
            <v>0</v>
          </cell>
          <cell r="I1159">
            <v>0</v>
          </cell>
        </row>
        <row r="1160">
          <cell r="F1160">
            <v>0</v>
          </cell>
          <cell r="H1160">
            <v>0</v>
          </cell>
          <cell r="I1160">
            <v>0</v>
          </cell>
        </row>
        <row r="1161">
          <cell r="F1161">
            <v>0</v>
          </cell>
          <cell r="H1161">
            <v>0</v>
          </cell>
          <cell r="I1161">
            <v>0</v>
          </cell>
        </row>
        <row r="1162">
          <cell r="F1162">
            <v>0</v>
          </cell>
          <cell r="H1162">
            <v>0</v>
          </cell>
          <cell r="I1162">
            <v>0</v>
          </cell>
        </row>
        <row r="1163">
          <cell r="F1163">
            <v>0</v>
          </cell>
          <cell r="H1163">
            <v>0</v>
          </cell>
          <cell r="I1163">
            <v>0</v>
          </cell>
        </row>
        <row r="1164">
          <cell r="F1164">
            <v>0</v>
          </cell>
          <cell r="H1164">
            <v>0</v>
          </cell>
          <cell r="I1164">
            <v>0</v>
          </cell>
        </row>
        <row r="1165">
          <cell r="F1165">
            <v>0</v>
          </cell>
          <cell r="H1165">
            <v>0</v>
          </cell>
          <cell r="I1165">
            <v>0</v>
          </cell>
        </row>
        <row r="1166">
          <cell r="F1166">
            <v>0</v>
          </cell>
          <cell r="H1166">
            <v>0</v>
          </cell>
          <cell r="I1166">
            <v>0</v>
          </cell>
        </row>
        <row r="1167">
          <cell r="F1167">
            <v>0</v>
          </cell>
          <cell r="H1167">
            <v>0</v>
          </cell>
          <cell r="I1167">
            <v>0</v>
          </cell>
        </row>
        <row r="1168">
          <cell r="F1168">
            <v>0</v>
          </cell>
          <cell r="H1168">
            <v>0</v>
          </cell>
          <cell r="I1168">
            <v>0</v>
          </cell>
        </row>
        <row r="1169">
          <cell r="F1169">
            <v>0</v>
          </cell>
          <cell r="H1169">
            <v>0</v>
          </cell>
          <cell r="I1169">
            <v>0</v>
          </cell>
        </row>
        <row r="1170">
          <cell r="F1170">
            <v>0</v>
          </cell>
          <cell r="H1170">
            <v>0</v>
          </cell>
          <cell r="I1170">
            <v>0</v>
          </cell>
        </row>
        <row r="1171">
          <cell r="F1171">
            <v>0</v>
          </cell>
          <cell r="H1171">
            <v>0</v>
          </cell>
          <cell r="I1171">
            <v>0</v>
          </cell>
        </row>
        <row r="1172">
          <cell r="F1172">
            <v>0</v>
          </cell>
          <cell r="H1172">
            <v>0</v>
          </cell>
          <cell r="I1172">
            <v>0</v>
          </cell>
        </row>
        <row r="1173">
          <cell r="F1173">
            <v>0</v>
          </cell>
          <cell r="H1173">
            <v>0</v>
          </cell>
          <cell r="I1173">
            <v>0</v>
          </cell>
        </row>
        <row r="1174">
          <cell r="F1174">
            <v>0</v>
          </cell>
          <cell r="H1174">
            <v>0</v>
          </cell>
          <cell r="I1174">
            <v>0</v>
          </cell>
        </row>
        <row r="1175">
          <cell r="F1175">
            <v>0</v>
          </cell>
          <cell r="H1175">
            <v>0</v>
          </cell>
          <cell r="I1175">
            <v>0</v>
          </cell>
        </row>
        <row r="1176">
          <cell r="F1176">
            <v>0</v>
          </cell>
          <cell r="H1176">
            <v>0</v>
          </cell>
          <cell r="I1176">
            <v>0</v>
          </cell>
        </row>
        <row r="1177">
          <cell r="F1177">
            <v>0</v>
          </cell>
          <cell r="H1177">
            <v>0</v>
          </cell>
          <cell r="I1177">
            <v>0</v>
          </cell>
        </row>
        <row r="1178">
          <cell r="F1178">
            <v>0</v>
          </cell>
          <cell r="H1178">
            <v>0</v>
          </cell>
          <cell r="I1178">
            <v>0</v>
          </cell>
        </row>
        <row r="1179">
          <cell r="F1179">
            <v>0</v>
          </cell>
          <cell r="H1179">
            <v>0</v>
          </cell>
          <cell r="I1179">
            <v>0</v>
          </cell>
        </row>
        <row r="1180">
          <cell r="F1180">
            <v>0</v>
          </cell>
          <cell r="H1180">
            <v>0</v>
          </cell>
          <cell r="I1180">
            <v>0</v>
          </cell>
        </row>
        <row r="1181">
          <cell r="F1181">
            <v>0</v>
          </cell>
          <cell r="H1181">
            <v>0</v>
          </cell>
          <cell r="I1181">
            <v>0</v>
          </cell>
        </row>
        <row r="1182">
          <cell r="F1182">
            <v>0</v>
          </cell>
          <cell r="H1182">
            <v>0</v>
          </cell>
          <cell r="I1182">
            <v>0</v>
          </cell>
        </row>
        <row r="1183">
          <cell r="F1183">
            <v>0</v>
          </cell>
          <cell r="H1183">
            <v>0</v>
          </cell>
          <cell r="I1183">
            <v>0</v>
          </cell>
        </row>
        <row r="1184">
          <cell r="F1184">
            <v>0</v>
          </cell>
          <cell r="H1184">
            <v>0</v>
          </cell>
          <cell r="I1184">
            <v>0</v>
          </cell>
        </row>
        <row r="1185">
          <cell r="F1185">
            <v>0</v>
          </cell>
          <cell r="H1185">
            <v>0</v>
          </cell>
          <cell r="I1185">
            <v>0</v>
          </cell>
        </row>
        <row r="1186">
          <cell r="F1186">
            <v>0</v>
          </cell>
          <cell r="H1186">
            <v>0</v>
          </cell>
          <cell r="I1186">
            <v>0</v>
          </cell>
        </row>
        <row r="1187">
          <cell r="F1187">
            <v>0</v>
          </cell>
          <cell r="H1187">
            <v>0</v>
          </cell>
          <cell r="I1187">
            <v>0</v>
          </cell>
        </row>
        <row r="1188">
          <cell r="F1188">
            <v>0</v>
          </cell>
          <cell r="H1188">
            <v>0</v>
          </cell>
          <cell r="I1188">
            <v>0</v>
          </cell>
        </row>
        <row r="1189">
          <cell r="F1189">
            <v>0</v>
          </cell>
          <cell r="H1189">
            <v>0</v>
          </cell>
          <cell r="I1189">
            <v>0</v>
          </cell>
        </row>
        <row r="1190">
          <cell r="F1190">
            <v>0</v>
          </cell>
          <cell r="H1190">
            <v>0</v>
          </cell>
          <cell r="I1190">
            <v>0</v>
          </cell>
        </row>
        <row r="1191">
          <cell r="F1191">
            <v>0</v>
          </cell>
          <cell r="H1191">
            <v>0</v>
          </cell>
          <cell r="I1191">
            <v>0</v>
          </cell>
        </row>
        <row r="1192">
          <cell r="F1192">
            <v>0</v>
          </cell>
          <cell r="H1192">
            <v>0</v>
          </cell>
          <cell r="I1192">
            <v>0</v>
          </cell>
        </row>
        <row r="1193">
          <cell r="F1193">
            <v>0</v>
          </cell>
          <cell r="H1193">
            <v>0</v>
          </cell>
          <cell r="I1193">
            <v>0</v>
          </cell>
        </row>
        <row r="1194">
          <cell r="F1194">
            <v>0</v>
          </cell>
          <cell r="H1194">
            <v>0</v>
          </cell>
          <cell r="I1194">
            <v>0</v>
          </cell>
        </row>
        <row r="1195">
          <cell r="F1195">
            <v>0</v>
          </cell>
          <cell r="H1195">
            <v>0</v>
          </cell>
          <cell r="I1195">
            <v>0</v>
          </cell>
        </row>
        <row r="1196">
          <cell r="F1196">
            <v>0</v>
          </cell>
          <cell r="H1196">
            <v>0</v>
          </cell>
          <cell r="I1196">
            <v>0</v>
          </cell>
        </row>
        <row r="1197">
          <cell r="F1197">
            <v>0</v>
          </cell>
          <cell r="H1197">
            <v>0</v>
          </cell>
          <cell r="I1197">
            <v>0</v>
          </cell>
        </row>
        <row r="1198">
          <cell r="F1198">
            <v>0</v>
          </cell>
          <cell r="H1198">
            <v>0</v>
          </cell>
          <cell r="I1198">
            <v>0</v>
          </cell>
        </row>
        <row r="1199">
          <cell r="F1199">
            <v>0</v>
          </cell>
          <cell r="H1199">
            <v>0</v>
          </cell>
          <cell r="I1199">
            <v>0</v>
          </cell>
        </row>
        <row r="1200">
          <cell r="F1200">
            <v>0</v>
          </cell>
          <cell r="H1200">
            <v>0</v>
          </cell>
          <cell r="I1200">
            <v>0</v>
          </cell>
        </row>
        <row r="1201">
          <cell r="F1201">
            <v>0</v>
          </cell>
          <cell r="H1201">
            <v>0</v>
          </cell>
          <cell r="I1201">
            <v>0</v>
          </cell>
        </row>
        <row r="1202">
          <cell r="F1202">
            <v>0</v>
          </cell>
          <cell r="H1202">
            <v>0</v>
          </cell>
          <cell r="I1202">
            <v>0</v>
          </cell>
        </row>
        <row r="1203">
          <cell r="F1203">
            <v>0</v>
          </cell>
          <cell r="H1203">
            <v>0</v>
          </cell>
          <cell r="I1203">
            <v>0</v>
          </cell>
        </row>
        <row r="1204">
          <cell r="F1204">
            <v>0</v>
          </cell>
          <cell r="H1204">
            <v>0</v>
          </cell>
          <cell r="I1204">
            <v>0</v>
          </cell>
        </row>
        <row r="1205">
          <cell r="F1205">
            <v>0</v>
          </cell>
          <cell r="H1205">
            <v>0</v>
          </cell>
          <cell r="I1205">
            <v>0</v>
          </cell>
        </row>
        <row r="1206">
          <cell r="F1206">
            <v>0</v>
          </cell>
          <cell r="H1206">
            <v>0</v>
          </cell>
          <cell r="I1206">
            <v>0</v>
          </cell>
        </row>
        <row r="1207">
          <cell r="F1207">
            <v>0</v>
          </cell>
          <cell r="H1207">
            <v>0</v>
          </cell>
          <cell r="I1207">
            <v>0</v>
          </cell>
        </row>
        <row r="1208">
          <cell r="F1208">
            <v>0</v>
          </cell>
          <cell r="H1208">
            <v>0</v>
          </cell>
          <cell r="I1208">
            <v>0</v>
          </cell>
        </row>
        <row r="1209">
          <cell r="F1209">
            <v>0</v>
          </cell>
          <cell r="H1209">
            <v>0</v>
          </cell>
          <cell r="I1209">
            <v>0</v>
          </cell>
        </row>
        <row r="1210">
          <cell r="F1210">
            <v>0</v>
          </cell>
          <cell r="H1210">
            <v>0</v>
          </cell>
          <cell r="I1210">
            <v>0</v>
          </cell>
        </row>
        <row r="1211">
          <cell r="F1211">
            <v>0</v>
          </cell>
          <cell r="H1211">
            <v>0</v>
          </cell>
          <cell r="I1211">
            <v>0</v>
          </cell>
        </row>
        <row r="1212">
          <cell r="F1212">
            <v>0</v>
          </cell>
          <cell r="H1212">
            <v>0</v>
          </cell>
          <cell r="I1212">
            <v>0</v>
          </cell>
        </row>
        <row r="1213">
          <cell r="F1213">
            <v>0</v>
          </cell>
          <cell r="H1213">
            <v>0</v>
          </cell>
          <cell r="I1213">
            <v>0</v>
          </cell>
        </row>
        <row r="1214">
          <cell r="F1214">
            <v>0</v>
          </cell>
          <cell r="H1214">
            <v>0</v>
          </cell>
          <cell r="I1214">
            <v>0</v>
          </cell>
        </row>
        <row r="1215">
          <cell r="F1215">
            <v>0</v>
          </cell>
          <cell r="H1215">
            <v>0</v>
          </cell>
          <cell r="I1215">
            <v>0</v>
          </cell>
        </row>
        <row r="1216">
          <cell r="F1216">
            <v>0</v>
          </cell>
          <cell r="H1216">
            <v>0</v>
          </cell>
          <cell r="I1216">
            <v>0</v>
          </cell>
        </row>
        <row r="1217">
          <cell r="F1217">
            <v>0</v>
          </cell>
          <cell r="H1217">
            <v>0</v>
          </cell>
          <cell r="I1217">
            <v>0</v>
          </cell>
        </row>
        <row r="1218">
          <cell r="F1218">
            <v>0</v>
          </cell>
          <cell r="H1218">
            <v>0</v>
          </cell>
          <cell r="I1218">
            <v>0</v>
          </cell>
        </row>
        <row r="1219">
          <cell r="F1219">
            <v>0</v>
          </cell>
          <cell r="H1219">
            <v>0</v>
          </cell>
          <cell r="I1219">
            <v>0</v>
          </cell>
        </row>
        <row r="1220">
          <cell r="F1220">
            <v>0</v>
          </cell>
          <cell r="H1220">
            <v>0</v>
          </cell>
          <cell r="I1220">
            <v>0</v>
          </cell>
        </row>
        <row r="1221">
          <cell r="F1221">
            <v>0</v>
          </cell>
          <cell r="H1221">
            <v>0</v>
          </cell>
          <cell r="I1221">
            <v>0</v>
          </cell>
        </row>
        <row r="1222">
          <cell r="F1222">
            <v>0</v>
          </cell>
          <cell r="H1222">
            <v>0</v>
          </cell>
          <cell r="I1222">
            <v>0</v>
          </cell>
        </row>
        <row r="1223">
          <cell r="F1223">
            <v>0</v>
          </cell>
          <cell r="H1223">
            <v>0</v>
          </cell>
          <cell r="I1223">
            <v>0</v>
          </cell>
        </row>
        <row r="1224">
          <cell r="F1224">
            <v>0</v>
          </cell>
          <cell r="H1224">
            <v>0</v>
          </cell>
          <cell r="I1224">
            <v>0</v>
          </cell>
        </row>
        <row r="1225">
          <cell r="F1225">
            <v>0</v>
          </cell>
          <cell r="H1225">
            <v>0</v>
          </cell>
          <cell r="I1225">
            <v>0</v>
          </cell>
        </row>
        <row r="1226">
          <cell r="F1226">
            <v>0</v>
          </cell>
          <cell r="H1226">
            <v>0</v>
          </cell>
          <cell r="I1226">
            <v>0</v>
          </cell>
        </row>
        <row r="1227">
          <cell r="F1227">
            <v>0</v>
          </cell>
          <cell r="H1227">
            <v>0</v>
          </cell>
          <cell r="I1227">
            <v>0</v>
          </cell>
        </row>
        <row r="1228">
          <cell r="F1228">
            <v>0</v>
          </cell>
          <cell r="H1228">
            <v>0</v>
          </cell>
          <cell r="I1228">
            <v>0</v>
          </cell>
        </row>
        <row r="1229">
          <cell r="F1229">
            <v>0</v>
          </cell>
          <cell r="H1229">
            <v>0</v>
          </cell>
          <cell r="I1229">
            <v>0</v>
          </cell>
        </row>
        <row r="1230">
          <cell r="F1230">
            <v>0</v>
          </cell>
          <cell r="H1230">
            <v>0</v>
          </cell>
          <cell r="I1230">
            <v>0</v>
          </cell>
        </row>
        <row r="1231">
          <cell r="F1231">
            <v>0</v>
          </cell>
          <cell r="H1231">
            <v>0</v>
          </cell>
          <cell r="I1231">
            <v>0</v>
          </cell>
        </row>
        <row r="1232">
          <cell r="F1232">
            <v>0</v>
          </cell>
          <cell r="H1232">
            <v>0</v>
          </cell>
          <cell r="I1232">
            <v>0</v>
          </cell>
        </row>
        <row r="1233">
          <cell r="F1233">
            <v>0</v>
          </cell>
          <cell r="H1233">
            <v>0</v>
          </cell>
          <cell r="I1233">
            <v>0</v>
          </cell>
        </row>
        <row r="1234">
          <cell r="F1234">
            <v>0</v>
          </cell>
          <cell r="H1234">
            <v>0</v>
          </cell>
          <cell r="I1234">
            <v>0</v>
          </cell>
        </row>
        <row r="1235">
          <cell r="F1235">
            <v>0</v>
          </cell>
          <cell r="H1235">
            <v>0</v>
          </cell>
          <cell r="I1235">
            <v>0</v>
          </cell>
        </row>
        <row r="1236">
          <cell r="F1236">
            <v>0</v>
          </cell>
          <cell r="H1236">
            <v>0</v>
          </cell>
          <cell r="I1236">
            <v>0</v>
          </cell>
        </row>
        <row r="1237">
          <cell r="F1237">
            <v>0</v>
          </cell>
          <cell r="H1237">
            <v>0</v>
          </cell>
          <cell r="I1237">
            <v>0</v>
          </cell>
        </row>
        <row r="1238">
          <cell r="F1238">
            <v>0</v>
          </cell>
          <cell r="H1238">
            <v>0</v>
          </cell>
          <cell r="I1238">
            <v>0</v>
          </cell>
        </row>
        <row r="1239">
          <cell r="F1239">
            <v>0</v>
          </cell>
          <cell r="H1239">
            <v>0</v>
          </cell>
          <cell r="I1239">
            <v>0</v>
          </cell>
        </row>
        <row r="1240">
          <cell r="F1240">
            <v>0</v>
          </cell>
          <cell r="H1240">
            <v>0</v>
          </cell>
          <cell r="I1240">
            <v>0</v>
          </cell>
        </row>
        <row r="1241">
          <cell r="F1241">
            <v>0</v>
          </cell>
          <cell r="H1241">
            <v>0</v>
          </cell>
          <cell r="I1241">
            <v>0</v>
          </cell>
        </row>
        <row r="1242">
          <cell r="F1242">
            <v>0</v>
          </cell>
          <cell r="H1242">
            <v>0</v>
          </cell>
          <cell r="I1242">
            <v>0</v>
          </cell>
        </row>
        <row r="1243">
          <cell r="F1243">
            <v>0</v>
          </cell>
          <cell r="H1243">
            <v>0</v>
          </cell>
          <cell r="I1243">
            <v>0</v>
          </cell>
        </row>
        <row r="1244">
          <cell r="F1244">
            <v>0</v>
          </cell>
          <cell r="H1244">
            <v>0</v>
          </cell>
          <cell r="I1244">
            <v>0</v>
          </cell>
        </row>
        <row r="1245">
          <cell r="F1245">
            <v>0</v>
          </cell>
          <cell r="H1245">
            <v>0</v>
          </cell>
          <cell r="I1245">
            <v>0</v>
          </cell>
        </row>
        <row r="1246">
          <cell r="F1246">
            <v>0</v>
          </cell>
          <cell r="H1246">
            <v>0</v>
          </cell>
          <cell r="I1246">
            <v>0</v>
          </cell>
        </row>
        <row r="1247">
          <cell r="F1247">
            <v>0</v>
          </cell>
          <cell r="H1247">
            <v>0</v>
          </cell>
          <cell r="I1247">
            <v>0</v>
          </cell>
        </row>
        <row r="1248">
          <cell r="F1248">
            <v>0</v>
          </cell>
          <cell r="H1248">
            <v>0</v>
          </cell>
          <cell r="I1248">
            <v>0</v>
          </cell>
        </row>
        <row r="1249">
          <cell r="F1249">
            <v>0</v>
          </cell>
          <cell r="H1249">
            <v>0</v>
          </cell>
          <cell r="I1249">
            <v>0</v>
          </cell>
        </row>
        <row r="1250">
          <cell r="F1250">
            <v>0</v>
          </cell>
          <cell r="H1250">
            <v>0</v>
          </cell>
          <cell r="I1250">
            <v>0</v>
          </cell>
        </row>
        <row r="1251">
          <cell r="F1251">
            <v>0</v>
          </cell>
          <cell r="H1251">
            <v>0</v>
          </cell>
          <cell r="I1251">
            <v>0</v>
          </cell>
        </row>
        <row r="1252">
          <cell r="F1252">
            <v>0</v>
          </cell>
          <cell r="H1252">
            <v>0</v>
          </cell>
          <cell r="I1252">
            <v>0</v>
          </cell>
        </row>
        <row r="1253">
          <cell r="F1253">
            <v>0</v>
          </cell>
          <cell r="H1253">
            <v>0</v>
          </cell>
          <cell r="I1253">
            <v>0</v>
          </cell>
        </row>
        <row r="1254">
          <cell r="F1254">
            <v>0</v>
          </cell>
          <cell r="H1254">
            <v>0</v>
          </cell>
          <cell r="I1254">
            <v>0</v>
          </cell>
        </row>
        <row r="1255">
          <cell r="F1255">
            <v>0</v>
          </cell>
          <cell r="H1255">
            <v>0</v>
          </cell>
          <cell r="I1255">
            <v>0</v>
          </cell>
        </row>
        <row r="1256">
          <cell r="F1256">
            <v>0</v>
          </cell>
          <cell r="H1256">
            <v>0</v>
          </cell>
          <cell r="I1256">
            <v>0</v>
          </cell>
        </row>
        <row r="1257">
          <cell r="F1257">
            <v>0</v>
          </cell>
          <cell r="H1257">
            <v>0</v>
          </cell>
          <cell r="I1257">
            <v>0</v>
          </cell>
        </row>
        <row r="1258">
          <cell r="F1258">
            <v>0</v>
          </cell>
          <cell r="H1258">
            <v>0</v>
          </cell>
          <cell r="I1258">
            <v>0</v>
          </cell>
        </row>
        <row r="1259">
          <cell r="F1259">
            <v>0</v>
          </cell>
          <cell r="H1259">
            <v>0</v>
          </cell>
          <cell r="I1259">
            <v>0</v>
          </cell>
        </row>
        <row r="1260">
          <cell r="F1260">
            <v>0</v>
          </cell>
          <cell r="H1260">
            <v>0</v>
          </cell>
          <cell r="I1260">
            <v>0</v>
          </cell>
        </row>
        <row r="1261">
          <cell r="F1261">
            <v>0</v>
          </cell>
          <cell r="H1261">
            <v>0</v>
          </cell>
          <cell r="I1261">
            <v>0</v>
          </cell>
        </row>
        <row r="1262">
          <cell r="F1262">
            <v>0</v>
          </cell>
          <cell r="H1262">
            <v>0</v>
          </cell>
          <cell r="I1262">
            <v>0</v>
          </cell>
        </row>
        <row r="1263">
          <cell r="F1263">
            <v>0</v>
          </cell>
          <cell r="H1263">
            <v>0</v>
          </cell>
          <cell r="I1263">
            <v>0</v>
          </cell>
        </row>
        <row r="1264">
          <cell r="F1264">
            <v>0</v>
          </cell>
          <cell r="H1264">
            <v>0</v>
          </cell>
          <cell r="I1264">
            <v>0</v>
          </cell>
        </row>
        <row r="1265">
          <cell r="F1265">
            <v>0</v>
          </cell>
          <cell r="H1265">
            <v>0</v>
          </cell>
          <cell r="I1265">
            <v>0</v>
          </cell>
        </row>
        <row r="1266">
          <cell r="F1266">
            <v>0</v>
          </cell>
          <cell r="H1266">
            <v>0</v>
          </cell>
          <cell r="I1266">
            <v>0</v>
          </cell>
        </row>
        <row r="1267">
          <cell r="F1267">
            <v>0</v>
          </cell>
          <cell r="H1267">
            <v>0</v>
          </cell>
          <cell r="I1267">
            <v>0</v>
          </cell>
        </row>
        <row r="1268">
          <cell r="F1268">
            <v>0</v>
          </cell>
          <cell r="H1268">
            <v>0</v>
          </cell>
          <cell r="I1268">
            <v>0</v>
          </cell>
        </row>
        <row r="1269">
          <cell r="F1269">
            <v>0</v>
          </cell>
          <cell r="H1269">
            <v>0</v>
          </cell>
          <cell r="I1269">
            <v>0</v>
          </cell>
        </row>
        <row r="1270">
          <cell r="F1270">
            <v>0</v>
          </cell>
          <cell r="H1270">
            <v>0</v>
          </cell>
          <cell r="I1270">
            <v>0</v>
          </cell>
        </row>
        <row r="1271">
          <cell r="F1271">
            <v>0</v>
          </cell>
          <cell r="H1271">
            <v>0</v>
          </cell>
          <cell r="I1271">
            <v>0</v>
          </cell>
        </row>
        <row r="1272">
          <cell r="F1272">
            <v>0</v>
          </cell>
          <cell r="H1272">
            <v>0</v>
          </cell>
          <cell r="I1272">
            <v>0</v>
          </cell>
        </row>
        <row r="1273">
          <cell r="F1273">
            <v>0</v>
          </cell>
          <cell r="H1273">
            <v>0</v>
          </cell>
          <cell r="I1273">
            <v>0</v>
          </cell>
        </row>
        <row r="1274">
          <cell r="F1274">
            <v>0</v>
          </cell>
          <cell r="H1274">
            <v>0</v>
          </cell>
          <cell r="I1274">
            <v>0</v>
          </cell>
        </row>
        <row r="1275">
          <cell r="F1275">
            <v>0</v>
          </cell>
          <cell r="H1275">
            <v>0</v>
          </cell>
          <cell r="I1275">
            <v>0</v>
          </cell>
        </row>
        <row r="1276">
          <cell r="F1276">
            <v>0</v>
          </cell>
          <cell r="H1276">
            <v>0</v>
          </cell>
          <cell r="I1276">
            <v>0</v>
          </cell>
        </row>
        <row r="1277">
          <cell r="F1277">
            <v>0</v>
          </cell>
          <cell r="H1277">
            <v>0</v>
          </cell>
          <cell r="I1277">
            <v>0</v>
          </cell>
        </row>
        <row r="1278">
          <cell r="F1278">
            <v>0</v>
          </cell>
          <cell r="H1278">
            <v>0</v>
          </cell>
          <cell r="I1278">
            <v>0</v>
          </cell>
        </row>
        <row r="1279">
          <cell r="F1279">
            <v>0</v>
          </cell>
          <cell r="H1279">
            <v>0</v>
          </cell>
          <cell r="I1279">
            <v>0</v>
          </cell>
        </row>
        <row r="1280">
          <cell r="F1280">
            <v>0</v>
          </cell>
          <cell r="H1280">
            <v>0</v>
          </cell>
          <cell r="I1280">
            <v>0</v>
          </cell>
        </row>
        <row r="1281">
          <cell r="F1281">
            <v>0</v>
          </cell>
          <cell r="H1281">
            <v>0</v>
          </cell>
          <cell r="I1281">
            <v>0</v>
          </cell>
        </row>
        <row r="1282">
          <cell r="F1282">
            <v>0</v>
          </cell>
          <cell r="H1282">
            <v>0</v>
          </cell>
          <cell r="I1282">
            <v>0</v>
          </cell>
        </row>
        <row r="1283">
          <cell r="F1283">
            <v>0</v>
          </cell>
          <cell r="H1283">
            <v>0</v>
          </cell>
          <cell r="I1283">
            <v>0</v>
          </cell>
        </row>
        <row r="1284">
          <cell r="F1284">
            <v>0</v>
          </cell>
          <cell r="H1284">
            <v>0</v>
          </cell>
          <cell r="I1284">
            <v>0</v>
          </cell>
        </row>
        <row r="1285">
          <cell r="F1285">
            <v>0</v>
          </cell>
          <cell r="H1285">
            <v>0</v>
          </cell>
          <cell r="I1285">
            <v>0</v>
          </cell>
        </row>
        <row r="1286">
          <cell r="F1286">
            <v>0</v>
          </cell>
          <cell r="H1286">
            <v>0</v>
          </cell>
          <cell r="I1286">
            <v>0</v>
          </cell>
        </row>
        <row r="1287">
          <cell r="F1287">
            <v>0</v>
          </cell>
          <cell r="H1287">
            <v>0</v>
          </cell>
          <cell r="I1287">
            <v>0</v>
          </cell>
        </row>
        <row r="1288">
          <cell r="F1288">
            <v>0</v>
          </cell>
          <cell r="H1288">
            <v>0</v>
          </cell>
          <cell r="I1288">
            <v>0</v>
          </cell>
        </row>
        <row r="1289">
          <cell r="F1289">
            <v>0</v>
          </cell>
          <cell r="H1289">
            <v>0</v>
          </cell>
          <cell r="I1289">
            <v>0</v>
          </cell>
        </row>
        <row r="1290">
          <cell r="F1290">
            <v>0</v>
          </cell>
          <cell r="H1290">
            <v>0</v>
          </cell>
          <cell r="I1290">
            <v>0</v>
          </cell>
        </row>
        <row r="1291">
          <cell r="F1291">
            <v>0</v>
          </cell>
          <cell r="H1291">
            <v>0</v>
          </cell>
          <cell r="I1291">
            <v>0</v>
          </cell>
        </row>
        <row r="1292">
          <cell r="F1292">
            <v>0</v>
          </cell>
          <cell r="H1292">
            <v>0</v>
          </cell>
          <cell r="I1292">
            <v>0</v>
          </cell>
        </row>
        <row r="1293">
          <cell r="F1293">
            <v>0</v>
          </cell>
          <cell r="H1293">
            <v>0</v>
          </cell>
          <cell r="I1293">
            <v>0</v>
          </cell>
        </row>
        <row r="1294">
          <cell r="F1294">
            <v>0</v>
          </cell>
          <cell r="H1294">
            <v>0</v>
          </cell>
          <cell r="I1294">
            <v>0</v>
          </cell>
        </row>
        <row r="1295">
          <cell r="F1295">
            <v>0</v>
          </cell>
          <cell r="H1295">
            <v>0</v>
          </cell>
          <cell r="I1295">
            <v>0</v>
          </cell>
        </row>
        <row r="1296">
          <cell r="F1296">
            <v>0</v>
          </cell>
          <cell r="H1296">
            <v>0</v>
          </cell>
          <cell r="I1296">
            <v>0</v>
          </cell>
        </row>
        <row r="1297">
          <cell r="F1297">
            <v>0</v>
          </cell>
          <cell r="H1297">
            <v>0</v>
          </cell>
          <cell r="I1297">
            <v>0</v>
          </cell>
        </row>
        <row r="1298">
          <cell r="F1298">
            <v>0</v>
          </cell>
          <cell r="H1298">
            <v>0</v>
          </cell>
          <cell r="I1298">
            <v>0</v>
          </cell>
        </row>
        <row r="1299">
          <cell r="F1299">
            <v>0</v>
          </cell>
          <cell r="H1299">
            <v>0</v>
          </cell>
          <cell r="I1299">
            <v>0</v>
          </cell>
        </row>
        <row r="1300">
          <cell r="F1300">
            <v>0</v>
          </cell>
          <cell r="H1300">
            <v>0</v>
          </cell>
          <cell r="I1300">
            <v>0</v>
          </cell>
        </row>
        <row r="1301">
          <cell r="F1301">
            <v>0</v>
          </cell>
          <cell r="H1301">
            <v>0</v>
          </cell>
          <cell r="I1301">
            <v>0</v>
          </cell>
        </row>
        <row r="1302">
          <cell r="F1302">
            <v>0</v>
          </cell>
          <cell r="H1302">
            <v>0</v>
          </cell>
          <cell r="I1302">
            <v>0</v>
          </cell>
        </row>
        <row r="1303">
          <cell r="F1303">
            <v>0</v>
          </cell>
          <cell r="H1303">
            <v>0</v>
          </cell>
          <cell r="I1303">
            <v>0</v>
          </cell>
        </row>
        <row r="1304">
          <cell r="F1304">
            <v>0</v>
          </cell>
          <cell r="H1304">
            <v>0</v>
          </cell>
          <cell r="I1304">
            <v>0</v>
          </cell>
        </row>
        <row r="1305">
          <cell r="F1305">
            <v>0</v>
          </cell>
          <cell r="H1305">
            <v>0</v>
          </cell>
          <cell r="I1305">
            <v>0</v>
          </cell>
        </row>
        <row r="1306">
          <cell r="F1306">
            <v>0</v>
          </cell>
          <cell r="H1306">
            <v>0</v>
          </cell>
          <cell r="I1306">
            <v>0</v>
          </cell>
        </row>
        <row r="1307">
          <cell r="F1307">
            <v>0</v>
          </cell>
          <cell r="H1307">
            <v>0</v>
          </cell>
          <cell r="I1307">
            <v>0</v>
          </cell>
        </row>
        <row r="1308">
          <cell r="F1308">
            <v>0</v>
          </cell>
          <cell r="H1308">
            <v>0</v>
          </cell>
          <cell r="I1308">
            <v>0</v>
          </cell>
        </row>
        <row r="1309">
          <cell r="F1309">
            <v>0</v>
          </cell>
          <cell r="H1309">
            <v>0</v>
          </cell>
          <cell r="I1309">
            <v>0</v>
          </cell>
        </row>
        <row r="1310">
          <cell r="F1310">
            <v>0</v>
          </cell>
          <cell r="H1310">
            <v>0</v>
          </cell>
          <cell r="I1310">
            <v>0</v>
          </cell>
        </row>
        <row r="1311">
          <cell r="F1311">
            <v>0</v>
          </cell>
          <cell r="H1311">
            <v>0</v>
          </cell>
          <cell r="I1311">
            <v>0</v>
          </cell>
        </row>
        <row r="1312">
          <cell r="F1312">
            <v>0</v>
          </cell>
          <cell r="H1312">
            <v>0</v>
          </cell>
          <cell r="I1312">
            <v>0</v>
          </cell>
        </row>
        <row r="1313">
          <cell r="F1313">
            <v>0</v>
          </cell>
          <cell r="H1313">
            <v>0</v>
          </cell>
          <cell r="I1313">
            <v>0</v>
          </cell>
        </row>
        <row r="1314">
          <cell r="F1314">
            <v>0</v>
          </cell>
          <cell r="H1314">
            <v>0</v>
          </cell>
          <cell r="I1314">
            <v>0</v>
          </cell>
        </row>
        <row r="1315">
          <cell r="F1315">
            <v>0</v>
          </cell>
          <cell r="H1315">
            <v>0</v>
          </cell>
          <cell r="I1315">
            <v>0</v>
          </cell>
        </row>
        <row r="1316">
          <cell r="F1316">
            <v>0</v>
          </cell>
          <cell r="H1316">
            <v>0</v>
          </cell>
          <cell r="I1316">
            <v>0</v>
          </cell>
        </row>
        <row r="1317">
          <cell r="F1317">
            <v>0</v>
          </cell>
          <cell r="H1317">
            <v>0</v>
          </cell>
          <cell r="I1317">
            <v>0</v>
          </cell>
        </row>
        <row r="1318">
          <cell r="F1318">
            <v>0</v>
          </cell>
          <cell r="H1318">
            <v>0</v>
          </cell>
          <cell r="I1318">
            <v>0</v>
          </cell>
        </row>
        <row r="1319">
          <cell r="F1319">
            <v>0</v>
          </cell>
          <cell r="H1319">
            <v>0</v>
          </cell>
          <cell r="I1319">
            <v>0</v>
          </cell>
        </row>
        <row r="1320">
          <cell r="F1320">
            <v>0</v>
          </cell>
          <cell r="H1320">
            <v>0</v>
          </cell>
          <cell r="I1320">
            <v>0</v>
          </cell>
        </row>
        <row r="1321">
          <cell r="F1321">
            <v>0</v>
          </cell>
          <cell r="H1321">
            <v>0</v>
          </cell>
          <cell r="I1321">
            <v>0</v>
          </cell>
        </row>
        <row r="1322">
          <cell r="F1322">
            <v>0</v>
          </cell>
          <cell r="H1322">
            <v>0</v>
          </cell>
          <cell r="I1322">
            <v>0</v>
          </cell>
        </row>
        <row r="1323">
          <cell r="F1323">
            <v>0</v>
          </cell>
          <cell r="H1323">
            <v>0</v>
          </cell>
          <cell r="I1323">
            <v>0</v>
          </cell>
        </row>
        <row r="1324">
          <cell r="F1324">
            <v>0</v>
          </cell>
          <cell r="H1324">
            <v>0</v>
          </cell>
          <cell r="I1324">
            <v>0</v>
          </cell>
        </row>
        <row r="1325">
          <cell r="F1325">
            <v>0</v>
          </cell>
          <cell r="H1325">
            <v>0</v>
          </cell>
          <cell r="I1325">
            <v>0</v>
          </cell>
        </row>
        <row r="1326">
          <cell r="F1326">
            <v>0</v>
          </cell>
          <cell r="H1326">
            <v>0</v>
          </cell>
          <cell r="I1326">
            <v>0</v>
          </cell>
        </row>
        <row r="1327">
          <cell r="F1327">
            <v>0</v>
          </cell>
          <cell r="H1327">
            <v>0</v>
          </cell>
          <cell r="I1327">
            <v>0</v>
          </cell>
        </row>
        <row r="1328">
          <cell r="F1328">
            <v>0</v>
          </cell>
          <cell r="H1328">
            <v>0</v>
          </cell>
          <cell r="I1328">
            <v>0</v>
          </cell>
        </row>
        <row r="1329">
          <cell r="F1329">
            <v>0</v>
          </cell>
          <cell r="H1329">
            <v>0</v>
          </cell>
          <cell r="I1329">
            <v>0</v>
          </cell>
        </row>
        <row r="1330">
          <cell r="F1330">
            <v>0</v>
          </cell>
          <cell r="H1330">
            <v>0</v>
          </cell>
          <cell r="I1330">
            <v>0</v>
          </cell>
        </row>
        <row r="1331">
          <cell r="F1331">
            <v>0</v>
          </cell>
          <cell r="H1331">
            <v>0</v>
          </cell>
          <cell r="I1331">
            <v>0</v>
          </cell>
        </row>
        <row r="1332">
          <cell r="F1332">
            <v>0</v>
          </cell>
          <cell r="H1332">
            <v>0</v>
          </cell>
          <cell r="I1332">
            <v>0</v>
          </cell>
        </row>
        <row r="1333">
          <cell r="F1333">
            <v>0</v>
          </cell>
          <cell r="H1333">
            <v>0</v>
          </cell>
          <cell r="I1333">
            <v>0</v>
          </cell>
        </row>
        <row r="1334">
          <cell r="F1334">
            <v>0</v>
          </cell>
          <cell r="H1334">
            <v>0</v>
          </cell>
          <cell r="I1334">
            <v>0</v>
          </cell>
        </row>
        <row r="1335">
          <cell r="F1335">
            <v>0</v>
          </cell>
          <cell r="H1335">
            <v>0</v>
          </cell>
          <cell r="I1335">
            <v>0</v>
          </cell>
        </row>
        <row r="1336">
          <cell r="F1336">
            <v>0</v>
          </cell>
          <cell r="H1336">
            <v>0</v>
          </cell>
          <cell r="I1336">
            <v>0</v>
          </cell>
        </row>
        <row r="1337">
          <cell r="F1337">
            <v>0</v>
          </cell>
          <cell r="H1337">
            <v>0</v>
          </cell>
          <cell r="I1337">
            <v>0</v>
          </cell>
        </row>
        <row r="1338">
          <cell r="F1338">
            <v>0</v>
          </cell>
          <cell r="H1338">
            <v>0</v>
          </cell>
          <cell r="I1338">
            <v>0</v>
          </cell>
        </row>
        <row r="1339">
          <cell r="F1339">
            <v>0</v>
          </cell>
          <cell r="H1339">
            <v>0</v>
          </cell>
          <cell r="I1339">
            <v>0</v>
          </cell>
        </row>
        <row r="1340">
          <cell r="F1340">
            <v>0</v>
          </cell>
          <cell r="H1340">
            <v>0</v>
          </cell>
          <cell r="I1340">
            <v>0</v>
          </cell>
        </row>
        <row r="1341">
          <cell r="F1341">
            <v>0</v>
          </cell>
          <cell r="H1341">
            <v>0</v>
          </cell>
          <cell r="I1341">
            <v>0</v>
          </cell>
        </row>
        <row r="1342">
          <cell r="F1342">
            <v>0</v>
          </cell>
          <cell r="H1342">
            <v>0</v>
          </cell>
          <cell r="I1342">
            <v>0</v>
          </cell>
        </row>
        <row r="1343">
          <cell r="F1343">
            <v>0</v>
          </cell>
          <cell r="H1343">
            <v>0</v>
          </cell>
          <cell r="I1343">
            <v>0</v>
          </cell>
        </row>
        <row r="1344">
          <cell r="F1344">
            <v>0</v>
          </cell>
          <cell r="H1344">
            <v>0</v>
          </cell>
          <cell r="I1344">
            <v>0</v>
          </cell>
        </row>
        <row r="1345">
          <cell r="F1345">
            <v>0</v>
          </cell>
          <cell r="H1345">
            <v>0</v>
          </cell>
          <cell r="I1345">
            <v>0</v>
          </cell>
        </row>
        <row r="1346">
          <cell r="F1346">
            <v>0</v>
          </cell>
          <cell r="H1346">
            <v>0</v>
          </cell>
          <cell r="I1346">
            <v>0</v>
          </cell>
        </row>
        <row r="1347">
          <cell r="F1347">
            <v>0</v>
          </cell>
          <cell r="H1347">
            <v>0</v>
          </cell>
          <cell r="I1347">
            <v>0</v>
          </cell>
        </row>
        <row r="1348">
          <cell r="F1348">
            <v>0</v>
          </cell>
          <cell r="H1348">
            <v>0</v>
          </cell>
          <cell r="I1348">
            <v>0</v>
          </cell>
        </row>
        <row r="1349">
          <cell r="F1349">
            <v>0</v>
          </cell>
          <cell r="H1349">
            <v>0</v>
          </cell>
          <cell r="I1349">
            <v>0</v>
          </cell>
        </row>
        <row r="1350">
          <cell r="F1350">
            <v>0</v>
          </cell>
          <cell r="H1350">
            <v>0</v>
          </cell>
          <cell r="I1350">
            <v>0</v>
          </cell>
        </row>
        <row r="1351">
          <cell r="F1351">
            <v>0</v>
          </cell>
          <cell r="H1351">
            <v>0</v>
          </cell>
          <cell r="I1351">
            <v>0</v>
          </cell>
        </row>
        <row r="1352">
          <cell r="F1352">
            <v>0</v>
          </cell>
          <cell r="H1352">
            <v>0</v>
          </cell>
          <cell r="I1352">
            <v>0</v>
          </cell>
        </row>
        <row r="1353">
          <cell r="F1353">
            <v>0</v>
          </cell>
          <cell r="H1353">
            <v>0</v>
          </cell>
          <cell r="I1353">
            <v>0</v>
          </cell>
        </row>
        <row r="1354">
          <cell r="F1354">
            <v>0</v>
          </cell>
          <cell r="H1354">
            <v>0</v>
          </cell>
          <cell r="I1354">
            <v>0</v>
          </cell>
        </row>
        <row r="1355">
          <cell r="F1355">
            <v>0</v>
          </cell>
          <cell r="H1355">
            <v>0</v>
          </cell>
          <cell r="I1355">
            <v>0</v>
          </cell>
        </row>
        <row r="1356">
          <cell r="F1356">
            <v>0</v>
          </cell>
          <cell r="H1356">
            <v>0</v>
          </cell>
          <cell r="I1356">
            <v>0</v>
          </cell>
        </row>
        <row r="1357">
          <cell r="F1357">
            <v>0</v>
          </cell>
          <cell r="H1357">
            <v>0</v>
          </cell>
          <cell r="I1357">
            <v>0</v>
          </cell>
        </row>
        <row r="1358">
          <cell r="F1358">
            <v>0</v>
          </cell>
          <cell r="H1358">
            <v>0</v>
          </cell>
          <cell r="I1358">
            <v>0</v>
          </cell>
        </row>
        <row r="1359">
          <cell r="F1359">
            <v>0</v>
          </cell>
          <cell r="H1359">
            <v>0</v>
          </cell>
          <cell r="I1359">
            <v>0</v>
          </cell>
        </row>
        <row r="1360">
          <cell r="F1360">
            <v>0</v>
          </cell>
          <cell r="H1360">
            <v>0</v>
          </cell>
          <cell r="I1360">
            <v>0</v>
          </cell>
        </row>
        <row r="1361">
          <cell r="F1361">
            <v>0</v>
          </cell>
          <cell r="H1361">
            <v>0</v>
          </cell>
          <cell r="I1361">
            <v>0</v>
          </cell>
        </row>
        <row r="1362">
          <cell r="F1362">
            <v>0</v>
          </cell>
          <cell r="H1362">
            <v>0</v>
          </cell>
          <cell r="I1362">
            <v>0</v>
          </cell>
        </row>
        <row r="1363">
          <cell r="F1363">
            <v>0</v>
          </cell>
          <cell r="H1363">
            <v>0</v>
          </cell>
          <cell r="I1363">
            <v>0</v>
          </cell>
        </row>
        <row r="1364">
          <cell r="F1364">
            <v>0</v>
          </cell>
          <cell r="H1364">
            <v>0</v>
          </cell>
          <cell r="I1364">
            <v>0</v>
          </cell>
        </row>
        <row r="1365">
          <cell r="F1365">
            <v>0</v>
          </cell>
          <cell r="H1365">
            <v>0</v>
          </cell>
          <cell r="I1365">
            <v>0</v>
          </cell>
        </row>
        <row r="1366">
          <cell r="F1366">
            <v>0</v>
          </cell>
          <cell r="H1366">
            <v>0</v>
          </cell>
          <cell r="I1366">
            <v>0</v>
          </cell>
        </row>
        <row r="1367">
          <cell r="F1367">
            <v>0</v>
          </cell>
          <cell r="H1367">
            <v>0</v>
          </cell>
          <cell r="I1367">
            <v>0</v>
          </cell>
        </row>
        <row r="1368">
          <cell r="F1368">
            <v>0</v>
          </cell>
          <cell r="H1368">
            <v>0</v>
          </cell>
          <cell r="I1368">
            <v>0</v>
          </cell>
        </row>
        <row r="1369">
          <cell r="F1369">
            <v>0</v>
          </cell>
          <cell r="H1369">
            <v>0</v>
          </cell>
          <cell r="I1369">
            <v>0</v>
          </cell>
        </row>
        <row r="1370">
          <cell r="F1370">
            <v>0</v>
          </cell>
          <cell r="H1370">
            <v>0</v>
          </cell>
          <cell r="I1370">
            <v>0</v>
          </cell>
        </row>
        <row r="1371">
          <cell r="F1371">
            <v>0</v>
          </cell>
          <cell r="H1371">
            <v>0</v>
          </cell>
          <cell r="I1371">
            <v>0</v>
          </cell>
        </row>
        <row r="1372">
          <cell r="F1372">
            <v>0</v>
          </cell>
          <cell r="H1372">
            <v>0</v>
          </cell>
          <cell r="I1372">
            <v>0</v>
          </cell>
        </row>
        <row r="1373">
          <cell r="F1373">
            <v>0</v>
          </cell>
          <cell r="H1373">
            <v>0</v>
          </cell>
          <cell r="I1373">
            <v>0</v>
          </cell>
        </row>
        <row r="1374">
          <cell r="F1374">
            <v>0</v>
          </cell>
          <cell r="H1374">
            <v>0</v>
          </cell>
          <cell r="I1374">
            <v>0</v>
          </cell>
        </row>
        <row r="1375">
          <cell r="F1375">
            <v>0</v>
          </cell>
          <cell r="H1375">
            <v>0</v>
          </cell>
          <cell r="I1375">
            <v>0</v>
          </cell>
        </row>
        <row r="1376">
          <cell r="F1376">
            <v>0</v>
          </cell>
          <cell r="H1376">
            <v>0</v>
          </cell>
          <cell r="I1376">
            <v>0</v>
          </cell>
        </row>
        <row r="1377">
          <cell r="F1377">
            <v>0</v>
          </cell>
          <cell r="H1377">
            <v>0</v>
          </cell>
          <cell r="I1377">
            <v>0</v>
          </cell>
        </row>
        <row r="1378">
          <cell r="F1378">
            <v>0</v>
          </cell>
          <cell r="H1378">
            <v>0</v>
          </cell>
          <cell r="I1378">
            <v>0</v>
          </cell>
        </row>
        <row r="1379">
          <cell r="F1379">
            <v>0</v>
          </cell>
          <cell r="H1379">
            <v>0</v>
          </cell>
          <cell r="I1379">
            <v>0</v>
          </cell>
        </row>
        <row r="1380">
          <cell r="F1380">
            <v>0</v>
          </cell>
          <cell r="H1380">
            <v>0</v>
          </cell>
          <cell r="I1380">
            <v>0</v>
          </cell>
        </row>
        <row r="1381">
          <cell r="F1381">
            <v>0</v>
          </cell>
          <cell r="H1381">
            <v>0</v>
          </cell>
          <cell r="I1381">
            <v>0</v>
          </cell>
        </row>
        <row r="1382">
          <cell r="F1382">
            <v>0</v>
          </cell>
          <cell r="H1382">
            <v>0</v>
          </cell>
          <cell r="I1382">
            <v>0</v>
          </cell>
        </row>
        <row r="1383">
          <cell r="F1383">
            <v>0</v>
          </cell>
          <cell r="H1383">
            <v>0</v>
          </cell>
          <cell r="I1383">
            <v>0</v>
          </cell>
        </row>
        <row r="1384">
          <cell r="F1384">
            <v>0</v>
          </cell>
          <cell r="H1384">
            <v>0</v>
          </cell>
          <cell r="I1384">
            <v>0</v>
          </cell>
        </row>
        <row r="1385">
          <cell r="F1385">
            <v>0</v>
          </cell>
          <cell r="H1385">
            <v>0</v>
          </cell>
          <cell r="I1385">
            <v>0</v>
          </cell>
        </row>
        <row r="1386">
          <cell r="F1386">
            <v>0</v>
          </cell>
          <cell r="H1386">
            <v>0</v>
          </cell>
          <cell r="I1386">
            <v>0</v>
          </cell>
        </row>
        <row r="1387">
          <cell r="F1387">
            <v>0</v>
          </cell>
          <cell r="H1387">
            <v>0</v>
          </cell>
          <cell r="I1387">
            <v>0</v>
          </cell>
        </row>
        <row r="1388">
          <cell r="F1388">
            <v>0</v>
          </cell>
          <cell r="H1388">
            <v>0</v>
          </cell>
          <cell r="I1388">
            <v>0</v>
          </cell>
        </row>
        <row r="1389">
          <cell r="F1389">
            <v>0</v>
          </cell>
          <cell r="H1389">
            <v>0</v>
          </cell>
          <cell r="I1389">
            <v>0</v>
          </cell>
        </row>
        <row r="1390">
          <cell r="F1390">
            <v>0</v>
          </cell>
          <cell r="H1390">
            <v>0</v>
          </cell>
          <cell r="I1390">
            <v>0</v>
          </cell>
        </row>
        <row r="1391">
          <cell r="F1391">
            <v>0</v>
          </cell>
          <cell r="H1391">
            <v>0</v>
          </cell>
          <cell r="I1391">
            <v>0</v>
          </cell>
        </row>
        <row r="1392">
          <cell r="F1392">
            <v>0</v>
          </cell>
          <cell r="H1392">
            <v>0</v>
          </cell>
          <cell r="I1392">
            <v>0</v>
          </cell>
        </row>
        <row r="1393">
          <cell r="F1393">
            <v>0</v>
          </cell>
          <cell r="H1393">
            <v>0</v>
          </cell>
          <cell r="I1393">
            <v>0</v>
          </cell>
        </row>
        <row r="1394">
          <cell r="F1394">
            <v>0</v>
          </cell>
          <cell r="H1394">
            <v>0</v>
          </cell>
          <cell r="I1394">
            <v>0</v>
          </cell>
        </row>
        <row r="1395">
          <cell r="F1395">
            <v>0</v>
          </cell>
          <cell r="H1395">
            <v>0</v>
          </cell>
          <cell r="I1395">
            <v>0</v>
          </cell>
        </row>
        <row r="1396">
          <cell r="F1396">
            <v>0</v>
          </cell>
          <cell r="H1396">
            <v>0</v>
          </cell>
          <cell r="I1396">
            <v>0</v>
          </cell>
        </row>
        <row r="1397">
          <cell r="F1397">
            <v>0</v>
          </cell>
          <cell r="H1397">
            <v>0</v>
          </cell>
          <cell r="I1397">
            <v>0</v>
          </cell>
        </row>
        <row r="1398">
          <cell r="F1398">
            <v>0</v>
          </cell>
          <cell r="H1398">
            <v>0</v>
          </cell>
          <cell r="I1398">
            <v>0</v>
          </cell>
        </row>
        <row r="1399">
          <cell r="F1399">
            <v>0</v>
          </cell>
          <cell r="H1399">
            <v>0</v>
          </cell>
          <cell r="I1399">
            <v>0</v>
          </cell>
        </row>
        <row r="1400">
          <cell r="F1400">
            <v>0</v>
          </cell>
          <cell r="H1400">
            <v>0</v>
          </cell>
          <cell r="I1400">
            <v>0</v>
          </cell>
        </row>
        <row r="1401">
          <cell r="F1401">
            <v>0</v>
          </cell>
          <cell r="H1401">
            <v>0</v>
          </cell>
          <cell r="I1401">
            <v>0</v>
          </cell>
        </row>
        <row r="1402">
          <cell r="F1402">
            <v>0</v>
          </cell>
          <cell r="H1402">
            <v>0</v>
          </cell>
          <cell r="I1402">
            <v>0</v>
          </cell>
        </row>
        <row r="1403">
          <cell r="F1403">
            <v>0</v>
          </cell>
          <cell r="H1403">
            <v>0</v>
          </cell>
          <cell r="I1403">
            <v>0</v>
          </cell>
        </row>
        <row r="1404">
          <cell r="F1404">
            <v>0</v>
          </cell>
          <cell r="H1404">
            <v>0</v>
          </cell>
          <cell r="I1404">
            <v>0</v>
          </cell>
        </row>
        <row r="1405">
          <cell r="F1405">
            <v>0</v>
          </cell>
          <cell r="H1405">
            <v>0</v>
          </cell>
          <cell r="I1405">
            <v>0</v>
          </cell>
        </row>
        <row r="1406">
          <cell r="F1406">
            <v>0</v>
          </cell>
          <cell r="H1406">
            <v>0</v>
          </cell>
          <cell r="I1406">
            <v>0</v>
          </cell>
        </row>
        <row r="1407">
          <cell r="F1407">
            <v>0</v>
          </cell>
          <cell r="H1407">
            <v>0</v>
          </cell>
          <cell r="I1407">
            <v>0</v>
          </cell>
        </row>
        <row r="1408">
          <cell r="F1408">
            <v>0</v>
          </cell>
          <cell r="H1408">
            <v>0</v>
          </cell>
          <cell r="I1408">
            <v>0</v>
          </cell>
        </row>
        <row r="1409">
          <cell r="F1409">
            <v>0</v>
          </cell>
          <cell r="H1409">
            <v>0</v>
          </cell>
          <cell r="I1409">
            <v>0</v>
          </cell>
        </row>
        <row r="1410">
          <cell r="F1410">
            <v>0</v>
          </cell>
          <cell r="H1410">
            <v>0</v>
          </cell>
          <cell r="I1410">
            <v>0</v>
          </cell>
        </row>
        <row r="1411">
          <cell r="F1411">
            <v>0</v>
          </cell>
          <cell r="H1411">
            <v>0</v>
          </cell>
          <cell r="I1411">
            <v>0</v>
          </cell>
        </row>
        <row r="1412">
          <cell r="F1412">
            <v>0</v>
          </cell>
          <cell r="H1412">
            <v>0</v>
          </cell>
          <cell r="I1412">
            <v>0</v>
          </cell>
        </row>
        <row r="1413">
          <cell r="F1413">
            <v>0</v>
          </cell>
          <cell r="H1413">
            <v>0</v>
          </cell>
          <cell r="I1413">
            <v>0</v>
          </cell>
        </row>
        <row r="1414">
          <cell r="F1414">
            <v>0</v>
          </cell>
          <cell r="H1414">
            <v>0</v>
          </cell>
          <cell r="I1414">
            <v>0</v>
          </cell>
        </row>
        <row r="1415">
          <cell r="F1415">
            <v>0</v>
          </cell>
          <cell r="H1415">
            <v>0</v>
          </cell>
          <cell r="I1415">
            <v>0</v>
          </cell>
        </row>
        <row r="1416">
          <cell r="F1416">
            <v>0</v>
          </cell>
          <cell r="H1416">
            <v>0</v>
          </cell>
          <cell r="I1416">
            <v>0</v>
          </cell>
        </row>
        <row r="1417">
          <cell r="F1417">
            <v>0</v>
          </cell>
          <cell r="H1417">
            <v>0</v>
          </cell>
          <cell r="I1417">
            <v>0</v>
          </cell>
        </row>
        <row r="1418">
          <cell r="F1418">
            <v>0</v>
          </cell>
          <cell r="H1418">
            <v>0</v>
          </cell>
          <cell r="I1418">
            <v>0</v>
          </cell>
        </row>
        <row r="1419">
          <cell r="F1419">
            <v>0</v>
          </cell>
          <cell r="H1419">
            <v>0</v>
          </cell>
          <cell r="I1419">
            <v>0</v>
          </cell>
        </row>
        <row r="1420">
          <cell r="F1420">
            <v>0</v>
          </cell>
          <cell r="H1420">
            <v>0</v>
          </cell>
          <cell r="I1420">
            <v>0</v>
          </cell>
        </row>
        <row r="1421">
          <cell r="F1421">
            <v>0</v>
          </cell>
          <cell r="H1421">
            <v>0</v>
          </cell>
          <cell r="I1421">
            <v>0</v>
          </cell>
        </row>
        <row r="1422">
          <cell r="F1422">
            <v>0</v>
          </cell>
          <cell r="H1422">
            <v>0</v>
          </cell>
          <cell r="I1422">
            <v>0</v>
          </cell>
        </row>
        <row r="1423">
          <cell r="F1423">
            <v>0</v>
          </cell>
          <cell r="H1423">
            <v>0</v>
          </cell>
          <cell r="I1423">
            <v>0</v>
          </cell>
        </row>
        <row r="1424">
          <cell r="F1424">
            <v>0</v>
          </cell>
          <cell r="H1424">
            <v>0</v>
          </cell>
          <cell r="I1424">
            <v>0</v>
          </cell>
        </row>
        <row r="1425">
          <cell r="F1425">
            <v>0</v>
          </cell>
          <cell r="H1425">
            <v>0</v>
          </cell>
          <cell r="I1425">
            <v>0</v>
          </cell>
        </row>
        <row r="1426">
          <cell r="F1426">
            <v>0</v>
          </cell>
          <cell r="H1426">
            <v>0</v>
          </cell>
          <cell r="I1426">
            <v>0</v>
          </cell>
        </row>
        <row r="1427">
          <cell r="F1427">
            <v>0</v>
          </cell>
          <cell r="H1427">
            <v>0</v>
          </cell>
          <cell r="I1427">
            <v>0</v>
          </cell>
        </row>
        <row r="1428">
          <cell r="F1428">
            <v>0</v>
          </cell>
          <cell r="H1428">
            <v>0</v>
          </cell>
          <cell r="I1428">
            <v>0</v>
          </cell>
        </row>
        <row r="1429">
          <cell r="F1429">
            <v>0</v>
          </cell>
          <cell r="H1429">
            <v>0</v>
          </cell>
          <cell r="I1429">
            <v>0</v>
          </cell>
        </row>
        <row r="1430">
          <cell r="F1430">
            <v>0</v>
          </cell>
          <cell r="H1430">
            <v>0</v>
          </cell>
          <cell r="I1430">
            <v>0</v>
          </cell>
        </row>
        <row r="1431">
          <cell r="F1431">
            <v>0</v>
          </cell>
          <cell r="H1431">
            <v>0</v>
          </cell>
          <cell r="I1431">
            <v>0</v>
          </cell>
        </row>
        <row r="1432">
          <cell r="F1432">
            <v>0</v>
          </cell>
          <cell r="H1432">
            <v>0</v>
          </cell>
          <cell r="I1432">
            <v>0</v>
          </cell>
        </row>
        <row r="1433">
          <cell r="F1433">
            <v>0</v>
          </cell>
          <cell r="H1433">
            <v>0</v>
          </cell>
          <cell r="I1433">
            <v>0</v>
          </cell>
        </row>
        <row r="1434">
          <cell r="F1434">
            <v>0</v>
          </cell>
          <cell r="H1434">
            <v>0</v>
          </cell>
          <cell r="I1434">
            <v>0</v>
          </cell>
        </row>
        <row r="1435">
          <cell r="F1435">
            <v>0</v>
          </cell>
          <cell r="H1435">
            <v>0</v>
          </cell>
          <cell r="I1435">
            <v>0</v>
          </cell>
        </row>
        <row r="1436">
          <cell r="F1436">
            <v>0</v>
          </cell>
          <cell r="H1436">
            <v>0</v>
          </cell>
          <cell r="I1436">
            <v>0</v>
          </cell>
        </row>
        <row r="1437">
          <cell r="F1437">
            <v>0</v>
          </cell>
          <cell r="H1437">
            <v>0</v>
          </cell>
          <cell r="I1437">
            <v>0</v>
          </cell>
        </row>
        <row r="1438">
          <cell r="F1438">
            <v>0</v>
          </cell>
          <cell r="H1438">
            <v>0</v>
          </cell>
          <cell r="I1438">
            <v>0</v>
          </cell>
        </row>
        <row r="1439">
          <cell r="F1439">
            <v>0</v>
          </cell>
          <cell r="H1439">
            <v>0</v>
          </cell>
          <cell r="I1439">
            <v>0</v>
          </cell>
        </row>
        <row r="1440">
          <cell r="F1440">
            <v>0</v>
          </cell>
          <cell r="H1440">
            <v>0</v>
          </cell>
          <cell r="I1440">
            <v>0</v>
          </cell>
        </row>
        <row r="1441">
          <cell r="F1441">
            <v>0</v>
          </cell>
          <cell r="H1441">
            <v>0</v>
          </cell>
          <cell r="I1441">
            <v>0</v>
          </cell>
        </row>
        <row r="1442">
          <cell r="F1442">
            <v>0</v>
          </cell>
          <cell r="H1442">
            <v>0</v>
          </cell>
          <cell r="I1442">
            <v>0</v>
          </cell>
        </row>
        <row r="1443">
          <cell r="F1443">
            <v>0</v>
          </cell>
          <cell r="H1443">
            <v>0</v>
          </cell>
          <cell r="I1443">
            <v>0</v>
          </cell>
        </row>
        <row r="1444">
          <cell r="F1444">
            <v>0</v>
          </cell>
          <cell r="H1444">
            <v>0</v>
          </cell>
          <cell r="I1444">
            <v>0</v>
          </cell>
        </row>
        <row r="1445">
          <cell r="F1445">
            <v>0</v>
          </cell>
          <cell r="H1445">
            <v>0</v>
          </cell>
          <cell r="I1445">
            <v>0</v>
          </cell>
        </row>
        <row r="1446">
          <cell r="F1446">
            <v>0</v>
          </cell>
          <cell r="H1446">
            <v>0</v>
          </cell>
          <cell r="I1446">
            <v>0</v>
          </cell>
        </row>
        <row r="1447">
          <cell r="F1447">
            <v>0</v>
          </cell>
          <cell r="H1447">
            <v>0</v>
          </cell>
          <cell r="I1447">
            <v>0</v>
          </cell>
        </row>
        <row r="1448">
          <cell r="F1448">
            <v>0</v>
          </cell>
          <cell r="H1448">
            <v>0</v>
          </cell>
          <cell r="I1448">
            <v>0</v>
          </cell>
        </row>
        <row r="1449">
          <cell r="F1449">
            <v>0</v>
          </cell>
          <cell r="H1449">
            <v>0</v>
          </cell>
          <cell r="I1449">
            <v>0</v>
          </cell>
        </row>
        <row r="1450">
          <cell r="F1450">
            <v>0</v>
          </cell>
          <cell r="H1450">
            <v>0</v>
          </cell>
          <cell r="I1450">
            <v>0</v>
          </cell>
        </row>
        <row r="1451">
          <cell r="F1451">
            <v>0</v>
          </cell>
          <cell r="H1451">
            <v>0</v>
          </cell>
          <cell r="I1451">
            <v>0</v>
          </cell>
        </row>
        <row r="1452">
          <cell r="F1452">
            <v>0</v>
          </cell>
          <cell r="H1452">
            <v>0</v>
          </cell>
          <cell r="I1452">
            <v>0</v>
          </cell>
        </row>
        <row r="1453">
          <cell r="F1453">
            <v>0</v>
          </cell>
          <cell r="H1453">
            <v>0</v>
          </cell>
          <cell r="I1453">
            <v>0</v>
          </cell>
        </row>
        <row r="1454">
          <cell r="F1454">
            <v>0</v>
          </cell>
          <cell r="H1454">
            <v>0</v>
          </cell>
          <cell r="I1454">
            <v>0</v>
          </cell>
        </row>
        <row r="1455">
          <cell r="F1455">
            <v>0</v>
          </cell>
          <cell r="H1455">
            <v>0</v>
          </cell>
          <cell r="I1455">
            <v>0</v>
          </cell>
        </row>
        <row r="1456">
          <cell r="F1456">
            <v>0</v>
          </cell>
          <cell r="H1456">
            <v>0</v>
          </cell>
          <cell r="I1456">
            <v>0</v>
          </cell>
        </row>
        <row r="1457">
          <cell r="F1457">
            <v>0</v>
          </cell>
          <cell r="H1457">
            <v>0</v>
          </cell>
          <cell r="I1457">
            <v>0</v>
          </cell>
        </row>
        <row r="1458">
          <cell r="F1458">
            <v>0</v>
          </cell>
          <cell r="H1458">
            <v>0</v>
          </cell>
          <cell r="I1458">
            <v>0</v>
          </cell>
        </row>
        <row r="1459">
          <cell r="F1459">
            <v>0</v>
          </cell>
          <cell r="H1459">
            <v>0</v>
          </cell>
          <cell r="I1459">
            <v>0</v>
          </cell>
        </row>
        <row r="1460">
          <cell r="F1460">
            <v>0</v>
          </cell>
          <cell r="H1460">
            <v>0</v>
          </cell>
          <cell r="I1460">
            <v>0</v>
          </cell>
        </row>
        <row r="1461">
          <cell r="F1461">
            <v>0</v>
          </cell>
          <cell r="H1461">
            <v>0</v>
          </cell>
          <cell r="I1461">
            <v>0</v>
          </cell>
        </row>
        <row r="1462">
          <cell r="F1462">
            <v>0</v>
          </cell>
          <cell r="H1462">
            <v>0</v>
          </cell>
          <cell r="I1462">
            <v>0</v>
          </cell>
        </row>
        <row r="1463">
          <cell r="F1463">
            <v>0</v>
          </cell>
          <cell r="H1463">
            <v>0</v>
          </cell>
          <cell r="I1463">
            <v>0</v>
          </cell>
        </row>
        <row r="1464">
          <cell r="F1464">
            <v>0</v>
          </cell>
          <cell r="H1464">
            <v>0</v>
          </cell>
          <cell r="I1464">
            <v>0</v>
          </cell>
        </row>
        <row r="1465">
          <cell r="F1465">
            <v>0</v>
          </cell>
          <cell r="H1465">
            <v>0</v>
          </cell>
          <cell r="I1465">
            <v>0</v>
          </cell>
        </row>
        <row r="1466">
          <cell r="F1466">
            <v>0</v>
          </cell>
          <cell r="H1466">
            <v>0</v>
          </cell>
          <cell r="I1466">
            <v>0</v>
          </cell>
        </row>
        <row r="1467">
          <cell r="F1467">
            <v>0</v>
          </cell>
          <cell r="H1467">
            <v>0</v>
          </cell>
          <cell r="I1467">
            <v>0</v>
          </cell>
        </row>
        <row r="1468">
          <cell r="F1468">
            <v>0</v>
          </cell>
          <cell r="H1468">
            <v>0</v>
          </cell>
          <cell r="I1468">
            <v>0</v>
          </cell>
        </row>
        <row r="1469">
          <cell r="F1469">
            <v>0</v>
          </cell>
          <cell r="H1469">
            <v>0</v>
          </cell>
          <cell r="I1469">
            <v>0</v>
          </cell>
        </row>
        <row r="1470">
          <cell r="F1470">
            <v>0</v>
          </cell>
          <cell r="H1470">
            <v>0</v>
          </cell>
          <cell r="I1470">
            <v>0</v>
          </cell>
        </row>
        <row r="1471">
          <cell r="F1471">
            <v>0</v>
          </cell>
          <cell r="H1471">
            <v>0</v>
          </cell>
          <cell r="I1471">
            <v>0</v>
          </cell>
        </row>
        <row r="1472">
          <cell r="F1472">
            <v>0</v>
          </cell>
          <cell r="H1472">
            <v>0</v>
          </cell>
          <cell r="I1472">
            <v>0</v>
          </cell>
        </row>
        <row r="1473">
          <cell r="F1473">
            <v>0</v>
          </cell>
          <cell r="H1473">
            <v>0</v>
          </cell>
          <cell r="I1473">
            <v>0</v>
          </cell>
        </row>
        <row r="1474">
          <cell r="F1474">
            <v>0</v>
          </cell>
          <cell r="H1474">
            <v>0</v>
          </cell>
          <cell r="I1474">
            <v>0</v>
          </cell>
        </row>
        <row r="1475">
          <cell r="F1475">
            <v>0</v>
          </cell>
          <cell r="H1475">
            <v>0</v>
          </cell>
          <cell r="I1475">
            <v>0</v>
          </cell>
        </row>
        <row r="1476">
          <cell r="F1476">
            <v>0</v>
          </cell>
          <cell r="H1476">
            <v>0</v>
          </cell>
          <cell r="I1476">
            <v>0</v>
          </cell>
        </row>
        <row r="1477">
          <cell r="F1477">
            <v>0</v>
          </cell>
          <cell r="H1477">
            <v>0</v>
          </cell>
          <cell r="I1477">
            <v>0</v>
          </cell>
        </row>
        <row r="1478">
          <cell r="F1478">
            <v>0</v>
          </cell>
          <cell r="H1478">
            <v>0</v>
          </cell>
          <cell r="I1478">
            <v>0</v>
          </cell>
        </row>
        <row r="1479">
          <cell r="F1479">
            <v>0</v>
          </cell>
          <cell r="H1479">
            <v>0</v>
          </cell>
          <cell r="I1479">
            <v>0</v>
          </cell>
        </row>
        <row r="1480">
          <cell r="F1480">
            <v>0</v>
          </cell>
          <cell r="H1480">
            <v>0</v>
          </cell>
          <cell r="I1480">
            <v>0</v>
          </cell>
        </row>
        <row r="1481">
          <cell r="F1481">
            <v>0</v>
          </cell>
          <cell r="H1481">
            <v>0</v>
          </cell>
          <cell r="I1481">
            <v>0</v>
          </cell>
        </row>
        <row r="1482">
          <cell r="F1482">
            <v>0</v>
          </cell>
          <cell r="H1482">
            <v>0</v>
          </cell>
          <cell r="I1482">
            <v>0</v>
          </cell>
        </row>
        <row r="1483">
          <cell r="F1483">
            <v>0</v>
          </cell>
          <cell r="H1483">
            <v>0</v>
          </cell>
          <cell r="I1483">
            <v>0</v>
          </cell>
        </row>
        <row r="1484">
          <cell r="F1484">
            <v>0</v>
          </cell>
          <cell r="H1484">
            <v>0</v>
          </cell>
          <cell r="I1484">
            <v>0</v>
          </cell>
        </row>
        <row r="1485">
          <cell r="F1485">
            <v>0</v>
          </cell>
          <cell r="H1485">
            <v>0</v>
          </cell>
          <cell r="I1485">
            <v>0</v>
          </cell>
        </row>
        <row r="1486">
          <cell r="F1486">
            <v>0</v>
          </cell>
          <cell r="H1486">
            <v>0</v>
          </cell>
          <cell r="I1486">
            <v>0</v>
          </cell>
        </row>
        <row r="1487">
          <cell r="F1487">
            <v>0</v>
          </cell>
          <cell r="H1487">
            <v>0</v>
          </cell>
          <cell r="I1487">
            <v>0</v>
          </cell>
        </row>
        <row r="1488">
          <cell r="F1488">
            <v>0</v>
          </cell>
          <cell r="H1488">
            <v>0</v>
          </cell>
          <cell r="I1488">
            <v>0</v>
          </cell>
        </row>
        <row r="1489">
          <cell r="F1489">
            <v>0</v>
          </cell>
          <cell r="H1489">
            <v>0</v>
          </cell>
          <cell r="I1489">
            <v>0</v>
          </cell>
        </row>
        <row r="1490">
          <cell r="F1490">
            <v>0</v>
          </cell>
          <cell r="H1490">
            <v>0</v>
          </cell>
          <cell r="I1490">
            <v>0</v>
          </cell>
        </row>
        <row r="1491">
          <cell r="F1491">
            <v>0</v>
          </cell>
          <cell r="H1491">
            <v>0</v>
          </cell>
          <cell r="I1491">
            <v>0</v>
          </cell>
        </row>
        <row r="1492">
          <cell r="F1492">
            <v>0</v>
          </cell>
          <cell r="H1492">
            <v>0</v>
          </cell>
          <cell r="I1492">
            <v>0</v>
          </cell>
        </row>
        <row r="1493">
          <cell r="F1493">
            <v>0</v>
          </cell>
          <cell r="H1493">
            <v>0</v>
          </cell>
          <cell r="I1493">
            <v>0</v>
          </cell>
        </row>
        <row r="1494">
          <cell r="F1494">
            <v>0</v>
          </cell>
          <cell r="H1494">
            <v>0</v>
          </cell>
          <cell r="I1494">
            <v>0</v>
          </cell>
        </row>
        <row r="1495">
          <cell r="F1495">
            <v>0</v>
          </cell>
          <cell r="H1495">
            <v>0</v>
          </cell>
          <cell r="I1495">
            <v>0</v>
          </cell>
        </row>
        <row r="1496">
          <cell r="F1496">
            <v>0</v>
          </cell>
          <cell r="H1496">
            <v>0</v>
          </cell>
          <cell r="I1496">
            <v>0</v>
          </cell>
        </row>
        <row r="1497">
          <cell r="F1497">
            <v>0</v>
          </cell>
          <cell r="H1497">
            <v>0</v>
          </cell>
          <cell r="I1497">
            <v>0</v>
          </cell>
        </row>
        <row r="1498">
          <cell r="F1498">
            <v>0</v>
          </cell>
          <cell r="H1498">
            <v>0</v>
          </cell>
          <cell r="I1498">
            <v>0</v>
          </cell>
        </row>
        <row r="1499">
          <cell r="F1499">
            <v>0</v>
          </cell>
          <cell r="H1499">
            <v>0</v>
          </cell>
          <cell r="I1499">
            <v>0</v>
          </cell>
        </row>
        <row r="1500">
          <cell r="F1500">
            <v>0</v>
          </cell>
          <cell r="H1500">
            <v>0</v>
          </cell>
          <cell r="I1500">
            <v>0</v>
          </cell>
        </row>
        <row r="1501">
          <cell r="F1501">
            <v>0</v>
          </cell>
          <cell r="H1501">
            <v>0</v>
          </cell>
          <cell r="I1501">
            <v>0</v>
          </cell>
        </row>
        <row r="1502">
          <cell r="F1502">
            <v>0</v>
          </cell>
          <cell r="H1502">
            <v>0</v>
          </cell>
          <cell r="I1502">
            <v>0</v>
          </cell>
        </row>
        <row r="1503">
          <cell r="F1503">
            <v>0</v>
          </cell>
          <cell r="H1503">
            <v>0</v>
          </cell>
          <cell r="I1503">
            <v>0</v>
          </cell>
        </row>
        <row r="1504">
          <cell r="F1504">
            <v>0</v>
          </cell>
          <cell r="H1504">
            <v>0</v>
          </cell>
          <cell r="I1504">
            <v>0</v>
          </cell>
        </row>
        <row r="1505">
          <cell r="F1505">
            <v>0</v>
          </cell>
          <cell r="H1505">
            <v>0</v>
          </cell>
          <cell r="I1505">
            <v>0</v>
          </cell>
        </row>
        <row r="1506">
          <cell r="F1506">
            <v>0</v>
          </cell>
          <cell r="H1506">
            <v>0</v>
          </cell>
          <cell r="I1506">
            <v>0</v>
          </cell>
        </row>
        <row r="1507">
          <cell r="F1507">
            <v>0</v>
          </cell>
          <cell r="H1507">
            <v>0</v>
          </cell>
          <cell r="I1507">
            <v>0</v>
          </cell>
        </row>
        <row r="1508">
          <cell r="F1508">
            <v>0</v>
          </cell>
          <cell r="H1508">
            <v>0</v>
          </cell>
          <cell r="I1508">
            <v>0</v>
          </cell>
        </row>
        <row r="1509">
          <cell r="F1509">
            <v>0</v>
          </cell>
          <cell r="H1509">
            <v>0</v>
          </cell>
          <cell r="I1509">
            <v>0</v>
          </cell>
        </row>
        <row r="1510">
          <cell r="F1510">
            <v>0</v>
          </cell>
          <cell r="H1510">
            <v>0</v>
          </cell>
          <cell r="I1510">
            <v>0</v>
          </cell>
        </row>
        <row r="1511">
          <cell r="F1511">
            <v>0</v>
          </cell>
          <cell r="H1511">
            <v>0</v>
          </cell>
          <cell r="I1511">
            <v>0</v>
          </cell>
        </row>
        <row r="1512">
          <cell r="F1512">
            <v>0</v>
          </cell>
          <cell r="H1512">
            <v>0</v>
          </cell>
          <cell r="I1512">
            <v>0</v>
          </cell>
        </row>
        <row r="1513">
          <cell r="F1513">
            <v>0</v>
          </cell>
          <cell r="H1513">
            <v>0</v>
          </cell>
          <cell r="I1513">
            <v>0</v>
          </cell>
        </row>
        <row r="1514">
          <cell r="F1514">
            <v>0</v>
          </cell>
          <cell r="H1514">
            <v>0</v>
          </cell>
          <cell r="I1514">
            <v>0</v>
          </cell>
        </row>
        <row r="1515">
          <cell r="F1515">
            <v>0</v>
          </cell>
          <cell r="H1515">
            <v>0</v>
          </cell>
          <cell r="I1515">
            <v>0</v>
          </cell>
        </row>
        <row r="1516">
          <cell r="F1516">
            <v>0</v>
          </cell>
          <cell r="H1516">
            <v>0</v>
          </cell>
          <cell r="I1516">
            <v>0</v>
          </cell>
        </row>
        <row r="1517">
          <cell r="F1517">
            <v>0</v>
          </cell>
          <cell r="H1517">
            <v>0</v>
          </cell>
          <cell r="I1517">
            <v>0</v>
          </cell>
        </row>
        <row r="1518">
          <cell r="F1518">
            <v>0</v>
          </cell>
          <cell r="H1518">
            <v>0</v>
          </cell>
          <cell r="I1518">
            <v>0</v>
          </cell>
        </row>
        <row r="1519">
          <cell r="F1519">
            <v>0</v>
          </cell>
          <cell r="H1519">
            <v>0</v>
          </cell>
          <cell r="I1519">
            <v>0</v>
          </cell>
        </row>
        <row r="1520">
          <cell r="F1520">
            <v>0</v>
          </cell>
          <cell r="H1520">
            <v>0</v>
          </cell>
          <cell r="I1520">
            <v>0</v>
          </cell>
        </row>
        <row r="1521">
          <cell r="F1521">
            <v>0</v>
          </cell>
          <cell r="H1521">
            <v>0</v>
          </cell>
          <cell r="I1521">
            <v>0</v>
          </cell>
        </row>
        <row r="1522">
          <cell r="F1522">
            <v>0</v>
          </cell>
          <cell r="H1522">
            <v>0</v>
          </cell>
          <cell r="I1522">
            <v>0</v>
          </cell>
        </row>
        <row r="1523">
          <cell r="F1523">
            <v>0</v>
          </cell>
          <cell r="H1523">
            <v>0</v>
          </cell>
          <cell r="I1523">
            <v>0</v>
          </cell>
        </row>
        <row r="1524">
          <cell r="F1524">
            <v>0</v>
          </cell>
          <cell r="H1524">
            <v>0</v>
          </cell>
          <cell r="I1524">
            <v>0</v>
          </cell>
        </row>
        <row r="1525">
          <cell r="F1525">
            <v>0</v>
          </cell>
          <cell r="H1525">
            <v>0</v>
          </cell>
          <cell r="I1525">
            <v>0</v>
          </cell>
        </row>
        <row r="1526">
          <cell r="F1526">
            <v>0</v>
          </cell>
          <cell r="H1526">
            <v>0</v>
          </cell>
          <cell r="I1526">
            <v>0</v>
          </cell>
        </row>
        <row r="1527">
          <cell r="F1527">
            <v>0</v>
          </cell>
          <cell r="H1527">
            <v>0</v>
          </cell>
          <cell r="I1527">
            <v>0</v>
          </cell>
        </row>
        <row r="1528">
          <cell r="F1528">
            <v>0</v>
          </cell>
          <cell r="H1528">
            <v>0</v>
          </cell>
          <cell r="I1528">
            <v>0</v>
          </cell>
        </row>
        <row r="1529">
          <cell r="F1529">
            <v>0</v>
          </cell>
          <cell r="H1529">
            <v>0</v>
          </cell>
          <cell r="I1529">
            <v>0</v>
          </cell>
        </row>
        <row r="1530">
          <cell r="F1530">
            <v>0</v>
          </cell>
          <cell r="H1530">
            <v>0</v>
          </cell>
          <cell r="I1530">
            <v>0</v>
          </cell>
        </row>
        <row r="1531">
          <cell r="F1531">
            <v>0</v>
          </cell>
          <cell r="H1531">
            <v>0</v>
          </cell>
          <cell r="I1531">
            <v>0</v>
          </cell>
        </row>
        <row r="1532">
          <cell r="F1532">
            <v>0</v>
          </cell>
          <cell r="H1532">
            <v>0</v>
          </cell>
          <cell r="I1532">
            <v>0</v>
          </cell>
        </row>
        <row r="1533">
          <cell r="F1533">
            <v>0</v>
          </cell>
          <cell r="H1533">
            <v>0</v>
          </cell>
          <cell r="I1533">
            <v>0</v>
          </cell>
        </row>
        <row r="1534">
          <cell r="F1534">
            <v>0</v>
          </cell>
          <cell r="H1534">
            <v>0</v>
          </cell>
          <cell r="I1534">
            <v>0</v>
          </cell>
        </row>
        <row r="1535">
          <cell r="F1535">
            <v>0</v>
          </cell>
          <cell r="H1535">
            <v>0</v>
          </cell>
          <cell r="I1535">
            <v>0</v>
          </cell>
        </row>
        <row r="1536">
          <cell r="F1536">
            <v>0</v>
          </cell>
          <cell r="H1536">
            <v>0</v>
          </cell>
          <cell r="I1536">
            <v>0</v>
          </cell>
        </row>
        <row r="1537">
          <cell r="F1537">
            <v>0</v>
          </cell>
          <cell r="H1537">
            <v>0</v>
          </cell>
          <cell r="I1537">
            <v>0</v>
          </cell>
        </row>
        <row r="1538">
          <cell r="F1538">
            <v>0</v>
          </cell>
          <cell r="H1538">
            <v>0</v>
          </cell>
          <cell r="I1538">
            <v>0</v>
          </cell>
        </row>
        <row r="1539">
          <cell r="F1539">
            <v>0</v>
          </cell>
          <cell r="H1539">
            <v>0</v>
          </cell>
          <cell r="I1539">
            <v>0</v>
          </cell>
        </row>
        <row r="1540">
          <cell r="F1540">
            <v>0</v>
          </cell>
          <cell r="H1540">
            <v>0</v>
          </cell>
          <cell r="I1540">
            <v>0</v>
          </cell>
        </row>
        <row r="1541">
          <cell r="F1541">
            <v>0</v>
          </cell>
          <cell r="H1541">
            <v>0</v>
          </cell>
          <cell r="I1541">
            <v>0</v>
          </cell>
        </row>
        <row r="1542">
          <cell r="F1542">
            <v>0</v>
          </cell>
          <cell r="H1542">
            <v>0</v>
          </cell>
          <cell r="I1542">
            <v>0</v>
          </cell>
        </row>
        <row r="1543">
          <cell r="F1543">
            <v>0</v>
          </cell>
          <cell r="H1543">
            <v>0</v>
          </cell>
          <cell r="I1543">
            <v>0</v>
          </cell>
        </row>
        <row r="1544">
          <cell r="F1544">
            <v>0</v>
          </cell>
          <cell r="H1544">
            <v>0</v>
          </cell>
          <cell r="I1544">
            <v>0</v>
          </cell>
        </row>
        <row r="1545">
          <cell r="F1545">
            <v>0</v>
          </cell>
          <cell r="H1545">
            <v>0</v>
          </cell>
          <cell r="I1545">
            <v>0</v>
          </cell>
        </row>
        <row r="1546">
          <cell r="F1546">
            <v>0</v>
          </cell>
          <cell r="H1546">
            <v>0</v>
          </cell>
          <cell r="I1546">
            <v>0</v>
          </cell>
        </row>
        <row r="1547">
          <cell r="F1547">
            <v>0</v>
          </cell>
          <cell r="H1547">
            <v>0</v>
          </cell>
          <cell r="I1547">
            <v>0</v>
          </cell>
        </row>
        <row r="1548">
          <cell r="F1548">
            <v>0</v>
          </cell>
          <cell r="H1548">
            <v>0</v>
          </cell>
          <cell r="I1548">
            <v>0</v>
          </cell>
        </row>
        <row r="1549">
          <cell r="F1549">
            <v>0</v>
          </cell>
          <cell r="H1549">
            <v>0</v>
          </cell>
          <cell r="I1549">
            <v>0</v>
          </cell>
        </row>
        <row r="1550">
          <cell r="F1550">
            <v>0</v>
          </cell>
          <cell r="H1550">
            <v>0</v>
          </cell>
          <cell r="I1550">
            <v>0</v>
          </cell>
        </row>
        <row r="1551">
          <cell r="F1551">
            <v>0</v>
          </cell>
          <cell r="H1551">
            <v>0</v>
          </cell>
          <cell r="I1551">
            <v>0</v>
          </cell>
        </row>
        <row r="1552">
          <cell r="F1552">
            <v>0</v>
          </cell>
          <cell r="H1552">
            <v>0</v>
          </cell>
          <cell r="I1552">
            <v>0</v>
          </cell>
        </row>
        <row r="1553">
          <cell r="F1553">
            <v>0</v>
          </cell>
          <cell r="H1553">
            <v>0</v>
          </cell>
          <cell r="I1553">
            <v>0</v>
          </cell>
        </row>
        <row r="1554">
          <cell r="F1554">
            <v>0</v>
          </cell>
          <cell r="H1554">
            <v>0</v>
          </cell>
          <cell r="I1554">
            <v>0</v>
          </cell>
        </row>
        <row r="1555">
          <cell r="F1555">
            <v>0</v>
          </cell>
          <cell r="H1555">
            <v>0</v>
          </cell>
          <cell r="I1555">
            <v>0</v>
          </cell>
        </row>
        <row r="1556">
          <cell r="F1556">
            <v>0</v>
          </cell>
          <cell r="H1556">
            <v>0</v>
          </cell>
          <cell r="I1556">
            <v>0</v>
          </cell>
        </row>
        <row r="1557">
          <cell r="F1557">
            <v>0</v>
          </cell>
          <cell r="H1557">
            <v>0</v>
          </cell>
          <cell r="I1557">
            <v>0</v>
          </cell>
        </row>
        <row r="1558">
          <cell r="F1558">
            <v>0</v>
          </cell>
          <cell r="H1558">
            <v>0</v>
          </cell>
          <cell r="I1558">
            <v>0</v>
          </cell>
        </row>
        <row r="1559">
          <cell r="F1559">
            <v>0</v>
          </cell>
          <cell r="H1559">
            <v>0</v>
          </cell>
          <cell r="I1559">
            <v>0</v>
          </cell>
        </row>
        <row r="1560">
          <cell r="F1560">
            <v>0</v>
          </cell>
          <cell r="H1560">
            <v>0</v>
          </cell>
          <cell r="I1560">
            <v>0</v>
          </cell>
        </row>
        <row r="1561">
          <cell r="F1561">
            <v>0</v>
          </cell>
          <cell r="H1561">
            <v>0</v>
          </cell>
          <cell r="I1561">
            <v>0</v>
          </cell>
        </row>
        <row r="1562">
          <cell r="F1562">
            <v>0</v>
          </cell>
          <cell r="H1562">
            <v>0</v>
          </cell>
          <cell r="I1562">
            <v>0</v>
          </cell>
        </row>
        <row r="1563">
          <cell r="F1563">
            <v>0</v>
          </cell>
          <cell r="H1563">
            <v>0</v>
          </cell>
          <cell r="I1563">
            <v>0</v>
          </cell>
        </row>
        <row r="1564">
          <cell r="F1564">
            <v>0</v>
          </cell>
          <cell r="H1564">
            <v>0</v>
          </cell>
          <cell r="I1564">
            <v>0</v>
          </cell>
        </row>
        <row r="1565">
          <cell r="F1565">
            <v>0</v>
          </cell>
          <cell r="H1565">
            <v>0</v>
          </cell>
          <cell r="I1565">
            <v>0</v>
          </cell>
        </row>
        <row r="1566">
          <cell r="F1566">
            <v>0</v>
          </cell>
          <cell r="H1566">
            <v>0</v>
          </cell>
          <cell r="I1566">
            <v>0</v>
          </cell>
        </row>
        <row r="1567">
          <cell r="F1567">
            <v>0</v>
          </cell>
          <cell r="H1567">
            <v>0</v>
          </cell>
          <cell r="I1567">
            <v>0</v>
          </cell>
        </row>
        <row r="1568">
          <cell r="F1568">
            <v>0</v>
          </cell>
          <cell r="H1568">
            <v>0</v>
          </cell>
          <cell r="I1568">
            <v>0</v>
          </cell>
        </row>
        <row r="1569">
          <cell r="F1569">
            <v>0</v>
          </cell>
          <cell r="H1569">
            <v>0</v>
          </cell>
          <cell r="I1569">
            <v>0</v>
          </cell>
        </row>
        <row r="1570">
          <cell r="F1570">
            <v>0</v>
          </cell>
          <cell r="H1570">
            <v>0</v>
          </cell>
          <cell r="I1570">
            <v>0</v>
          </cell>
        </row>
        <row r="1571">
          <cell r="F1571">
            <v>0</v>
          </cell>
          <cell r="H1571">
            <v>0</v>
          </cell>
          <cell r="I1571">
            <v>0</v>
          </cell>
        </row>
        <row r="1572">
          <cell r="F1572">
            <v>0</v>
          </cell>
          <cell r="H1572">
            <v>0</v>
          </cell>
          <cell r="I1572">
            <v>0</v>
          </cell>
        </row>
        <row r="1573">
          <cell r="F1573">
            <v>0</v>
          </cell>
          <cell r="H1573">
            <v>0</v>
          </cell>
          <cell r="I1573">
            <v>0</v>
          </cell>
        </row>
        <row r="1574">
          <cell r="F1574">
            <v>0</v>
          </cell>
          <cell r="H1574">
            <v>0</v>
          </cell>
          <cell r="I1574">
            <v>0</v>
          </cell>
        </row>
        <row r="1575">
          <cell r="F1575">
            <v>0</v>
          </cell>
          <cell r="H1575">
            <v>0</v>
          </cell>
          <cell r="I1575">
            <v>0</v>
          </cell>
        </row>
        <row r="1576">
          <cell r="F1576">
            <v>0</v>
          </cell>
          <cell r="H1576">
            <v>0</v>
          </cell>
          <cell r="I1576">
            <v>0</v>
          </cell>
        </row>
        <row r="1577">
          <cell r="F1577">
            <v>0</v>
          </cell>
          <cell r="H1577">
            <v>0</v>
          </cell>
          <cell r="I1577">
            <v>0</v>
          </cell>
        </row>
        <row r="1578">
          <cell r="F1578">
            <v>0</v>
          </cell>
          <cell r="H1578">
            <v>0</v>
          </cell>
          <cell r="I1578">
            <v>0</v>
          </cell>
        </row>
        <row r="1579">
          <cell r="F1579">
            <v>0</v>
          </cell>
          <cell r="H1579">
            <v>0</v>
          </cell>
          <cell r="I1579">
            <v>0</v>
          </cell>
        </row>
        <row r="1580">
          <cell r="F1580">
            <v>0</v>
          </cell>
          <cell r="H1580">
            <v>0</v>
          </cell>
          <cell r="I1580">
            <v>0</v>
          </cell>
        </row>
        <row r="1581">
          <cell r="F1581">
            <v>0</v>
          </cell>
          <cell r="H1581">
            <v>0</v>
          </cell>
          <cell r="I1581">
            <v>0</v>
          </cell>
        </row>
        <row r="1582">
          <cell r="F1582">
            <v>0</v>
          </cell>
          <cell r="H1582">
            <v>0</v>
          </cell>
          <cell r="I1582">
            <v>0</v>
          </cell>
        </row>
        <row r="1583">
          <cell r="F1583">
            <v>0</v>
          </cell>
          <cell r="H1583">
            <v>0</v>
          </cell>
          <cell r="I1583">
            <v>0</v>
          </cell>
        </row>
        <row r="1584">
          <cell r="F1584">
            <v>0</v>
          </cell>
          <cell r="H1584">
            <v>0</v>
          </cell>
          <cell r="I1584">
            <v>0</v>
          </cell>
        </row>
        <row r="1585">
          <cell r="F1585">
            <v>0</v>
          </cell>
          <cell r="H1585">
            <v>0</v>
          </cell>
          <cell r="I1585">
            <v>0</v>
          </cell>
        </row>
        <row r="1586">
          <cell r="F1586">
            <v>0</v>
          </cell>
          <cell r="H1586">
            <v>0</v>
          </cell>
          <cell r="I1586">
            <v>0</v>
          </cell>
        </row>
        <row r="1587">
          <cell r="F1587">
            <v>0</v>
          </cell>
          <cell r="H1587">
            <v>0</v>
          </cell>
          <cell r="I1587">
            <v>0</v>
          </cell>
        </row>
        <row r="1588">
          <cell r="F1588">
            <v>0</v>
          </cell>
          <cell r="H1588">
            <v>0</v>
          </cell>
          <cell r="I1588">
            <v>0</v>
          </cell>
        </row>
        <row r="1589">
          <cell r="F1589">
            <v>0</v>
          </cell>
          <cell r="H1589">
            <v>0</v>
          </cell>
          <cell r="I1589">
            <v>0</v>
          </cell>
        </row>
        <row r="1590">
          <cell r="F1590">
            <v>0</v>
          </cell>
          <cell r="H1590">
            <v>0</v>
          </cell>
          <cell r="I1590">
            <v>0</v>
          </cell>
        </row>
        <row r="1591">
          <cell r="F1591">
            <v>0</v>
          </cell>
          <cell r="H1591">
            <v>0</v>
          </cell>
          <cell r="I1591">
            <v>0</v>
          </cell>
        </row>
        <row r="1592">
          <cell r="F1592">
            <v>0</v>
          </cell>
          <cell r="H1592">
            <v>0</v>
          </cell>
          <cell r="I1592">
            <v>0</v>
          </cell>
        </row>
        <row r="1593">
          <cell r="F1593">
            <v>0</v>
          </cell>
          <cell r="H1593">
            <v>0</v>
          </cell>
          <cell r="I1593">
            <v>0</v>
          </cell>
        </row>
        <row r="1594">
          <cell r="F1594">
            <v>0</v>
          </cell>
          <cell r="H1594">
            <v>0</v>
          </cell>
          <cell r="I1594">
            <v>0</v>
          </cell>
        </row>
        <row r="1595">
          <cell r="F1595">
            <v>0</v>
          </cell>
          <cell r="H1595">
            <v>0</v>
          </cell>
          <cell r="I1595">
            <v>0</v>
          </cell>
        </row>
        <row r="1596">
          <cell r="F1596">
            <v>0</v>
          </cell>
          <cell r="H1596">
            <v>0</v>
          </cell>
          <cell r="I1596">
            <v>0</v>
          </cell>
        </row>
        <row r="1597">
          <cell r="F1597">
            <v>0</v>
          </cell>
          <cell r="H1597">
            <v>0</v>
          </cell>
          <cell r="I1597">
            <v>0</v>
          </cell>
        </row>
        <row r="1598">
          <cell r="F1598">
            <v>0</v>
          </cell>
          <cell r="H1598">
            <v>0</v>
          </cell>
          <cell r="I1598">
            <v>0</v>
          </cell>
        </row>
        <row r="1599">
          <cell r="F1599">
            <v>0</v>
          </cell>
          <cell r="H1599">
            <v>0</v>
          </cell>
          <cell r="I1599">
            <v>0</v>
          </cell>
        </row>
        <row r="1600">
          <cell r="F1600">
            <v>0</v>
          </cell>
          <cell r="H1600">
            <v>0</v>
          </cell>
          <cell r="I1600">
            <v>0</v>
          </cell>
        </row>
        <row r="1601">
          <cell r="F1601">
            <v>0</v>
          </cell>
          <cell r="H1601">
            <v>0</v>
          </cell>
          <cell r="I1601">
            <v>0</v>
          </cell>
        </row>
        <row r="1602">
          <cell r="F1602">
            <v>0</v>
          </cell>
          <cell r="H1602">
            <v>0</v>
          </cell>
          <cell r="I1602">
            <v>0</v>
          </cell>
        </row>
        <row r="1603">
          <cell r="F1603">
            <v>0</v>
          </cell>
          <cell r="H1603">
            <v>0</v>
          </cell>
          <cell r="I1603">
            <v>0</v>
          </cell>
        </row>
        <row r="1604">
          <cell r="F1604">
            <v>0</v>
          </cell>
          <cell r="H1604">
            <v>0</v>
          </cell>
          <cell r="I1604">
            <v>0</v>
          </cell>
        </row>
        <row r="1605">
          <cell r="F1605">
            <v>0</v>
          </cell>
          <cell r="H1605">
            <v>0</v>
          </cell>
          <cell r="I1605">
            <v>0</v>
          </cell>
        </row>
        <row r="1606">
          <cell r="F1606">
            <v>0</v>
          </cell>
          <cell r="H1606">
            <v>0</v>
          </cell>
          <cell r="I1606">
            <v>0</v>
          </cell>
        </row>
        <row r="1607">
          <cell r="F1607">
            <v>0</v>
          </cell>
          <cell r="H1607">
            <v>0</v>
          </cell>
          <cell r="I1607">
            <v>0</v>
          </cell>
        </row>
        <row r="1608">
          <cell r="F1608">
            <v>0</v>
          </cell>
          <cell r="H1608">
            <v>0</v>
          </cell>
          <cell r="I1608">
            <v>0</v>
          </cell>
        </row>
        <row r="1609">
          <cell r="F1609">
            <v>0</v>
          </cell>
          <cell r="H1609">
            <v>0</v>
          </cell>
          <cell r="I1609">
            <v>0</v>
          </cell>
        </row>
        <row r="1610">
          <cell r="F1610">
            <v>0</v>
          </cell>
          <cell r="H1610">
            <v>0</v>
          </cell>
          <cell r="I1610">
            <v>0</v>
          </cell>
        </row>
        <row r="1611">
          <cell r="F1611">
            <v>0</v>
          </cell>
          <cell r="H1611">
            <v>0</v>
          </cell>
          <cell r="I1611">
            <v>0</v>
          </cell>
        </row>
        <row r="1612">
          <cell r="F1612">
            <v>0</v>
          </cell>
          <cell r="H1612">
            <v>0</v>
          </cell>
          <cell r="I1612">
            <v>0</v>
          </cell>
        </row>
        <row r="1613">
          <cell r="F1613">
            <v>0</v>
          </cell>
          <cell r="H1613">
            <v>0</v>
          </cell>
          <cell r="I1613">
            <v>0</v>
          </cell>
        </row>
        <row r="1614">
          <cell r="F1614">
            <v>0</v>
          </cell>
          <cell r="H1614">
            <v>0</v>
          </cell>
          <cell r="I1614">
            <v>0</v>
          </cell>
        </row>
        <row r="1615">
          <cell r="F1615">
            <v>0</v>
          </cell>
          <cell r="H1615">
            <v>0</v>
          </cell>
          <cell r="I1615">
            <v>0</v>
          </cell>
        </row>
        <row r="1616">
          <cell r="F1616">
            <v>0</v>
          </cell>
          <cell r="H1616">
            <v>0</v>
          </cell>
          <cell r="I1616">
            <v>0</v>
          </cell>
        </row>
        <row r="1617">
          <cell r="F1617">
            <v>0</v>
          </cell>
          <cell r="H1617">
            <v>0</v>
          </cell>
          <cell r="I1617">
            <v>0</v>
          </cell>
        </row>
        <row r="1618">
          <cell r="F1618">
            <v>0</v>
          </cell>
          <cell r="H1618">
            <v>0</v>
          </cell>
          <cell r="I1618">
            <v>0</v>
          </cell>
        </row>
        <row r="1619">
          <cell r="F1619">
            <v>0</v>
          </cell>
          <cell r="H1619">
            <v>0</v>
          </cell>
          <cell r="I1619">
            <v>0</v>
          </cell>
        </row>
        <row r="1620">
          <cell r="F1620">
            <v>0</v>
          </cell>
          <cell r="H1620">
            <v>0</v>
          </cell>
          <cell r="I1620">
            <v>0</v>
          </cell>
        </row>
        <row r="1621">
          <cell r="F1621">
            <v>0</v>
          </cell>
          <cell r="H1621">
            <v>0</v>
          </cell>
          <cell r="I1621">
            <v>0</v>
          </cell>
        </row>
        <row r="1622">
          <cell r="F1622">
            <v>0</v>
          </cell>
          <cell r="H1622">
            <v>0</v>
          </cell>
          <cell r="I1622">
            <v>0</v>
          </cell>
        </row>
        <row r="1623">
          <cell r="F1623">
            <v>0</v>
          </cell>
          <cell r="H1623">
            <v>0</v>
          </cell>
          <cell r="I1623">
            <v>0</v>
          </cell>
        </row>
        <row r="1624">
          <cell r="F1624">
            <v>0</v>
          </cell>
          <cell r="H1624">
            <v>0</v>
          </cell>
          <cell r="I1624">
            <v>0</v>
          </cell>
        </row>
        <row r="1625">
          <cell r="F1625">
            <v>0</v>
          </cell>
          <cell r="H1625">
            <v>0</v>
          </cell>
          <cell r="I1625">
            <v>0</v>
          </cell>
        </row>
        <row r="1626">
          <cell r="F1626">
            <v>0</v>
          </cell>
          <cell r="H1626">
            <v>0</v>
          </cell>
          <cell r="I1626">
            <v>0</v>
          </cell>
        </row>
        <row r="1627">
          <cell r="F1627">
            <v>0</v>
          </cell>
          <cell r="H1627">
            <v>0</v>
          </cell>
          <cell r="I1627">
            <v>0</v>
          </cell>
        </row>
        <row r="1628">
          <cell r="F1628">
            <v>0</v>
          </cell>
          <cell r="H1628">
            <v>0</v>
          </cell>
          <cell r="I1628">
            <v>0</v>
          </cell>
        </row>
        <row r="1629">
          <cell r="F1629">
            <v>0</v>
          </cell>
          <cell r="H1629">
            <v>0</v>
          </cell>
          <cell r="I1629">
            <v>0</v>
          </cell>
        </row>
        <row r="1630">
          <cell r="F1630">
            <v>0</v>
          </cell>
          <cell r="H1630">
            <v>0</v>
          </cell>
          <cell r="I1630">
            <v>0</v>
          </cell>
        </row>
        <row r="1631">
          <cell r="F1631">
            <v>0</v>
          </cell>
          <cell r="H1631">
            <v>0</v>
          </cell>
          <cell r="I1631">
            <v>0</v>
          </cell>
        </row>
        <row r="1632">
          <cell r="F1632">
            <v>0</v>
          </cell>
          <cell r="H1632">
            <v>0</v>
          </cell>
          <cell r="I1632">
            <v>0</v>
          </cell>
        </row>
        <row r="1633">
          <cell r="F1633">
            <v>0</v>
          </cell>
          <cell r="H1633">
            <v>0</v>
          </cell>
          <cell r="I1633">
            <v>0</v>
          </cell>
        </row>
        <row r="1634">
          <cell r="F1634">
            <v>0</v>
          </cell>
          <cell r="H1634">
            <v>0</v>
          </cell>
          <cell r="I1634">
            <v>0</v>
          </cell>
        </row>
        <row r="1635">
          <cell r="F1635">
            <v>0</v>
          </cell>
          <cell r="H1635">
            <v>0</v>
          </cell>
          <cell r="I1635">
            <v>0</v>
          </cell>
        </row>
        <row r="1636">
          <cell r="F1636">
            <v>0</v>
          </cell>
          <cell r="H1636">
            <v>0</v>
          </cell>
          <cell r="I1636">
            <v>0</v>
          </cell>
        </row>
        <row r="1637">
          <cell r="F1637">
            <v>0</v>
          </cell>
          <cell r="H1637">
            <v>0</v>
          </cell>
          <cell r="I1637">
            <v>0</v>
          </cell>
        </row>
        <row r="1638">
          <cell r="F1638">
            <v>0</v>
          </cell>
          <cell r="H1638">
            <v>0</v>
          </cell>
          <cell r="I1638">
            <v>0</v>
          </cell>
        </row>
        <row r="1639">
          <cell r="F1639">
            <v>0</v>
          </cell>
          <cell r="H1639">
            <v>0</v>
          </cell>
          <cell r="I1639">
            <v>0</v>
          </cell>
        </row>
        <row r="1640">
          <cell r="F1640">
            <v>0</v>
          </cell>
          <cell r="H1640">
            <v>0</v>
          </cell>
          <cell r="I1640">
            <v>0</v>
          </cell>
        </row>
        <row r="1641">
          <cell r="F1641">
            <v>0</v>
          </cell>
          <cell r="H1641">
            <v>0</v>
          </cell>
          <cell r="I1641">
            <v>0</v>
          </cell>
        </row>
        <row r="1642">
          <cell r="F1642">
            <v>0</v>
          </cell>
          <cell r="H1642">
            <v>0</v>
          </cell>
          <cell r="I1642">
            <v>0</v>
          </cell>
        </row>
        <row r="1643">
          <cell r="F1643">
            <v>0</v>
          </cell>
          <cell r="H1643">
            <v>0</v>
          </cell>
          <cell r="I1643">
            <v>0</v>
          </cell>
        </row>
        <row r="1644">
          <cell r="F1644">
            <v>0</v>
          </cell>
          <cell r="H1644">
            <v>0</v>
          </cell>
          <cell r="I1644">
            <v>0</v>
          </cell>
        </row>
        <row r="1645">
          <cell r="F1645">
            <v>0</v>
          </cell>
          <cell r="H1645">
            <v>0</v>
          </cell>
          <cell r="I1645">
            <v>0</v>
          </cell>
        </row>
        <row r="1646">
          <cell r="F1646">
            <v>0</v>
          </cell>
          <cell r="H1646">
            <v>0</v>
          </cell>
          <cell r="I1646">
            <v>0</v>
          </cell>
        </row>
        <row r="1647">
          <cell r="F1647">
            <v>0</v>
          </cell>
          <cell r="H1647">
            <v>0</v>
          </cell>
          <cell r="I1647">
            <v>0</v>
          </cell>
        </row>
        <row r="1648">
          <cell r="F1648">
            <v>0</v>
          </cell>
          <cell r="H1648">
            <v>0</v>
          </cell>
          <cell r="I1648">
            <v>0</v>
          </cell>
        </row>
        <row r="1649">
          <cell r="F1649">
            <v>0</v>
          </cell>
          <cell r="H1649">
            <v>0</v>
          </cell>
          <cell r="I1649">
            <v>0</v>
          </cell>
        </row>
        <row r="1650">
          <cell r="F1650">
            <v>0</v>
          </cell>
          <cell r="H1650">
            <v>0</v>
          </cell>
          <cell r="I1650">
            <v>0</v>
          </cell>
        </row>
        <row r="1651">
          <cell r="F1651">
            <v>0</v>
          </cell>
          <cell r="H1651">
            <v>0</v>
          </cell>
          <cell r="I1651">
            <v>0</v>
          </cell>
        </row>
        <row r="1652">
          <cell r="F1652">
            <v>0</v>
          </cell>
          <cell r="H1652">
            <v>0</v>
          </cell>
          <cell r="I1652">
            <v>0</v>
          </cell>
        </row>
        <row r="1653">
          <cell r="F1653">
            <v>0</v>
          </cell>
          <cell r="H1653">
            <v>0</v>
          </cell>
          <cell r="I1653">
            <v>0</v>
          </cell>
        </row>
        <row r="1654">
          <cell r="F1654">
            <v>0</v>
          </cell>
          <cell r="H1654">
            <v>0</v>
          </cell>
          <cell r="I1654">
            <v>0</v>
          </cell>
        </row>
        <row r="1655">
          <cell r="F1655">
            <v>0</v>
          </cell>
          <cell r="H1655">
            <v>0</v>
          </cell>
          <cell r="I1655">
            <v>0</v>
          </cell>
        </row>
        <row r="1656">
          <cell r="F1656">
            <v>0</v>
          </cell>
          <cell r="H1656">
            <v>0</v>
          </cell>
          <cell r="I1656">
            <v>0</v>
          </cell>
        </row>
        <row r="1657">
          <cell r="F1657">
            <v>0</v>
          </cell>
          <cell r="H1657">
            <v>0</v>
          </cell>
          <cell r="I1657">
            <v>0</v>
          </cell>
        </row>
        <row r="1658">
          <cell r="F1658">
            <v>0</v>
          </cell>
          <cell r="H1658">
            <v>0</v>
          </cell>
          <cell r="I1658">
            <v>0</v>
          </cell>
        </row>
        <row r="1659">
          <cell r="F1659">
            <v>0</v>
          </cell>
          <cell r="H1659">
            <v>0</v>
          </cell>
          <cell r="I1659">
            <v>0</v>
          </cell>
        </row>
        <row r="1660">
          <cell r="F1660">
            <v>0</v>
          </cell>
          <cell r="H1660">
            <v>0</v>
          </cell>
          <cell r="I1660">
            <v>0</v>
          </cell>
        </row>
        <row r="1661">
          <cell r="F1661">
            <v>0</v>
          </cell>
          <cell r="H1661">
            <v>0</v>
          </cell>
          <cell r="I1661">
            <v>0</v>
          </cell>
        </row>
        <row r="1662">
          <cell r="F1662">
            <v>0</v>
          </cell>
          <cell r="H1662">
            <v>0</v>
          </cell>
          <cell r="I1662">
            <v>0</v>
          </cell>
        </row>
        <row r="1663">
          <cell r="F1663">
            <v>0</v>
          </cell>
          <cell r="H1663">
            <v>0</v>
          </cell>
          <cell r="I1663">
            <v>0</v>
          </cell>
        </row>
        <row r="1664">
          <cell r="F1664">
            <v>0</v>
          </cell>
          <cell r="H1664">
            <v>0</v>
          </cell>
          <cell r="I1664">
            <v>0</v>
          </cell>
        </row>
        <row r="1665">
          <cell r="F1665">
            <v>0</v>
          </cell>
          <cell r="H1665">
            <v>0</v>
          </cell>
          <cell r="I1665">
            <v>0</v>
          </cell>
        </row>
        <row r="1666">
          <cell r="F1666">
            <v>0</v>
          </cell>
          <cell r="H1666">
            <v>0</v>
          </cell>
          <cell r="I1666">
            <v>0</v>
          </cell>
        </row>
        <row r="1667">
          <cell r="F1667">
            <v>0</v>
          </cell>
          <cell r="H1667">
            <v>0</v>
          </cell>
          <cell r="I1667">
            <v>0</v>
          </cell>
        </row>
        <row r="1668">
          <cell r="F1668">
            <v>0</v>
          </cell>
          <cell r="H1668">
            <v>0</v>
          </cell>
          <cell r="I1668">
            <v>0</v>
          </cell>
        </row>
        <row r="1669">
          <cell r="F1669">
            <v>0</v>
          </cell>
          <cell r="H1669">
            <v>0</v>
          </cell>
          <cell r="I1669">
            <v>0</v>
          </cell>
        </row>
        <row r="1670">
          <cell r="F1670">
            <v>0</v>
          </cell>
          <cell r="H1670">
            <v>0</v>
          </cell>
          <cell r="I1670">
            <v>0</v>
          </cell>
        </row>
        <row r="1671">
          <cell r="F1671">
            <v>0</v>
          </cell>
          <cell r="H1671">
            <v>0</v>
          </cell>
          <cell r="I1671">
            <v>0</v>
          </cell>
        </row>
        <row r="1672">
          <cell r="F1672">
            <v>0</v>
          </cell>
          <cell r="H1672">
            <v>0</v>
          </cell>
          <cell r="I1672">
            <v>0</v>
          </cell>
        </row>
        <row r="1673">
          <cell r="F1673">
            <v>0</v>
          </cell>
          <cell r="H1673">
            <v>0</v>
          </cell>
          <cell r="I1673">
            <v>0</v>
          </cell>
        </row>
        <row r="1674">
          <cell r="F1674">
            <v>0</v>
          </cell>
          <cell r="H1674">
            <v>0</v>
          </cell>
          <cell r="I1674">
            <v>0</v>
          </cell>
        </row>
        <row r="1675">
          <cell r="F1675">
            <v>0</v>
          </cell>
          <cell r="H1675">
            <v>0</v>
          </cell>
          <cell r="I1675">
            <v>0</v>
          </cell>
        </row>
        <row r="1676">
          <cell r="F1676">
            <v>0</v>
          </cell>
          <cell r="H1676">
            <v>0</v>
          </cell>
          <cell r="I1676">
            <v>0</v>
          </cell>
        </row>
        <row r="1677">
          <cell r="F1677">
            <v>0</v>
          </cell>
          <cell r="H1677">
            <v>0</v>
          </cell>
          <cell r="I1677">
            <v>0</v>
          </cell>
        </row>
        <row r="1678">
          <cell r="F1678">
            <v>0</v>
          </cell>
          <cell r="H1678">
            <v>0</v>
          </cell>
          <cell r="I1678">
            <v>0</v>
          </cell>
        </row>
        <row r="1679">
          <cell r="F1679">
            <v>0</v>
          </cell>
          <cell r="H1679">
            <v>0</v>
          </cell>
          <cell r="I1679">
            <v>0</v>
          </cell>
        </row>
        <row r="1680">
          <cell r="F1680">
            <v>0</v>
          </cell>
          <cell r="H1680">
            <v>0</v>
          </cell>
          <cell r="I1680">
            <v>0</v>
          </cell>
        </row>
        <row r="1681">
          <cell r="F1681">
            <v>0</v>
          </cell>
          <cell r="H1681">
            <v>0</v>
          </cell>
          <cell r="I1681">
            <v>0</v>
          </cell>
        </row>
        <row r="1682">
          <cell r="F1682">
            <v>0</v>
          </cell>
          <cell r="H1682">
            <v>0</v>
          </cell>
          <cell r="I1682">
            <v>0</v>
          </cell>
        </row>
        <row r="1683">
          <cell r="F1683">
            <v>0</v>
          </cell>
          <cell r="H1683">
            <v>0</v>
          </cell>
          <cell r="I1683">
            <v>0</v>
          </cell>
        </row>
        <row r="1684">
          <cell r="F1684">
            <v>0</v>
          </cell>
          <cell r="H1684">
            <v>0</v>
          </cell>
          <cell r="I1684">
            <v>0</v>
          </cell>
        </row>
        <row r="1685">
          <cell r="F1685">
            <v>0</v>
          </cell>
          <cell r="H1685">
            <v>0</v>
          </cell>
          <cell r="I1685">
            <v>0</v>
          </cell>
        </row>
        <row r="1686">
          <cell r="F1686">
            <v>0</v>
          </cell>
          <cell r="H1686">
            <v>0</v>
          </cell>
          <cell r="I1686">
            <v>0</v>
          </cell>
        </row>
        <row r="1687">
          <cell r="F1687">
            <v>0</v>
          </cell>
          <cell r="H1687">
            <v>0</v>
          </cell>
          <cell r="I1687">
            <v>0</v>
          </cell>
        </row>
        <row r="1688">
          <cell r="F1688">
            <v>0</v>
          </cell>
          <cell r="H1688">
            <v>0</v>
          </cell>
          <cell r="I1688">
            <v>0</v>
          </cell>
        </row>
        <row r="1689">
          <cell r="F1689">
            <v>0</v>
          </cell>
          <cell r="H1689">
            <v>0</v>
          </cell>
          <cell r="I1689">
            <v>0</v>
          </cell>
        </row>
        <row r="1690">
          <cell r="F1690">
            <v>0</v>
          </cell>
          <cell r="H1690">
            <v>0</v>
          </cell>
          <cell r="I1690">
            <v>0</v>
          </cell>
        </row>
        <row r="1691">
          <cell r="F1691">
            <v>0</v>
          </cell>
          <cell r="H1691">
            <v>0</v>
          </cell>
          <cell r="I1691">
            <v>0</v>
          </cell>
        </row>
        <row r="1692">
          <cell r="F1692">
            <v>0</v>
          </cell>
          <cell r="H1692">
            <v>0</v>
          </cell>
          <cell r="I1692">
            <v>0</v>
          </cell>
        </row>
        <row r="1693">
          <cell r="F1693">
            <v>0</v>
          </cell>
          <cell r="H1693">
            <v>0</v>
          </cell>
          <cell r="I1693">
            <v>0</v>
          </cell>
        </row>
        <row r="1694">
          <cell r="F1694">
            <v>0</v>
          </cell>
          <cell r="H1694">
            <v>0</v>
          </cell>
          <cell r="I1694">
            <v>0</v>
          </cell>
        </row>
        <row r="1695">
          <cell r="F1695">
            <v>0</v>
          </cell>
          <cell r="H1695">
            <v>0</v>
          </cell>
          <cell r="I1695">
            <v>0</v>
          </cell>
        </row>
        <row r="1696">
          <cell r="F1696">
            <v>0</v>
          </cell>
          <cell r="H1696">
            <v>0</v>
          </cell>
          <cell r="I1696">
            <v>0</v>
          </cell>
        </row>
        <row r="1697">
          <cell r="F1697">
            <v>0</v>
          </cell>
          <cell r="H1697">
            <v>0</v>
          </cell>
          <cell r="I1697">
            <v>0</v>
          </cell>
        </row>
        <row r="1698">
          <cell r="F1698">
            <v>0</v>
          </cell>
          <cell r="H1698">
            <v>0</v>
          </cell>
          <cell r="I1698">
            <v>0</v>
          </cell>
        </row>
        <row r="1699">
          <cell r="F1699">
            <v>0</v>
          </cell>
          <cell r="H1699">
            <v>0</v>
          </cell>
          <cell r="I1699">
            <v>0</v>
          </cell>
        </row>
        <row r="1700">
          <cell r="F1700">
            <v>0</v>
          </cell>
          <cell r="H1700">
            <v>0</v>
          </cell>
          <cell r="I1700">
            <v>0</v>
          </cell>
        </row>
        <row r="1701">
          <cell r="F1701">
            <v>0</v>
          </cell>
          <cell r="H1701">
            <v>0</v>
          </cell>
          <cell r="I1701">
            <v>0</v>
          </cell>
        </row>
        <row r="1702">
          <cell r="F1702">
            <v>0</v>
          </cell>
          <cell r="H1702">
            <v>0</v>
          </cell>
          <cell r="I1702">
            <v>0</v>
          </cell>
        </row>
        <row r="1703">
          <cell r="F1703">
            <v>0</v>
          </cell>
          <cell r="H1703">
            <v>0</v>
          </cell>
          <cell r="I1703">
            <v>0</v>
          </cell>
        </row>
        <row r="1704">
          <cell r="F1704">
            <v>0</v>
          </cell>
          <cell r="H1704">
            <v>0</v>
          </cell>
          <cell r="I1704">
            <v>0</v>
          </cell>
        </row>
        <row r="1705">
          <cell r="F1705">
            <v>0</v>
          </cell>
          <cell r="H1705">
            <v>0</v>
          </cell>
          <cell r="I1705">
            <v>0</v>
          </cell>
        </row>
        <row r="1706">
          <cell r="F1706">
            <v>0</v>
          </cell>
          <cell r="H1706">
            <v>0</v>
          </cell>
          <cell r="I1706">
            <v>0</v>
          </cell>
        </row>
        <row r="1707">
          <cell r="F1707">
            <v>0</v>
          </cell>
          <cell r="H1707">
            <v>0</v>
          </cell>
          <cell r="I1707">
            <v>0</v>
          </cell>
        </row>
        <row r="1708">
          <cell r="F1708">
            <v>0</v>
          </cell>
          <cell r="H1708">
            <v>0</v>
          </cell>
          <cell r="I1708">
            <v>0</v>
          </cell>
        </row>
        <row r="1709">
          <cell r="F1709">
            <v>0</v>
          </cell>
          <cell r="H1709">
            <v>0</v>
          </cell>
          <cell r="I1709">
            <v>0</v>
          </cell>
        </row>
        <row r="1710">
          <cell r="F1710">
            <v>0</v>
          </cell>
          <cell r="H1710">
            <v>0</v>
          </cell>
          <cell r="I1710">
            <v>0</v>
          </cell>
        </row>
        <row r="1711">
          <cell r="F1711">
            <v>0</v>
          </cell>
          <cell r="H1711">
            <v>0</v>
          </cell>
          <cell r="I1711">
            <v>0</v>
          </cell>
        </row>
        <row r="1712">
          <cell r="F1712">
            <v>0</v>
          </cell>
          <cell r="H1712">
            <v>0</v>
          </cell>
          <cell r="I1712">
            <v>0</v>
          </cell>
        </row>
        <row r="1713">
          <cell r="F1713">
            <v>0</v>
          </cell>
          <cell r="H1713">
            <v>0</v>
          </cell>
          <cell r="I1713">
            <v>0</v>
          </cell>
        </row>
        <row r="1714">
          <cell r="F1714">
            <v>0</v>
          </cell>
          <cell r="H1714">
            <v>0</v>
          </cell>
          <cell r="I1714">
            <v>0</v>
          </cell>
        </row>
        <row r="1715">
          <cell r="F1715">
            <v>0</v>
          </cell>
          <cell r="H1715">
            <v>0</v>
          </cell>
          <cell r="I1715">
            <v>0</v>
          </cell>
        </row>
        <row r="1716">
          <cell r="F1716">
            <v>0</v>
          </cell>
          <cell r="H1716">
            <v>0</v>
          </cell>
          <cell r="I1716">
            <v>0</v>
          </cell>
        </row>
        <row r="1717">
          <cell r="F1717">
            <v>0</v>
          </cell>
          <cell r="H1717">
            <v>0</v>
          </cell>
          <cell r="I1717">
            <v>0</v>
          </cell>
        </row>
        <row r="1718">
          <cell r="F1718">
            <v>0</v>
          </cell>
          <cell r="H1718">
            <v>0</v>
          </cell>
          <cell r="I1718">
            <v>0</v>
          </cell>
        </row>
        <row r="1719">
          <cell r="F1719">
            <v>0</v>
          </cell>
          <cell r="H1719">
            <v>0</v>
          </cell>
          <cell r="I1719">
            <v>0</v>
          </cell>
        </row>
        <row r="1720">
          <cell r="F1720">
            <v>0</v>
          </cell>
          <cell r="H1720">
            <v>0</v>
          </cell>
          <cell r="I1720">
            <v>0</v>
          </cell>
        </row>
        <row r="1721">
          <cell r="F1721">
            <v>0</v>
          </cell>
          <cell r="H1721">
            <v>0</v>
          </cell>
          <cell r="I1721">
            <v>0</v>
          </cell>
        </row>
        <row r="1722">
          <cell r="F1722">
            <v>0</v>
          </cell>
          <cell r="H1722">
            <v>0</v>
          </cell>
          <cell r="I1722">
            <v>0</v>
          </cell>
        </row>
        <row r="1723">
          <cell r="F1723">
            <v>0</v>
          </cell>
          <cell r="H1723">
            <v>0</v>
          </cell>
          <cell r="I1723">
            <v>0</v>
          </cell>
        </row>
        <row r="1724">
          <cell r="F1724">
            <v>0</v>
          </cell>
          <cell r="H1724">
            <v>0</v>
          </cell>
          <cell r="I1724">
            <v>0</v>
          </cell>
        </row>
        <row r="1725">
          <cell r="F1725">
            <v>0</v>
          </cell>
          <cell r="H1725">
            <v>0</v>
          </cell>
          <cell r="I1725">
            <v>0</v>
          </cell>
        </row>
        <row r="1726">
          <cell r="F1726">
            <v>0</v>
          </cell>
          <cell r="H1726">
            <v>0</v>
          </cell>
          <cell r="I1726">
            <v>0</v>
          </cell>
        </row>
        <row r="1727">
          <cell r="F1727">
            <v>0</v>
          </cell>
          <cell r="H1727">
            <v>0</v>
          </cell>
          <cell r="I1727">
            <v>0</v>
          </cell>
        </row>
        <row r="1728">
          <cell r="F1728">
            <v>0</v>
          </cell>
          <cell r="H1728">
            <v>0</v>
          </cell>
          <cell r="I1728">
            <v>0</v>
          </cell>
        </row>
        <row r="1729">
          <cell r="F1729">
            <v>0</v>
          </cell>
          <cell r="H1729">
            <v>0</v>
          </cell>
          <cell r="I1729">
            <v>0</v>
          </cell>
        </row>
        <row r="1730">
          <cell r="F1730">
            <v>0</v>
          </cell>
          <cell r="H1730">
            <v>0</v>
          </cell>
          <cell r="I1730">
            <v>0</v>
          </cell>
        </row>
        <row r="1731">
          <cell r="F1731">
            <v>0</v>
          </cell>
          <cell r="H1731">
            <v>0</v>
          </cell>
          <cell r="I1731">
            <v>0</v>
          </cell>
        </row>
        <row r="1732">
          <cell r="F1732">
            <v>0</v>
          </cell>
          <cell r="H1732">
            <v>0</v>
          </cell>
          <cell r="I1732">
            <v>0</v>
          </cell>
        </row>
        <row r="1733">
          <cell r="F1733">
            <v>0</v>
          </cell>
          <cell r="H1733">
            <v>0</v>
          </cell>
          <cell r="I1733">
            <v>0</v>
          </cell>
        </row>
        <row r="1734">
          <cell r="F1734">
            <v>0</v>
          </cell>
          <cell r="H1734">
            <v>0</v>
          </cell>
          <cell r="I1734">
            <v>0</v>
          </cell>
        </row>
        <row r="1735">
          <cell r="F1735">
            <v>0</v>
          </cell>
          <cell r="H1735">
            <v>0</v>
          </cell>
          <cell r="I1735">
            <v>0</v>
          </cell>
        </row>
        <row r="1736">
          <cell r="F1736">
            <v>0</v>
          </cell>
          <cell r="H1736">
            <v>0</v>
          </cell>
          <cell r="I1736">
            <v>0</v>
          </cell>
        </row>
        <row r="1737">
          <cell r="F1737">
            <v>0</v>
          </cell>
          <cell r="H1737">
            <v>0</v>
          </cell>
          <cell r="I1737">
            <v>0</v>
          </cell>
        </row>
        <row r="1738">
          <cell r="F1738">
            <v>0</v>
          </cell>
          <cell r="H1738">
            <v>0</v>
          </cell>
          <cell r="I1738">
            <v>0</v>
          </cell>
        </row>
        <row r="1739">
          <cell r="F1739">
            <v>0</v>
          </cell>
          <cell r="H1739">
            <v>0</v>
          </cell>
          <cell r="I1739">
            <v>0</v>
          </cell>
        </row>
        <row r="1740">
          <cell r="F1740">
            <v>0</v>
          </cell>
          <cell r="H1740">
            <v>0</v>
          </cell>
          <cell r="I1740">
            <v>0</v>
          </cell>
        </row>
        <row r="1741">
          <cell r="F1741">
            <v>0</v>
          </cell>
          <cell r="H1741">
            <v>0</v>
          </cell>
          <cell r="I1741">
            <v>0</v>
          </cell>
        </row>
        <row r="1742">
          <cell r="F1742">
            <v>0</v>
          </cell>
          <cell r="H1742">
            <v>0</v>
          </cell>
          <cell r="I1742">
            <v>0</v>
          </cell>
        </row>
        <row r="1743">
          <cell r="F1743">
            <v>0</v>
          </cell>
          <cell r="H1743">
            <v>0</v>
          </cell>
          <cell r="I1743">
            <v>0</v>
          </cell>
        </row>
        <row r="1744">
          <cell r="F1744">
            <v>0</v>
          </cell>
          <cell r="H1744">
            <v>0</v>
          </cell>
          <cell r="I1744">
            <v>0</v>
          </cell>
        </row>
        <row r="1745">
          <cell r="F1745">
            <v>0</v>
          </cell>
          <cell r="H1745">
            <v>0</v>
          </cell>
          <cell r="I1745">
            <v>0</v>
          </cell>
        </row>
        <row r="1746">
          <cell r="F1746">
            <v>0</v>
          </cell>
          <cell r="H1746">
            <v>0</v>
          </cell>
          <cell r="I1746">
            <v>0</v>
          </cell>
        </row>
        <row r="1747">
          <cell r="F1747">
            <v>0</v>
          </cell>
          <cell r="H1747">
            <v>0</v>
          </cell>
          <cell r="I1747">
            <v>0</v>
          </cell>
        </row>
        <row r="1748">
          <cell r="F1748">
            <v>0</v>
          </cell>
          <cell r="H1748">
            <v>0</v>
          </cell>
          <cell r="I1748">
            <v>0</v>
          </cell>
        </row>
        <row r="1749">
          <cell r="F1749">
            <v>0</v>
          </cell>
          <cell r="H1749">
            <v>0</v>
          </cell>
          <cell r="I1749">
            <v>0</v>
          </cell>
        </row>
        <row r="1750">
          <cell r="F1750">
            <v>0</v>
          </cell>
          <cell r="H1750">
            <v>0</v>
          </cell>
          <cell r="I1750">
            <v>0</v>
          </cell>
        </row>
        <row r="1751">
          <cell r="F1751">
            <v>0</v>
          </cell>
          <cell r="H1751">
            <v>0</v>
          </cell>
          <cell r="I1751">
            <v>0</v>
          </cell>
        </row>
        <row r="1752">
          <cell r="F1752">
            <v>0</v>
          </cell>
          <cell r="H1752">
            <v>0</v>
          </cell>
          <cell r="I1752">
            <v>0</v>
          </cell>
        </row>
        <row r="1753">
          <cell r="F1753">
            <v>0</v>
          </cell>
          <cell r="H1753">
            <v>0</v>
          </cell>
          <cell r="I1753">
            <v>0</v>
          </cell>
        </row>
        <row r="1754">
          <cell r="F1754">
            <v>0</v>
          </cell>
          <cell r="H1754">
            <v>0</v>
          </cell>
          <cell r="I1754">
            <v>0</v>
          </cell>
        </row>
        <row r="1755">
          <cell r="F1755">
            <v>0</v>
          </cell>
          <cell r="H1755">
            <v>0</v>
          </cell>
          <cell r="I1755">
            <v>0</v>
          </cell>
        </row>
        <row r="1756">
          <cell r="F1756">
            <v>0</v>
          </cell>
          <cell r="H1756">
            <v>0</v>
          </cell>
          <cell r="I1756">
            <v>0</v>
          </cell>
        </row>
        <row r="1757">
          <cell r="F1757">
            <v>0</v>
          </cell>
          <cell r="H1757">
            <v>0</v>
          </cell>
          <cell r="I1757">
            <v>0</v>
          </cell>
        </row>
        <row r="1758">
          <cell r="F1758">
            <v>0</v>
          </cell>
          <cell r="H1758">
            <v>0</v>
          </cell>
          <cell r="I1758">
            <v>0</v>
          </cell>
        </row>
        <row r="1759">
          <cell r="F1759">
            <v>0</v>
          </cell>
          <cell r="H1759">
            <v>0</v>
          </cell>
          <cell r="I1759">
            <v>0</v>
          </cell>
        </row>
        <row r="1760">
          <cell r="F1760">
            <v>0</v>
          </cell>
          <cell r="H1760">
            <v>0</v>
          </cell>
          <cell r="I1760">
            <v>0</v>
          </cell>
        </row>
        <row r="1761">
          <cell r="F1761">
            <v>0</v>
          </cell>
          <cell r="H1761">
            <v>0</v>
          </cell>
          <cell r="I1761">
            <v>0</v>
          </cell>
        </row>
        <row r="1762">
          <cell r="F1762">
            <v>0</v>
          </cell>
          <cell r="H1762">
            <v>0</v>
          </cell>
          <cell r="I1762">
            <v>0</v>
          </cell>
        </row>
        <row r="1763">
          <cell r="F1763">
            <v>0</v>
          </cell>
          <cell r="H1763">
            <v>0</v>
          </cell>
          <cell r="I1763">
            <v>0</v>
          </cell>
        </row>
        <row r="1764">
          <cell r="F1764">
            <v>0</v>
          </cell>
          <cell r="H1764">
            <v>0</v>
          </cell>
          <cell r="I1764">
            <v>0</v>
          </cell>
        </row>
        <row r="1765">
          <cell r="F1765">
            <v>0</v>
          </cell>
          <cell r="H1765">
            <v>0</v>
          </cell>
          <cell r="I1765">
            <v>0</v>
          </cell>
        </row>
        <row r="1766">
          <cell r="F1766">
            <v>0</v>
          </cell>
          <cell r="H1766">
            <v>0</v>
          </cell>
          <cell r="I1766">
            <v>0</v>
          </cell>
        </row>
        <row r="1767">
          <cell r="F1767">
            <v>0</v>
          </cell>
          <cell r="H1767">
            <v>0</v>
          </cell>
          <cell r="I1767">
            <v>0</v>
          </cell>
        </row>
        <row r="1768">
          <cell r="F1768">
            <v>0</v>
          </cell>
          <cell r="H1768">
            <v>0</v>
          </cell>
          <cell r="I1768">
            <v>0</v>
          </cell>
        </row>
        <row r="1769">
          <cell r="F1769">
            <v>0</v>
          </cell>
          <cell r="H1769">
            <v>0</v>
          </cell>
          <cell r="I1769">
            <v>0</v>
          </cell>
        </row>
        <row r="1770">
          <cell r="F1770">
            <v>0</v>
          </cell>
          <cell r="H1770">
            <v>0</v>
          </cell>
          <cell r="I1770">
            <v>0</v>
          </cell>
        </row>
        <row r="1771">
          <cell r="F1771">
            <v>0</v>
          </cell>
          <cell r="H1771">
            <v>0</v>
          </cell>
          <cell r="I1771">
            <v>0</v>
          </cell>
        </row>
        <row r="1772">
          <cell r="F1772">
            <v>0</v>
          </cell>
          <cell r="H1772">
            <v>0</v>
          </cell>
          <cell r="I1772">
            <v>0</v>
          </cell>
        </row>
        <row r="1773">
          <cell r="F1773">
            <v>0</v>
          </cell>
          <cell r="H1773">
            <v>0</v>
          </cell>
          <cell r="I1773">
            <v>0</v>
          </cell>
        </row>
        <row r="1774">
          <cell r="F1774">
            <v>0</v>
          </cell>
          <cell r="H1774">
            <v>0</v>
          </cell>
          <cell r="I1774">
            <v>0</v>
          </cell>
        </row>
        <row r="1775">
          <cell r="F1775">
            <v>0</v>
          </cell>
          <cell r="H1775">
            <v>0</v>
          </cell>
          <cell r="I1775">
            <v>0</v>
          </cell>
        </row>
        <row r="1776">
          <cell r="F1776">
            <v>0</v>
          </cell>
          <cell r="H1776">
            <v>0</v>
          </cell>
          <cell r="I1776">
            <v>0</v>
          </cell>
        </row>
        <row r="1777">
          <cell r="F1777">
            <v>0</v>
          </cell>
          <cell r="H1777">
            <v>0</v>
          </cell>
          <cell r="I1777">
            <v>0</v>
          </cell>
        </row>
        <row r="1778">
          <cell r="F1778">
            <v>0</v>
          </cell>
          <cell r="H1778">
            <v>0</v>
          </cell>
          <cell r="I1778">
            <v>0</v>
          </cell>
        </row>
        <row r="1779">
          <cell r="F1779">
            <v>0</v>
          </cell>
          <cell r="H1779">
            <v>0</v>
          </cell>
          <cell r="I1779">
            <v>0</v>
          </cell>
        </row>
        <row r="1780">
          <cell r="F1780">
            <v>0</v>
          </cell>
          <cell r="H1780">
            <v>0</v>
          </cell>
          <cell r="I1780">
            <v>0</v>
          </cell>
        </row>
        <row r="1781">
          <cell r="F1781">
            <v>0</v>
          </cell>
          <cell r="H1781">
            <v>0</v>
          </cell>
          <cell r="I1781">
            <v>0</v>
          </cell>
        </row>
        <row r="1782">
          <cell r="F1782">
            <v>0</v>
          </cell>
          <cell r="H1782">
            <v>0</v>
          </cell>
          <cell r="I1782">
            <v>0</v>
          </cell>
        </row>
        <row r="1783">
          <cell r="F1783">
            <v>0</v>
          </cell>
          <cell r="H1783">
            <v>0</v>
          </cell>
          <cell r="I1783">
            <v>0</v>
          </cell>
        </row>
        <row r="1784">
          <cell r="F1784">
            <v>0</v>
          </cell>
          <cell r="H1784">
            <v>0</v>
          </cell>
          <cell r="I1784">
            <v>0</v>
          </cell>
        </row>
        <row r="1785">
          <cell r="F1785">
            <v>0</v>
          </cell>
          <cell r="H1785">
            <v>0</v>
          </cell>
          <cell r="I1785">
            <v>0</v>
          </cell>
        </row>
        <row r="1786">
          <cell r="F1786">
            <v>0</v>
          </cell>
          <cell r="H1786">
            <v>0</v>
          </cell>
          <cell r="I1786">
            <v>0</v>
          </cell>
        </row>
        <row r="1787">
          <cell r="F1787">
            <v>0</v>
          </cell>
          <cell r="H1787">
            <v>0</v>
          </cell>
          <cell r="I1787">
            <v>0</v>
          </cell>
        </row>
        <row r="1788">
          <cell r="F1788">
            <v>0</v>
          </cell>
          <cell r="H1788">
            <v>0</v>
          </cell>
          <cell r="I1788">
            <v>0</v>
          </cell>
        </row>
        <row r="1789">
          <cell r="F1789">
            <v>0</v>
          </cell>
          <cell r="H1789">
            <v>0</v>
          </cell>
          <cell r="I1789">
            <v>0</v>
          </cell>
        </row>
        <row r="1790">
          <cell r="F1790">
            <v>0</v>
          </cell>
          <cell r="H1790">
            <v>0</v>
          </cell>
          <cell r="I1790">
            <v>0</v>
          </cell>
        </row>
        <row r="1791">
          <cell r="F1791">
            <v>0</v>
          </cell>
          <cell r="H1791">
            <v>0</v>
          </cell>
          <cell r="I1791">
            <v>0</v>
          </cell>
        </row>
        <row r="1792">
          <cell r="F1792">
            <v>0</v>
          </cell>
          <cell r="H1792">
            <v>0</v>
          </cell>
          <cell r="I1792">
            <v>0</v>
          </cell>
        </row>
        <row r="1793">
          <cell r="F1793">
            <v>0</v>
          </cell>
          <cell r="H1793">
            <v>0</v>
          </cell>
          <cell r="I1793">
            <v>0</v>
          </cell>
        </row>
        <row r="1794">
          <cell r="F1794">
            <v>0</v>
          </cell>
          <cell r="H1794">
            <v>0</v>
          </cell>
          <cell r="I1794">
            <v>0</v>
          </cell>
        </row>
        <row r="1795">
          <cell r="F1795">
            <v>0</v>
          </cell>
          <cell r="H1795">
            <v>0</v>
          </cell>
          <cell r="I1795">
            <v>0</v>
          </cell>
        </row>
        <row r="1796">
          <cell r="F1796">
            <v>0</v>
          </cell>
          <cell r="H1796">
            <v>0</v>
          </cell>
          <cell r="I1796">
            <v>0</v>
          </cell>
        </row>
        <row r="1797">
          <cell r="F1797">
            <v>0</v>
          </cell>
          <cell r="H1797">
            <v>0</v>
          </cell>
          <cell r="I1797">
            <v>0</v>
          </cell>
        </row>
        <row r="1798">
          <cell r="F1798">
            <v>0</v>
          </cell>
          <cell r="H1798">
            <v>0</v>
          </cell>
          <cell r="I1798">
            <v>0</v>
          </cell>
        </row>
        <row r="1799">
          <cell r="F1799">
            <v>0</v>
          </cell>
          <cell r="H1799">
            <v>0</v>
          </cell>
          <cell r="I1799">
            <v>0</v>
          </cell>
        </row>
        <row r="1800">
          <cell r="F1800">
            <v>0</v>
          </cell>
          <cell r="H1800">
            <v>0</v>
          </cell>
          <cell r="I1800">
            <v>0</v>
          </cell>
        </row>
        <row r="1801">
          <cell r="F1801">
            <v>0</v>
          </cell>
          <cell r="H1801">
            <v>0</v>
          </cell>
          <cell r="I1801">
            <v>0</v>
          </cell>
        </row>
        <row r="1802">
          <cell r="F1802">
            <v>0</v>
          </cell>
          <cell r="H1802">
            <v>0</v>
          </cell>
          <cell r="I1802">
            <v>0</v>
          </cell>
        </row>
        <row r="1803">
          <cell r="F1803">
            <v>0</v>
          </cell>
          <cell r="H1803">
            <v>0</v>
          </cell>
          <cell r="I1803">
            <v>0</v>
          </cell>
        </row>
        <row r="1804">
          <cell r="F1804">
            <v>0</v>
          </cell>
          <cell r="H1804">
            <v>0</v>
          </cell>
          <cell r="I1804">
            <v>0</v>
          </cell>
        </row>
        <row r="1805">
          <cell r="F1805">
            <v>0</v>
          </cell>
          <cell r="H1805">
            <v>0</v>
          </cell>
          <cell r="I1805">
            <v>0</v>
          </cell>
        </row>
        <row r="1806">
          <cell r="F1806">
            <v>0</v>
          </cell>
          <cell r="H1806">
            <v>0</v>
          </cell>
          <cell r="I1806">
            <v>0</v>
          </cell>
        </row>
        <row r="1807">
          <cell r="F1807">
            <v>0</v>
          </cell>
          <cell r="H1807">
            <v>0</v>
          </cell>
          <cell r="I1807">
            <v>0</v>
          </cell>
        </row>
        <row r="1808">
          <cell r="F1808">
            <v>0</v>
          </cell>
          <cell r="H1808">
            <v>0</v>
          </cell>
          <cell r="I1808">
            <v>0</v>
          </cell>
        </row>
        <row r="1809">
          <cell r="F1809">
            <v>0</v>
          </cell>
          <cell r="H1809">
            <v>0</v>
          </cell>
          <cell r="I1809">
            <v>0</v>
          </cell>
        </row>
        <row r="1810">
          <cell r="F1810">
            <v>0</v>
          </cell>
          <cell r="H1810">
            <v>0</v>
          </cell>
          <cell r="I1810">
            <v>0</v>
          </cell>
        </row>
        <row r="1811">
          <cell r="F1811">
            <v>0</v>
          </cell>
          <cell r="H1811">
            <v>0</v>
          </cell>
          <cell r="I1811">
            <v>0</v>
          </cell>
        </row>
        <row r="1812">
          <cell r="F1812">
            <v>0</v>
          </cell>
          <cell r="H1812">
            <v>0</v>
          </cell>
          <cell r="I1812">
            <v>0</v>
          </cell>
        </row>
        <row r="1813">
          <cell r="F1813">
            <v>0</v>
          </cell>
          <cell r="H1813">
            <v>0</v>
          </cell>
          <cell r="I1813">
            <v>0</v>
          </cell>
        </row>
        <row r="1814">
          <cell r="F1814">
            <v>0</v>
          </cell>
          <cell r="H1814">
            <v>0</v>
          </cell>
          <cell r="I1814">
            <v>0</v>
          </cell>
        </row>
        <row r="1815">
          <cell r="F1815">
            <v>0</v>
          </cell>
          <cell r="H1815">
            <v>0</v>
          </cell>
          <cell r="I1815">
            <v>0</v>
          </cell>
        </row>
        <row r="1816">
          <cell r="F1816">
            <v>0</v>
          </cell>
          <cell r="H1816">
            <v>0</v>
          </cell>
          <cell r="I1816">
            <v>0</v>
          </cell>
        </row>
        <row r="1817">
          <cell r="F1817">
            <v>0</v>
          </cell>
          <cell r="H1817">
            <v>0</v>
          </cell>
          <cell r="I1817">
            <v>0</v>
          </cell>
        </row>
        <row r="1818">
          <cell r="F1818">
            <v>0</v>
          </cell>
          <cell r="H1818">
            <v>0</v>
          </cell>
          <cell r="I1818">
            <v>0</v>
          </cell>
        </row>
        <row r="1819">
          <cell r="F1819">
            <v>0</v>
          </cell>
          <cell r="H1819">
            <v>0</v>
          </cell>
          <cell r="I1819">
            <v>0</v>
          </cell>
        </row>
        <row r="1820">
          <cell r="F1820">
            <v>0</v>
          </cell>
          <cell r="H1820">
            <v>0</v>
          </cell>
          <cell r="I1820">
            <v>0</v>
          </cell>
        </row>
        <row r="1821">
          <cell r="F1821">
            <v>0</v>
          </cell>
          <cell r="H1821">
            <v>0</v>
          </cell>
          <cell r="I1821">
            <v>0</v>
          </cell>
        </row>
        <row r="1822">
          <cell r="F1822">
            <v>0</v>
          </cell>
          <cell r="H1822">
            <v>0</v>
          </cell>
          <cell r="I1822">
            <v>0</v>
          </cell>
        </row>
        <row r="1823">
          <cell r="F1823">
            <v>0</v>
          </cell>
          <cell r="H1823">
            <v>0</v>
          </cell>
          <cell r="I1823">
            <v>0</v>
          </cell>
        </row>
        <row r="1824">
          <cell r="F1824">
            <v>0</v>
          </cell>
          <cell r="H1824">
            <v>0</v>
          </cell>
          <cell r="I1824">
            <v>0</v>
          </cell>
        </row>
        <row r="1825">
          <cell r="F1825">
            <v>0</v>
          </cell>
          <cell r="H1825">
            <v>0</v>
          </cell>
          <cell r="I1825">
            <v>0</v>
          </cell>
        </row>
        <row r="1826">
          <cell r="F1826">
            <v>0</v>
          </cell>
          <cell r="H1826">
            <v>0</v>
          </cell>
          <cell r="I1826">
            <v>0</v>
          </cell>
        </row>
        <row r="1827">
          <cell r="F1827">
            <v>0</v>
          </cell>
          <cell r="H1827">
            <v>0</v>
          </cell>
          <cell r="I1827">
            <v>0</v>
          </cell>
        </row>
        <row r="1828">
          <cell r="F1828">
            <v>0</v>
          </cell>
          <cell r="H1828">
            <v>0</v>
          </cell>
          <cell r="I1828">
            <v>0</v>
          </cell>
        </row>
        <row r="1829">
          <cell r="F1829">
            <v>0</v>
          </cell>
          <cell r="H1829">
            <v>0</v>
          </cell>
          <cell r="I1829">
            <v>0</v>
          </cell>
        </row>
        <row r="1830">
          <cell r="F1830">
            <v>0</v>
          </cell>
          <cell r="H1830">
            <v>0</v>
          </cell>
          <cell r="I1830">
            <v>0</v>
          </cell>
        </row>
        <row r="1831">
          <cell r="F1831">
            <v>0</v>
          </cell>
          <cell r="H1831">
            <v>0</v>
          </cell>
          <cell r="I1831">
            <v>0</v>
          </cell>
        </row>
        <row r="1832">
          <cell r="F1832">
            <v>0</v>
          </cell>
          <cell r="H1832">
            <v>0</v>
          </cell>
          <cell r="I1832">
            <v>0</v>
          </cell>
        </row>
        <row r="1833">
          <cell r="F1833">
            <v>0</v>
          </cell>
          <cell r="H1833">
            <v>0</v>
          </cell>
          <cell r="I1833">
            <v>0</v>
          </cell>
        </row>
        <row r="1834">
          <cell r="F1834">
            <v>0</v>
          </cell>
          <cell r="H1834">
            <v>0</v>
          </cell>
          <cell r="I1834">
            <v>0</v>
          </cell>
        </row>
        <row r="1835">
          <cell r="F1835">
            <v>0</v>
          </cell>
          <cell r="H1835">
            <v>0</v>
          </cell>
          <cell r="I1835">
            <v>0</v>
          </cell>
        </row>
        <row r="1836">
          <cell r="F1836">
            <v>0</v>
          </cell>
          <cell r="H1836">
            <v>0</v>
          </cell>
          <cell r="I1836">
            <v>0</v>
          </cell>
        </row>
        <row r="1837">
          <cell r="F1837">
            <v>0</v>
          </cell>
          <cell r="H1837">
            <v>0</v>
          </cell>
          <cell r="I1837">
            <v>0</v>
          </cell>
        </row>
        <row r="1838">
          <cell r="F1838">
            <v>0</v>
          </cell>
          <cell r="H1838">
            <v>0</v>
          </cell>
          <cell r="I1838">
            <v>0</v>
          </cell>
        </row>
        <row r="1839">
          <cell r="F1839">
            <v>0</v>
          </cell>
          <cell r="H1839">
            <v>0</v>
          </cell>
          <cell r="I1839">
            <v>0</v>
          </cell>
        </row>
        <row r="1840">
          <cell r="F1840">
            <v>0</v>
          </cell>
          <cell r="H1840">
            <v>0</v>
          </cell>
          <cell r="I1840">
            <v>0</v>
          </cell>
        </row>
        <row r="1841">
          <cell r="F1841">
            <v>0</v>
          </cell>
          <cell r="H1841">
            <v>0</v>
          </cell>
          <cell r="I1841">
            <v>0</v>
          </cell>
        </row>
        <row r="1842">
          <cell r="F1842">
            <v>0</v>
          </cell>
          <cell r="H1842">
            <v>0</v>
          </cell>
          <cell r="I1842">
            <v>0</v>
          </cell>
        </row>
        <row r="1843">
          <cell r="F1843">
            <v>0</v>
          </cell>
          <cell r="H1843">
            <v>0</v>
          </cell>
          <cell r="I1843">
            <v>0</v>
          </cell>
        </row>
        <row r="1844">
          <cell r="F1844">
            <v>0</v>
          </cell>
          <cell r="H1844">
            <v>0</v>
          </cell>
          <cell r="I1844">
            <v>0</v>
          </cell>
        </row>
        <row r="1845">
          <cell r="F1845">
            <v>0</v>
          </cell>
          <cell r="H1845">
            <v>0</v>
          </cell>
          <cell r="I1845">
            <v>0</v>
          </cell>
        </row>
        <row r="1846">
          <cell r="F1846">
            <v>0</v>
          </cell>
          <cell r="H1846">
            <v>0</v>
          </cell>
          <cell r="I1846">
            <v>0</v>
          </cell>
        </row>
        <row r="1847">
          <cell r="F1847">
            <v>0</v>
          </cell>
          <cell r="H1847">
            <v>0</v>
          </cell>
          <cell r="I1847">
            <v>0</v>
          </cell>
        </row>
        <row r="1848">
          <cell r="F1848">
            <v>0</v>
          </cell>
          <cell r="H1848">
            <v>0</v>
          </cell>
          <cell r="I1848">
            <v>0</v>
          </cell>
        </row>
        <row r="1849">
          <cell r="F1849">
            <v>0</v>
          </cell>
          <cell r="H1849">
            <v>0</v>
          </cell>
          <cell r="I1849">
            <v>0</v>
          </cell>
        </row>
        <row r="1850">
          <cell r="F1850">
            <v>0</v>
          </cell>
          <cell r="H1850">
            <v>0</v>
          </cell>
          <cell r="I1850">
            <v>0</v>
          </cell>
        </row>
        <row r="1851">
          <cell r="F1851">
            <v>0</v>
          </cell>
          <cell r="H1851">
            <v>0</v>
          </cell>
          <cell r="I1851">
            <v>0</v>
          </cell>
        </row>
        <row r="1852">
          <cell r="F1852">
            <v>0</v>
          </cell>
          <cell r="H1852">
            <v>0</v>
          </cell>
          <cell r="I1852">
            <v>0</v>
          </cell>
        </row>
        <row r="1853">
          <cell r="F1853">
            <v>0</v>
          </cell>
          <cell r="H1853">
            <v>0</v>
          </cell>
          <cell r="I1853">
            <v>0</v>
          </cell>
        </row>
        <row r="1854">
          <cell r="F1854">
            <v>0</v>
          </cell>
          <cell r="H1854">
            <v>0</v>
          </cell>
          <cell r="I1854">
            <v>0</v>
          </cell>
        </row>
        <row r="1855">
          <cell r="F1855">
            <v>0</v>
          </cell>
          <cell r="H1855">
            <v>0</v>
          </cell>
          <cell r="I1855">
            <v>0</v>
          </cell>
        </row>
        <row r="1856">
          <cell r="F1856">
            <v>0</v>
          </cell>
          <cell r="H1856">
            <v>0</v>
          </cell>
          <cell r="I1856">
            <v>0</v>
          </cell>
        </row>
        <row r="1857">
          <cell r="F1857">
            <v>0</v>
          </cell>
          <cell r="H1857">
            <v>0</v>
          </cell>
          <cell r="I1857">
            <v>0</v>
          </cell>
        </row>
        <row r="1858">
          <cell r="F1858">
            <v>0</v>
          </cell>
          <cell r="H1858">
            <v>0</v>
          </cell>
          <cell r="I1858">
            <v>0</v>
          </cell>
        </row>
        <row r="1859">
          <cell r="F1859">
            <v>0</v>
          </cell>
          <cell r="H1859">
            <v>0</v>
          </cell>
          <cell r="I1859">
            <v>0</v>
          </cell>
        </row>
        <row r="1860">
          <cell r="F1860">
            <v>0</v>
          </cell>
          <cell r="H1860">
            <v>0</v>
          </cell>
          <cell r="I1860">
            <v>0</v>
          </cell>
        </row>
        <row r="1861">
          <cell r="F1861">
            <v>0</v>
          </cell>
          <cell r="H1861">
            <v>0</v>
          </cell>
          <cell r="I1861">
            <v>0</v>
          </cell>
        </row>
        <row r="1862">
          <cell r="F1862">
            <v>0</v>
          </cell>
          <cell r="H1862">
            <v>0</v>
          </cell>
          <cell r="I1862">
            <v>0</v>
          </cell>
        </row>
        <row r="1863">
          <cell r="F1863">
            <v>0</v>
          </cell>
          <cell r="H1863">
            <v>0</v>
          </cell>
          <cell r="I1863">
            <v>0</v>
          </cell>
        </row>
        <row r="1864">
          <cell r="F1864">
            <v>0</v>
          </cell>
          <cell r="H1864">
            <v>0</v>
          </cell>
          <cell r="I1864">
            <v>0</v>
          </cell>
        </row>
        <row r="1865">
          <cell r="F1865">
            <v>0</v>
          </cell>
          <cell r="H1865">
            <v>0</v>
          </cell>
          <cell r="I1865">
            <v>0</v>
          </cell>
        </row>
        <row r="1866">
          <cell r="F1866">
            <v>0</v>
          </cell>
          <cell r="H1866">
            <v>0</v>
          </cell>
          <cell r="I1866">
            <v>0</v>
          </cell>
        </row>
        <row r="1867">
          <cell r="F1867">
            <v>0</v>
          </cell>
          <cell r="H1867">
            <v>0</v>
          </cell>
          <cell r="I1867">
            <v>0</v>
          </cell>
        </row>
        <row r="1868">
          <cell r="F1868">
            <v>0</v>
          </cell>
          <cell r="H1868">
            <v>0</v>
          </cell>
          <cell r="I1868">
            <v>0</v>
          </cell>
        </row>
        <row r="1869">
          <cell r="F1869">
            <v>0</v>
          </cell>
          <cell r="H1869">
            <v>0</v>
          </cell>
          <cell r="I1869">
            <v>0</v>
          </cell>
        </row>
        <row r="1870">
          <cell r="F1870">
            <v>0</v>
          </cell>
          <cell r="H1870">
            <v>0</v>
          </cell>
          <cell r="I1870">
            <v>0</v>
          </cell>
        </row>
        <row r="1871">
          <cell r="F1871">
            <v>0</v>
          </cell>
          <cell r="H1871">
            <v>0</v>
          </cell>
          <cell r="I1871">
            <v>0</v>
          </cell>
        </row>
        <row r="1872">
          <cell r="F1872">
            <v>0</v>
          </cell>
          <cell r="H1872">
            <v>0</v>
          </cell>
          <cell r="I1872">
            <v>0</v>
          </cell>
        </row>
        <row r="1873">
          <cell r="F1873">
            <v>0</v>
          </cell>
          <cell r="H1873">
            <v>0</v>
          </cell>
          <cell r="I1873">
            <v>0</v>
          </cell>
        </row>
        <row r="1874">
          <cell r="F1874">
            <v>0</v>
          </cell>
          <cell r="H1874">
            <v>0</v>
          </cell>
          <cell r="I1874">
            <v>0</v>
          </cell>
        </row>
        <row r="1875">
          <cell r="F1875">
            <v>0</v>
          </cell>
          <cell r="H1875">
            <v>0</v>
          </cell>
          <cell r="I1875">
            <v>0</v>
          </cell>
        </row>
        <row r="1876">
          <cell r="F1876">
            <v>0</v>
          </cell>
          <cell r="H1876">
            <v>0</v>
          </cell>
          <cell r="I1876">
            <v>0</v>
          </cell>
        </row>
        <row r="1877">
          <cell r="F1877">
            <v>0</v>
          </cell>
          <cell r="H1877">
            <v>0</v>
          </cell>
          <cell r="I1877">
            <v>0</v>
          </cell>
        </row>
        <row r="1878">
          <cell r="F1878">
            <v>0</v>
          </cell>
          <cell r="H1878">
            <v>0</v>
          </cell>
          <cell r="I1878">
            <v>0</v>
          </cell>
        </row>
        <row r="1879">
          <cell r="F1879">
            <v>0</v>
          </cell>
          <cell r="H1879">
            <v>0</v>
          </cell>
          <cell r="I1879">
            <v>0</v>
          </cell>
        </row>
        <row r="1880">
          <cell r="F1880">
            <v>0</v>
          </cell>
          <cell r="H1880">
            <v>0</v>
          </cell>
          <cell r="I1880">
            <v>0</v>
          </cell>
        </row>
        <row r="1881">
          <cell r="F1881">
            <v>0</v>
          </cell>
          <cell r="H1881">
            <v>0</v>
          </cell>
          <cell r="I1881">
            <v>0</v>
          </cell>
        </row>
        <row r="1882">
          <cell r="F1882">
            <v>0</v>
          </cell>
          <cell r="H1882">
            <v>0</v>
          </cell>
          <cell r="I1882">
            <v>0</v>
          </cell>
        </row>
        <row r="1883">
          <cell r="F1883">
            <v>0</v>
          </cell>
          <cell r="H1883">
            <v>0</v>
          </cell>
          <cell r="I1883">
            <v>0</v>
          </cell>
        </row>
        <row r="1884">
          <cell r="F1884">
            <v>0</v>
          </cell>
          <cell r="H1884">
            <v>0</v>
          </cell>
          <cell r="I1884">
            <v>0</v>
          </cell>
        </row>
        <row r="1885">
          <cell r="F1885">
            <v>0</v>
          </cell>
          <cell r="H1885">
            <v>0</v>
          </cell>
          <cell r="I1885">
            <v>0</v>
          </cell>
        </row>
        <row r="1886">
          <cell r="F1886">
            <v>0</v>
          </cell>
          <cell r="H1886">
            <v>0</v>
          </cell>
          <cell r="I1886">
            <v>0</v>
          </cell>
        </row>
        <row r="1887">
          <cell r="F1887">
            <v>0</v>
          </cell>
          <cell r="H1887">
            <v>0</v>
          </cell>
          <cell r="I1887">
            <v>0</v>
          </cell>
        </row>
        <row r="1888">
          <cell r="F1888">
            <v>0</v>
          </cell>
          <cell r="H1888">
            <v>0</v>
          </cell>
          <cell r="I1888">
            <v>0</v>
          </cell>
        </row>
        <row r="1889">
          <cell r="F1889">
            <v>0</v>
          </cell>
          <cell r="H1889">
            <v>0</v>
          </cell>
          <cell r="I1889">
            <v>0</v>
          </cell>
        </row>
        <row r="1890">
          <cell r="F1890">
            <v>0</v>
          </cell>
          <cell r="H1890">
            <v>0</v>
          </cell>
          <cell r="I1890">
            <v>0</v>
          </cell>
        </row>
        <row r="1891">
          <cell r="F1891">
            <v>0</v>
          </cell>
          <cell r="H1891">
            <v>0</v>
          </cell>
          <cell r="I1891">
            <v>0</v>
          </cell>
        </row>
        <row r="1892">
          <cell r="F1892">
            <v>0</v>
          </cell>
          <cell r="H1892">
            <v>0</v>
          </cell>
          <cell r="I1892">
            <v>0</v>
          </cell>
        </row>
        <row r="1893">
          <cell r="F1893">
            <v>0</v>
          </cell>
          <cell r="H1893">
            <v>0</v>
          </cell>
          <cell r="I1893">
            <v>0</v>
          </cell>
        </row>
        <row r="1894">
          <cell r="F1894">
            <v>0</v>
          </cell>
          <cell r="H1894">
            <v>0</v>
          </cell>
          <cell r="I1894">
            <v>0</v>
          </cell>
        </row>
        <row r="1895">
          <cell r="F1895">
            <v>0</v>
          </cell>
          <cell r="H1895">
            <v>0</v>
          </cell>
          <cell r="I1895">
            <v>0</v>
          </cell>
        </row>
        <row r="1896">
          <cell r="F1896">
            <v>0</v>
          </cell>
          <cell r="H1896">
            <v>0</v>
          </cell>
          <cell r="I1896">
            <v>0</v>
          </cell>
        </row>
        <row r="1897">
          <cell r="F1897">
            <v>0</v>
          </cell>
          <cell r="H1897">
            <v>0</v>
          </cell>
          <cell r="I1897">
            <v>0</v>
          </cell>
        </row>
        <row r="1898">
          <cell r="F1898">
            <v>0</v>
          </cell>
          <cell r="H1898">
            <v>0</v>
          </cell>
          <cell r="I1898">
            <v>0</v>
          </cell>
        </row>
        <row r="1899">
          <cell r="F1899">
            <v>0</v>
          </cell>
          <cell r="H1899">
            <v>0</v>
          </cell>
          <cell r="I1899">
            <v>0</v>
          </cell>
        </row>
        <row r="1900">
          <cell r="F1900">
            <v>0</v>
          </cell>
          <cell r="H1900">
            <v>0</v>
          </cell>
          <cell r="I1900">
            <v>0</v>
          </cell>
        </row>
        <row r="1901">
          <cell r="F1901">
            <v>0</v>
          </cell>
          <cell r="H1901">
            <v>0</v>
          </cell>
          <cell r="I1901">
            <v>0</v>
          </cell>
        </row>
        <row r="1902">
          <cell r="F1902">
            <v>0</v>
          </cell>
          <cell r="H1902">
            <v>0</v>
          </cell>
          <cell r="I1902">
            <v>0</v>
          </cell>
        </row>
        <row r="1903">
          <cell r="F1903">
            <v>0</v>
          </cell>
          <cell r="H1903">
            <v>0</v>
          </cell>
          <cell r="I1903">
            <v>0</v>
          </cell>
        </row>
        <row r="1904">
          <cell r="F1904">
            <v>0</v>
          </cell>
          <cell r="H1904">
            <v>0</v>
          </cell>
          <cell r="I1904">
            <v>0</v>
          </cell>
        </row>
        <row r="1905">
          <cell r="F1905">
            <v>0</v>
          </cell>
          <cell r="H1905">
            <v>0</v>
          </cell>
          <cell r="I1905">
            <v>0</v>
          </cell>
        </row>
        <row r="1906">
          <cell r="F1906">
            <v>0</v>
          </cell>
          <cell r="H1906">
            <v>0</v>
          </cell>
          <cell r="I1906">
            <v>0</v>
          </cell>
        </row>
        <row r="1907">
          <cell r="F1907">
            <v>0</v>
          </cell>
          <cell r="H1907">
            <v>0</v>
          </cell>
          <cell r="I1907">
            <v>0</v>
          </cell>
        </row>
        <row r="1908">
          <cell r="F1908">
            <v>0</v>
          </cell>
          <cell r="H1908">
            <v>0</v>
          </cell>
          <cell r="I1908">
            <v>0</v>
          </cell>
        </row>
        <row r="1909">
          <cell r="F1909">
            <v>0</v>
          </cell>
          <cell r="H1909">
            <v>0</v>
          </cell>
          <cell r="I1909">
            <v>0</v>
          </cell>
        </row>
        <row r="1910">
          <cell r="F1910">
            <v>0</v>
          </cell>
          <cell r="H1910">
            <v>0</v>
          </cell>
          <cell r="I1910">
            <v>0</v>
          </cell>
        </row>
        <row r="1911">
          <cell r="F1911">
            <v>0</v>
          </cell>
          <cell r="H1911">
            <v>0</v>
          </cell>
          <cell r="I1911">
            <v>0</v>
          </cell>
        </row>
        <row r="1912">
          <cell r="F1912">
            <v>0</v>
          </cell>
          <cell r="H1912">
            <v>0</v>
          </cell>
          <cell r="I1912">
            <v>0</v>
          </cell>
        </row>
        <row r="1913">
          <cell r="F1913">
            <v>0</v>
          </cell>
          <cell r="H1913">
            <v>0</v>
          </cell>
          <cell r="I1913">
            <v>0</v>
          </cell>
        </row>
        <row r="1914">
          <cell r="F1914">
            <v>0</v>
          </cell>
          <cell r="H1914">
            <v>0</v>
          </cell>
          <cell r="I1914">
            <v>0</v>
          </cell>
        </row>
        <row r="1915">
          <cell r="F1915">
            <v>0</v>
          </cell>
          <cell r="H1915">
            <v>0</v>
          </cell>
          <cell r="I1915">
            <v>0</v>
          </cell>
        </row>
        <row r="1916">
          <cell r="F1916">
            <v>0</v>
          </cell>
          <cell r="H1916">
            <v>0</v>
          </cell>
          <cell r="I1916">
            <v>0</v>
          </cell>
        </row>
        <row r="1917">
          <cell r="F1917">
            <v>0</v>
          </cell>
          <cell r="H1917">
            <v>0</v>
          </cell>
          <cell r="I1917">
            <v>0</v>
          </cell>
        </row>
        <row r="1918">
          <cell r="F1918">
            <v>0</v>
          </cell>
          <cell r="H1918">
            <v>0</v>
          </cell>
          <cell r="I1918">
            <v>0</v>
          </cell>
        </row>
        <row r="1919">
          <cell r="F1919">
            <v>0</v>
          </cell>
          <cell r="H1919">
            <v>0</v>
          </cell>
          <cell r="I1919">
            <v>0</v>
          </cell>
        </row>
        <row r="1920">
          <cell r="F1920">
            <v>0</v>
          </cell>
          <cell r="H1920">
            <v>0</v>
          </cell>
          <cell r="I1920">
            <v>0</v>
          </cell>
        </row>
        <row r="1921">
          <cell r="F1921">
            <v>0</v>
          </cell>
          <cell r="H1921">
            <v>0</v>
          </cell>
          <cell r="I1921">
            <v>0</v>
          </cell>
        </row>
        <row r="1922">
          <cell r="F1922">
            <v>0</v>
          </cell>
          <cell r="H1922">
            <v>0</v>
          </cell>
          <cell r="I1922">
            <v>0</v>
          </cell>
        </row>
        <row r="1923">
          <cell r="F1923">
            <v>0</v>
          </cell>
          <cell r="H1923">
            <v>0</v>
          </cell>
          <cell r="I1923">
            <v>0</v>
          </cell>
        </row>
        <row r="1924">
          <cell r="F1924">
            <v>0</v>
          </cell>
          <cell r="H1924">
            <v>0</v>
          </cell>
          <cell r="I1924">
            <v>0</v>
          </cell>
        </row>
        <row r="1925">
          <cell r="F1925">
            <v>0</v>
          </cell>
          <cell r="H1925">
            <v>0</v>
          </cell>
          <cell r="I1925">
            <v>0</v>
          </cell>
        </row>
        <row r="1926">
          <cell r="F1926">
            <v>0</v>
          </cell>
          <cell r="H1926">
            <v>0</v>
          </cell>
          <cell r="I1926">
            <v>0</v>
          </cell>
        </row>
        <row r="1927">
          <cell r="F1927">
            <v>0</v>
          </cell>
          <cell r="H1927">
            <v>0</v>
          </cell>
          <cell r="I1927">
            <v>0</v>
          </cell>
        </row>
        <row r="1928">
          <cell r="F1928">
            <v>0</v>
          </cell>
          <cell r="H1928">
            <v>0</v>
          </cell>
          <cell r="I1928">
            <v>0</v>
          </cell>
        </row>
        <row r="1929">
          <cell r="F1929">
            <v>0</v>
          </cell>
          <cell r="H1929">
            <v>0</v>
          </cell>
          <cell r="I1929">
            <v>0</v>
          </cell>
        </row>
        <row r="1930">
          <cell r="F1930">
            <v>0</v>
          </cell>
          <cell r="H1930">
            <v>0</v>
          </cell>
          <cell r="I1930">
            <v>0</v>
          </cell>
        </row>
        <row r="1931">
          <cell r="F1931">
            <v>0</v>
          </cell>
          <cell r="H1931">
            <v>0</v>
          </cell>
          <cell r="I1931">
            <v>0</v>
          </cell>
        </row>
        <row r="1932">
          <cell r="F1932">
            <v>0</v>
          </cell>
          <cell r="H1932">
            <v>0</v>
          </cell>
          <cell r="I1932">
            <v>0</v>
          </cell>
        </row>
        <row r="1933">
          <cell r="F1933">
            <v>0</v>
          </cell>
          <cell r="H1933">
            <v>0</v>
          </cell>
          <cell r="I1933">
            <v>0</v>
          </cell>
        </row>
        <row r="1934">
          <cell r="F1934">
            <v>0</v>
          </cell>
          <cell r="H1934">
            <v>0</v>
          </cell>
          <cell r="I1934">
            <v>0</v>
          </cell>
        </row>
        <row r="1935">
          <cell r="F1935">
            <v>0</v>
          </cell>
          <cell r="H1935">
            <v>0</v>
          </cell>
          <cell r="I1935">
            <v>0</v>
          </cell>
        </row>
        <row r="1936">
          <cell r="F1936">
            <v>0</v>
          </cell>
          <cell r="H1936">
            <v>0</v>
          </cell>
          <cell r="I1936">
            <v>0</v>
          </cell>
        </row>
        <row r="1937">
          <cell r="F1937">
            <v>0</v>
          </cell>
          <cell r="H1937">
            <v>0</v>
          </cell>
          <cell r="I1937">
            <v>0</v>
          </cell>
        </row>
        <row r="1938">
          <cell r="F1938">
            <v>0</v>
          </cell>
          <cell r="H1938">
            <v>0</v>
          </cell>
          <cell r="I1938">
            <v>0</v>
          </cell>
        </row>
        <row r="1939">
          <cell r="F1939">
            <v>0</v>
          </cell>
          <cell r="H1939">
            <v>0</v>
          </cell>
          <cell r="I1939">
            <v>0</v>
          </cell>
        </row>
        <row r="1940">
          <cell r="F1940">
            <v>0</v>
          </cell>
          <cell r="H1940">
            <v>0</v>
          </cell>
          <cell r="I1940">
            <v>0</v>
          </cell>
        </row>
        <row r="1941">
          <cell r="F1941">
            <v>0</v>
          </cell>
          <cell r="H1941">
            <v>0</v>
          </cell>
          <cell r="I1941">
            <v>0</v>
          </cell>
        </row>
        <row r="1942">
          <cell r="F1942">
            <v>0</v>
          </cell>
          <cell r="H1942">
            <v>0</v>
          </cell>
          <cell r="I1942">
            <v>0</v>
          </cell>
        </row>
        <row r="1943">
          <cell r="F1943">
            <v>0</v>
          </cell>
          <cell r="H1943">
            <v>0</v>
          </cell>
          <cell r="I1943">
            <v>0</v>
          </cell>
        </row>
        <row r="1944">
          <cell r="F1944">
            <v>0</v>
          </cell>
          <cell r="H1944">
            <v>0</v>
          </cell>
          <cell r="I1944">
            <v>0</v>
          </cell>
        </row>
        <row r="1945">
          <cell r="F1945">
            <v>0</v>
          </cell>
          <cell r="H1945">
            <v>0</v>
          </cell>
          <cell r="I1945">
            <v>0</v>
          </cell>
        </row>
        <row r="1946">
          <cell r="F1946">
            <v>0</v>
          </cell>
          <cell r="H1946">
            <v>0</v>
          </cell>
          <cell r="I1946">
            <v>0</v>
          </cell>
        </row>
        <row r="1947">
          <cell r="F1947">
            <v>0</v>
          </cell>
          <cell r="H1947">
            <v>0</v>
          </cell>
          <cell r="I1947">
            <v>0</v>
          </cell>
        </row>
        <row r="1948">
          <cell r="F1948">
            <v>0</v>
          </cell>
          <cell r="H1948">
            <v>0</v>
          </cell>
          <cell r="I1948">
            <v>0</v>
          </cell>
        </row>
        <row r="1949">
          <cell r="F1949">
            <v>0</v>
          </cell>
          <cell r="H1949">
            <v>0</v>
          </cell>
          <cell r="I1949">
            <v>0</v>
          </cell>
        </row>
        <row r="1950">
          <cell r="F1950">
            <v>0</v>
          </cell>
          <cell r="H1950">
            <v>0</v>
          </cell>
          <cell r="I1950">
            <v>0</v>
          </cell>
        </row>
        <row r="1951">
          <cell r="F1951">
            <v>0</v>
          </cell>
          <cell r="H1951">
            <v>0</v>
          </cell>
          <cell r="I1951">
            <v>0</v>
          </cell>
        </row>
        <row r="1952">
          <cell r="F1952">
            <v>0</v>
          </cell>
          <cell r="H1952">
            <v>0</v>
          </cell>
          <cell r="I1952">
            <v>0</v>
          </cell>
        </row>
        <row r="1953">
          <cell r="F1953">
            <v>0</v>
          </cell>
          <cell r="H1953">
            <v>0</v>
          </cell>
          <cell r="I1953">
            <v>0</v>
          </cell>
        </row>
        <row r="1954">
          <cell r="F1954">
            <v>0</v>
          </cell>
          <cell r="H1954">
            <v>0</v>
          </cell>
          <cell r="I1954">
            <v>0</v>
          </cell>
        </row>
        <row r="1955">
          <cell r="F1955">
            <v>0</v>
          </cell>
          <cell r="H1955">
            <v>0</v>
          </cell>
          <cell r="I1955">
            <v>0</v>
          </cell>
        </row>
        <row r="1956">
          <cell r="F1956">
            <v>0</v>
          </cell>
          <cell r="H1956">
            <v>0</v>
          </cell>
          <cell r="I1956">
            <v>0</v>
          </cell>
        </row>
        <row r="1957">
          <cell r="F1957">
            <v>0</v>
          </cell>
          <cell r="H1957">
            <v>0</v>
          </cell>
          <cell r="I1957">
            <v>0</v>
          </cell>
        </row>
        <row r="1958">
          <cell r="F1958">
            <v>0</v>
          </cell>
          <cell r="H1958">
            <v>0</v>
          </cell>
          <cell r="I1958">
            <v>0</v>
          </cell>
        </row>
        <row r="1959">
          <cell r="F1959">
            <v>0</v>
          </cell>
          <cell r="H1959">
            <v>0</v>
          </cell>
          <cell r="I1959">
            <v>0</v>
          </cell>
        </row>
        <row r="1960">
          <cell r="F1960">
            <v>0</v>
          </cell>
          <cell r="H1960">
            <v>0</v>
          </cell>
          <cell r="I1960">
            <v>0</v>
          </cell>
        </row>
        <row r="1961">
          <cell r="F1961">
            <v>0</v>
          </cell>
          <cell r="H1961">
            <v>0</v>
          </cell>
          <cell r="I1961">
            <v>0</v>
          </cell>
        </row>
        <row r="1962">
          <cell r="F1962">
            <v>0</v>
          </cell>
          <cell r="H1962">
            <v>0</v>
          </cell>
          <cell r="I1962">
            <v>0</v>
          </cell>
        </row>
        <row r="1963">
          <cell r="F1963">
            <v>0</v>
          </cell>
          <cell r="H1963">
            <v>0</v>
          </cell>
          <cell r="I1963">
            <v>0</v>
          </cell>
        </row>
        <row r="1964">
          <cell r="F1964">
            <v>0</v>
          </cell>
          <cell r="H1964">
            <v>0</v>
          </cell>
          <cell r="I1964">
            <v>0</v>
          </cell>
        </row>
        <row r="1965">
          <cell r="F1965">
            <v>0</v>
          </cell>
          <cell r="H1965">
            <v>0</v>
          </cell>
          <cell r="I1965">
            <v>0</v>
          </cell>
        </row>
        <row r="1966">
          <cell r="F1966">
            <v>0</v>
          </cell>
          <cell r="H1966">
            <v>0</v>
          </cell>
          <cell r="I1966">
            <v>0</v>
          </cell>
        </row>
        <row r="1967">
          <cell r="F1967">
            <v>0</v>
          </cell>
          <cell r="H1967">
            <v>0</v>
          </cell>
          <cell r="I1967">
            <v>0</v>
          </cell>
        </row>
        <row r="1968">
          <cell r="F1968">
            <v>0</v>
          </cell>
          <cell r="H1968">
            <v>0</v>
          </cell>
          <cell r="I1968">
            <v>0</v>
          </cell>
        </row>
        <row r="1969">
          <cell r="F1969">
            <v>0</v>
          </cell>
          <cell r="H1969">
            <v>0</v>
          </cell>
          <cell r="I1969">
            <v>0</v>
          </cell>
        </row>
        <row r="1970">
          <cell r="F1970">
            <v>0</v>
          </cell>
          <cell r="H1970">
            <v>0</v>
          </cell>
          <cell r="I1970">
            <v>0</v>
          </cell>
        </row>
        <row r="1971">
          <cell r="F1971">
            <v>0</v>
          </cell>
          <cell r="H1971">
            <v>0</v>
          </cell>
          <cell r="I1971">
            <v>0</v>
          </cell>
        </row>
        <row r="1972">
          <cell r="F1972">
            <v>0</v>
          </cell>
          <cell r="H1972">
            <v>0</v>
          </cell>
          <cell r="I1972">
            <v>0</v>
          </cell>
        </row>
        <row r="1973">
          <cell r="F1973">
            <v>0</v>
          </cell>
          <cell r="H1973">
            <v>0</v>
          </cell>
          <cell r="I1973">
            <v>0</v>
          </cell>
        </row>
        <row r="1974">
          <cell r="F1974">
            <v>0</v>
          </cell>
          <cell r="H1974">
            <v>0</v>
          </cell>
          <cell r="I1974">
            <v>0</v>
          </cell>
        </row>
        <row r="1975">
          <cell r="F1975">
            <v>0</v>
          </cell>
          <cell r="H1975">
            <v>0</v>
          </cell>
          <cell r="I1975">
            <v>0</v>
          </cell>
        </row>
        <row r="1976">
          <cell r="F1976">
            <v>0</v>
          </cell>
          <cell r="H1976">
            <v>0</v>
          </cell>
          <cell r="I1976">
            <v>0</v>
          </cell>
        </row>
        <row r="1977">
          <cell r="F1977">
            <v>0</v>
          </cell>
          <cell r="H1977">
            <v>0</v>
          </cell>
          <cell r="I1977">
            <v>0</v>
          </cell>
        </row>
        <row r="1978">
          <cell r="F1978">
            <v>0</v>
          </cell>
          <cell r="H1978">
            <v>0</v>
          </cell>
          <cell r="I1978">
            <v>0</v>
          </cell>
        </row>
        <row r="1979">
          <cell r="F1979">
            <v>0</v>
          </cell>
          <cell r="H1979">
            <v>0</v>
          </cell>
          <cell r="I1979">
            <v>0</v>
          </cell>
        </row>
        <row r="1980">
          <cell r="F1980">
            <v>0</v>
          </cell>
          <cell r="H1980">
            <v>0</v>
          </cell>
          <cell r="I1980">
            <v>0</v>
          </cell>
        </row>
        <row r="1981">
          <cell r="F1981">
            <v>0</v>
          </cell>
          <cell r="H1981">
            <v>0</v>
          </cell>
          <cell r="I1981">
            <v>0</v>
          </cell>
        </row>
        <row r="1982">
          <cell r="F1982">
            <v>0</v>
          </cell>
          <cell r="H1982">
            <v>0</v>
          </cell>
          <cell r="I1982">
            <v>0</v>
          </cell>
        </row>
        <row r="1983">
          <cell r="F1983">
            <v>0</v>
          </cell>
          <cell r="H1983">
            <v>0</v>
          </cell>
          <cell r="I1983">
            <v>0</v>
          </cell>
        </row>
        <row r="1984">
          <cell r="F1984">
            <v>0</v>
          </cell>
          <cell r="H1984">
            <v>0</v>
          </cell>
          <cell r="I1984">
            <v>0</v>
          </cell>
        </row>
        <row r="1985">
          <cell r="F1985">
            <v>0</v>
          </cell>
          <cell r="H1985">
            <v>0</v>
          </cell>
          <cell r="I1985">
            <v>0</v>
          </cell>
        </row>
        <row r="1986">
          <cell r="F1986">
            <v>0</v>
          </cell>
          <cell r="H1986">
            <v>0</v>
          </cell>
          <cell r="I1986">
            <v>0</v>
          </cell>
        </row>
        <row r="1987">
          <cell r="F1987">
            <v>0</v>
          </cell>
          <cell r="H1987">
            <v>0</v>
          </cell>
          <cell r="I1987">
            <v>0</v>
          </cell>
        </row>
        <row r="1988">
          <cell r="F1988">
            <v>0</v>
          </cell>
          <cell r="H1988">
            <v>0</v>
          </cell>
          <cell r="I1988">
            <v>0</v>
          </cell>
        </row>
        <row r="1989">
          <cell r="F1989">
            <v>0</v>
          </cell>
          <cell r="H1989">
            <v>0</v>
          </cell>
          <cell r="I1989">
            <v>0</v>
          </cell>
        </row>
        <row r="1990">
          <cell r="F1990">
            <v>0</v>
          </cell>
          <cell r="H1990">
            <v>0</v>
          </cell>
          <cell r="I1990">
            <v>0</v>
          </cell>
        </row>
        <row r="1991">
          <cell r="F1991">
            <v>0</v>
          </cell>
          <cell r="H1991">
            <v>0</v>
          </cell>
          <cell r="I1991">
            <v>0</v>
          </cell>
        </row>
        <row r="1992">
          <cell r="F1992">
            <v>0</v>
          </cell>
          <cell r="H1992">
            <v>0</v>
          </cell>
          <cell r="I1992">
            <v>0</v>
          </cell>
        </row>
        <row r="1993">
          <cell r="F1993">
            <v>0</v>
          </cell>
          <cell r="H1993">
            <v>0</v>
          </cell>
          <cell r="I1993">
            <v>0</v>
          </cell>
        </row>
        <row r="1994">
          <cell r="F1994">
            <v>0</v>
          </cell>
          <cell r="H1994">
            <v>0</v>
          </cell>
          <cell r="I1994">
            <v>0</v>
          </cell>
        </row>
        <row r="1995">
          <cell r="F1995">
            <v>0</v>
          </cell>
          <cell r="H1995">
            <v>0</v>
          </cell>
          <cell r="I1995">
            <v>0</v>
          </cell>
        </row>
        <row r="1996">
          <cell r="F1996">
            <v>0</v>
          </cell>
          <cell r="H1996">
            <v>0</v>
          </cell>
          <cell r="I1996">
            <v>0</v>
          </cell>
        </row>
        <row r="1997">
          <cell r="F1997">
            <v>0</v>
          </cell>
          <cell r="H1997">
            <v>0</v>
          </cell>
          <cell r="I1997">
            <v>0</v>
          </cell>
        </row>
        <row r="1998">
          <cell r="F1998">
            <v>0</v>
          </cell>
          <cell r="H1998">
            <v>0</v>
          </cell>
          <cell r="I1998">
            <v>0</v>
          </cell>
        </row>
        <row r="1999">
          <cell r="F1999">
            <v>0</v>
          </cell>
          <cell r="H1999">
            <v>0</v>
          </cell>
          <cell r="I1999">
            <v>0</v>
          </cell>
        </row>
        <row r="2000">
          <cell r="F2000">
            <v>0</v>
          </cell>
          <cell r="H2000">
            <v>0</v>
          </cell>
          <cell r="I2000">
            <v>0</v>
          </cell>
        </row>
        <row r="2001">
          <cell r="F2001">
            <v>0</v>
          </cell>
          <cell r="H2001">
            <v>0</v>
          </cell>
          <cell r="I2001">
            <v>0</v>
          </cell>
        </row>
        <row r="2002">
          <cell r="F2002">
            <v>0</v>
          </cell>
          <cell r="H2002">
            <v>0</v>
          </cell>
          <cell r="I2002">
            <v>0</v>
          </cell>
        </row>
        <row r="2003">
          <cell r="F2003">
            <v>0</v>
          </cell>
          <cell r="H2003">
            <v>0</v>
          </cell>
          <cell r="I2003">
            <v>0</v>
          </cell>
        </row>
        <row r="2004">
          <cell r="F2004">
            <v>0</v>
          </cell>
          <cell r="H2004">
            <v>0</v>
          </cell>
          <cell r="I2004">
            <v>0</v>
          </cell>
        </row>
        <row r="2005">
          <cell r="F2005">
            <v>0</v>
          </cell>
          <cell r="H2005">
            <v>0</v>
          </cell>
          <cell r="I2005">
            <v>0</v>
          </cell>
        </row>
        <row r="2006">
          <cell r="F2006">
            <v>0</v>
          </cell>
          <cell r="H2006">
            <v>0</v>
          </cell>
          <cell r="I2006">
            <v>0</v>
          </cell>
        </row>
        <row r="2007">
          <cell r="F2007">
            <v>0</v>
          </cell>
          <cell r="H2007">
            <v>0</v>
          </cell>
          <cell r="I2007">
            <v>0</v>
          </cell>
        </row>
        <row r="2008">
          <cell r="F2008">
            <v>0</v>
          </cell>
          <cell r="H2008">
            <v>0</v>
          </cell>
          <cell r="I2008">
            <v>0</v>
          </cell>
        </row>
        <row r="2009">
          <cell r="F2009">
            <v>0</v>
          </cell>
          <cell r="H2009">
            <v>0</v>
          </cell>
          <cell r="I2009">
            <v>0</v>
          </cell>
        </row>
        <row r="2010">
          <cell r="F2010">
            <v>0</v>
          </cell>
          <cell r="H2010">
            <v>0</v>
          </cell>
          <cell r="I2010">
            <v>0</v>
          </cell>
        </row>
        <row r="2011">
          <cell r="F2011">
            <v>0</v>
          </cell>
          <cell r="H2011">
            <v>0</v>
          </cell>
          <cell r="I2011">
            <v>0</v>
          </cell>
        </row>
        <row r="2012">
          <cell r="F2012">
            <v>0</v>
          </cell>
          <cell r="H2012">
            <v>0</v>
          </cell>
          <cell r="I2012">
            <v>0</v>
          </cell>
        </row>
        <row r="2013">
          <cell r="F2013">
            <v>0</v>
          </cell>
          <cell r="H2013">
            <v>0</v>
          </cell>
          <cell r="I2013">
            <v>0</v>
          </cell>
        </row>
        <row r="2014">
          <cell r="F2014">
            <v>0</v>
          </cell>
          <cell r="H2014">
            <v>0</v>
          </cell>
          <cell r="I2014">
            <v>0</v>
          </cell>
        </row>
        <row r="2015">
          <cell r="F2015">
            <v>0</v>
          </cell>
          <cell r="H2015">
            <v>0</v>
          </cell>
          <cell r="I2015">
            <v>0</v>
          </cell>
        </row>
        <row r="2016">
          <cell r="F2016">
            <v>0</v>
          </cell>
          <cell r="H2016">
            <v>0</v>
          </cell>
          <cell r="I2016">
            <v>0</v>
          </cell>
        </row>
        <row r="2017">
          <cell r="F2017">
            <v>0</v>
          </cell>
          <cell r="H2017">
            <v>0</v>
          </cell>
          <cell r="I2017">
            <v>0</v>
          </cell>
        </row>
        <row r="2018">
          <cell r="F2018">
            <v>0</v>
          </cell>
          <cell r="H2018">
            <v>0</v>
          </cell>
          <cell r="I2018">
            <v>0</v>
          </cell>
        </row>
        <row r="2019">
          <cell r="F2019">
            <v>0</v>
          </cell>
          <cell r="H2019">
            <v>0</v>
          </cell>
          <cell r="I2019">
            <v>0</v>
          </cell>
        </row>
        <row r="2020">
          <cell r="F2020">
            <v>0</v>
          </cell>
          <cell r="H2020">
            <v>0</v>
          </cell>
          <cell r="I2020">
            <v>0</v>
          </cell>
        </row>
        <row r="2021">
          <cell r="F2021">
            <v>0</v>
          </cell>
          <cell r="H2021">
            <v>0</v>
          </cell>
          <cell r="I2021">
            <v>0</v>
          </cell>
        </row>
        <row r="2022">
          <cell r="F2022">
            <v>0</v>
          </cell>
          <cell r="H2022">
            <v>0</v>
          </cell>
          <cell r="I2022">
            <v>0</v>
          </cell>
        </row>
        <row r="2023">
          <cell r="F2023">
            <v>0</v>
          </cell>
          <cell r="H2023">
            <v>0</v>
          </cell>
          <cell r="I2023">
            <v>0</v>
          </cell>
        </row>
        <row r="2024">
          <cell r="F2024">
            <v>0</v>
          </cell>
          <cell r="H2024">
            <v>0</v>
          </cell>
          <cell r="I2024">
            <v>0</v>
          </cell>
        </row>
        <row r="2025">
          <cell r="F2025">
            <v>0</v>
          </cell>
          <cell r="H2025">
            <v>0</v>
          </cell>
          <cell r="I2025">
            <v>0</v>
          </cell>
        </row>
        <row r="2026">
          <cell r="F2026">
            <v>0</v>
          </cell>
          <cell r="H2026">
            <v>0</v>
          </cell>
          <cell r="I2026">
            <v>0</v>
          </cell>
        </row>
        <row r="2027">
          <cell r="F2027">
            <v>0</v>
          </cell>
          <cell r="H2027">
            <v>0</v>
          </cell>
          <cell r="I2027">
            <v>0</v>
          </cell>
        </row>
        <row r="2028">
          <cell r="F2028">
            <v>0</v>
          </cell>
          <cell r="H2028">
            <v>0</v>
          </cell>
          <cell r="I2028">
            <v>0</v>
          </cell>
        </row>
        <row r="2029">
          <cell r="F2029">
            <v>0</v>
          </cell>
          <cell r="H2029">
            <v>0</v>
          </cell>
          <cell r="I2029">
            <v>0</v>
          </cell>
        </row>
        <row r="2030">
          <cell r="F2030">
            <v>0</v>
          </cell>
          <cell r="H2030">
            <v>0</v>
          </cell>
          <cell r="I2030">
            <v>0</v>
          </cell>
        </row>
        <row r="2031">
          <cell r="F2031">
            <v>0</v>
          </cell>
          <cell r="H2031">
            <v>0</v>
          </cell>
          <cell r="I2031">
            <v>0</v>
          </cell>
        </row>
        <row r="2032">
          <cell r="F2032">
            <v>0</v>
          </cell>
          <cell r="H2032">
            <v>0</v>
          </cell>
          <cell r="I2032">
            <v>0</v>
          </cell>
        </row>
        <row r="2033">
          <cell r="F2033">
            <v>0</v>
          </cell>
          <cell r="H2033">
            <v>0</v>
          </cell>
          <cell r="I2033">
            <v>0</v>
          </cell>
        </row>
        <row r="2034">
          <cell r="F2034">
            <v>0</v>
          </cell>
          <cell r="H2034">
            <v>0</v>
          </cell>
          <cell r="I2034">
            <v>0</v>
          </cell>
        </row>
        <row r="2035">
          <cell r="F2035">
            <v>0</v>
          </cell>
          <cell r="H2035">
            <v>0</v>
          </cell>
          <cell r="I2035">
            <v>0</v>
          </cell>
        </row>
        <row r="2036">
          <cell r="F2036">
            <v>0</v>
          </cell>
          <cell r="H2036">
            <v>0</v>
          </cell>
          <cell r="I2036">
            <v>0</v>
          </cell>
        </row>
        <row r="2037">
          <cell r="F2037">
            <v>0</v>
          </cell>
          <cell r="H2037">
            <v>0</v>
          </cell>
          <cell r="I2037">
            <v>0</v>
          </cell>
        </row>
        <row r="2038">
          <cell r="F2038">
            <v>0</v>
          </cell>
          <cell r="H2038">
            <v>0</v>
          </cell>
          <cell r="I2038">
            <v>0</v>
          </cell>
        </row>
        <row r="2039">
          <cell r="F2039">
            <v>0</v>
          </cell>
          <cell r="H2039">
            <v>0</v>
          </cell>
          <cell r="I2039">
            <v>0</v>
          </cell>
        </row>
        <row r="2040">
          <cell r="F2040">
            <v>0</v>
          </cell>
          <cell r="H2040">
            <v>0</v>
          </cell>
          <cell r="I2040">
            <v>0</v>
          </cell>
        </row>
        <row r="2041">
          <cell r="F2041">
            <v>0</v>
          </cell>
          <cell r="H2041">
            <v>0</v>
          </cell>
          <cell r="I2041">
            <v>0</v>
          </cell>
        </row>
        <row r="2042">
          <cell r="F2042">
            <v>0</v>
          </cell>
          <cell r="H2042">
            <v>0</v>
          </cell>
          <cell r="I2042">
            <v>0</v>
          </cell>
        </row>
        <row r="2043">
          <cell r="F2043">
            <v>0</v>
          </cell>
          <cell r="H2043">
            <v>0</v>
          </cell>
          <cell r="I2043">
            <v>0</v>
          </cell>
        </row>
        <row r="2044">
          <cell r="F2044">
            <v>0</v>
          </cell>
          <cell r="H2044">
            <v>0</v>
          </cell>
          <cell r="I2044">
            <v>0</v>
          </cell>
        </row>
        <row r="2045">
          <cell r="F2045">
            <v>0</v>
          </cell>
          <cell r="H2045">
            <v>0</v>
          </cell>
          <cell r="I2045">
            <v>0</v>
          </cell>
        </row>
        <row r="2046">
          <cell r="F2046">
            <v>0</v>
          </cell>
          <cell r="H2046">
            <v>0</v>
          </cell>
          <cell r="I2046">
            <v>0</v>
          </cell>
        </row>
        <row r="2047">
          <cell r="F2047">
            <v>0</v>
          </cell>
          <cell r="H2047">
            <v>0</v>
          </cell>
          <cell r="I2047">
            <v>0</v>
          </cell>
        </row>
        <row r="2048">
          <cell r="F2048">
            <v>0</v>
          </cell>
          <cell r="H2048">
            <v>0</v>
          </cell>
          <cell r="I2048">
            <v>0</v>
          </cell>
        </row>
        <row r="2049">
          <cell r="F2049">
            <v>0</v>
          </cell>
          <cell r="H2049">
            <v>0</v>
          </cell>
          <cell r="I2049">
            <v>0</v>
          </cell>
        </row>
        <row r="2050">
          <cell r="F2050">
            <v>0</v>
          </cell>
          <cell r="H2050">
            <v>0</v>
          </cell>
          <cell r="I2050">
            <v>0</v>
          </cell>
        </row>
        <row r="2051">
          <cell r="F2051">
            <v>0</v>
          </cell>
          <cell r="H2051">
            <v>0</v>
          </cell>
          <cell r="I2051">
            <v>0</v>
          </cell>
        </row>
        <row r="2052">
          <cell r="F2052">
            <v>0</v>
          </cell>
          <cell r="H2052">
            <v>0</v>
          </cell>
          <cell r="I2052">
            <v>0</v>
          </cell>
        </row>
        <row r="2053">
          <cell r="F2053">
            <v>0</v>
          </cell>
          <cell r="H2053">
            <v>0</v>
          </cell>
          <cell r="I2053">
            <v>0</v>
          </cell>
        </row>
        <row r="2054">
          <cell r="F2054">
            <v>0</v>
          </cell>
          <cell r="H2054">
            <v>0</v>
          </cell>
          <cell r="I2054">
            <v>0</v>
          </cell>
        </row>
        <row r="2055">
          <cell r="F2055">
            <v>0</v>
          </cell>
          <cell r="H2055">
            <v>0</v>
          </cell>
          <cell r="I2055">
            <v>0</v>
          </cell>
        </row>
        <row r="2056">
          <cell r="F2056">
            <v>0</v>
          </cell>
          <cell r="H2056">
            <v>0</v>
          </cell>
          <cell r="I2056">
            <v>0</v>
          </cell>
        </row>
        <row r="2057">
          <cell r="F2057">
            <v>0</v>
          </cell>
          <cell r="H2057">
            <v>0</v>
          </cell>
          <cell r="I2057">
            <v>0</v>
          </cell>
        </row>
        <row r="2058">
          <cell r="F2058">
            <v>0</v>
          </cell>
          <cell r="H2058">
            <v>0</v>
          </cell>
          <cell r="I2058">
            <v>0</v>
          </cell>
        </row>
        <row r="2059">
          <cell r="F2059">
            <v>0</v>
          </cell>
          <cell r="H2059">
            <v>0</v>
          </cell>
          <cell r="I2059">
            <v>0</v>
          </cell>
        </row>
        <row r="2060">
          <cell r="F2060">
            <v>0</v>
          </cell>
          <cell r="H2060">
            <v>0</v>
          </cell>
          <cell r="I2060">
            <v>0</v>
          </cell>
        </row>
        <row r="2061">
          <cell r="F2061">
            <v>0</v>
          </cell>
          <cell r="H2061">
            <v>0</v>
          </cell>
          <cell r="I2061">
            <v>0</v>
          </cell>
        </row>
        <row r="2062">
          <cell r="F2062">
            <v>0</v>
          </cell>
          <cell r="H2062">
            <v>0</v>
          </cell>
          <cell r="I2062">
            <v>0</v>
          </cell>
        </row>
        <row r="2063">
          <cell r="F2063">
            <v>0</v>
          </cell>
          <cell r="H2063">
            <v>0</v>
          </cell>
          <cell r="I2063">
            <v>0</v>
          </cell>
        </row>
        <row r="2064">
          <cell r="F2064">
            <v>0</v>
          </cell>
          <cell r="H2064">
            <v>0</v>
          </cell>
          <cell r="I2064">
            <v>0</v>
          </cell>
        </row>
        <row r="2065">
          <cell r="F2065">
            <v>0</v>
          </cell>
          <cell r="H2065">
            <v>0</v>
          </cell>
          <cell r="I2065">
            <v>0</v>
          </cell>
        </row>
        <row r="2066">
          <cell r="F2066">
            <v>0</v>
          </cell>
          <cell r="H2066">
            <v>0</v>
          </cell>
          <cell r="I2066">
            <v>0</v>
          </cell>
        </row>
        <row r="2067">
          <cell r="F2067">
            <v>0</v>
          </cell>
          <cell r="H2067">
            <v>0</v>
          </cell>
          <cell r="I2067">
            <v>0</v>
          </cell>
        </row>
        <row r="2068">
          <cell r="F2068">
            <v>0</v>
          </cell>
          <cell r="H2068">
            <v>0</v>
          </cell>
          <cell r="I2068">
            <v>0</v>
          </cell>
        </row>
        <row r="2069">
          <cell r="F2069">
            <v>0</v>
          </cell>
          <cell r="H2069">
            <v>0</v>
          </cell>
          <cell r="I2069">
            <v>0</v>
          </cell>
        </row>
        <row r="2070">
          <cell r="F2070">
            <v>0</v>
          </cell>
          <cell r="H2070">
            <v>0</v>
          </cell>
          <cell r="I2070">
            <v>0</v>
          </cell>
        </row>
        <row r="2071">
          <cell r="F2071">
            <v>0</v>
          </cell>
          <cell r="H2071">
            <v>0</v>
          </cell>
          <cell r="I2071">
            <v>0</v>
          </cell>
        </row>
        <row r="2072">
          <cell r="F2072">
            <v>0</v>
          </cell>
          <cell r="H2072">
            <v>0</v>
          </cell>
          <cell r="I2072">
            <v>0</v>
          </cell>
        </row>
        <row r="2073">
          <cell r="F2073">
            <v>0</v>
          </cell>
          <cell r="H2073">
            <v>0</v>
          </cell>
          <cell r="I2073">
            <v>0</v>
          </cell>
        </row>
        <row r="2074">
          <cell r="F2074">
            <v>0</v>
          </cell>
          <cell r="H2074">
            <v>0</v>
          </cell>
          <cell r="I2074">
            <v>0</v>
          </cell>
        </row>
        <row r="2075">
          <cell r="F2075">
            <v>0</v>
          </cell>
          <cell r="H2075">
            <v>0</v>
          </cell>
          <cell r="I2075">
            <v>0</v>
          </cell>
        </row>
        <row r="2076">
          <cell r="F2076">
            <v>0</v>
          </cell>
          <cell r="H2076">
            <v>0</v>
          </cell>
          <cell r="I2076">
            <v>0</v>
          </cell>
        </row>
        <row r="2077">
          <cell r="F2077">
            <v>0</v>
          </cell>
          <cell r="H2077">
            <v>0</v>
          </cell>
          <cell r="I2077">
            <v>0</v>
          </cell>
        </row>
        <row r="2078">
          <cell r="F2078">
            <v>0</v>
          </cell>
          <cell r="H2078">
            <v>0</v>
          </cell>
          <cell r="I2078">
            <v>0</v>
          </cell>
        </row>
        <row r="2079">
          <cell r="F2079">
            <v>0</v>
          </cell>
          <cell r="H2079">
            <v>0</v>
          </cell>
          <cell r="I2079">
            <v>0</v>
          </cell>
        </row>
        <row r="2080">
          <cell r="F2080">
            <v>0</v>
          </cell>
          <cell r="H2080">
            <v>0</v>
          </cell>
          <cell r="I2080">
            <v>0</v>
          </cell>
        </row>
        <row r="2081">
          <cell r="F2081">
            <v>0</v>
          </cell>
          <cell r="H2081">
            <v>0</v>
          </cell>
          <cell r="I2081">
            <v>0</v>
          </cell>
        </row>
        <row r="2082">
          <cell r="F2082">
            <v>0</v>
          </cell>
          <cell r="H2082">
            <v>0</v>
          </cell>
          <cell r="I2082">
            <v>0</v>
          </cell>
        </row>
        <row r="2083">
          <cell r="F2083">
            <v>0</v>
          </cell>
          <cell r="H2083">
            <v>0</v>
          </cell>
          <cell r="I2083">
            <v>0</v>
          </cell>
        </row>
        <row r="2084">
          <cell r="F2084">
            <v>0</v>
          </cell>
          <cell r="H2084">
            <v>0</v>
          </cell>
          <cell r="I2084">
            <v>0</v>
          </cell>
        </row>
        <row r="2085">
          <cell r="F2085">
            <v>0</v>
          </cell>
          <cell r="H2085">
            <v>0</v>
          </cell>
          <cell r="I2085">
            <v>0</v>
          </cell>
        </row>
        <row r="2086">
          <cell r="F2086">
            <v>0</v>
          </cell>
          <cell r="H2086">
            <v>0</v>
          </cell>
          <cell r="I2086">
            <v>0</v>
          </cell>
        </row>
        <row r="2087">
          <cell r="F2087">
            <v>0</v>
          </cell>
          <cell r="H2087">
            <v>0</v>
          </cell>
          <cell r="I2087">
            <v>0</v>
          </cell>
        </row>
        <row r="2088">
          <cell r="F2088">
            <v>0</v>
          </cell>
          <cell r="H2088">
            <v>0</v>
          </cell>
          <cell r="I2088">
            <v>0</v>
          </cell>
        </row>
        <row r="2089">
          <cell r="F2089">
            <v>0</v>
          </cell>
          <cell r="H2089">
            <v>0</v>
          </cell>
          <cell r="I2089">
            <v>0</v>
          </cell>
        </row>
        <row r="2090">
          <cell r="F2090">
            <v>0</v>
          </cell>
          <cell r="H2090">
            <v>0</v>
          </cell>
          <cell r="I2090">
            <v>0</v>
          </cell>
        </row>
        <row r="2091">
          <cell r="F2091">
            <v>0</v>
          </cell>
          <cell r="H2091">
            <v>0</v>
          </cell>
          <cell r="I2091">
            <v>0</v>
          </cell>
        </row>
        <row r="2092">
          <cell r="F2092">
            <v>0</v>
          </cell>
          <cell r="H2092">
            <v>0</v>
          </cell>
          <cell r="I2092">
            <v>0</v>
          </cell>
        </row>
        <row r="2093">
          <cell r="F2093">
            <v>0</v>
          </cell>
          <cell r="H2093">
            <v>0</v>
          </cell>
          <cell r="I2093">
            <v>0</v>
          </cell>
        </row>
        <row r="2094">
          <cell r="F2094">
            <v>0</v>
          </cell>
          <cell r="H2094">
            <v>0</v>
          </cell>
          <cell r="I2094">
            <v>0</v>
          </cell>
        </row>
        <row r="2095">
          <cell r="F2095">
            <v>0</v>
          </cell>
          <cell r="H2095">
            <v>0</v>
          </cell>
          <cell r="I2095">
            <v>0</v>
          </cell>
        </row>
        <row r="2096">
          <cell r="F2096">
            <v>0</v>
          </cell>
          <cell r="H2096">
            <v>0</v>
          </cell>
          <cell r="I2096">
            <v>0</v>
          </cell>
        </row>
        <row r="2097">
          <cell r="F2097">
            <v>0</v>
          </cell>
          <cell r="H2097">
            <v>0</v>
          </cell>
          <cell r="I2097">
            <v>0</v>
          </cell>
        </row>
        <row r="2098">
          <cell r="F2098">
            <v>0</v>
          </cell>
          <cell r="H2098">
            <v>0</v>
          </cell>
          <cell r="I2098">
            <v>0</v>
          </cell>
        </row>
        <row r="2099">
          <cell r="F2099">
            <v>0</v>
          </cell>
          <cell r="H2099">
            <v>0</v>
          </cell>
          <cell r="I2099">
            <v>0</v>
          </cell>
        </row>
        <row r="2100">
          <cell r="F2100">
            <v>0</v>
          </cell>
          <cell r="H2100">
            <v>0</v>
          </cell>
          <cell r="I2100">
            <v>0</v>
          </cell>
        </row>
        <row r="2101">
          <cell r="F2101">
            <v>0</v>
          </cell>
          <cell r="H2101">
            <v>0</v>
          </cell>
          <cell r="I2101">
            <v>0</v>
          </cell>
        </row>
        <row r="2102">
          <cell r="F2102">
            <v>0</v>
          </cell>
          <cell r="H2102">
            <v>0</v>
          </cell>
          <cell r="I2102">
            <v>0</v>
          </cell>
        </row>
        <row r="2103">
          <cell r="F2103">
            <v>0</v>
          </cell>
          <cell r="H2103">
            <v>0</v>
          </cell>
          <cell r="I2103">
            <v>0</v>
          </cell>
        </row>
        <row r="2104">
          <cell r="F2104">
            <v>0</v>
          </cell>
          <cell r="H2104">
            <v>0</v>
          </cell>
          <cell r="I2104">
            <v>0</v>
          </cell>
        </row>
        <row r="2105">
          <cell r="F2105">
            <v>0</v>
          </cell>
          <cell r="H2105">
            <v>0</v>
          </cell>
          <cell r="I2105">
            <v>0</v>
          </cell>
        </row>
        <row r="2106">
          <cell r="F2106">
            <v>0</v>
          </cell>
          <cell r="H2106">
            <v>0</v>
          </cell>
          <cell r="I2106">
            <v>0</v>
          </cell>
        </row>
        <row r="2107">
          <cell r="F2107">
            <v>0</v>
          </cell>
          <cell r="H2107">
            <v>0</v>
          </cell>
          <cell r="I2107">
            <v>0</v>
          </cell>
        </row>
        <row r="2108">
          <cell r="F2108">
            <v>0</v>
          </cell>
          <cell r="H2108">
            <v>0</v>
          </cell>
          <cell r="I2108">
            <v>0</v>
          </cell>
        </row>
        <row r="2109">
          <cell r="F2109">
            <v>0</v>
          </cell>
          <cell r="H2109">
            <v>0</v>
          </cell>
          <cell r="I2109">
            <v>0</v>
          </cell>
        </row>
        <row r="2110">
          <cell r="F2110">
            <v>0</v>
          </cell>
          <cell r="H2110">
            <v>0</v>
          </cell>
          <cell r="I2110">
            <v>0</v>
          </cell>
        </row>
        <row r="2111">
          <cell r="F2111">
            <v>0</v>
          </cell>
          <cell r="H2111">
            <v>0</v>
          </cell>
          <cell r="I2111">
            <v>0</v>
          </cell>
        </row>
        <row r="2112">
          <cell r="F2112">
            <v>0</v>
          </cell>
          <cell r="H2112">
            <v>0</v>
          </cell>
          <cell r="I2112">
            <v>0</v>
          </cell>
        </row>
        <row r="2113">
          <cell r="F2113">
            <v>0</v>
          </cell>
          <cell r="H2113">
            <v>0</v>
          </cell>
          <cell r="I2113">
            <v>0</v>
          </cell>
        </row>
        <row r="2114">
          <cell r="F2114">
            <v>0</v>
          </cell>
          <cell r="H2114">
            <v>0</v>
          </cell>
          <cell r="I2114">
            <v>0</v>
          </cell>
        </row>
        <row r="2115">
          <cell r="F2115">
            <v>0</v>
          </cell>
          <cell r="H2115">
            <v>0</v>
          </cell>
          <cell r="I2115">
            <v>0</v>
          </cell>
        </row>
        <row r="2116">
          <cell r="F2116">
            <v>0</v>
          </cell>
          <cell r="H2116">
            <v>0</v>
          </cell>
          <cell r="I2116">
            <v>0</v>
          </cell>
        </row>
        <row r="2117">
          <cell r="F2117">
            <v>0</v>
          </cell>
          <cell r="H2117">
            <v>0</v>
          </cell>
          <cell r="I2117">
            <v>0</v>
          </cell>
        </row>
        <row r="2118">
          <cell r="F2118">
            <v>0</v>
          </cell>
          <cell r="H2118">
            <v>0</v>
          </cell>
          <cell r="I2118">
            <v>0</v>
          </cell>
        </row>
        <row r="2119">
          <cell r="F2119">
            <v>0</v>
          </cell>
          <cell r="H2119">
            <v>0</v>
          </cell>
          <cell r="I2119">
            <v>0</v>
          </cell>
        </row>
        <row r="2120">
          <cell r="F2120">
            <v>0</v>
          </cell>
          <cell r="H2120">
            <v>0</v>
          </cell>
          <cell r="I2120">
            <v>0</v>
          </cell>
        </row>
        <row r="2121">
          <cell r="F2121">
            <v>0</v>
          </cell>
          <cell r="H2121">
            <v>0</v>
          </cell>
          <cell r="I2121">
            <v>0</v>
          </cell>
        </row>
        <row r="2122">
          <cell r="F2122">
            <v>0</v>
          </cell>
          <cell r="H2122">
            <v>0</v>
          </cell>
          <cell r="I2122">
            <v>0</v>
          </cell>
        </row>
        <row r="2123">
          <cell r="F2123">
            <v>0</v>
          </cell>
          <cell r="H2123">
            <v>0</v>
          </cell>
          <cell r="I2123">
            <v>0</v>
          </cell>
        </row>
        <row r="2124">
          <cell r="F2124">
            <v>0</v>
          </cell>
          <cell r="H2124">
            <v>0</v>
          </cell>
          <cell r="I2124">
            <v>0</v>
          </cell>
        </row>
        <row r="2125">
          <cell r="F2125">
            <v>0</v>
          </cell>
          <cell r="H2125">
            <v>0</v>
          </cell>
          <cell r="I2125">
            <v>0</v>
          </cell>
        </row>
        <row r="2126">
          <cell r="F2126">
            <v>0</v>
          </cell>
          <cell r="H2126">
            <v>0</v>
          </cell>
          <cell r="I2126">
            <v>0</v>
          </cell>
        </row>
        <row r="2127">
          <cell r="F2127">
            <v>0</v>
          </cell>
          <cell r="H2127">
            <v>0</v>
          </cell>
          <cell r="I2127">
            <v>0</v>
          </cell>
        </row>
        <row r="2128">
          <cell r="F2128">
            <v>0</v>
          </cell>
          <cell r="H2128">
            <v>0</v>
          </cell>
          <cell r="I2128">
            <v>0</v>
          </cell>
        </row>
        <row r="2129">
          <cell r="F2129">
            <v>0</v>
          </cell>
          <cell r="H2129">
            <v>0</v>
          </cell>
          <cell r="I2129">
            <v>0</v>
          </cell>
        </row>
        <row r="2130">
          <cell r="F2130">
            <v>0</v>
          </cell>
          <cell r="H2130">
            <v>0</v>
          </cell>
          <cell r="I2130">
            <v>0</v>
          </cell>
        </row>
        <row r="2131">
          <cell r="F2131">
            <v>0</v>
          </cell>
          <cell r="H2131">
            <v>0</v>
          </cell>
          <cell r="I2131">
            <v>0</v>
          </cell>
        </row>
        <row r="2132">
          <cell r="F2132">
            <v>0</v>
          </cell>
          <cell r="H2132">
            <v>0</v>
          </cell>
          <cell r="I2132">
            <v>0</v>
          </cell>
        </row>
        <row r="2133">
          <cell r="F2133">
            <v>0</v>
          </cell>
          <cell r="H2133">
            <v>0</v>
          </cell>
          <cell r="I2133">
            <v>0</v>
          </cell>
        </row>
        <row r="2134">
          <cell r="F2134">
            <v>0</v>
          </cell>
          <cell r="H2134">
            <v>0</v>
          </cell>
          <cell r="I2134">
            <v>0</v>
          </cell>
        </row>
        <row r="2135">
          <cell r="F2135">
            <v>0</v>
          </cell>
          <cell r="H2135">
            <v>0</v>
          </cell>
          <cell r="I2135">
            <v>0</v>
          </cell>
        </row>
        <row r="2136">
          <cell r="F2136">
            <v>0</v>
          </cell>
          <cell r="H2136">
            <v>0</v>
          </cell>
          <cell r="I2136">
            <v>0</v>
          </cell>
        </row>
        <row r="2137">
          <cell r="F2137">
            <v>0</v>
          </cell>
          <cell r="H2137">
            <v>0</v>
          </cell>
          <cell r="I2137">
            <v>0</v>
          </cell>
        </row>
        <row r="2138">
          <cell r="F2138">
            <v>0</v>
          </cell>
          <cell r="H2138">
            <v>0</v>
          </cell>
          <cell r="I2138">
            <v>0</v>
          </cell>
        </row>
        <row r="2139">
          <cell r="F2139">
            <v>0</v>
          </cell>
          <cell r="H2139">
            <v>0</v>
          </cell>
          <cell r="I2139">
            <v>0</v>
          </cell>
        </row>
        <row r="2140">
          <cell r="F2140">
            <v>0</v>
          </cell>
          <cell r="H2140">
            <v>0</v>
          </cell>
          <cell r="I2140">
            <v>0</v>
          </cell>
        </row>
        <row r="2141">
          <cell r="F2141">
            <v>0</v>
          </cell>
          <cell r="H2141">
            <v>0</v>
          </cell>
          <cell r="I2141">
            <v>0</v>
          </cell>
        </row>
        <row r="2142">
          <cell r="F2142">
            <v>0</v>
          </cell>
          <cell r="H2142">
            <v>0</v>
          </cell>
          <cell r="I2142">
            <v>0</v>
          </cell>
        </row>
        <row r="2143">
          <cell r="F2143">
            <v>0</v>
          </cell>
          <cell r="H2143">
            <v>0</v>
          </cell>
          <cell r="I2143">
            <v>0</v>
          </cell>
        </row>
        <row r="2144">
          <cell r="F2144">
            <v>0</v>
          </cell>
          <cell r="H2144">
            <v>0</v>
          </cell>
          <cell r="I2144">
            <v>0</v>
          </cell>
        </row>
        <row r="2145">
          <cell r="F2145">
            <v>0</v>
          </cell>
          <cell r="H2145">
            <v>0</v>
          </cell>
          <cell r="I2145">
            <v>0</v>
          </cell>
        </row>
        <row r="2146">
          <cell r="F2146">
            <v>0</v>
          </cell>
          <cell r="H2146">
            <v>0</v>
          </cell>
          <cell r="I2146">
            <v>0</v>
          </cell>
        </row>
        <row r="2147">
          <cell r="F2147">
            <v>0</v>
          </cell>
          <cell r="H2147">
            <v>0</v>
          </cell>
          <cell r="I2147">
            <v>0</v>
          </cell>
        </row>
        <row r="2148">
          <cell r="F2148">
            <v>0</v>
          </cell>
          <cell r="H2148">
            <v>0</v>
          </cell>
          <cell r="I2148">
            <v>0</v>
          </cell>
        </row>
        <row r="2149">
          <cell r="F2149">
            <v>0</v>
          </cell>
          <cell r="H2149">
            <v>0</v>
          </cell>
          <cell r="I2149">
            <v>0</v>
          </cell>
        </row>
        <row r="2150">
          <cell r="F2150">
            <v>0</v>
          </cell>
          <cell r="H2150">
            <v>0</v>
          </cell>
          <cell r="I2150">
            <v>0</v>
          </cell>
        </row>
        <row r="2151">
          <cell r="F2151">
            <v>0</v>
          </cell>
          <cell r="H2151">
            <v>0</v>
          </cell>
          <cell r="I2151">
            <v>0</v>
          </cell>
        </row>
        <row r="2152">
          <cell r="F2152">
            <v>0</v>
          </cell>
          <cell r="H2152">
            <v>0</v>
          </cell>
          <cell r="I2152">
            <v>0</v>
          </cell>
        </row>
        <row r="2153">
          <cell r="F2153">
            <v>0</v>
          </cell>
          <cell r="H2153">
            <v>0</v>
          </cell>
          <cell r="I2153">
            <v>0</v>
          </cell>
        </row>
        <row r="2154">
          <cell r="F2154">
            <v>0</v>
          </cell>
          <cell r="H2154">
            <v>0</v>
          </cell>
          <cell r="I2154">
            <v>0</v>
          </cell>
        </row>
        <row r="2155">
          <cell r="F2155">
            <v>0</v>
          </cell>
          <cell r="H2155">
            <v>0</v>
          </cell>
          <cell r="I2155">
            <v>0</v>
          </cell>
        </row>
        <row r="2156">
          <cell r="F2156">
            <v>0</v>
          </cell>
          <cell r="H2156">
            <v>0</v>
          </cell>
          <cell r="I2156">
            <v>0</v>
          </cell>
        </row>
        <row r="2157">
          <cell r="F2157">
            <v>0</v>
          </cell>
          <cell r="H2157">
            <v>0</v>
          </cell>
          <cell r="I2157">
            <v>0</v>
          </cell>
        </row>
        <row r="2158">
          <cell r="F2158">
            <v>0</v>
          </cell>
          <cell r="H2158">
            <v>0</v>
          </cell>
          <cell r="I2158">
            <v>0</v>
          </cell>
        </row>
        <row r="2159">
          <cell r="F2159">
            <v>0</v>
          </cell>
          <cell r="H2159">
            <v>0</v>
          </cell>
          <cell r="I2159">
            <v>0</v>
          </cell>
        </row>
        <row r="2160">
          <cell r="F2160">
            <v>0</v>
          </cell>
          <cell r="H2160">
            <v>0</v>
          </cell>
          <cell r="I2160">
            <v>0</v>
          </cell>
        </row>
        <row r="2161">
          <cell r="F2161">
            <v>0</v>
          </cell>
          <cell r="H2161">
            <v>0</v>
          </cell>
          <cell r="I2161">
            <v>0</v>
          </cell>
        </row>
        <row r="2162">
          <cell r="F2162">
            <v>0</v>
          </cell>
          <cell r="H2162">
            <v>0</v>
          </cell>
          <cell r="I2162">
            <v>0</v>
          </cell>
        </row>
        <row r="2163">
          <cell r="F2163">
            <v>0</v>
          </cell>
          <cell r="H2163">
            <v>0</v>
          </cell>
          <cell r="I2163">
            <v>0</v>
          </cell>
        </row>
        <row r="2164">
          <cell r="F2164">
            <v>0</v>
          </cell>
          <cell r="H2164">
            <v>0</v>
          </cell>
          <cell r="I2164">
            <v>0</v>
          </cell>
        </row>
        <row r="2165">
          <cell r="F2165">
            <v>0</v>
          </cell>
          <cell r="H2165">
            <v>0</v>
          </cell>
          <cell r="I2165">
            <v>0</v>
          </cell>
        </row>
        <row r="2166">
          <cell r="F2166">
            <v>0</v>
          </cell>
          <cell r="H2166">
            <v>0</v>
          </cell>
          <cell r="I2166">
            <v>0</v>
          </cell>
        </row>
        <row r="2167">
          <cell r="F2167">
            <v>0</v>
          </cell>
          <cell r="H2167">
            <v>0</v>
          </cell>
          <cell r="I2167">
            <v>0</v>
          </cell>
        </row>
        <row r="2168">
          <cell r="F2168">
            <v>0</v>
          </cell>
          <cell r="H2168">
            <v>0</v>
          </cell>
          <cell r="I2168">
            <v>0</v>
          </cell>
        </row>
        <row r="2169">
          <cell r="F2169">
            <v>0</v>
          </cell>
          <cell r="H2169">
            <v>0</v>
          </cell>
          <cell r="I2169">
            <v>0</v>
          </cell>
        </row>
        <row r="2170">
          <cell r="F2170">
            <v>0</v>
          </cell>
          <cell r="H2170">
            <v>0</v>
          </cell>
          <cell r="I2170">
            <v>0</v>
          </cell>
        </row>
        <row r="2171">
          <cell r="F2171">
            <v>0</v>
          </cell>
          <cell r="H2171">
            <v>0</v>
          </cell>
          <cell r="I2171">
            <v>0</v>
          </cell>
        </row>
        <row r="2172">
          <cell r="F2172">
            <v>0</v>
          </cell>
          <cell r="H2172">
            <v>0</v>
          </cell>
          <cell r="I2172">
            <v>0</v>
          </cell>
        </row>
        <row r="2173">
          <cell r="F2173">
            <v>0</v>
          </cell>
          <cell r="H2173">
            <v>0</v>
          </cell>
          <cell r="I2173">
            <v>0</v>
          </cell>
        </row>
        <row r="2174">
          <cell r="F2174">
            <v>0</v>
          </cell>
          <cell r="H2174">
            <v>0</v>
          </cell>
          <cell r="I2174">
            <v>0</v>
          </cell>
        </row>
        <row r="2175">
          <cell r="F2175">
            <v>0</v>
          </cell>
          <cell r="H2175">
            <v>0</v>
          </cell>
          <cell r="I2175">
            <v>0</v>
          </cell>
        </row>
        <row r="2176">
          <cell r="F2176">
            <v>0</v>
          </cell>
          <cell r="H2176">
            <v>0</v>
          </cell>
          <cell r="I2176">
            <v>0</v>
          </cell>
        </row>
        <row r="2177">
          <cell r="F2177">
            <v>0</v>
          </cell>
          <cell r="H2177">
            <v>0</v>
          </cell>
          <cell r="I2177">
            <v>0</v>
          </cell>
        </row>
        <row r="2178">
          <cell r="F2178">
            <v>0</v>
          </cell>
          <cell r="H2178">
            <v>0</v>
          </cell>
          <cell r="I2178">
            <v>0</v>
          </cell>
        </row>
        <row r="2179">
          <cell r="F2179">
            <v>0</v>
          </cell>
          <cell r="H2179">
            <v>0</v>
          </cell>
          <cell r="I2179">
            <v>0</v>
          </cell>
        </row>
        <row r="2180">
          <cell r="F2180">
            <v>0</v>
          </cell>
          <cell r="H2180">
            <v>0</v>
          </cell>
          <cell r="I2180">
            <v>0</v>
          </cell>
        </row>
        <row r="2181">
          <cell r="F2181">
            <v>0</v>
          </cell>
          <cell r="H2181">
            <v>0</v>
          </cell>
          <cell r="I2181">
            <v>0</v>
          </cell>
        </row>
        <row r="2182">
          <cell r="F2182">
            <v>0</v>
          </cell>
          <cell r="H2182">
            <v>0</v>
          </cell>
          <cell r="I2182">
            <v>0</v>
          </cell>
        </row>
        <row r="2183">
          <cell r="F2183">
            <v>0</v>
          </cell>
          <cell r="H2183">
            <v>0</v>
          </cell>
          <cell r="I2183">
            <v>0</v>
          </cell>
        </row>
        <row r="2184">
          <cell r="F2184">
            <v>0</v>
          </cell>
          <cell r="H2184">
            <v>0</v>
          </cell>
          <cell r="I2184">
            <v>0</v>
          </cell>
        </row>
        <row r="2185">
          <cell r="F2185">
            <v>0</v>
          </cell>
          <cell r="H2185">
            <v>0</v>
          </cell>
          <cell r="I2185">
            <v>0</v>
          </cell>
        </row>
        <row r="2186">
          <cell r="F2186">
            <v>0</v>
          </cell>
          <cell r="H2186">
            <v>0</v>
          </cell>
          <cell r="I2186">
            <v>0</v>
          </cell>
        </row>
        <row r="2187">
          <cell r="F2187">
            <v>0</v>
          </cell>
          <cell r="H2187">
            <v>0</v>
          </cell>
          <cell r="I2187">
            <v>0</v>
          </cell>
        </row>
        <row r="2188">
          <cell r="F2188">
            <v>0</v>
          </cell>
          <cell r="H2188">
            <v>0</v>
          </cell>
          <cell r="I2188">
            <v>0</v>
          </cell>
        </row>
        <row r="2189">
          <cell r="F2189">
            <v>0</v>
          </cell>
          <cell r="H2189">
            <v>0</v>
          </cell>
          <cell r="I2189">
            <v>0</v>
          </cell>
        </row>
        <row r="2190">
          <cell r="F2190">
            <v>0</v>
          </cell>
          <cell r="H2190">
            <v>0</v>
          </cell>
          <cell r="I2190">
            <v>0</v>
          </cell>
        </row>
        <row r="2191">
          <cell r="F2191">
            <v>0</v>
          </cell>
          <cell r="H2191">
            <v>0</v>
          </cell>
          <cell r="I2191">
            <v>0</v>
          </cell>
        </row>
        <row r="2192">
          <cell r="F2192">
            <v>0</v>
          </cell>
          <cell r="H2192">
            <v>0</v>
          </cell>
          <cell r="I2192">
            <v>0</v>
          </cell>
        </row>
        <row r="2193">
          <cell r="F2193">
            <v>0</v>
          </cell>
          <cell r="H2193">
            <v>0</v>
          </cell>
          <cell r="I2193">
            <v>0</v>
          </cell>
        </row>
        <row r="2194">
          <cell r="F2194">
            <v>0</v>
          </cell>
          <cell r="H2194">
            <v>0</v>
          </cell>
          <cell r="I2194">
            <v>0</v>
          </cell>
        </row>
        <row r="2195">
          <cell r="F2195">
            <v>0</v>
          </cell>
          <cell r="H2195">
            <v>0</v>
          </cell>
          <cell r="I2195">
            <v>0</v>
          </cell>
        </row>
        <row r="2196">
          <cell r="F2196">
            <v>0</v>
          </cell>
          <cell r="H2196">
            <v>0</v>
          </cell>
          <cell r="I2196">
            <v>0</v>
          </cell>
        </row>
        <row r="2197">
          <cell r="F2197">
            <v>0</v>
          </cell>
          <cell r="H2197">
            <v>0</v>
          </cell>
          <cell r="I2197">
            <v>0</v>
          </cell>
        </row>
        <row r="2198">
          <cell r="F2198">
            <v>0</v>
          </cell>
          <cell r="H2198">
            <v>0</v>
          </cell>
          <cell r="I2198">
            <v>0</v>
          </cell>
        </row>
        <row r="2199">
          <cell r="F2199">
            <v>0</v>
          </cell>
          <cell r="H2199">
            <v>0</v>
          </cell>
          <cell r="I2199">
            <v>0</v>
          </cell>
        </row>
        <row r="2200">
          <cell r="F2200">
            <v>0</v>
          </cell>
          <cell r="H2200">
            <v>0</v>
          </cell>
          <cell r="I2200">
            <v>0</v>
          </cell>
        </row>
        <row r="2201">
          <cell r="F2201">
            <v>0</v>
          </cell>
          <cell r="H2201">
            <v>0</v>
          </cell>
          <cell r="I2201">
            <v>0</v>
          </cell>
        </row>
        <row r="2202">
          <cell r="F2202">
            <v>0</v>
          </cell>
          <cell r="H2202">
            <v>0</v>
          </cell>
          <cell r="I2202">
            <v>0</v>
          </cell>
        </row>
        <row r="2203">
          <cell r="F2203">
            <v>0</v>
          </cell>
          <cell r="H2203">
            <v>0</v>
          </cell>
          <cell r="I2203">
            <v>0</v>
          </cell>
        </row>
        <row r="2204">
          <cell r="F2204">
            <v>0</v>
          </cell>
          <cell r="H2204">
            <v>0</v>
          </cell>
          <cell r="I2204">
            <v>0</v>
          </cell>
        </row>
        <row r="2205">
          <cell r="F2205">
            <v>0</v>
          </cell>
          <cell r="H2205">
            <v>0</v>
          </cell>
          <cell r="I2205">
            <v>0</v>
          </cell>
        </row>
        <row r="2206">
          <cell r="F2206">
            <v>0</v>
          </cell>
          <cell r="H2206">
            <v>0</v>
          </cell>
          <cell r="I2206">
            <v>0</v>
          </cell>
        </row>
        <row r="2207">
          <cell r="F2207">
            <v>0</v>
          </cell>
          <cell r="H2207">
            <v>0</v>
          </cell>
          <cell r="I2207">
            <v>0</v>
          </cell>
        </row>
        <row r="2208">
          <cell r="F2208">
            <v>0</v>
          </cell>
          <cell r="H2208">
            <v>0</v>
          </cell>
          <cell r="I2208">
            <v>0</v>
          </cell>
        </row>
        <row r="2209">
          <cell r="F2209">
            <v>0</v>
          </cell>
          <cell r="H2209">
            <v>0</v>
          </cell>
          <cell r="I2209">
            <v>0</v>
          </cell>
        </row>
        <row r="2210">
          <cell r="F2210">
            <v>0</v>
          </cell>
          <cell r="H2210">
            <v>0</v>
          </cell>
          <cell r="I2210">
            <v>0</v>
          </cell>
        </row>
        <row r="2211">
          <cell r="F2211">
            <v>0</v>
          </cell>
          <cell r="H2211">
            <v>0</v>
          </cell>
          <cell r="I2211">
            <v>0</v>
          </cell>
        </row>
        <row r="2212">
          <cell r="F2212">
            <v>0</v>
          </cell>
          <cell r="H2212">
            <v>0</v>
          </cell>
          <cell r="I2212">
            <v>0</v>
          </cell>
        </row>
        <row r="2213">
          <cell r="F2213">
            <v>0</v>
          </cell>
          <cell r="H2213">
            <v>0</v>
          </cell>
          <cell r="I2213">
            <v>0</v>
          </cell>
        </row>
        <row r="2214">
          <cell r="F2214">
            <v>0</v>
          </cell>
          <cell r="H2214">
            <v>0</v>
          </cell>
          <cell r="I2214">
            <v>0</v>
          </cell>
        </row>
        <row r="2215">
          <cell r="F2215">
            <v>0</v>
          </cell>
          <cell r="H2215">
            <v>0</v>
          </cell>
          <cell r="I2215">
            <v>0</v>
          </cell>
        </row>
        <row r="2216">
          <cell r="F2216">
            <v>0</v>
          </cell>
          <cell r="H2216">
            <v>0</v>
          </cell>
          <cell r="I2216">
            <v>0</v>
          </cell>
        </row>
        <row r="2217">
          <cell r="F2217">
            <v>0</v>
          </cell>
          <cell r="H2217">
            <v>0</v>
          </cell>
          <cell r="I2217">
            <v>0</v>
          </cell>
        </row>
        <row r="2218">
          <cell r="F2218">
            <v>0</v>
          </cell>
          <cell r="H2218">
            <v>0</v>
          </cell>
          <cell r="I2218">
            <v>0</v>
          </cell>
        </row>
        <row r="2219">
          <cell r="F2219">
            <v>0</v>
          </cell>
          <cell r="H2219">
            <v>0</v>
          </cell>
          <cell r="I2219">
            <v>0</v>
          </cell>
        </row>
        <row r="2220">
          <cell r="F2220">
            <v>0</v>
          </cell>
          <cell r="H2220">
            <v>0</v>
          </cell>
          <cell r="I2220">
            <v>0</v>
          </cell>
        </row>
        <row r="2221">
          <cell r="F2221">
            <v>0</v>
          </cell>
          <cell r="H2221">
            <v>0</v>
          </cell>
          <cell r="I2221">
            <v>0</v>
          </cell>
        </row>
        <row r="2222">
          <cell r="F2222">
            <v>0</v>
          </cell>
          <cell r="H2222">
            <v>0</v>
          </cell>
          <cell r="I2222">
            <v>0</v>
          </cell>
        </row>
        <row r="2223">
          <cell r="F2223">
            <v>0</v>
          </cell>
          <cell r="H2223">
            <v>0</v>
          </cell>
          <cell r="I2223">
            <v>0</v>
          </cell>
        </row>
        <row r="2224">
          <cell r="F2224">
            <v>0</v>
          </cell>
          <cell r="H2224">
            <v>0</v>
          </cell>
          <cell r="I2224">
            <v>0</v>
          </cell>
        </row>
        <row r="2225">
          <cell r="F2225">
            <v>0</v>
          </cell>
          <cell r="H2225">
            <v>0</v>
          </cell>
          <cell r="I2225">
            <v>0</v>
          </cell>
        </row>
        <row r="2226">
          <cell r="F2226">
            <v>0</v>
          </cell>
          <cell r="H2226">
            <v>0</v>
          </cell>
          <cell r="I2226">
            <v>0</v>
          </cell>
        </row>
        <row r="2227">
          <cell r="F2227">
            <v>0</v>
          </cell>
          <cell r="H2227">
            <v>0</v>
          </cell>
          <cell r="I2227">
            <v>0</v>
          </cell>
        </row>
        <row r="2228">
          <cell r="F2228">
            <v>0</v>
          </cell>
          <cell r="H2228">
            <v>0</v>
          </cell>
          <cell r="I2228">
            <v>0</v>
          </cell>
        </row>
        <row r="2229">
          <cell r="F2229">
            <v>0</v>
          </cell>
          <cell r="H2229">
            <v>0</v>
          </cell>
          <cell r="I2229">
            <v>0</v>
          </cell>
        </row>
        <row r="2230">
          <cell r="F2230">
            <v>0</v>
          </cell>
          <cell r="H2230">
            <v>0</v>
          </cell>
          <cell r="I2230">
            <v>0</v>
          </cell>
        </row>
        <row r="2231">
          <cell r="F2231">
            <v>0</v>
          </cell>
          <cell r="H2231">
            <v>0</v>
          </cell>
          <cell r="I2231">
            <v>0</v>
          </cell>
        </row>
        <row r="2232">
          <cell r="F2232">
            <v>0</v>
          </cell>
          <cell r="H2232">
            <v>0</v>
          </cell>
          <cell r="I2232">
            <v>0</v>
          </cell>
        </row>
        <row r="2233">
          <cell r="F2233">
            <v>0</v>
          </cell>
          <cell r="H2233">
            <v>0</v>
          </cell>
          <cell r="I2233">
            <v>0</v>
          </cell>
        </row>
        <row r="2234">
          <cell r="F2234">
            <v>0</v>
          </cell>
          <cell r="H2234">
            <v>0</v>
          </cell>
          <cell r="I2234">
            <v>0</v>
          </cell>
        </row>
        <row r="2235">
          <cell r="F2235">
            <v>0</v>
          </cell>
          <cell r="H2235">
            <v>0</v>
          </cell>
          <cell r="I2235">
            <v>0</v>
          </cell>
        </row>
        <row r="2236">
          <cell r="F2236">
            <v>0</v>
          </cell>
          <cell r="H2236">
            <v>0</v>
          </cell>
          <cell r="I2236">
            <v>0</v>
          </cell>
        </row>
        <row r="2237">
          <cell r="F2237">
            <v>0</v>
          </cell>
          <cell r="H2237">
            <v>0</v>
          </cell>
          <cell r="I2237">
            <v>0</v>
          </cell>
        </row>
        <row r="2238">
          <cell r="F2238">
            <v>0</v>
          </cell>
          <cell r="H2238">
            <v>0</v>
          </cell>
          <cell r="I2238">
            <v>0</v>
          </cell>
        </row>
        <row r="2239">
          <cell r="F2239">
            <v>0</v>
          </cell>
          <cell r="H2239">
            <v>0</v>
          </cell>
          <cell r="I2239">
            <v>0</v>
          </cell>
        </row>
        <row r="2240">
          <cell r="F2240">
            <v>0</v>
          </cell>
          <cell r="H2240">
            <v>0</v>
          </cell>
          <cell r="I2240">
            <v>0</v>
          </cell>
        </row>
        <row r="2241">
          <cell r="F2241">
            <v>0</v>
          </cell>
          <cell r="H2241">
            <v>0</v>
          </cell>
          <cell r="I2241">
            <v>0</v>
          </cell>
        </row>
        <row r="2242">
          <cell r="F2242">
            <v>0</v>
          </cell>
          <cell r="H2242">
            <v>0</v>
          </cell>
          <cell r="I2242">
            <v>0</v>
          </cell>
        </row>
        <row r="2243">
          <cell r="F2243">
            <v>0</v>
          </cell>
          <cell r="H2243">
            <v>0</v>
          </cell>
          <cell r="I2243">
            <v>0</v>
          </cell>
        </row>
        <row r="2244">
          <cell r="F2244">
            <v>0</v>
          </cell>
          <cell r="H2244">
            <v>0</v>
          </cell>
          <cell r="I2244">
            <v>0</v>
          </cell>
        </row>
        <row r="2245">
          <cell r="F2245">
            <v>0</v>
          </cell>
          <cell r="H2245">
            <v>0</v>
          </cell>
          <cell r="I2245">
            <v>0</v>
          </cell>
        </row>
        <row r="2246">
          <cell r="F2246">
            <v>0</v>
          </cell>
          <cell r="H2246">
            <v>0</v>
          </cell>
          <cell r="I2246">
            <v>0</v>
          </cell>
        </row>
        <row r="2247">
          <cell r="F2247">
            <v>0</v>
          </cell>
          <cell r="H2247">
            <v>0</v>
          </cell>
          <cell r="I2247">
            <v>0</v>
          </cell>
        </row>
        <row r="2248">
          <cell r="F2248">
            <v>0</v>
          </cell>
          <cell r="H2248">
            <v>0</v>
          </cell>
          <cell r="I2248">
            <v>0</v>
          </cell>
        </row>
        <row r="2249">
          <cell r="F2249">
            <v>0</v>
          </cell>
          <cell r="H2249">
            <v>0</v>
          </cell>
          <cell r="I2249">
            <v>0</v>
          </cell>
        </row>
        <row r="2250">
          <cell r="F2250">
            <v>0</v>
          </cell>
          <cell r="H2250">
            <v>0</v>
          </cell>
          <cell r="I2250">
            <v>0</v>
          </cell>
        </row>
        <row r="2251">
          <cell r="F2251">
            <v>0</v>
          </cell>
          <cell r="H2251">
            <v>0</v>
          </cell>
          <cell r="I2251">
            <v>0</v>
          </cell>
        </row>
        <row r="2252">
          <cell r="F2252">
            <v>0</v>
          </cell>
          <cell r="H2252">
            <v>0</v>
          </cell>
          <cell r="I2252">
            <v>0</v>
          </cell>
        </row>
        <row r="2253">
          <cell r="F2253">
            <v>0</v>
          </cell>
          <cell r="H2253">
            <v>0</v>
          </cell>
          <cell r="I2253">
            <v>0</v>
          </cell>
        </row>
        <row r="2254">
          <cell r="F2254">
            <v>0</v>
          </cell>
          <cell r="H2254">
            <v>0</v>
          </cell>
          <cell r="I2254">
            <v>0</v>
          </cell>
        </row>
        <row r="2255">
          <cell r="F2255">
            <v>0</v>
          </cell>
          <cell r="H2255">
            <v>0</v>
          </cell>
          <cell r="I2255">
            <v>0</v>
          </cell>
        </row>
        <row r="2256">
          <cell r="F2256">
            <v>0</v>
          </cell>
          <cell r="H2256">
            <v>0</v>
          </cell>
          <cell r="I2256">
            <v>0</v>
          </cell>
        </row>
        <row r="2257">
          <cell r="F2257">
            <v>0</v>
          </cell>
          <cell r="H2257">
            <v>0</v>
          </cell>
          <cell r="I2257">
            <v>0</v>
          </cell>
        </row>
        <row r="2258">
          <cell r="F2258">
            <v>0</v>
          </cell>
          <cell r="H2258">
            <v>0</v>
          </cell>
          <cell r="I2258">
            <v>0</v>
          </cell>
        </row>
        <row r="2259">
          <cell r="F2259">
            <v>0</v>
          </cell>
          <cell r="H2259">
            <v>0</v>
          </cell>
          <cell r="I2259">
            <v>0</v>
          </cell>
        </row>
        <row r="2260">
          <cell r="F2260">
            <v>0</v>
          </cell>
          <cell r="H2260">
            <v>0</v>
          </cell>
          <cell r="I2260">
            <v>0</v>
          </cell>
        </row>
        <row r="2261">
          <cell r="F2261">
            <v>0</v>
          </cell>
          <cell r="H2261">
            <v>0</v>
          </cell>
          <cell r="I2261">
            <v>0</v>
          </cell>
        </row>
        <row r="2262">
          <cell r="F2262">
            <v>0</v>
          </cell>
          <cell r="H2262">
            <v>0</v>
          </cell>
          <cell r="I2262">
            <v>0</v>
          </cell>
        </row>
        <row r="2263">
          <cell r="F2263">
            <v>0</v>
          </cell>
          <cell r="H2263">
            <v>0</v>
          </cell>
          <cell r="I2263">
            <v>0</v>
          </cell>
        </row>
        <row r="2264">
          <cell r="F2264">
            <v>0</v>
          </cell>
          <cell r="H2264">
            <v>0</v>
          </cell>
          <cell r="I2264">
            <v>0</v>
          </cell>
        </row>
        <row r="2265">
          <cell r="F2265">
            <v>0</v>
          </cell>
          <cell r="H2265">
            <v>0</v>
          </cell>
          <cell r="I2265">
            <v>0</v>
          </cell>
        </row>
        <row r="2266">
          <cell r="F2266">
            <v>0</v>
          </cell>
          <cell r="H2266">
            <v>0</v>
          </cell>
          <cell r="I2266">
            <v>0</v>
          </cell>
        </row>
        <row r="2267">
          <cell r="F2267">
            <v>0</v>
          </cell>
          <cell r="H2267">
            <v>0</v>
          </cell>
          <cell r="I2267">
            <v>0</v>
          </cell>
        </row>
        <row r="2268">
          <cell r="F2268">
            <v>0</v>
          </cell>
          <cell r="H2268">
            <v>0</v>
          </cell>
          <cell r="I2268">
            <v>0</v>
          </cell>
        </row>
        <row r="2269">
          <cell r="F2269">
            <v>0</v>
          </cell>
          <cell r="H2269">
            <v>0</v>
          </cell>
          <cell r="I2269">
            <v>0</v>
          </cell>
        </row>
        <row r="2270">
          <cell r="F2270">
            <v>0</v>
          </cell>
          <cell r="H2270">
            <v>0</v>
          </cell>
          <cell r="I2270">
            <v>0</v>
          </cell>
        </row>
        <row r="2271">
          <cell r="F2271">
            <v>0</v>
          </cell>
          <cell r="H2271">
            <v>0</v>
          </cell>
          <cell r="I2271">
            <v>0</v>
          </cell>
        </row>
        <row r="2272">
          <cell r="F2272">
            <v>0</v>
          </cell>
          <cell r="H2272">
            <v>0</v>
          </cell>
          <cell r="I2272">
            <v>0</v>
          </cell>
        </row>
        <row r="2273">
          <cell r="F2273">
            <v>0</v>
          </cell>
          <cell r="H2273">
            <v>0</v>
          </cell>
          <cell r="I2273">
            <v>0</v>
          </cell>
        </row>
        <row r="2274">
          <cell r="F2274">
            <v>0</v>
          </cell>
          <cell r="H2274">
            <v>0</v>
          </cell>
          <cell r="I2274">
            <v>0</v>
          </cell>
        </row>
        <row r="2275">
          <cell r="F2275">
            <v>0</v>
          </cell>
          <cell r="H2275">
            <v>0</v>
          </cell>
          <cell r="I2275">
            <v>0</v>
          </cell>
        </row>
        <row r="2276">
          <cell r="F2276">
            <v>0</v>
          </cell>
          <cell r="H2276">
            <v>0</v>
          </cell>
          <cell r="I2276">
            <v>0</v>
          </cell>
        </row>
        <row r="2277">
          <cell r="F2277">
            <v>0</v>
          </cell>
          <cell r="H2277">
            <v>0</v>
          </cell>
          <cell r="I2277">
            <v>0</v>
          </cell>
        </row>
        <row r="2278">
          <cell r="F2278">
            <v>0</v>
          </cell>
          <cell r="H2278">
            <v>0</v>
          </cell>
          <cell r="I2278">
            <v>0</v>
          </cell>
        </row>
        <row r="2279">
          <cell r="F2279">
            <v>0</v>
          </cell>
          <cell r="H2279">
            <v>0</v>
          </cell>
          <cell r="I2279">
            <v>0</v>
          </cell>
        </row>
        <row r="2280">
          <cell r="F2280">
            <v>0</v>
          </cell>
          <cell r="H2280">
            <v>0</v>
          </cell>
          <cell r="I2280">
            <v>0</v>
          </cell>
        </row>
        <row r="2281">
          <cell r="F2281">
            <v>0</v>
          </cell>
          <cell r="H2281">
            <v>0</v>
          </cell>
          <cell r="I2281">
            <v>0</v>
          </cell>
        </row>
        <row r="2282">
          <cell r="F2282">
            <v>0</v>
          </cell>
          <cell r="H2282">
            <v>0</v>
          </cell>
          <cell r="I2282">
            <v>0</v>
          </cell>
        </row>
        <row r="2283">
          <cell r="F2283">
            <v>0</v>
          </cell>
          <cell r="H2283">
            <v>0</v>
          </cell>
          <cell r="I2283">
            <v>0</v>
          </cell>
        </row>
        <row r="2284">
          <cell r="F2284">
            <v>0</v>
          </cell>
          <cell r="H2284">
            <v>0</v>
          </cell>
          <cell r="I2284">
            <v>0</v>
          </cell>
        </row>
        <row r="2285">
          <cell r="F2285">
            <v>0</v>
          </cell>
          <cell r="H2285">
            <v>0</v>
          </cell>
          <cell r="I2285">
            <v>0</v>
          </cell>
        </row>
        <row r="2286">
          <cell r="F2286">
            <v>0</v>
          </cell>
          <cell r="H2286">
            <v>0</v>
          </cell>
          <cell r="I2286">
            <v>0</v>
          </cell>
        </row>
        <row r="2287">
          <cell r="F2287">
            <v>0</v>
          </cell>
          <cell r="H2287">
            <v>0</v>
          </cell>
          <cell r="I2287">
            <v>0</v>
          </cell>
        </row>
        <row r="2288">
          <cell r="F2288">
            <v>0</v>
          </cell>
          <cell r="H2288">
            <v>0</v>
          </cell>
          <cell r="I2288">
            <v>0</v>
          </cell>
        </row>
        <row r="2289">
          <cell r="F2289">
            <v>0</v>
          </cell>
          <cell r="H2289">
            <v>0</v>
          </cell>
          <cell r="I2289">
            <v>0</v>
          </cell>
        </row>
        <row r="2290">
          <cell r="F2290">
            <v>0</v>
          </cell>
          <cell r="H2290">
            <v>0</v>
          </cell>
          <cell r="I2290">
            <v>0</v>
          </cell>
        </row>
        <row r="2291">
          <cell r="F2291">
            <v>0</v>
          </cell>
          <cell r="H2291">
            <v>0</v>
          </cell>
          <cell r="I2291">
            <v>0</v>
          </cell>
        </row>
        <row r="2292">
          <cell r="F2292">
            <v>0</v>
          </cell>
          <cell r="H2292">
            <v>0</v>
          </cell>
          <cell r="I2292">
            <v>0</v>
          </cell>
        </row>
        <row r="2293">
          <cell r="F2293">
            <v>0</v>
          </cell>
          <cell r="H2293">
            <v>0</v>
          </cell>
          <cell r="I2293">
            <v>0</v>
          </cell>
        </row>
        <row r="2294">
          <cell r="F2294">
            <v>0</v>
          </cell>
          <cell r="H2294">
            <v>0</v>
          </cell>
          <cell r="I2294">
            <v>0</v>
          </cell>
        </row>
        <row r="2295">
          <cell r="F2295">
            <v>0</v>
          </cell>
          <cell r="H2295">
            <v>0</v>
          </cell>
          <cell r="I2295">
            <v>0</v>
          </cell>
        </row>
        <row r="2296">
          <cell r="F2296">
            <v>0</v>
          </cell>
          <cell r="H2296">
            <v>0</v>
          </cell>
          <cell r="I2296">
            <v>0</v>
          </cell>
        </row>
        <row r="2297">
          <cell r="F2297">
            <v>0</v>
          </cell>
          <cell r="H2297">
            <v>0</v>
          </cell>
          <cell r="I2297">
            <v>0</v>
          </cell>
        </row>
        <row r="2298">
          <cell r="F2298">
            <v>0</v>
          </cell>
          <cell r="H2298">
            <v>0</v>
          </cell>
          <cell r="I2298">
            <v>0</v>
          </cell>
        </row>
        <row r="2299">
          <cell r="F2299">
            <v>0</v>
          </cell>
          <cell r="H2299">
            <v>0</v>
          </cell>
          <cell r="I2299">
            <v>0</v>
          </cell>
        </row>
        <row r="2300">
          <cell r="F2300">
            <v>0</v>
          </cell>
          <cell r="H2300">
            <v>0</v>
          </cell>
          <cell r="I2300">
            <v>0</v>
          </cell>
        </row>
        <row r="2301">
          <cell r="F2301">
            <v>0</v>
          </cell>
          <cell r="H2301">
            <v>0</v>
          </cell>
          <cell r="I2301">
            <v>0</v>
          </cell>
        </row>
        <row r="2302">
          <cell r="F2302">
            <v>0</v>
          </cell>
          <cell r="H2302">
            <v>0</v>
          </cell>
          <cell r="I2302">
            <v>0</v>
          </cell>
        </row>
        <row r="2303">
          <cell r="F2303">
            <v>0</v>
          </cell>
          <cell r="H2303">
            <v>0</v>
          </cell>
          <cell r="I2303">
            <v>0</v>
          </cell>
        </row>
        <row r="2304">
          <cell r="F2304">
            <v>0</v>
          </cell>
          <cell r="H2304">
            <v>0</v>
          </cell>
          <cell r="I2304">
            <v>0</v>
          </cell>
        </row>
        <row r="2305">
          <cell r="F2305">
            <v>0</v>
          </cell>
          <cell r="H2305">
            <v>0</v>
          </cell>
          <cell r="I2305">
            <v>0</v>
          </cell>
        </row>
        <row r="2306">
          <cell r="F2306">
            <v>0</v>
          </cell>
          <cell r="H2306">
            <v>0</v>
          </cell>
          <cell r="I2306">
            <v>0</v>
          </cell>
        </row>
        <row r="2307">
          <cell r="F2307">
            <v>0</v>
          </cell>
          <cell r="H2307">
            <v>0</v>
          </cell>
          <cell r="I2307">
            <v>0</v>
          </cell>
        </row>
        <row r="2308">
          <cell r="F2308">
            <v>0</v>
          </cell>
          <cell r="H2308">
            <v>0</v>
          </cell>
          <cell r="I2308">
            <v>0</v>
          </cell>
        </row>
        <row r="2309">
          <cell r="F2309">
            <v>0</v>
          </cell>
          <cell r="H2309">
            <v>0</v>
          </cell>
          <cell r="I2309">
            <v>0</v>
          </cell>
        </row>
        <row r="2310">
          <cell r="F2310">
            <v>0</v>
          </cell>
          <cell r="H2310">
            <v>0</v>
          </cell>
          <cell r="I2310">
            <v>0</v>
          </cell>
        </row>
        <row r="2311">
          <cell r="F2311">
            <v>0</v>
          </cell>
          <cell r="H2311">
            <v>0</v>
          </cell>
          <cell r="I2311">
            <v>0</v>
          </cell>
        </row>
        <row r="2312">
          <cell r="F2312">
            <v>0</v>
          </cell>
          <cell r="H2312">
            <v>0</v>
          </cell>
          <cell r="I2312">
            <v>0</v>
          </cell>
        </row>
        <row r="2313">
          <cell r="F2313">
            <v>0</v>
          </cell>
          <cell r="H2313">
            <v>0</v>
          </cell>
          <cell r="I2313">
            <v>0</v>
          </cell>
        </row>
        <row r="2314">
          <cell r="F2314">
            <v>0</v>
          </cell>
          <cell r="H2314">
            <v>0</v>
          </cell>
          <cell r="I2314">
            <v>0</v>
          </cell>
        </row>
        <row r="2315">
          <cell r="F2315">
            <v>0</v>
          </cell>
          <cell r="H2315">
            <v>0</v>
          </cell>
          <cell r="I2315">
            <v>0</v>
          </cell>
        </row>
        <row r="2316">
          <cell r="F2316">
            <v>0</v>
          </cell>
          <cell r="H2316">
            <v>0</v>
          </cell>
          <cell r="I2316">
            <v>0</v>
          </cell>
        </row>
        <row r="2317">
          <cell r="F2317">
            <v>0</v>
          </cell>
          <cell r="H2317">
            <v>0</v>
          </cell>
          <cell r="I2317">
            <v>0</v>
          </cell>
        </row>
        <row r="2318">
          <cell r="F2318">
            <v>0</v>
          </cell>
          <cell r="H2318">
            <v>0</v>
          </cell>
          <cell r="I2318">
            <v>0</v>
          </cell>
        </row>
        <row r="2319">
          <cell r="F2319">
            <v>0</v>
          </cell>
          <cell r="H2319">
            <v>0</v>
          </cell>
          <cell r="I2319">
            <v>0</v>
          </cell>
        </row>
        <row r="2320">
          <cell r="F2320">
            <v>0</v>
          </cell>
          <cell r="H2320">
            <v>0</v>
          </cell>
          <cell r="I2320">
            <v>0</v>
          </cell>
        </row>
        <row r="2321">
          <cell r="F2321">
            <v>0</v>
          </cell>
          <cell r="H2321">
            <v>0</v>
          </cell>
          <cell r="I2321">
            <v>0</v>
          </cell>
        </row>
        <row r="2322">
          <cell r="F2322">
            <v>0</v>
          </cell>
          <cell r="H2322">
            <v>0</v>
          </cell>
          <cell r="I2322">
            <v>0</v>
          </cell>
        </row>
        <row r="2323">
          <cell r="F2323">
            <v>0</v>
          </cell>
          <cell r="H2323">
            <v>0</v>
          </cell>
          <cell r="I2323">
            <v>0</v>
          </cell>
        </row>
        <row r="2324">
          <cell r="F2324">
            <v>0</v>
          </cell>
          <cell r="H2324">
            <v>0</v>
          </cell>
          <cell r="I2324">
            <v>0</v>
          </cell>
        </row>
        <row r="2325">
          <cell r="F2325">
            <v>0</v>
          </cell>
          <cell r="H2325">
            <v>0</v>
          </cell>
          <cell r="I2325">
            <v>0</v>
          </cell>
        </row>
        <row r="2326">
          <cell r="F2326">
            <v>0</v>
          </cell>
          <cell r="H2326">
            <v>0</v>
          </cell>
          <cell r="I2326">
            <v>0</v>
          </cell>
        </row>
        <row r="2327">
          <cell r="F2327">
            <v>0</v>
          </cell>
          <cell r="H2327">
            <v>0</v>
          </cell>
          <cell r="I2327">
            <v>0</v>
          </cell>
        </row>
        <row r="2328">
          <cell r="F2328">
            <v>0</v>
          </cell>
          <cell r="H2328">
            <v>0</v>
          </cell>
          <cell r="I2328">
            <v>0</v>
          </cell>
        </row>
        <row r="2329">
          <cell r="F2329">
            <v>0</v>
          </cell>
          <cell r="H2329">
            <v>0</v>
          </cell>
          <cell r="I2329">
            <v>0</v>
          </cell>
        </row>
        <row r="2330">
          <cell r="F2330">
            <v>0</v>
          </cell>
          <cell r="H2330">
            <v>0</v>
          </cell>
          <cell r="I2330">
            <v>0</v>
          </cell>
        </row>
        <row r="2331">
          <cell r="F2331">
            <v>0</v>
          </cell>
          <cell r="H2331">
            <v>0</v>
          </cell>
          <cell r="I2331">
            <v>0</v>
          </cell>
        </row>
        <row r="2332">
          <cell r="F2332">
            <v>0</v>
          </cell>
          <cell r="H2332">
            <v>0</v>
          </cell>
          <cell r="I2332">
            <v>0</v>
          </cell>
        </row>
        <row r="2333">
          <cell r="F2333">
            <v>0</v>
          </cell>
          <cell r="H2333">
            <v>0</v>
          </cell>
          <cell r="I2333">
            <v>0</v>
          </cell>
        </row>
        <row r="2334">
          <cell r="F2334">
            <v>0</v>
          </cell>
          <cell r="H2334">
            <v>0</v>
          </cell>
          <cell r="I2334">
            <v>0</v>
          </cell>
        </row>
        <row r="2335">
          <cell r="F2335">
            <v>0</v>
          </cell>
          <cell r="H2335">
            <v>0</v>
          </cell>
          <cell r="I2335">
            <v>0</v>
          </cell>
        </row>
        <row r="2336">
          <cell r="F2336">
            <v>0</v>
          </cell>
          <cell r="H2336">
            <v>0</v>
          </cell>
          <cell r="I2336">
            <v>0</v>
          </cell>
        </row>
        <row r="2337">
          <cell r="F2337">
            <v>0</v>
          </cell>
          <cell r="H2337">
            <v>0</v>
          </cell>
          <cell r="I2337">
            <v>0</v>
          </cell>
        </row>
        <row r="2338">
          <cell r="F2338">
            <v>0</v>
          </cell>
          <cell r="H2338">
            <v>0</v>
          </cell>
          <cell r="I2338">
            <v>0</v>
          </cell>
        </row>
        <row r="2339">
          <cell r="F2339">
            <v>0</v>
          </cell>
          <cell r="H2339">
            <v>0</v>
          </cell>
          <cell r="I2339">
            <v>0</v>
          </cell>
        </row>
        <row r="2340">
          <cell r="F2340">
            <v>0</v>
          </cell>
          <cell r="H2340">
            <v>0</v>
          </cell>
          <cell r="I2340">
            <v>0</v>
          </cell>
        </row>
        <row r="2341">
          <cell r="F2341">
            <v>0</v>
          </cell>
          <cell r="H2341">
            <v>0</v>
          </cell>
          <cell r="I2341">
            <v>0</v>
          </cell>
        </row>
        <row r="2342">
          <cell r="F2342">
            <v>0</v>
          </cell>
          <cell r="H2342">
            <v>0</v>
          </cell>
          <cell r="I2342">
            <v>0</v>
          </cell>
        </row>
        <row r="2343">
          <cell r="F2343">
            <v>0</v>
          </cell>
          <cell r="H2343">
            <v>0</v>
          </cell>
          <cell r="I2343">
            <v>0</v>
          </cell>
        </row>
        <row r="2344">
          <cell r="F2344">
            <v>0</v>
          </cell>
          <cell r="H2344">
            <v>0</v>
          </cell>
          <cell r="I2344">
            <v>0</v>
          </cell>
        </row>
        <row r="2345">
          <cell r="F2345">
            <v>0</v>
          </cell>
          <cell r="H2345">
            <v>0</v>
          </cell>
          <cell r="I2345">
            <v>0</v>
          </cell>
        </row>
        <row r="2346">
          <cell r="F2346">
            <v>0</v>
          </cell>
          <cell r="H2346">
            <v>0</v>
          </cell>
          <cell r="I2346">
            <v>0</v>
          </cell>
        </row>
        <row r="2347">
          <cell r="F2347">
            <v>0</v>
          </cell>
          <cell r="H2347">
            <v>0</v>
          </cell>
          <cell r="I2347">
            <v>0</v>
          </cell>
        </row>
        <row r="2348">
          <cell r="F2348">
            <v>0</v>
          </cell>
          <cell r="H2348">
            <v>0</v>
          </cell>
          <cell r="I2348">
            <v>0</v>
          </cell>
        </row>
        <row r="2349">
          <cell r="F2349">
            <v>0</v>
          </cell>
          <cell r="H2349">
            <v>0</v>
          </cell>
          <cell r="I2349">
            <v>0</v>
          </cell>
        </row>
        <row r="2350">
          <cell r="F2350">
            <v>0</v>
          </cell>
          <cell r="H2350">
            <v>0</v>
          </cell>
          <cell r="I2350">
            <v>0</v>
          </cell>
        </row>
        <row r="2351">
          <cell r="F2351">
            <v>0</v>
          </cell>
          <cell r="H2351">
            <v>0</v>
          </cell>
          <cell r="I2351">
            <v>0</v>
          </cell>
        </row>
        <row r="2352">
          <cell r="F2352">
            <v>0</v>
          </cell>
          <cell r="H2352">
            <v>0</v>
          </cell>
          <cell r="I2352">
            <v>0</v>
          </cell>
        </row>
        <row r="2353">
          <cell r="F2353">
            <v>0</v>
          </cell>
          <cell r="H2353">
            <v>0</v>
          </cell>
          <cell r="I2353">
            <v>0</v>
          </cell>
        </row>
        <row r="2354">
          <cell r="F2354">
            <v>0</v>
          </cell>
          <cell r="H2354">
            <v>0</v>
          </cell>
          <cell r="I2354">
            <v>0</v>
          </cell>
        </row>
        <row r="2355">
          <cell r="F2355">
            <v>0</v>
          </cell>
          <cell r="H2355">
            <v>0</v>
          </cell>
          <cell r="I2355">
            <v>0</v>
          </cell>
        </row>
        <row r="2356">
          <cell r="F2356">
            <v>0</v>
          </cell>
          <cell r="H2356">
            <v>0</v>
          </cell>
          <cell r="I2356">
            <v>0</v>
          </cell>
        </row>
        <row r="2357">
          <cell r="F2357">
            <v>0</v>
          </cell>
          <cell r="H2357">
            <v>0</v>
          </cell>
          <cell r="I2357">
            <v>0</v>
          </cell>
        </row>
        <row r="2358">
          <cell r="F2358">
            <v>0</v>
          </cell>
          <cell r="H2358">
            <v>0</v>
          </cell>
          <cell r="I2358">
            <v>0</v>
          </cell>
        </row>
        <row r="2359">
          <cell r="F2359">
            <v>0</v>
          </cell>
          <cell r="H2359">
            <v>0</v>
          </cell>
          <cell r="I2359">
            <v>0</v>
          </cell>
        </row>
        <row r="2360">
          <cell r="F2360">
            <v>0</v>
          </cell>
          <cell r="H2360">
            <v>0</v>
          </cell>
          <cell r="I2360">
            <v>0</v>
          </cell>
        </row>
        <row r="2361">
          <cell r="F2361">
            <v>0</v>
          </cell>
          <cell r="H2361">
            <v>0</v>
          </cell>
          <cell r="I2361">
            <v>0</v>
          </cell>
        </row>
        <row r="2362">
          <cell r="F2362">
            <v>0</v>
          </cell>
          <cell r="H2362">
            <v>0</v>
          </cell>
          <cell r="I2362">
            <v>0</v>
          </cell>
        </row>
        <row r="2363">
          <cell r="F2363">
            <v>0</v>
          </cell>
          <cell r="H2363">
            <v>0</v>
          </cell>
          <cell r="I2363">
            <v>0</v>
          </cell>
        </row>
        <row r="2364">
          <cell r="F2364">
            <v>0</v>
          </cell>
          <cell r="H2364">
            <v>0</v>
          </cell>
          <cell r="I2364">
            <v>0</v>
          </cell>
        </row>
        <row r="2365">
          <cell r="F2365">
            <v>0</v>
          </cell>
          <cell r="H2365">
            <v>0</v>
          </cell>
          <cell r="I2365">
            <v>0</v>
          </cell>
        </row>
        <row r="2366">
          <cell r="F2366">
            <v>0</v>
          </cell>
          <cell r="H2366">
            <v>0</v>
          </cell>
          <cell r="I2366">
            <v>0</v>
          </cell>
        </row>
        <row r="2367">
          <cell r="F2367">
            <v>0</v>
          </cell>
          <cell r="H2367">
            <v>0</v>
          </cell>
          <cell r="I2367">
            <v>0</v>
          </cell>
        </row>
        <row r="2368">
          <cell r="F2368">
            <v>0</v>
          </cell>
          <cell r="H2368">
            <v>0</v>
          </cell>
          <cell r="I2368">
            <v>0</v>
          </cell>
        </row>
        <row r="2369">
          <cell r="F2369">
            <v>0</v>
          </cell>
          <cell r="H2369">
            <v>0</v>
          </cell>
          <cell r="I2369">
            <v>0</v>
          </cell>
        </row>
        <row r="2370">
          <cell r="F2370">
            <v>0</v>
          </cell>
          <cell r="H2370">
            <v>0</v>
          </cell>
          <cell r="I2370">
            <v>0</v>
          </cell>
        </row>
        <row r="2371">
          <cell r="F2371">
            <v>0</v>
          </cell>
          <cell r="H2371">
            <v>0</v>
          </cell>
          <cell r="I2371">
            <v>0</v>
          </cell>
        </row>
        <row r="2372">
          <cell r="F2372">
            <v>0</v>
          </cell>
          <cell r="H2372">
            <v>0</v>
          </cell>
          <cell r="I2372">
            <v>0</v>
          </cell>
        </row>
        <row r="2373">
          <cell r="F2373">
            <v>0</v>
          </cell>
          <cell r="H2373">
            <v>0</v>
          </cell>
          <cell r="I2373">
            <v>0</v>
          </cell>
        </row>
        <row r="2374">
          <cell r="F2374">
            <v>0</v>
          </cell>
          <cell r="H2374">
            <v>0</v>
          </cell>
          <cell r="I2374">
            <v>0</v>
          </cell>
        </row>
        <row r="2375">
          <cell r="F2375">
            <v>0</v>
          </cell>
          <cell r="H2375">
            <v>0</v>
          </cell>
          <cell r="I2375">
            <v>0</v>
          </cell>
        </row>
        <row r="2376">
          <cell r="F2376">
            <v>0</v>
          </cell>
          <cell r="H2376">
            <v>0</v>
          </cell>
          <cell r="I2376">
            <v>0</v>
          </cell>
        </row>
        <row r="2377">
          <cell r="F2377">
            <v>0</v>
          </cell>
          <cell r="H2377">
            <v>0</v>
          </cell>
          <cell r="I2377">
            <v>0</v>
          </cell>
        </row>
        <row r="2378">
          <cell r="F2378">
            <v>0</v>
          </cell>
          <cell r="H2378">
            <v>0</v>
          </cell>
          <cell r="I2378">
            <v>0</v>
          </cell>
        </row>
        <row r="2379">
          <cell r="F2379">
            <v>0</v>
          </cell>
          <cell r="H2379">
            <v>0</v>
          </cell>
          <cell r="I2379">
            <v>0</v>
          </cell>
        </row>
        <row r="2380">
          <cell r="F2380">
            <v>0</v>
          </cell>
          <cell r="H2380">
            <v>0</v>
          </cell>
          <cell r="I2380">
            <v>0</v>
          </cell>
        </row>
        <row r="2381">
          <cell r="F2381">
            <v>0</v>
          </cell>
          <cell r="H2381">
            <v>0</v>
          </cell>
          <cell r="I2381">
            <v>0</v>
          </cell>
        </row>
        <row r="2382">
          <cell r="F2382">
            <v>0</v>
          </cell>
          <cell r="H2382">
            <v>0</v>
          </cell>
          <cell r="I2382">
            <v>0</v>
          </cell>
        </row>
        <row r="2383">
          <cell r="F2383">
            <v>0</v>
          </cell>
          <cell r="H2383">
            <v>0</v>
          </cell>
          <cell r="I2383">
            <v>0</v>
          </cell>
        </row>
        <row r="2384">
          <cell r="F2384">
            <v>0</v>
          </cell>
          <cell r="H2384">
            <v>0</v>
          </cell>
          <cell r="I2384">
            <v>0</v>
          </cell>
        </row>
        <row r="2385">
          <cell r="F2385">
            <v>0</v>
          </cell>
          <cell r="H2385">
            <v>0</v>
          </cell>
          <cell r="I2385">
            <v>0</v>
          </cell>
        </row>
        <row r="2386">
          <cell r="F2386">
            <v>0</v>
          </cell>
          <cell r="H2386">
            <v>0</v>
          </cell>
          <cell r="I2386">
            <v>0</v>
          </cell>
        </row>
        <row r="2387">
          <cell r="F2387">
            <v>0</v>
          </cell>
          <cell r="H2387">
            <v>0</v>
          </cell>
          <cell r="I2387">
            <v>0</v>
          </cell>
        </row>
        <row r="2388">
          <cell r="F2388">
            <v>0</v>
          </cell>
          <cell r="H2388">
            <v>0</v>
          </cell>
          <cell r="I2388">
            <v>0</v>
          </cell>
        </row>
        <row r="2389">
          <cell r="F2389">
            <v>0</v>
          </cell>
          <cell r="H2389">
            <v>0</v>
          </cell>
          <cell r="I2389">
            <v>0</v>
          </cell>
        </row>
        <row r="2390">
          <cell r="F2390">
            <v>0</v>
          </cell>
          <cell r="H2390">
            <v>0</v>
          </cell>
          <cell r="I2390">
            <v>0</v>
          </cell>
        </row>
        <row r="2391">
          <cell r="F2391">
            <v>0</v>
          </cell>
          <cell r="H2391">
            <v>0</v>
          </cell>
          <cell r="I2391">
            <v>0</v>
          </cell>
        </row>
        <row r="2392">
          <cell r="F2392">
            <v>0</v>
          </cell>
          <cell r="H2392">
            <v>0</v>
          </cell>
          <cell r="I2392">
            <v>0</v>
          </cell>
        </row>
        <row r="2393">
          <cell r="F2393">
            <v>0</v>
          </cell>
          <cell r="H2393">
            <v>0</v>
          </cell>
          <cell r="I2393">
            <v>0</v>
          </cell>
        </row>
        <row r="2394">
          <cell r="F2394">
            <v>0</v>
          </cell>
          <cell r="H2394">
            <v>0</v>
          </cell>
          <cell r="I2394">
            <v>0</v>
          </cell>
        </row>
        <row r="2395">
          <cell r="F2395">
            <v>0</v>
          </cell>
          <cell r="H2395">
            <v>0</v>
          </cell>
          <cell r="I2395">
            <v>0</v>
          </cell>
        </row>
        <row r="2396">
          <cell r="F2396">
            <v>0</v>
          </cell>
          <cell r="H2396">
            <v>0</v>
          </cell>
          <cell r="I2396">
            <v>0</v>
          </cell>
        </row>
        <row r="2397">
          <cell r="F2397">
            <v>0</v>
          </cell>
          <cell r="H2397">
            <v>0</v>
          </cell>
          <cell r="I2397">
            <v>0</v>
          </cell>
        </row>
        <row r="2398">
          <cell r="F2398">
            <v>0</v>
          </cell>
          <cell r="H2398">
            <v>0</v>
          </cell>
          <cell r="I2398">
            <v>0</v>
          </cell>
        </row>
        <row r="2399">
          <cell r="F2399">
            <v>0</v>
          </cell>
          <cell r="H2399">
            <v>0</v>
          </cell>
          <cell r="I2399">
            <v>0</v>
          </cell>
        </row>
        <row r="2400">
          <cell r="F2400">
            <v>0</v>
          </cell>
          <cell r="H2400">
            <v>0</v>
          </cell>
          <cell r="I2400">
            <v>0</v>
          </cell>
        </row>
        <row r="2401">
          <cell r="F2401">
            <v>0</v>
          </cell>
          <cell r="H2401">
            <v>0</v>
          </cell>
          <cell r="I2401">
            <v>0</v>
          </cell>
        </row>
        <row r="2402">
          <cell r="F2402">
            <v>0</v>
          </cell>
          <cell r="H2402">
            <v>0</v>
          </cell>
          <cell r="I2402">
            <v>0</v>
          </cell>
        </row>
        <row r="2403">
          <cell r="F2403">
            <v>0</v>
          </cell>
          <cell r="H2403">
            <v>0</v>
          </cell>
          <cell r="I2403">
            <v>0</v>
          </cell>
        </row>
        <row r="2404">
          <cell r="F2404">
            <v>0</v>
          </cell>
          <cell r="H2404">
            <v>0</v>
          </cell>
          <cell r="I2404">
            <v>0</v>
          </cell>
        </row>
        <row r="2405">
          <cell r="F2405">
            <v>0</v>
          </cell>
          <cell r="H2405">
            <v>0</v>
          </cell>
          <cell r="I2405">
            <v>0</v>
          </cell>
        </row>
        <row r="2406">
          <cell r="F2406">
            <v>0</v>
          </cell>
          <cell r="H2406">
            <v>0</v>
          </cell>
          <cell r="I2406">
            <v>0</v>
          </cell>
        </row>
        <row r="2407">
          <cell r="F2407">
            <v>0</v>
          </cell>
          <cell r="H2407">
            <v>0</v>
          </cell>
          <cell r="I2407">
            <v>0</v>
          </cell>
        </row>
        <row r="2408">
          <cell r="F2408">
            <v>0</v>
          </cell>
          <cell r="H2408">
            <v>0</v>
          </cell>
          <cell r="I2408">
            <v>0</v>
          </cell>
        </row>
        <row r="2409">
          <cell r="F2409">
            <v>0</v>
          </cell>
          <cell r="H2409">
            <v>0</v>
          </cell>
          <cell r="I2409">
            <v>0</v>
          </cell>
        </row>
        <row r="2410">
          <cell r="F2410">
            <v>0</v>
          </cell>
          <cell r="H2410">
            <v>0</v>
          </cell>
          <cell r="I2410">
            <v>0</v>
          </cell>
        </row>
        <row r="2411">
          <cell r="F2411">
            <v>0</v>
          </cell>
          <cell r="H2411">
            <v>0</v>
          </cell>
          <cell r="I2411">
            <v>0</v>
          </cell>
        </row>
        <row r="2412">
          <cell r="F2412">
            <v>0</v>
          </cell>
          <cell r="H2412">
            <v>0</v>
          </cell>
          <cell r="I2412">
            <v>0</v>
          </cell>
        </row>
        <row r="2413">
          <cell r="F2413">
            <v>0</v>
          </cell>
          <cell r="H2413">
            <v>0</v>
          </cell>
          <cell r="I2413">
            <v>0</v>
          </cell>
        </row>
        <row r="2414">
          <cell r="F2414">
            <v>0</v>
          </cell>
          <cell r="H2414">
            <v>0</v>
          </cell>
          <cell r="I2414">
            <v>0</v>
          </cell>
        </row>
        <row r="2415">
          <cell r="F2415">
            <v>0</v>
          </cell>
          <cell r="H2415">
            <v>0</v>
          </cell>
          <cell r="I2415">
            <v>0</v>
          </cell>
        </row>
        <row r="2416">
          <cell r="F2416">
            <v>0</v>
          </cell>
          <cell r="H2416">
            <v>0</v>
          </cell>
          <cell r="I2416">
            <v>0</v>
          </cell>
        </row>
        <row r="2417">
          <cell r="F2417">
            <v>0</v>
          </cell>
          <cell r="H2417">
            <v>0</v>
          </cell>
          <cell r="I2417">
            <v>0</v>
          </cell>
        </row>
        <row r="2418">
          <cell r="F2418">
            <v>0</v>
          </cell>
          <cell r="H2418">
            <v>0</v>
          </cell>
          <cell r="I2418">
            <v>0</v>
          </cell>
        </row>
        <row r="2419">
          <cell r="F2419">
            <v>0</v>
          </cell>
          <cell r="H2419">
            <v>0</v>
          </cell>
          <cell r="I2419">
            <v>0</v>
          </cell>
        </row>
        <row r="2420">
          <cell r="F2420">
            <v>0</v>
          </cell>
          <cell r="H2420">
            <v>0</v>
          </cell>
          <cell r="I2420">
            <v>0</v>
          </cell>
        </row>
        <row r="2421">
          <cell r="F2421">
            <v>0</v>
          </cell>
          <cell r="H2421">
            <v>0</v>
          </cell>
          <cell r="I2421">
            <v>0</v>
          </cell>
        </row>
        <row r="2422">
          <cell r="F2422">
            <v>0</v>
          </cell>
          <cell r="H2422">
            <v>0</v>
          </cell>
          <cell r="I2422">
            <v>0</v>
          </cell>
        </row>
        <row r="2423">
          <cell r="F2423">
            <v>0</v>
          </cell>
          <cell r="H2423">
            <v>0</v>
          </cell>
          <cell r="I2423">
            <v>0</v>
          </cell>
        </row>
        <row r="2424">
          <cell r="F2424">
            <v>0</v>
          </cell>
          <cell r="H2424">
            <v>0</v>
          </cell>
          <cell r="I2424">
            <v>0</v>
          </cell>
        </row>
        <row r="2425">
          <cell r="F2425">
            <v>0</v>
          </cell>
          <cell r="H2425">
            <v>0</v>
          </cell>
          <cell r="I2425">
            <v>0</v>
          </cell>
        </row>
        <row r="2426">
          <cell r="F2426">
            <v>0</v>
          </cell>
          <cell r="H2426">
            <v>0</v>
          </cell>
          <cell r="I2426">
            <v>0</v>
          </cell>
        </row>
        <row r="2427">
          <cell r="F2427">
            <v>0</v>
          </cell>
          <cell r="H2427">
            <v>0</v>
          </cell>
          <cell r="I2427">
            <v>0</v>
          </cell>
        </row>
        <row r="2428">
          <cell r="F2428">
            <v>0</v>
          </cell>
          <cell r="H2428">
            <v>0</v>
          </cell>
          <cell r="I2428">
            <v>0</v>
          </cell>
        </row>
        <row r="2429">
          <cell r="F2429">
            <v>0</v>
          </cell>
          <cell r="H2429">
            <v>0</v>
          </cell>
          <cell r="I2429">
            <v>0</v>
          </cell>
        </row>
        <row r="2430">
          <cell r="F2430">
            <v>0</v>
          </cell>
          <cell r="H2430">
            <v>0</v>
          </cell>
          <cell r="I2430">
            <v>0</v>
          </cell>
        </row>
        <row r="2431">
          <cell r="F2431">
            <v>0</v>
          </cell>
          <cell r="H2431">
            <v>0</v>
          </cell>
          <cell r="I2431">
            <v>0</v>
          </cell>
        </row>
        <row r="2432">
          <cell r="F2432">
            <v>0</v>
          </cell>
          <cell r="H2432">
            <v>0</v>
          </cell>
          <cell r="I2432">
            <v>0</v>
          </cell>
        </row>
        <row r="2433">
          <cell r="F2433">
            <v>0</v>
          </cell>
          <cell r="H2433">
            <v>0</v>
          </cell>
          <cell r="I2433">
            <v>0</v>
          </cell>
        </row>
        <row r="2434">
          <cell r="F2434">
            <v>0</v>
          </cell>
          <cell r="H2434">
            <v>0</v>
          </cell>
          <cell r="I2434">
            <v>0</v>
          </cell>
        </row>
        <row r="2435">
          <cell r="F2435">
            <v>0</v>
          </cell>
          <cell r="H2435">
            <v>0</v>
          </cell>
          <cell r="I2435">
            <v>0</v>
          </cell>
        </row>
        <row r="2436">
          <cell r="F2436">
            <v>0</v>
          </cell>
          <cell r="H2436">
            <v>0</v>
          </cell>
          <cell r="I2436">
            <v>0</v>
          </cell>
        </row>
        <row r="2437">
          <cell r="F2437">
            <v>0</v>
          </cell>
          <cell r="H2437">
            <v>0</v>
          </cell>
          <cell r="I2437">
            <v>0</v>
          </cell>
        </row>
        <row r="2438">
          <cell r="F2438">
            <v>0</v>
          </cell>
          <cell r="H2438">
            <v>0</v>
          </cell>
          <cell r="I2438">
            <v>0</v>
          </cell>
        </row>
        <row r="2439">
          <cell r="F2439">
            <v>0</v>
          </cell>
          <cell r="H2439">
            <v>0</v>
          </cell>
          <cell r="I2439">
            <v>0</v>
          </cell>
        </row>
        <row r="2440">
          <cell r="F2440">
            <v>0</v>
          </cell>
          <cell r="H2440">
            <v>0</v>
          </cell>
          <cell r="I2440">
            <v>0</v>
          </cell>
        </row>
        <row r="2441">
          <cell r="F2441">
            <v>0</v>
          </cell>
          <cell r="H2441">
            <v>0</v>
          </cell>
          <cell r="I2441">
            <v>0</v>
          </cell>
        </row>
        <row r="2442">
          <cell r="F2442">
            <v>0</v>
          </cell>
          <cell r="H2442">
            <v>0</v>
          </cell>
          <cell r="I2442">
            <v>0</v>
          </cell>
        </row>
        <row r="2443">
          <cell r="F2443">
            <v>0</v>
          </cell>
          <cell r="H2443">
            <v>0</v>
          </cell>
          <cell r="I2443">
            <v>0</v>
          </cell>
        </row>
        <row r="2444">
          <cell r="F2444">
            <v>0</v>
          </cell>
          <cell r="H2444">
            <v>0</v>
          </cell>
          <cell r="I2444">
            <v>0</v>
          </cell>
        </row>
        <row r="2445">
          <cell r="F2445">
            <v>0</v>
          </cell>
          <cell r="H2445">
            <v>0</v>
          </cell>
          <cell r="I2445">
            <v>0</v>
          </cell>
        </row>
        <row r="2446">
          <cell r="F2446">
            <v>0</v>
          </cell>
          <cell r="H2446">
            <v>0</v>
          </cell>
          <cell r="I2446">
            <v>0</v>
          </cell>
        </row>
        <row r="2447">
          <cell r="F2447">
            <v>0</v>
          </cell>
          <cell r="H2447">
            <v>0</v>
          </cell>
          <cell r="I2447">
            <v>0</v>
          </cell>
        </row>
        <row r="2448">
          <cell r="F2448">
            <v>0</v>
          </cell>
          <cell r="H2448">
            <v>0</v>
          </cell>
          <cell r="I2448">
            <v>0</v>
          </cell>
        </row>
        <row r="2449">
          <cell r="F2449">
            <v>0</v>
          </cell>
          <cell r="H2449">
            <v>0</v>
          </cell>
          <cell r="I2449">
            <v>0</v>
          </cell>
        </row>
        <row r="2450">
          <cell r="F2450">
            <v>0</v>
          </cell>
          <cell r="H2450">
            <v>0</v>
          </cell>
          <cell r="I2450">
            <v>0</v>
          </cell>
        </row>
        <row r="2451">
          <cell r="F2451">
            <v>0</v>
          </cell>
          <cell r="H2451">
            <v>0</v>
          </cell>
          <cell r="I2451">
            <v>0</v>
          </cell>
        </row>
        <row r="2452">
          <cell r="F2452">
            <v>0</v>
          </cell>
          <cell r="H2452">
            <v>0</v>
          </cell>
          <cell r="I2452">
            <v>0</v>
          </cell>
        </row>
        <row r="2453">
          <cell r="F2453">
            <v>0</v>
          </cell>
          <cell r="H2453">
            <v>0</v>
          </cell>
          <cell r="I2453">
            <v>0</v>
          </cell>
        </row>
        <row r="2454">
          <cell r="F2454">
            <v>0</v>
          </cell>
          <cell r="H2454">
            <v>0</v>
          </cell>
          <cell r="I2454">
            <v>0</v>
          </cell>
        </row>
        <row r="2455">
          <cell r="F2455">
            <v>0</v>
          </cell>
          <cell r="H2455">
            <v>0</v>
          </cell>
          <cell r="I2455">
            <v>0</v>
          </cell>
        </row>
        <row r="2456">
          <cell r="F2456">
            <v>0</v>
          </cell>
          <cell r="H2456">
            <v>0</v>
          </cell>
          <cell r="I2456">
            <v>0</v>
          </cell>
        </row>
        <row r="2457">
          <cell r="F2457">
            <v>0</v>
          </cell>
          <cell r="H2457">
            <v>0</v>
          </cell>
          <cell r="I2457">
            <v>0</v>
          </cell>
        </row>
        <row r="2458">
          <cell r="F2458">
            <v>0</v>
          </cell>
          <cell r="H2458">
            <v>0</v>
          </cell>
          <cell r="I2458">
            <v>0</v>
          </cell>
        </row>
        <row r="2459">
          <cell r="F2459">
            <v>0</v>
          </cell>
          <cell r="H2459">
            <v>0</v>
          </cell>
          <cell r="I2459">
            <v>0</v>
          </cell>
        </row>
        <row r="2460">
          <cell r="F2460">
            <v>0</v>
          </cell>
          <cell r="H2460">
            <v>0</v>
          </cell>
          <cell r="I2460">
            <v>0</v>
          </cell>
        </row>
        <row r="2461">
          <cell r="F2461">
            <v>0</v>
          </cell>
          <cell r="H2461">
            <v>0</v>
          </cell>
          <cell r="I2461">
            <v>0</v>
          </cell>
        </row>
        <row r="2462">
          <cell r="F2462">
            <v>0</v>
          </cell>
          <cell r="H2462">
            <v>0</v>
          </cell>
          <cell r="I2462">
            <v>0</v>
          </cell>
        </row>
        <row r="2463">
          <cell r="F2463">
            <v>0</v>
          </cell>
          <cell r="H2463">
            <v>0</v>
          </cell>
          <cell r="I2463">
            <v>0</v>
          </cell>
        </row>
        <row r="2464">
          <cell r="F2464">
            <v>0</v>
          </cell>
          <cell r="H2464">
            <v>0</v>
          </cell>
          <cell r="I2464">
            <v>0</v>
          </cell>
        </row>
        <row r="2465">
          <cell r="F2465">
            <v>0</v>
          </cell>
          <cell r="H2465">
            <v>0</v>
          </cell>
          <cell r="I2465">
            <v>0</v>
          </cell>
        </row>
        <row r="2466">
          <cell r="F2466">
            <v>0</v>
          </cell>
          <cell r="H2466">
            <v>0</v>
          </cell>
          <cell r="I2466">
            <v>0</v>
          </cell>
        </row>
        <row r="2467">
          <cell r="F2467">
            <v>0</v>
          </cell>
          <cell r="H2467">
            <v>0</v>
          </cell>
          <cell r="I2467">
            <v>0</v>
          </cell>
        </row>
        <row r="2468">
          <cell r="F2468">
            <v>0</v>
          </cell>
          <cell r="H2468">
            <v>0</v>
          </cell>
          <cell r="I2468">
            <v>0</v>
          </cell>
        </row>
        <row r="2469">
          <cell r="F2469">
            <v>0</v>
          </cell>
          <cell r="H2469">
            <v>0</v>
          </cell>
          <cell r="I2469">
            <v>0</v>
          </cell>
        </row>
        <row r="2470">
          <cell r="F2470">
            <v>0</v>
          </cell>
          <cell r="H2470">
            <v>0</v>
          </cell>
          <cell r="I2470">
            <v>0</v>
          </cell>
        </row>
        <row r="2471">
          <cell r="F2471">
            <v>0</v>
          </cell>
          <cell r="H2471">
            <v>0</v>
          </cell>
          <cell r="I2471">
            <v>0</v>
          </cell>
        </row>
        <row r="2472">
          <cell r="F2472">
            <v>0</v>
          </cell>
          <cell r="H2472">
            <v>0</v>
          </cell>
          <cell r="I2472">
            <v>0</v>
          </cell>
        </row>
        <row r="2473">
          <cell r="F2473">
            <v>0</v>
          </cell>
          <cell r="H2473">
            <v>0</v>
          </cell>
          <cell r="I2473">
            <v>0</v>
          </cell>
        </row>
        <row r="2474">
          <cell r="F2474">
            <v>0</v>
          </cell>
          <cell r="H2474">
            <v>0</v>
          </cell>
          <cell r="I2474">
            <v>0</v>
          </cell>
        </row>
        <row r="2475">
          <cell r="F2475">
            <v>0</v>
          </cell>
          <cell r="H2475">
            <v>0</v>
          </cell>
          <cell r="I2475">
            <v>0</v>
          </cell>
        </row>
        <row r="2476">
          <cell r="F2476">
            <v>0</v>
          </cell>
          <cell r="H2476">
            <v>0</v>
          </cell>
          <cell r="I2476">
            <v>0</v>
          </cell>
        </row>
        <row r="2477">
          <cell r="F2477">
            <v>0</v>
          </cell>
          <cell r="H2477">
            <v>0</v>
          </cell>
          <cell r="I2477">
            <v>0</v>
          </cell>
        </row>
        <row r="2478">
          <cell r="F2478">
            <v>0</v>
          </cell>
          <cell r="H2478">
            <v>0</v>
          </cell>
          <cell r="I2478">
            <v>0</v>
          </cell>
        </row>
        <row r="2479">
          <cell r="F2479">
            <v>0</v>
          </cell>
          <cell r="H2479">
            <v>0</v>
          </cell>
          <cell r="I2479">
            <v>0</v>
          </cell>
        </row>
        <row r="2480">
          <cell r="F2480">
            <v>0</v>
          </cell>
          <cell r="H2480">
            <v>0</v>
          </cell>
          <cell r="I2480">
            <v>0</v>
          </cell>
        </row>
        <row r="2481">
          <cell r="F2481">
            <v>0</v>
          </cell>
          <cell r="H2481">
            <v>0</v>
          </cell>
          <cell r="I2481">
            <v>0</v>
          </cell>
        </row>
        <row r="2482">
          <cell r="F2482">
            <v>0</v>
          </cell>
          <cell r="H2482">
            <v>0</v>
          </cell>
          <cell r="I2482">
            <v>0</v>
          </cell>
        </row>
        <row r="2483">
          <cell r="F2483">
            <v>0</v>
          </cell>
          <cell r="H2483">
            <v>0</v>
          </cell>
          <cell r="I2483">
            <v>0</v>
          </cell>
        </row>
        <row r="2484">
          <cell r="F2484">
            <v>0</v>
          </cell>
          <cell r="H2484">
            <v>0</v>
          </cell>
          <cell r="I2484">
            <v>0</v>
          </cell>
        </row>
        <row r="2485">
          <cell r="F2485">
            <v>0</v>
          </cell>
          <cell r="H2485">
            <v>0</v>
          </cell>
          <cell r="I2485">
            <v>0</v>
          </cell>
        </row>
        <row r="2486">
          <cell r="F2486">
            <v>0</v>
          </cell>
          <cell r="H2486">
            <v>0</v>
          </cell>
          <cell r="I2486">
            <v>0</v>
          </cell>
        </row>
        <row r="2487">
          <cell r="F2487">
            <v>0</v>
          </cell>
          <cell r="H2487">
            <v>0</v>
          </cell>
          <cell r="I2487">
            <v>0</v>
          </cell>
        </row>
        <row r="2488">
          <cell r="F2488">
            <v>0</v>
          </cell>
          <cell r="H2488">
            <v>0</v>
          </cell>
          <cell r="I2488">
            <v>0</v>
          </cell>
        </row>
        <row r="2489">
          <cell r="F2489">
            <v>0</v>
          </cell>
          <cell r="H2489">
            <v>0</v>
          </cell>
          <cell r="I2489">
            <v>0</v>
          </cell>
        </row>
        <row r="2490">
          <cell r="F2490">
            <v>0</v>
          </cell>
          <cell r="H2490">
            <v>0</v>
          </cell>
          <cell r="I2490">
            <v>0</v>
          </cell>
        </row>
        <row r="2491">
          <cell r="F2491">
            <v>0</v>
          </cell>
          <cell r="H2491">
            <v>0</v>
          </cell>
          <cell r="I2491">
            <v>0</v>
          </cell>
        </row>
        <row r="2492">
          <cell r="F2492">
            <v>0</v>
          </cell>
          <cell r="H2492">
            <v>0</v>
          </cell>
          <cell r="I2492">
            <v>0</v>
          </cell>
        </row>
        <row r="2493">
          <cell r="F2493">
            <v>0</v>
          </cell>
          <cell r="H2493">
            <v>0</v>
          </cell>
          <cell r="I2493">
            <v>0</v>
          </cell>
        </row>
        <row r="2494">
          <cell r="F2494">
            <v>0</v>
          </cell>
          <cell r="H2494">
            <v>0</v>
          </cell>
          <cell r="I2494">
            <v>0</v>
          </cell>
        </row>
        <row r="2495">
          <cell r="F2495">
            <v>0</v>
          </cell>
          <cell r="H2495">
            <v>0</v>
          </cell>
          <cell r="I2495">
            <v>0</v>
          </cell>
        </row>
        <row r="2496">
          <cell r="F2496">
            <v>0</v>
          </cell>
          <cell r="H2496">
            <v>0</v>
          </cell>
          <cell r="I2496">
            <v>0</v>
          </cell>
        </row>
        <row r="2497">
          <cell r="F2497">
            <v>0</v>
          </cell>
          <cell r="H2497">
            <v>0</v>
          </cell>
          <cell r="I2497">
            <v>0</v>
          </cell>
        </row>
        <row r="2498">
          <cell r="F2498">
            <v>0</v>
          </cell>
          <cell r="H2498">
            <v>0</v>
          </cell>
          <cell r="I2498">
            <v>0</v>
          </cell>
        </row>
        <row r="2499">
          <cell r="F2499">
            <v>0</v>
          </cell>
          <cell r="H2499">
            <v>0</v>
          </cell>
          <cell r="I2499">
            <v>0</v>
          </cell>
        </row>
        <row r="2500">
          <cell r="F2500">
            <v>0</v>
          </cell>
          <cell r="H2500">
            <v>0</v>
          </cell>
          <cell r="I2500">
            <v>0</v>
          </cell>
        </row>
        <row r="2501">
          <cell r="F2501">
            <v>0</v>
          </cell>
          <cell r="H2501">
            <v>0</v>
          </cell>
          <cell r="I2501">
            <v>0</v>
          </cell>
        </row>
        <row r="2502">
          <cell r="F2502">
            <v>0</v>
          </cell>
          <cell r="H2502">
            <v>0</v>
          </cell>
          <cell r="I2502">
            <v>0</v>
          </cell>
        </row>
        <row r="2503">
          <cell r="F2503">
            <v>0</v>
          </cell>
          <cell r="H2503">
            <v>0</v>
          </cell>
          <cell r="I2503">
            <v>0</v>
          </cell>
        </row>
        <row r="2504">
          <cell r="F2504">
            <v>0</v>
          </cell>
          <cell r="H2504">
            <v>0</v>
          </cell>
          <cell r="I2504">
            <v>0</v>
          </cell>
        </row>
        <row r="2505">
          <cell r="F2505">
            <v>0</v>
          </cell>
          <cell r="H2505">
            <v>0</v>
          </cell>
          <cell r="I2505">
            <v>0</v>
          </cell>
        </row>
        <row r="2506">
          <cell r="F2506">
            <v>0</v>
          </cell>
          <cell r="H2506">
            <v>0</v>
          </cell>
          <cell r="I2506">
            <v>0</v>
          </cell>
        </row>
        <row r="2507">
          <cell r="F2507">
            <v>0</v>
          </cell>
          <cell r="H2507">
            <v>0</v>
          </cell>
          <cell r="I2507">
            <v>0</v>
          </cell>
        </row>
        <row r="2508">
          <cell r="F2508">
            <v>0</v>
          </cell>
          <cell r="H2508">
            <v>0</v>
          </cell>
          <cell r="I2508">
            <v>0</v>
          </cell>
        </row>
        <row r="2509">
          <cell r="F2509">
            <v>0</v>
          </cell>
          <cell r="H2509">
            <v>0</v>
          </cell>
          <cell r="I2509">
            <v>0</v>
          </cell>
        </row>
        <row r="2510">
          <cell r="F2510">
            <v>0</v>
          </cell>
          <cell r="H2510">
            <v>0</v>
          </cell>
          <cell r="I2510">
            <v>0</v>
          </cell>
        </row>
        <row r="2511">
          <cell r="F2511">
            <v>0</v>
          </cell>
          <cell r="H2511">
            <v>0</v>
          </cell>
          <cell r="I2511">
            <v>0</v>
          </cell>
        </row>
        <row r="2512">
          <cell r="F2512">
            <v>0</v>
          </cell>
          <cell r="H2512">
            <v>0</v>
          </cell>
          <cell r="I2512">
            <v>0</v>
          </cell>
        </row>
        <row r="2513">
          <cell r="F2513">
            <v>0</v>
          </cell>
          <cell r="H2513">
            <v>0</v>
          </cell>
          <cell r="I2513">
            <v>0</v>
          </cell>
        </row>
        <row r="2514">
          <cell r="F2514">
            <v>0</v>
          </cell>
          <cell r="H2514">
            <v>0</v>
          </cell>
          <cell r="I2514">
            <v>0</v>
          </cell>
        </row>
        <row r="2515">
          <cell r="F2515">
            <v>0</v>
          </cell>
          <cell r="H2515">
            <v>0</v>
          </cell>
          <cell r="I2515">
            <v>0</v>
          </cell>
        </row>
        <row r="2516">
          <cell r="F2516">
            <v>0</v>
          </cell>
          <cell r="H2516">
            <v>0</v>
          </cell>
          <cell r="I2516">
            <v>0</v>
          </cell>
        </row>
        <row r="2517">
          <cell r="F2517">
            <v>0</v>
          </cell>
          <cell r="H2517">
            <v>0</v>
          </cell>
          <cell r="I2517">
            <v>0</v>
          </cell>
        </row>
        <row r="2518">
          <cell r="F2518">
            <v>0</v>
          </cell>
          <cell r="H2518">
            <v>0</v>
          </cell>
          <cell r="I2518">
            <v>0</v>
          </cell>
        </row>
        <row r="2519">
          <cell r="F2519">
            <v>0</v>
          </cell>
          <cell r="H2519">
            <v>0</v>
          </cell>
          <cell r="I2519">
            <v>0</v>
          </cell>
        </row>
        <row r="2520">
          <cell r="F2520">
            <v>0</v>
          </cell>
          <cell r="H2520">
            <v>0</v>
          </cell>
          <cell r="I2520">
            <v>0</v>
          </cell>
        </row>
        <row r="2521">
          <cell r="F2521">
            <v>0</v>
          </cell>
          <cell r="H2521">
            <v>0</v>
          </cell>
          <cell r="I2521">
            <v>0</v>
          </cell>
        </row>
        <row r="2522">
          <cell r="F2522">
            <v>0</v>
          </cell>
          <cell r="H2522">
            <v>0</v>
          </cell>
          <cell r="I2522">
            <v>0</v>
          </cell>
        </row>
        <row r="2523">
          <cell r="F2523">
            <v>0</v>
          </cell>
          <cell r="H2523">
            <v>0</v>
          </cell>
          <cell r="I2523">
            <v>0</v>
          </cell>
        </row>
        <row r="2524">
          <cell r="F2524">
            <v>0</v>
          </cell>
          <cell r="H2524">
            <v>0</v>
          </cell>
          <cell r="I2524">
            <v>0</v>
          </cell>
        </row>
        <row r="2525">
          <cell r="F2525">
            <v>0</v>
          </cell>
          <cell r="H2525">
            <v>0</v>
          </cell>
          <cell r="I2525">
            <v>0</v>
          </cell>
        </row>
        <row r="2526">
          <cell r="F2526">
            <v>0</v>
          </cell>
          <cell r="H2526">
            <v>0</v>
          </cell>
          <cell r="I2526">
            <v>0</v>
          </cell>
        </row>
        <row r="2527">
          <cell r="F2527">
            <v>0</v>
          </cell>
          <cell r="H2527">
            <v>0</v>
          </cell>
          <cell r="I2527">
            <v>0</v>
          </cell>
        </row>
        <row r="2528">
          <cell r="F2528">
            <v>0</v>
          </cell>
          <cell r="H2528">
            <v>0</v>
          </cell>
          <cell r="I2528">
            <v>0</v>
          </cell>
        </row>
        <row r="2529">
          <cell r="F2529">
            <v>0</v>
          </cell>
          <cell r="H2529">
            <v>0</v>
          </cell>
          <cell r="I2529">
            <v>0</v>
          </cell>
        </row>
        <row r="2530">
          <cell r="F2530">
            <v>0</v>
          </cell>
          <cell r="H2530">
            <v>0</v>
          </cell>
          <cell r="I2530">
            <v>0</v>
          </cell>
        </row>
        <row r="2531">
          <cell r="F2531">
            <v>0</v>
          </cell>
          <cell r="H2531">
            <v>0</v>
          </cell>
          <cell r="I2531">
            <v>0</v>
          </cell>
        </row>
        <row r="2532">
          <cell r="F2532">
            <v>0</v>
          </cell>
          <cell r="H2532">
            <v>0</v>
          </cell>
          <cell r="I2532">
            <v>0</v>
          </cell>
        </row>
        <row r="2533">
          <cell r="F2533">
            <v>0</v>
          </cell>
          <cell r="H2533">
            <v>0</v>
          </cell>
          <cell r="I2533">
            <v>0</v>
          </cell>
        </row>
        <row r="2534">
          <cell r="F2534">
            <v>0</v>
          </cell>
          <cell r="H2534">
            <v>0</v>
          </cell>
          <cell r="I2534">
            <v>0</v>
          </cell>
        </row>
        <row r="2535">
          <cell r="F2535">
            <v>0</v>
          </cell>
          <cell r="H2535">
            <v>0</v>
          </cell>
          <cell r="I2535">
            <v>0</v>
          </cell>
        </row>
        <row r="2536">
          <cell r="F2536">
            <v>0</v>
          </cell>
          <cell r="H2536">
            <v>0</v>
          </cell>
          <cell r="I2536">
            <v>0</v>
          </cell>
        </row>
        <row r="2537">
          <cell r="F2537">
            <v>0</v>
          </cell>
          <cell r="H2537">
            <v>0</v>
          </cell>
          <cell r="I2537">
            <v>0</v>
          </cell>
        </row>
        <row r="2538">
          <cell r="F2538">
            <v>0</v>
          </cell>
          <cell r="H2538">
            <v>0</v>
          </cell>
          <cell r="I2538">
            <v>0</v>
          </cell>
        </row>
        <row r="2539">
          <cell r="F2539">
            <v>0</v>
          </cell>
          <cell r="H2539">
            <v>0</v>
          </cell>
          <cell r="I2539">
            <v>0</v>
          </cell>
        </row>
        <row r="2540">
          <cell r="F2540">
            <v>0</v>
          </cell>
          <cell r="H2540">
            <v>0</v>
          </cell>
          <cell r="I2540">
            <v>0</v>
          </cell>
        </row>
        <row r="2541">
          <cell r="F2541">
            <v>0</v>
          </cell>
          <cell r="H2541">
            <v>0</v>
          </cell>
          <cell r="I2541">
            <v>0</v>
          </cell>
        </row>
        <row r="2542">
          <cell r="F2542">
            <v>0</v>
          </cell>
          <cell r="H2542">
            <v>0</v>
          </cell>
          <cell r="I2542">
            <v>0</v>
          </cell>
        </row>
        <row r="2543">
          <cell r="F2543">
            <v>0</v>
          </cell>
          <cell r="H2543">
            <v>0</v>
          </cell>
          <cell r="I2543">
            <v>0</v>
          </cell>
        </row>
        <row r="2544">
          <cell r="F2544">
            <v>0</v>
          </cell>
          <cell r="H2544">
            <v>0</v>
          </cell>
          <cell r="I2544">
            <v>0</v>
          </cell>
        </row>
        <row r="2545">
          <cell r="F2545">
            <v>0</v>
          </cell>
          <cell r="H2545">
            <v>0</v>
          </cell>
          <cell r="I2545">
            <v>0</v>
          </cell>
        </row>
        <row r="2546">
          <cell r="F2546">
            <v>0</v>
          </cell>
          <cell r="H2546">
            <v>0</v>
          </cell>
          <cell r="I2546">
            <v>0</v>
          </cell>
        </row>
        <row r="2547">
          <cell r="F2547">
            <v>0</v>
          </cell>
          <cell r="H2547">
            <v>0</v>
          </cell>
          <cell r="I2547">
            <v>0</v>
          </cell>
        </row>
        <row r="2548">
          <cell r="F2548">
            <v>0</v>
          </cell>
          <cell r="H2548">
            <v>0</v>
          </cell>
          <cell r="I2548">
            <v>0</v>
          </cell>
        </row>
        <row r="2549">
          <cell r="F2549">
            <v>0</v>
          </cell>
          <cell r="H2549">
            <v>0</v>
          </cell>
          <cell r="I2549">
            <v>0</v>
          </cell>
        </row>
        <row r="2550">
          <cell r="F2550">
            <v>0</v>
          </cell>
          <cell r="H2550">
            <v>0</v>
          </cell>
          <cell r="I2550">
            <v>0</v>
          </cell>
        </row>
        <row r="2551">
          <cell r="F2551">
            <v>0</v>
          </cell>
          <cell r="H2551">
            <v>0</v>
          </cell>
          <cell r="I2551">
            <v>0</v>
          </cell>
        </row>
        <row r="2552">
          <cell r="F2552">
            <v>0</v>
          </cell>
          <cell r="H2552">
            <v>0</v>
          </cell>
          <cell r="I2552">
            <v>0</v>
          </cell>
        </row>
        <row r="2553">
          <cell r="F2553">
            <v>0</v>
          </cell>
          <cell r="H2553">
            <v>0</v>
          </cell>
          <cell r="I2553">
            <v>0</v>
          </cell>
        </row>
        <row r="2554">
          <cell r="F2554">
            <v>0</v>
          </cell>
          <cell r="H2554">
            <v>0</v>
          </cell>
          <cell r="I2554">
            <v>0</v>
          </cell>
        </row>
        <row r="2555">
          <cell r="F2555">
            <v>0</v>
          </cell>
          <cell r="H2555">
            <v>0</v>
          </cell>
          <cell r="I2555">
            <v>0</v>
          </cell>
        </row>
        <row r="2556">
          <cell r="F2556">
            <v>0</v>
          </cell>
          <cell r="H2556">
            <v>0</v>
          </cell>
          <cell r="I2556">
            <v>0</v>
          </cell>
        </row>
        <row r="2557">
          <cell r="F2557">
            <v>0</v>
          </cell>
          <cell r="H2557">
            <v>0</v>
          </cell>
          <cell r="I2557">
            <v>0</v>
          </cell>
        </row>
        <row r="2558">
          <cell r="F2558">
            <v>0</v>
          </cell>
          <cell r="H2558">
            <v>0</v>
          </cell>
          <cell r="I2558">
            <v>0</v>
          </cell>
        </row>
        <row r="2559">
          <cell r="F2559">
            <v>0</v>
          </cell>
          <cell r="H2559">
            <v>0</v>
          </cell>
          <cell r="I2559">
            <v>0</v>
          </cell>
        </row>
        <row r="2560">
          <cell r="F2560">
            <v>0</v>
          </cell>
          <cell r="H2560">
            <v>0</v>
          </cell>
          <cell r="I2560">
            <v>0</v>
          </cell>
        </row>
        <row r="2561">
          <cell r="F2561">
            <v>0</v>
          </cell>
          <cell r="H2561">
            <v>0</v>
          </cell>
          <cell r="I2561">
            <v>0</v>
          </cell>
        </row>
        <row r="2562">
          <cell r="F2562">
            <v>0</v>
          </cell>
          <cell r="H2562">
            <v>0</v>
          </cell>
          <cell r="I2562">
            <v>0</v>
          </cell>
        </row>
        <row r="2563">
          <cell r="F2563">
            <v>0</v>
          </cell>
          <cell r="H2563">
            <v>0</v>
          </cell>
          <cell r="I2563">
            <v>0</v>
          </cell>
        </row>
        <row r="2564">
          <cell r="F2564">
            <v>0</v>
          </cell>
          <cell r="H2564">
            <v>0</v>
          </cell>
          <cell r="I2564">
            <v>0</v>
          </cell>
        </row>
        <row r="2565">
          <cell r="F2565">
            <v>0</v>
          </cell>
          <cell r="H2565">
            <v>0</v>
          </cell>
          <cell r="I2565">
            <v>0</v>
          </cell>
        </row>
        <row r="2566">
          <cell r="F2566">
            <v>0</v>
          </cell>
          <cell r="H2566">
            <v>0</v>
          </cell>
          <cell r="I2566">
            <v>0</v>
          </cell>
        </row>
        <row r="2567">
          <cell r="F2567">
            <v>0</v>
          </cell>
          <cell r="H2567">
            <v>0</v>
          </cell>
          <cell r="I2567">
            <v>0</v>
          </cell>
        </row>
        <row r="2568">
          <cell r="F2568">
            <v>0</v>
          </cell>
          <cell r="H2568">
            <v>0</v>
          </cell>
          <cell r="I2568">
            <v>0</v>
          </cell>
        </row>
        <row r="2569">
          <cell r="F2569">
            <v>0</v>
          </cell>
          <cell r="H2569">
            <v>0</v>
          </cell>
          <cell r="I2569">
            <v>0</v>
          </cell>
        </row>
        <row r="2570">
          <cell r="F2570">
            <v>0</v>
          </cell>
          <cell r="H2570">
            <v>0</v>
          </cell>
          <cell r="I2570">
            <v>0</v>
          </cell>
        </row>
        <row r="2571">
          <cell r="F2571">
            <v>0</v>
          </cell>
          <cell r="H2571">
            <v>0</v>
          </cell>
          <cell r="I2571">
            <v>0</v>
          </cell>
        </row>
        <row r="2572">
          <cell r="F2572">
            <v>0</v>
          </cell>
          <cell r="H2572">
            <v>0</v>
          </cell>
          <cell r="I2572">
            <v>0</v>
          </cell>
        </row>
        <row r="2573">
          <cell r="F2573">
            <v>0</v>
          </cell>
          <cell r="H2573">
            <v>0</v>
          </cell>
          <cell r="I2573">
            <v>0</v>
          </cell>
        </row>
        <row r="2574">
          <cell r="F2574">
            <v>0</v>
          </cell>
          <cell r="H2574">
            <v>0</v>
          </cell>
          <cell r="I2574">
            <v>0</v>
          </cell>
        </row>
        <row r="2575">
          <cell r="F2575">
            <v>0</v>
          </cell>
          <cell r="H2575">
            <v>0</v>
          </cell>
          <cell r="I2575">
            <v>0</v>
          </cell>
        </row>
        <row r="2576">
          <cell r="F2576">
            <v>0</v>
          </cell>
          <cell r="H2576">
            <v>0</v>
          </cell>
          <cell r="I2576">
            <v>0</v>
          </cell>
        </row>
        <row r="2577">
          <cell r="F2577">
            <v>0</v>
          </cell>
          <cell r="H2577">
            <v>0</v>
          </cell>
          <cell r="I2577">
            <v>0</v>
          </cell>
        </row>
        <row r="2578">
          <cell r="F2578">
            <v>0</v>
          </cell>
          <cell r="H2578">
            <v>0</v>
          </cell>
          <cell r="I2578">
            <v>0</v>
          </cell>
        </row>
        <row r="2579">
          <cell r="F2579">
            <v>0</v>
          </cell>
          <cell r="H2579">
            <v>0</v>
          </cell>
          <cell r="I2579">
            <v>0</v>
          </cell>
        </row>
        <row r="2580">
          <cell r="F2580">
            <v>0</v>
          </cell>
          <cell r="H2580">
            <v>0</v>
          </cell>
          <cell r="I2580">
            <v>0</v>
          </cell>
        </row>
        <row r="2581">
          <cell r="F2581">
            <v>0</v>
          </cell>
          <cell r="H2581">
            <v>0</v>
          </cell>
          <cell r="I2581">
            <v>0</v>
          </cell>
        </row>
        <row r="2582">
          <cell r="F2582">
            <v>0</v>
          </cell>
          <cell r="H2582">
            <v>0</v>
          </cell>
          <cell r="I2582">
            <v>0</v>
          </cell>
        </row>
        <row r="2583">
          <cell r="F2583">
            <v>0</v>
          </cell>
          <cell r="H2583">
            <v>0</v>
          </cell>
          <cell r="I2583">
            <v>0</v>
          </cell>
        </row>
        <row r="2584">
          <cell r="F2584">
            <v>0</v>
          </cell>
          <cell r="H2584">
            <v>0</v>
          </cell>
          <cell r="I2584">
            <v>0</v>
          </cell>
        </row>
        <row r="2585">
          <cell r="F2585">
            <v>0</v>
          </cell>
          <cell r="H2585">
            <v>0</v>
          </cell>
          <cell r="I2585">
            <v>0</v>
          </cell>
        </row>
        <row r="2586">
          <cell r="F2586">
            <v>0</v>
          </cell>
          <cell r="H2586">
            <v>0</v>
          </cell>
          <cell r="I2586">
            <v>0</v>
          </cell>
        </row>
        <row r="2587">
          <cell r="F2587">
            <v>0</v>
          </cell>
          <cell r="H2587">
            <v>0</v>
          </cell>
          <cell r="I2587">
            <v>0</v>
          </cell>
        </row>
        <row r="2588">
          <cell r="F2588">
            <v>0</v>
          </cell>
          <cell r="H2588">
            <v>0</v>
          </cell>
          <cell r="I2588">
            <v>0</v>
          </cell>
        </row>
        <row r="2589">
          <cell r="F2589">
            <v>0</v>
          </cell>
          <cell r="H2589">
            <v>0</v>
          </cell>
          <cell r="I2589">
            <v>0</v>
          </cell>
        </row>
        <row r="2590">
          <cell r="F2590">
            <v>0</v>
          </cell>
          <cell r="H2590">
            <v>0</v>
          </cell>
          <cell r="I2590">
            <v>0</v>
          </cell>
        </row>
        <row r="2591">
          <cell r="F2591">
            <v>0</v>
          </cell>
          <cell r="H2591">
            <v>0</v>
          </cell>
          <cell r="I2591">
            <v>0</v>
          </cell>
        </row>
        <row r="2592">
          <cell r="F2592">
            <v>0</v>
          </cell>
          <cell r="H2592">
            <v>0</v>
          </cell>
          <cell r="I2592">
            <v>0</v>
          </cell>
        </row>
        <row r="2593">
          <cell r="F2593">
            <v>0</v>
          </cell>
          <cell r="H2593">
            <v>0</v>
          </cell>
          <cell r="I2593">
            <v>0</v>
          </cell>
        </row>
        <row r="2594">
          <cell r="F2594">
            <v>0</v>
          </cell>
          <cell r="H2594">
            <v>0</v>
          </cell>
          <cell r="I2594">
            <v>0</v>
          </cell>
        </row>
        <row r="2595">
          <cell r="F2595">
            <v>0</v>
          </cell>
          <cell r="H2595">
            <v>0</v>
          </cell>
          <cell r="I2595">
            <v>0</v>
          </cell>
        </row>
        <row r="2596">
          <cell r="F2596">
            <v>0</v>
          </cell>
          <cell r="H2596">
            <v>0</v>
          </cell>
          <cell r="I2596">
            <v>0</v>
          </cell>
        </row>
        <row r="2597">
          <cell r="F2597">
            <v>0</v>
          </cell>
          <cell r="H2597">
            <v>0</v>
          </cell>
          <cell r="I2597">
            <v>0</v>
          </cell>
        </row>
        <row r="2598">
          <cell r="F2598">
            <v>0</v>
          </cell>
          <cell r="H2598">
            <v>0</v>
          </cell>
          <cell r="I2598">
            <v>0</v>
          </cell>
        </row>
        <row r="2599">
          <cell r="F2599">
            <v>0</v>
          </cell>
          <cell r="H2599">
            <v>0</v>
          </cell>
          <cell r="I2599">
            <v>0</v>
          </cell>
        </row>
        <row r="2600">
          <cell r="F2600">
            <v>0</v>
          </cell>
          <cell r="H2600">
            <v>0</v>
          </cell>
          <cell r="I2600">
            <v>0</v>
          </cell>
        </row>
        <row r="2601">
          <cell r="F2601">
            <v>0</v>
          </cell>
          <cell r="H2601">
            <v>0</v>
          </cell>
          <cell r="I2601">
            <v>0</v>
          </cell>
        </row>
        <row r="2602">
          <cell r="F2602">
            <v>0</v>
          </cell>
          <cell r="H2602">
            <v>0</v>
          </cell>
          <cell r="I2602">
            <v>0</v>
          </cell>
        </row>
        <row r="2603">
          <cell r="F2603">
            <v>0</v>
          </cell>
          <cell r="H2603">
            <v>0</v>
          </cell>
          <cell r="I2603">
            <v>0</v>
          </cell>
        </row>
        <row r="2604">
          <cell r="F2604">
            <v>0</v>
          </cell>
          <cell r="H2604">
            <v>0</v>
          </cell>
          <cell r="I2604">
            <v>0</v>
          </cell>
        </row>
        <row r="2605">
          <cell r="F2605">
            <v>0</v>
          </cell>
          <cell r="H2605">
            <v>0</v>
          </cell>
          <cell r="I2605">
            <v>0</v>
          </cell>
        </row>
        <row r="2606">
          <cell r="F2606">
            <v>0</v>
          </cell>
          <cell r="H2606">
            <v>0</v>
          </cell>
          <cell r="I2606">
            <v>0</v>
          </cell>
        </row>
        <row r="2607">
          <cell r="F2607">
            <v>0</v>
          </cell>
          <cell r="H2607">
            <v>0</v>
          </cell>
          <cell r="I2607">
            <v>0</v>
          </cell>
        </row>
        <row r="2608">
          <cell r="F2608">
            <v>0</v>
          </cell>
          <cell r="H2608">
            <v>0</v>
          </cell>
          <cell r="I2608">
            <v>0</v>
          </cell>
        </row>
        <row r="2609">
          <cell r="F2609">
            <v>0</v>
          </cell>
          <cell r="H2609">
            <v>0</v>
          </cell>
          <cell r="I2609">
            <v>0</v>
          </cell>
        </row>
        <row r="2610">
          <cell r="F2610">
            <v>0</v>
          </cell>
          <cell r="H2610">
            <v>0</v>
          </cell>
          <cell r="I2610">
            <v>0</v>
          </cell>
        </row>
        <row r="2611">
          <cell r="F2611">
            <v>0</v>
          </cell>
          <cell r="H2611">
            <v>0</v>
          </cell>
          <cell r="I2611">
            <v>0</v>
          </cell>
        </row>
        <row r="2612">
          <cell r="F2612">
            <v>0</v>
          </cell>
          <cell r="H2612">
            <v>0</v>
          </cell>
          <cell r="I2612">
            <v>0</v>
          </cell>
        </row>
        <row r="2613">
          <cell r="F2613">
            <v>0</v>
          </cell>
          <cell r="H2613">
            <v>0</v>
          </cell>
          <cell r="I2613">
            <v>0</v>
          </cell>
        </row>
        <row r="2614">
          <cell r="F2614">
            <v>0</v>
          </cell>
          <cell r="H2614">
            <v>0</v>
          </cell>
          <cell r="I2614">
            <v>0</v>
          </cell>
        </row>
        <row r="2615">
          <cell r="F2615">
            <v>0</v>
          </cell>
          <cell r="H2615">
            <v>0</v>
          </cell>
          <cell r="I2615">
            <v>0</v>
          </cell>
        </row>
        <row r="2616">
          <cell r="F2616">
            <v>0</v>
          </cell>
          <cell r="H2616">
            <v>0</v>
          </cell>
          <cell r="I2616">
            <v>0</v>
          </cell>
        </row>
        <row r="2617">
          <cell r="F2617">
            <v>0</v>
          </cell>
          <cell r="H2617">
            <v>0</v>
          </cell>
          <cell r="I2617">
            <v>0</v>
          </cell>
        </row>
        <row r="2618">
          <cell r="F2618">
            <v>0</v>
          </cell>
          <cell r="H2618">
            <v>0</v>
          </cell>
          <cell r="I2618">
            <v>0</v>
          </cell>
        </row>
        <row r="2619">
          <cell r="F2619">
            <v>0</v>
          </cell>
          <cell r="H2619">
            <v>0</v>
          </cell>
          <cell r="I2619">
            <v>0</v>
          </cell>
        </row>
        <row r="2620">
          <cell r="F2620">
            <v>0</v>
          </cell>
          <cell r="H2620">
            <v>0</v>
          </cell>
          <cell r="I2620">
            <v>0</v>
          </cell>
        </row>
        <row r="2621">
          <cell r="F2621">
            <v>0</v>
          </cell>
          <cell r="H2621">
            <v>0</v>
          </cell>
          <cell r="I2621">
            <v>0</v>
          </cell>
        </row>
        <row r="2622">
          <cell r="F2622">
            <v>0</v>
          </cell>
          <cell r="H2622">
            <v>0</v>
          </cell>
          <cell r="I2622">
            <v>0</v>
          </cell>
        </row>
        <row r="2623">
          <cell r="F2623">
            <v>0</v>
          </cell>
          <cell r="H2623">
            <v>0</v>
          </cell>
          <cell r="I2623">
            <v>0</v>
          </cell>
        </row>
        <row r="2624">
          <cell r="F2624">
            <v>0</v>
          </cell>
          <cell r="H2624">
            <v>0</v>
          </cell>
          <cell r="I2624">
            <v>0</v>
          </cell>
        </row>
        <row r="2625">
          <cell r="F2625">
            <v>0</v>
          </cell>
          <cell r="H2625">
            <v>0</v>
          </cell>
          <cell r="I2625">
            <v>0</v>
          </cell>
        </row>
        <row r="2626">
          <cell r="F2626">
            <v>0</v>
          </cell>
          <cell r="H2626">
            <v>0</v>
          </cell>
          <cell r="I2626">
            <v>0</v>
          </cell>
        </row>
        <row r="2627">
          <cell r="F2627">
            <v>0</v>
          </cell>
          <cell r="H2627">
            <v>0</v>
          </cell>
          <cell r="I2627">
            <v>0</v>
          </cell>
        </row>
        <row r="2628">
          <cell r="F2628">
            <v>0</v>
          </cell>
          <cell r="H2628">
            <v>0</v>
          </cell>
          <cell r="I2628">
            <v>0</v>
          </cell>
        </row>
        <row r="2629">
          <cell r="F2629">
            <v>0</v>
          </cell>
          <cell r="H2629">
            <v>0</v>
          </cell>
          <cell r="I2629">
            <v>0</v>
          </cell>
        </row>
        <row r="2630">
          <cell r="F2630">
            <v>0</v>
          </cell>
          <cell r="H2630">
            <v>0</v>
          </cell>
          <cell r="I2630">
            <v>0</v>
          </cell>
        </row>
        <row r="2631">
          <cell r="F2631">
            <v>0</v>
          </cell>
          <cell r="H2631">
            <v>0</v>
          </cell>
          <cell r="I2631">
            <v>0</v>
          </cell>
        </row>
        <row r="2632">
          <cell r="F2632">
            <v>0</v>
          </cell>
          <cell r="H2632">
            <v>0</v>
          </cell>
          <cell r="I2632">
            <v>0</v>
          </cell>
        </row>
        <row r="2633">
          <cell r="F2633">
            <v>0</v>
          </cell>
          <cell r="H2633">
            <v>0</v>
          </cell>
          <cell r="I2633">
            <v>0</v>
          </cell>
        </row>
        <row r="2634">
          <cell r="F2634">
            <v>0</v>
          </cell>
          <cell r="H2634">
            <v>0</v>
          </cell>
          <cell r="I2634">
            <v>0</v>
          </cell>
        </row>
        <row r="2635">
          <cell r="F2635">
            <v>0</v>
          </cell>
          <cell r="H2635">
            <v>0</v>
          </cell>
          <cell r="I2635">
            <v>0</v>
          </cell>
        </row>
        <row r="2636">
          <cell r="F2636">
            <v>0</v>
          </cell>
          <cell r="H2636">
            <v>0</v>
          </cell>
          <cell r="I2636">
            <v>0</v>
          </cell>
        </row>
        <row r="2637">
          <cell r="F2637">
            <v>0</v>
          </cell>
          <cell r="H2637">
            <v>0</v>
          </cell>
          <cell r="I2637">
            <v>0</v>
          </cell>
        </row>
        <row r="2638">
          <cell r="F2638">
            <v>0</v>
          </cell>
          <cell r="H2638">
            <v>0</v>
          </cell>
          <cell r="I2638">
            <v>0</v>
          </cell>
        </row>
        <row r="2639">
          <cell r="F2639">
            <v>0</v>
          </cell>
          <cell r="H2639">
            <v>0</v>
          </cell>
          <cell r="I2639">
            <v>0</v>
          </cell>
        </row>
        <row r="2640">
          <cell r="F2640">
            <v>0</v>
          </cell>
          <cell r="H2640">
            <v>0</v>
          </cell>
          <cell r="I2640">
            <v>0</v>
          </cell>
        </row>
        <row r="2641">
          <cell r="F2641">
            <v>0</v>
          </cell>
          <cell r="H2641">
            <v>0</v>
          </cell>
          <cell r="I2641">
            <v>0</v>
          </cell>
        </row>
        <row r="2642">
          <cell r="F2642">
            <v>0</v>
          </cell>
          <cell r="H2642">
            <v>0</v>
          </cell>
          <cell r="I2642">
            <v>0</v>
          </cell>
        </row>
        <row r="2643">
          <cell r="F2643">
            <v>0</v>
          </cell>
          <cell r="H2643">
            <v>0</v>
          </cell>
          <cell r="I2643">
            <v>0</v>
          </cell>
        </row>
        <row r="2644">
          <cell r="F2644">
            <v>0</v>
          </cell>
          <cell r="H2644">
            <v>0</v>
          </cell>
          <cell r="I2644">
            <v>0</v>
          </cell>
        </row>
        <row r="2645">
          <cell r="F2645">
            <v>0</v>
          </cell>
          <cell r="H2645">
            <v>0</v>
          </cell>
          <cell r="I2645">
            <v>0</v>
          </cell>
        </row>
        <row r="2646">
          <cell r="F2646">
            <v>0</v>
          </cell>
          <cell r="H2646">
            <v>0</v>
          </cell>
          <cell r="I2646">
            <v>0</v>
          </cell>
        </row>
        <row r="2647">
          <cell r="F2647">
            <v>0</v>
          </cell>
          <cell r="H2647">
            <v>0</v>
          </cell>
          <cell r="I2647">
            <v>0</v>
          </cell>
        </row>
        <row r="2648">
          <cell r="F2648">
            <v>0</v>
          </cell>
          <cell r="H2648">
            <v>0</v>
          </cell>
          <cell r="I2648">
            <v>0</v>
          </cell>
        </row>
        <row r="2649">
          <cell r="F2649">
            <v>0</v>
          </cell>
          <cell r="H2649">
            <v>0</v>
          </cell>
          <cell r="I2649">
            <v>0</v>
          </cell>
        </row>
        <row r="2650">
          <cell r="F2650">
            <v>0</v>
          </cell>
          <cell r="H2650">
            <v>0</v>
          </cell>
          <cell r="I2650">
            <v>0</v>
          </cell>
        </row>
        <row r="2651">
          <cell r="F2651">
            <v>0</v>
          </cell>
          <cell r="H2651">
            <v>0</v>
          </cell>
          <cell r="I2651">
            <v>0</v>
          </cell>
        </row>
        <row r="2652">
          <cell r="F2652">
            <v>0</v>
          </cell>
          <cell r="H2652">
            <v>0</v>
          </cell>
          <cell r="I2652">
            <v>0</v>
          </cell>
        </row>
        <row r="2653">
          <cell r="F2653">
            <v>0</v>
          </cell>
          <cell r="H2653">
            <v>0</v>
          </cell>
          <cell r="I2653">
            <v>0</v>
          </cell>
        </row>
        <row r="2654">
          <cell r="F2654">
            <v>0</v>
          </cell>
          <cell r="H2654">
            <v>0</v>
          </cell>
          <cell r="I2654">
            <v>0</v>
          </cell>
        </row>
        <row r="2655">
          <cell r="F2655">
            <v>0</v>
          </cell>
          <cell r="H2655">
            <v>0</v>
          </cell>
          <cell r="I2655">
            <v>0</v>
          </cell>
        </row>
        <row r="2656">
          <cell r="F2656">
            <v>0</v>
          </cell>
          <cell r="H2656">
            <v>0</v>
          </cell>
          <cell r="I2656">
            <v>0</v>
          </cell>
        </row>
        <row r="2657">
          <cell r="F2657">
            <v>0</v>
          </cell>
          <cell r="H2657">
            <v>0</v>
          </cell>
          <cell r="I2657">
            <v>0</v>
          </cell>
        </row>
        <row r="2658">
          <cell r="F2658">
            <v>0</v>
          </cell>
          <cell r="H2658">
            <v>0</v>
          </cell>
          <cell r="I2658">
            <v>0</v>
          </cell>
        </row>
        <row r="2659">
          <cell r="F2659">
            <v>0</v>
          </cell>
          <cell r="H2659">
            <v>0</v>
          </cell>
          <cell r="I2659">
            <v>0</v>
          </cell>
        </row>
        <row r="2660">
          <cell r="F2660">
            <v>0</v>
          </cell>
          <cell r="H2660">
            <v>0</v>
          </cell>
          <cell r="I2660">
            <v>0</v>
          </cell>
        </row>
        <row r="2661">
          <cell r="F2661">
            <v>0</v>
          </cell>
          <cell r="H2661">
            <v>0</v>
          </cell>
          <cell r="I2661">
            <v>0</v>
          </cell>
        </row>
        <row r="2662">
          <cell r="F2662">
            <v>0</v>
          </cell>
          <cell r="H2662">
            <v>0</v>
          </cell>
          <cell r="I2662">
            <v>0</v>
          </cell>
        </row>
        <row r="2663">
          <cell r="F2663">
            <v>0</v>
          </cell>
          <cell r="H2663">
            <v>0</v>
          </cell>
          <cell r="I2663">
            <v>0</v>
          </cell>
        </row>
        <row r="2664">
          <cell r="F2664">
            <v>0</v>
          </cell>
          <cell r="H2664">
            <v>0</v>
          </cell>
          <cell r="I2664">
            <v>0</v>
          </cell>
        </row>
        <row r="2665">
          <cell r="F2665">
            <v>0</v>
          </cell>
          <cell r="H2665">
            <v>0</v>
          </cell>
          <cell r="I2665">
            <v>0</v>
          </cell>
        </row>
        <row r="2666">
          <cell r="F2666">
            <v>0</v>
          </cell>
          <cell r="H2666">
            <v>0</v>
          </cell>
          <cell r="I2666">
            <v>0</v>
          </cell>
        </row>
        <row r="2667">
          <cell r="F2667">
            <v>0</v>
          </cell>
          <cell r="H2667">
            <v>0</v>
          </cell>
          <cell r="I2667">
            <v>0</v>
          </cell>
        </row>
        <row r="2668">
          <cell r="F2668">
            <v>0</v>
          </cell>
          <cell r="H2668">
            <v>0</v>
          </cell>
          <cell r="I2668">
            <v>0</v>
          </cell>
        </row>
        <row r="2669">
          <cell r="F2669">
            <v>0</v>
          </cell>
          <cell r="H2669">
            <v>0</v>
          </cell>
          <cell r="I2669">
            <v>0</v>
          </cell>
        </row>
        <row r="2670">
          <cell r="F2670">
            <v>0</v>
          </cell>
          <cell r="H2670">
            <v>0</v>
          </cell>
          <cell r="I2670">
            <v>0</v>
          </cell>
        </row>
        <row r="2671">
          <cell r="F2671">
            <v>0</v>
          </cell>
          <cell r="H2671">
            <v>0</v>
          </cell>
          <cell r="I2671">
            <v>0</v>
          </cell>
        </row>
        <row r="2672">
          <cell r="F2672">
            <v>0</v>
          </cell>
          <cell r="H2672">
            <v>0</v>
          </cell>
          <cell r="I2672">
            <v>0</v>
          </cell>
        </row>
        <row r="2673">
          <cell r="F2673">
            <v>0</v>
          </cell>
          <cell r="H2673">
            <v>0</v>
          </cell>
          <cell r="I2673">
            <v>0</v>
          </cell>
        </row>
        <row r="2674">
          <cell r="F2674">
            <v>0</v>
          </cell>
          <cell r="H2674">
            <v>0</v>
          </cell>
          <cell r="I2674">
            <v>0</v>
          </cell>
        </row>
        <row r="2675">
          <cell r="F2675">
            <v>0</v>
          </cell>
          <cell r="H2675">
            <v>0</v>
          </cell>
          <cell r="I2675">
            <v>0</v>
          </cell>
        </row>
        <row r="2676">
          <cell r="F2676">
            <v>0</v>
          </cell>
          <cell r="H2676">
            <v>0</v>
          </cell>
          <cell r="I2676">
            <v>0</v>
          </cell>
        </row>
        <row r="2677">
          <cell r="F2677">
            <v>0</v>
          </cell>
          <cell r="H2677">
            <v>0</v>
          </cell>
          <cell r="I2677">
            <v>0</v>
          </cell>
        </row>
        <row r="2678">
          <cell r="F2678">
            <v>0</v>
          </cell>
          <cell r="H2678">
            <v>0</v>
          </cell>
          <cell r="I2678">
            <v>0</v>
          </cell>
        </row>
        <row r="2679">
          <cell r="F2679">
            <v>0</v>
          </cell>
          <cell r="H2679">
            <v>0</v>
          </cell>
          <cell r="I2679">
            <v>0</v>
          </cell>
        </row>
        <row r="2680">
          <cell r="F2680">
            <v>0</v>
          </cell>
          <cell r="H2680">
            <v>0</v>
          </cell>
          <cell r="I2680">
            <v>0</v>
          </cell>
        </row>
        <row r="2681">
          <cell r="F2681">
            <v>0</v>
          </cell>
          <cell r="H2681">
            <v>0</v>
          </cell>
          <cell r="I2681">
            <v>0</v>
          </cell>
        </row>
        <row r="2682">
          <cell r="F2682">
            <v>0</v>
          </cell>
          <cell r="H2682">
            <v>0</v>
          </cell>
          <cell r="I2682">
            <v>0</v>
          </cell>
        </row>
        <row r="2683">
          <cell r="F2683">
            <v>0</v>
          </cell>
          <cell r="H2683">
            <v>0</v>
          </cell>
          <cell r="I2683">
            <v>0</v>
          </cell>
        </row>
        <row r="2684">
          <cell r="F2684">
            <v>0</v>
          </cell>
          <cell r="H2684">
            <v>0</v>
          </cell>
          <cell r="I2684">
            <v>0</v>
          </cell>
        </row>
        <row r="2685">
          <cell r="F2685">
            <v>0</v>
          </cell>
          <cell r="H2685">
            <v>0</v>
          </cell>
          <cell r="I2685">
            <v>0</v>
          </cell>
        </row>
        <row r="2686">
          <cell r="F2686">
            <v>0</v>
          </cell>
          <cell r="H2686">
            <v>0</v>
          </cell>
          <cell r="I2686">
            <v>0</v>
          </cell>
        </row>
        <row r="2687">
          <cell r="F2687">
            <v>0</v>
          </cell>
          <cell r="H2687">
            <v>0</v>
          </cell>
          <cell r="I2687">
            <v>0</v>
          </cell>
        </row>
        <row r="2688">
          <cell r="F2688">
            <v>0</v>
          </cell>
          <cell r="H2688">
            <v>0</v>
          </cell>
          <cell r="I2688">
            <v>0</v>
          </cell>
        </row>
        <row r="2689">
          <cell r="F2689">
            <v>0</v>
          </cell>
          <cell r="H2689">
            <v>0</v>
          </cell>
          <cell r="I2689">
            <v>0</v>
          </cell>
        </row>
        <row r="2690">
          <cell r="F2690">
            <v>0</v>
          </cell>
          <cell r="H2690">
            <v>0</v>
          </cell>
          <cell r="I2690">
            <v>0</v>
          </cell>
        </row>
        <row r="2691">
          <cell r="F2691">
            <v>0</v>
          </cell>
          <cell r="H2691">
            <v>0</v>
          </cell>
          <cell r="I2691">
            <v>0</v>
          </cell>
        </row>
        <row r="2692">
          <cell r="F2692">
            <v>0</v>
          </cell>
          <cell r="H2692">
            <v>0</v>
          </cell>
          <cell r="I2692">
            <v>0</v>
          </cell>
        </row>
        <row r="2693">
          <cell r="F2693">
            <v>0</v>
          </cell>
          <cell r="H2693">
            <v>0</v>
          </cell>
          <cell r="I2693">
            <v>0</v>
          </cell>
        </row>
        <row r="2694">
          <cell r="F2694">
            <v>0</v>
          </cell>
          <cell r="H2694">
            <v>0</v>
          </cell>
          <cell r="I2694">
            <v>0</v>
          </cell>
        </row>
        <row r="2695">
          <cell r="F2695">
            <v>0</v>
          </cell>
          <cell r="H2695">
            <v>0</v>
          </cell>
          <cell r="I2695">
            <v>0</v>
          </cell>
        </row>
        <row r="2696">
          <cell r="F2696">
            <v>0</v>
          </cell>
          <cell r="H2696">
            <v>0</v>
          </cell>
          <cell r="I2696">
            <v>0</v>
          </cell>
        </row>
        <row r="2697">
          <cell r="F2697">
            <v>0</v>
          </cell>
          <cell r="H2697">
            <v>0</v>
          </cell>
          <cell r="I2697">
            <v>0</v>
          </cell>
        </row>
        <row r="2698">
          <cell r="F2698">
            <v>0</v>
          </cell>
          <cell r="H2698">
            <v>0</v>
          </cell>
          <cell r="I2698">
            <v>0</v>
          </cell>
        </row>
        <row r="2699">
          <cell r="F2699">
            <v>0</v>
          </cell>
          <cell r="H2699">
            <v>0</v>
          </cell>
          <cell r="I2699">
            <v>0</v>
          </cell>
        </row>
        <row r="2700">
          <cell r="F2700">
            <v>0</v>
          </cell>
          <cell r="H2700">
            <v>0</v>
          </cell>
          <cell r="I2700">
            <v>0</v>
          </cell>
        </row>
        <row r="2701">
          <cell r="F2701">
            <v>0</v>
          </cell>
          <cell r="H2701">
            <v>0</v>
          </cell>
          <cell r="I2701">
            <v>0</v>
          </cell>
        </row>
        <row r="2702">
          <cell r="F2702">
            <v>0</v>
          </cell>
          <cell r="H2702">
            <v>0</v>
          </cell>
          <cell r="I2702">
            <v>0</v>
          </cell>
        </row>
        <row r="2703">
          <cell r="F2703">
            <v>0</v>
          </cell>
          <cell r="H2703">
            <v>0</v>
          </cell>
          <cell r="I2703">
            <v>0</v>
          </cell>
        </row>
        <row r="2704">
          <cell r="F2704">
            <v>0</v>
          </cell>
          <cell r="H2704">
            <v>0</v>
          </cell>
          <cell r="I2704">
            <v>0</v>
          </cell>
        </row>
        <row r="2705">
          <cell r="F2705">
            <v>0</v>
          </cell>
          <cell r="H2705">
            <v>0</v>
          </cell>
          <cell r="I2705">
            <v>0</v>
          </cell>
        </row>
        <row r="2706">
          <cell r="F2706">
            <v>0</v>
          </cell>
          <cell r="H2706">
            <v>0</v>
          </cell>
          <cell r="I2706">
            <v>0</v>
          </cell>
        </row>
        <row r="2707">
          <cell r="F2707">
            <v>0</v>
          </cell>
          <cell r="H2707">
            <v>0</v>
          </cell>
          <cell r="I2707">
            <v>0</v>
          </cell>
        </row>
        <row r="2708">
          <cell r="F2708">
            <v>0</v>
          </cell>
          <cell r="H2708">
            <v>0</v>
          </cell>
          <cell r="I2708">
            <v>0</v>
          </cell>
        </row>
        <row r="2709">
          <cell r="F2709">
            <v>0</v>
          </cell>
          <cell r="H2709">
            <v>0</v>
          </cell>
          <cell r="I2709">
            <v>0</v>
          </cell>
        </row>
        <row r="2710">
          <cell r="F2710">
            <v>0</v>
          </cell>
          <cell r="H2710">
            <v>0</v>
          </cell>
          <cell r="I2710">
            <v>0</v>
          </cell>
        </row>
        <row r="2711">
          <cell r="F2711">
            <v>0</v>
          </cell>
          <cell r="H2711">
            <v>0</v>
          </cell>
          <cell r="I2711">
            <v>0</v>
          </cell>
        </row>
        <row r="2712">
          <cell r="F2712">
            <v>0</v>
          </cell>
          <cell r="H2712">
            <v>0</v>
          </cell>
          <cell r="I2712">
            <v>0</v>
          </cell>
        </row>
        <row r="2713">
          <cell r="F2713">
            <v>0</v>
          </cell>
          <cell r="H2713">
            <v>0</v>
          </cell>
          <cell r="I2713">
            <v>0</v>
          </cell>
        </row>
        <row r="2714">
          <cell r="F2714">
            <v>0</v>
          </cell>
          <cell r="H2714">
            <v>0</v>
          </cell>
          <cell r="I2714">
            <v>0</v>
          </cell>
        </row>
        <row r="2715">
          <cell r="F2715">
            <v>0</v>
          </cell>
          <cell r="H2715">
            <v>0</v>
          </cell>
          <cell r="I2715">
            <v>0</v>
          </cell>
        </row>
        <row r="2716">
          <cell r="F2716">
            <v>0</v>
          </cell>
          <cell r="H2716">
            <v>0</v>
          </cell>
          <cell r="I2716">
            <v>0</v>
          </cell>
        </row>
        <row r="2717">
          <cell r="F2717">
            <v>0</v>
          </cell>
          <cell r="H2717">
            <v>0</v>
          </cell>
          <cell r="I2717">
            <v>0</v>
          </cell>
        </row>
        <row r="2718">
          <cell r="F2718">
            <v>0</v>
          </cell>
          <cell r="H2718">
            <v>0</v>
          </cell>
          <cell r="I2718">
            <v>0</v>
          </cell>
        </row>
        <row r="2719">
          <cell r="F2719">
            <v>0</v>
          </cell>
          <cell r="H2719">
            <v>0</v>
          </cell>
          <cell r="I2719">
            <v>0</v>
          </cell>
        </row>
        <row r="2720">
          <cell r="F2720">
            <v>0</v>
          </cell>
          <cell r="H2720">
            <v>0</v>
          </cell>
          <cell r="I2720">
            <v>0</v>
          </cell>
        </row>
        <row r="2721">
          <cell r="F2721">
            <v>0</v>
          </cell>
          <cell r="H2721">
            <v>0</v>
          </cell>
          <cell r="I2721">
            <v>0</v>
          </cell>
        </row>
        <row r="2722">
          <cell r="F2722">
            <v>0</v>
          </cell>
          <cell r="H2722">
            <v>0</v>
          </cell>
          <cell r="I2722">
            <v>0</v>
          </cell>
        </row>
        <row r="2723">
          <cell r="F2723">
            <v>0</v>
          </cell>
          <cell r="H2723">
            <v>0</v>
          </cell>
          <cell r="I2723">
            <v>0</v>
          </cell>
        </row>
        <row r="2724">
          <cell r="F2724">
            <v>0</v>
          </cell>
          <cell r="H2724">
            <v>0</v>
          </cell>
          <cell r="I2724">
            <v>0</v>
          </cell>
        </row>
        <row r="2725">
          <cell r="F2725">
            <v>0</v>
          </cell>
          <cell r="H2725">
            <v>0</v>
          </cell>
          <cell r="I2725">
            <v>0</v>
          </cell>
        </row>
        <row r="2726">
          <cell r="F2726">
            <v>0</v>
          </cell>
          <cell r="H2726">
            <v>0</v>
          </cell>
          <cell r="I2726">
            <v>0</v>
          </cell>
        </row>
        <row r="2727">
          <cell r="F2727">
            <v>0</v>
          </cell>
          <cell r="H2727">
            <v>0</v>
          </cell>
          <cell r="I2727">
            <v>0</v>
          </cell>
        </row>
        <row r="2728">
          <cell r="F2728">
            <v>0</v>
          </cell>
          <cell r="H2728">
            <v>0</v>
          </cell>
          <cell r="I2728">
            <v>0</v>
          </cell>
        </row>
        <row r="2729">
          <cell r="F2729">
            <v>0</v>
          </cell>
          <cell r="H2729">
            <v>0</v>
          </cell>
          <cell r="I2729">
            <v>0</v>
          </cell>
        </row>
        <row r="2730">
          <cell r="F2730">
            <v>0</v>
          </cell>
          <cell r="H2730">
            <v>0</v>
          </cell>
          <cell r="I2730">
            <v>0</v>
          </cell>
        </row>
        <row r="2731">
          <cell r="F2731">
            <v>0</v>
          </cell>
          <cell r="H2731">
            <v>0</v>
          </cell>
          <cell r="I2731">
            <v>0</v>
          </cell>
        </row>
        <row r="2732">
          <cell r="F2732">
            <v>0</v>
          </cell>
          <cell r="H2732">
            <v>0</v>
          </cell>
          <cell r="I2732">
            <v>0</v>
          </cell>
        </row>
        <row r="2733">
          <cell r="F2733">
            <v>0</v>
          </cell>
          <cell r="H2733">
            <v>0</v>
          </cell>
          <cell r="I2733">
            <v>0</v>
          </cell>
        </row>
        <row r="2734">
          <cell r="F2734">
            <v>0</v>
          </cell>
          <cell r="H2734">
            <v>0</v>
          </cell>
          <cell r="I2734">
            <v>0</v>
          </cell>
        </row>
        <row r="2735">
          <cell r="F2735">
            <v>0</v>
          </cell>
          <cell r="H2735">
            <v>0</v>
          </cell>
          <cell r="I2735">
            <v>0</v>
          </cell>
        </row>
        <row r="2736">
          <cell r="F2736">
            <v>0</v>
          </cell>
          <cell r="H2736">
            <v>0</v>
          </cell>
          <cell r="I2736">
            <v>0</v>
          </cell>
        </row>
        <row r="2737">
          <cell r="F2737">
            <v>0</v>
          </cell>
          <cell r="H2737">
            <v>0</v>
          </cell>
          <cell r="I2737">
            <v>0</v>
          </cell>
        </row>
        <row r="2738">
          <cell r="F2738">
            <v>0</v>
          </cell>
          <cell r="H2738">
            <v>0</v>
          </cell>
          <cell r="I2738">
            <v>0</v>
          </cell>
        </row>
        <row r="2739">
          <cell r="F2739">
            <v>0</v>
          </cell>
          <cell r="H2739">
            <v>0</v>
          </cell>
          <cell r="I2739">
            <v>0</v>
          </cell>
        </row>
        <row r="2740">
          <cell r="F2740">
            <v>0</v>
          </cell>
          <cell r="H2740">
            <v>0</v>
          </cell>
          <cell r="I2740">
            <v>0</v>
          </cell>
        </row>
        <row r="2741">
          <cell r="F2741">
            <v>0</v>
          </cell>
          <cell r="H2741">
            <v>0</v>
          </cell>
          <cell r="I2741">
            <v>0</v>
          </cell>
        </row>
        <row r="2742">
          <cell r="F2742">
            <v>0</v>
          </cell>
          <cell r="H2742">
            <v>0</v>
          </cell>
          <cell r="I2742">
            <v>0</v>
          </cell>
        </row>
        <row r="2743">
          <cell r="F2743">
            <v>0</v>
          </cell>
          <cell r="H2743">
            <v>0</v>
          </cell>
          <cell r="I2743">
            <v>0</v>
          </cell>
        </row>
        <row r="2744">
          <cell r="F2744">
            <v>0</v>
          </cell>
          <cell r="H2744">
            <v>0</v>
          </cell>
          <cell r="I2744">
            <v>0</v>
          </cell>
        </row>
        <row r="2745">
          <cell r="F2745">
            <v>0</v>
          </cell>
          <cell r="H2745">
            <v>0</v>
          </cell>
          <cell r="I2745">
            <v>0</v>
          </cell>
        </row>
        <row r="2746">
          <cell r="F2746">
            <v>0</v>
          </cell>
          <cell r="H2746">
            <v>0</v>
          </cell>
          <cell r="I2746">
            <v>0</v>
          </cell>
        </row>
        <row r="2747">
          <cell r="F2747">
            <v>0</v>
          </cell>
          <cell r="H2747">
            <v>0</v>
          </cell>
          <cell r="I2747">
            <v>0</v>
          </cell>
        </row>
        <row r="2748">
          <cell r="F2748">
            <v>0</v>
          </cell>
          <cell r="H2748">
            <v>0</v>
          </cell>
          <cell r="I2748">
            <v>0</v>
          </cell>
        </row>
        <row r="2749">
          <cell r="F2749">
            <v>0</v>
          </cell>
          <cell r="H2749">
            <v>0</v>
          </cell>
          <cell r="I2749">
            <v>0</v>
          </cell>
        </row>
        <row r="2750">
          <cell r="F2750">
            <v>0</v>
          </cell>
          <cell r="H2750">
            <v>0</v>
          </cell>
          <cell r="I2750">
            <v>0</v>
          </cell>
        </row>
        <row r="2751">
          <cell r="F2751">
            <v>0</v>
          </cell>
          <cell r="H2751">
            <v>0</v>
          </cell>
          <cell r="I2751">
            <v>0</v>
          </cell>
        </row>
        <row r="2752">
          <cell r="F2752">
            <v>0</v>
          </cell>
          <cell r="H2752">
            <v>0</v>
          </cell>
          <cell r="I2752">
            <v>0</v>
          </cell>
        </row>
        <row r="2753">
          <cell r="F2753">
            <v>0</v>
          </cell>
          <cell r="H2753">
            <v>0</v>
          </cell>
          <cell r="I2753">
            <v>0</v>
          </cell>
        </row>
        <row r="2754">
          <cell r="F2754">
            <v>0</v>
          </cell>
          <cell r="H2754">
            <v>0</v>
          </cell>
          <cell r="I2754">
            <v>0</v>
          </cell>
        </row>
        <row r="2755">
          <cell r="F2755">
            <v>0</v>
          </cell>
          <cell r="H2755">
            <v>0</v>
          </cell>
          <cell r="I2755">
            <v>0</v>
          </cell>
        </row>
        <row r="2756">
          <cell r="F2756">
            <v>0</v>
          </cell>
          <cell r="H2756">
            <v>0</v>
          </cell>
          <cell r="I2756">
            <v>0</v>
          </cell>
        </row>
        <row r="2757">
          <cell r="F2757">
            <v>0</v>
          </cell>
          <cell r="H2757">
            <v>0</v>
          </cell>
          <cell r="I2757">
            <v>0</v>
          </cell>
        </row>
        <row r="2758">
          <cell r="F2758">
            <v>0</v>
          </cell>
          <cell r="H2758">
            <v>0</v>
          </cell>
          <cell r="I2758">
            <v>0</v>
          </cell>
        </row>
        <row r="2759">
          <cell r="F2759">
            <v>0</v>
          </cell>
          <cell r="H2759">
            <v>0</v>
          </cell>
          <cell r="I2759">
            <v>0</v>
          </cell>
        </row>
        <row r="2760">
          <cell r="F2760">
            <v>0</v>
          </cell>
          <cell r="H2760">
            <v>0</v>
          </cell>
          <cell r="I2760">
            <v>0</v>
          </cell>
        </row>
        <row r="2761">
          <cell r="F2761">
            <v>0</v>
          </cell>
          <cell r="H2761">
            <v>0</v>
          </cell>
          <cell r="I2761">
            <v>0</v>
          </cell>
        </row>
        <row r="2762">
          <cell r="F2762">
            <v>0</v>
          </cell>
          <cell r="H2762">
            <v>0</v>
          </cell>
          <cell r="I2762">
            <v>0</v>
          </cell>
        </row>
        <row r="2763">
          <cell r="F2763">
            <v>0</v>
          </cell>
          <cell r="H2763">
            <v>0</v>
          </cell>
          <cell r="I2763">
            <v>0</v>
          </cell>
        </row>
        <row r="2764">
          <cell r="F2764">
            <v>0</v>
          </cell>
          <cell r="H2764">
            <v>0</v>
          </cell>
          <cell r="I2764">
            <v>0</v>
          </cell>
        </row>
        <row r="2765">
          <cell r="F2765">
            <v>0</v>
          </cell>
          <cell r="H2765">
            <v>0</v>
          </cell>
          <cell r="I2765">
            <v>0</v>
          </cell>
        </row>
        <row r="2766">
          <cell r="F2766">
            <v>0</v>
          </cell>
          <cell r="H2766">
            <v>0</v>
          </cell>
          <cell r="I2766">
            <v>0</v>
          </cell>
        </row>
        <row r="2767">
          <cell r="F2767">
            <v>0</v>
          </cell>
          <cell r="H2767">
            <v>0</v>
          </cell>
          <cell r="I2767">
            <v>0</v>
          </cell>
        </row>
        <row r="2768">
          <cell r="F2768">
            <v>0</v>
          </cell>
          <cell r="H2768">
            <v>0</v>
          </cell>
          <cell r="I2768">
            <v>0</v>
          </cell>
        </row>
        <row r="2769">
          <cell r="F2769">
            <v>0</v>
          </cell>
          <cell r="H2769">
            <v>0</v>
          </cell>
          <cell r="I2769">
            <v>0</v>
          </cell>
        </row>
        <row r="2770">
          <cell r="F2770">
            <v>0</v>
          </cell>
          <cell r="H2770">
            <v>0</v>
          </cell>
          <cell r="I2770">
            <v>0</v>
          </cell>
        </row>
        <row r="2771">
          <cell r="F2771">
            <v>0</v>
          </cell>
          <cell r="H2771">
            <v>0</v>
          </cell>
          <cell r="I2771">
            <v>0</v>
          </cell>
        </row>
        <row r="2772">
          <cell r="F2772">
            <v>0</v>
          </cell>
          <cell r="H2772">
            <v>0</v>
          </cell>
          <cell r="I2772">
            <v>0</v>
          </cell>
        </row>
        <row r="2773">
          <cell r="F2773">
            <v>0</v>
          </cell>
          <cell r="H2773">
            <v>0</v>
          </cell>
          <cell r="I2773">
            <v>0</v>
          </cell>
        </row>
        <row r="2774">
          <cell r="F2774">
            <v>0</v>
          </cell>
          <cell r="H2774">
            <v>0</v>
          </cell>
          <cell r="I2774">
            <v>0</v>
          </cell>
        </row>
        <row r="2775">
          <cell r="F2775">
            <v>0</v>
          </cell>
          <cell r="H2775">
            <v>0</v>
          </cell>
          <cell r="I2775">
            <v>0</v>
          </cell>
        </row>
        <row r="2776">
          <cell r="F2776">
            <v>0</v>
          </cell>
          <cell r="H2776">
            <v>0</v>
          </cell>
          <cell r="I2776">
            <v>0</v>
          </cell>
        </row>
        <row r="2777">
          <cell r="F2777">
            <v>0</v>
          </cell>
          <cell r="H2777">
            <v>0</v>
          </cell>
          <cell r="I2777">
            <v>0</v>
          </cell>
        </row>
        <row r="2778">
          <cell r="F2778">
            <v>0</v>
          </cell>
          <cell r="H2778">
            <v>0</v>
          </cell>
          <cell r="I2778">
            <v>0</v>
          </cell>
        </row>
        <row r="2779">
          <cell r="F2779">
            <v>0</v>
          </cell>
          <cell r="H2779">
            <v>0</v>
          </cell>
          <cell r="I2779">
            <v>0</v>
          </cell>
        </row>
        <row r="2780">
          <cell r="F2780">
            <v>0</v>
          </cell>
          <cell r="H2780">
            <v>0</v>
          </cell>
          <cell r="I2780">
            <v>0</v>
          </cell>
        </row>
        <row r="2781">
          <cell r="F2781">
            <v>0</v>
          </cell>
          <cell r="H2781">
            <v>0</v>
          </cell>
          <cell r="I2781">
            <v>0</v>
          </cell>
        </row>
        <row r="2782">
          <cell r="F2782">
            <v>0</v>
          </cell>
          <cell r="H2782">
            <v>0</v>
          </cell>
          <cell r="I2782">
            <v>0</v>
          </cell>
        </row>
        <row r="2783">
          <cell r="F2783">
            <v>0</v>
          </cell>
          <cell r="H2783">
            <v>0</v>
          </cell>
          <cell r="I2783">
            <v>0</v>
          </cell>
        </row>
        <row r="2784">
          <cell r="F2784">
            <v>0</v>
          </cell>
          <cell r="H2784">
            <v>0</v>
          </cell>
          <cell r="I2784">
            <v>0</v>
          </cell>
        </row>
        <row r="2785">
          <cell r="F2785">
            <v>0</v>
          </cell>
          <cell r="H2785">
            <v>0</v>
          </cell>
          <cell r="I2785">
            <v>0</v>
          </cell>
        </row>
        <row r="2786">
          <cell r="F2786">
            <v>0</v>
          </cell>
          <cell r="H2786">
            <v>0</v>
          </cell>
          <cell r="I2786">
            <v>0</v>
          </cell>
        </row>
        <row r="2787">
          <cell r="F2787">
            <v>0</v>
          </cell>
          <cell r="H2787">
            <v>0</v>
          </cell>
          <cell r="I2787">
            <v>0</v>
          </cell>
        </row>
        <row r="2788">
          <cell r="F2788">
            <v>0</v>
          </cell>
          <cell r="H2788">
            <v>0</v>
          </cell>
          <cell r="I2788">
            <v>0</v>
          </cell>
        </row>
        <row r="2789">
          <cell r="F2789">
            <v>0</v>
          </cell>
          <cell r="H2789">
            <v>0</v>
          </cell>
          <cell r="I2789">
            <v>0</v>
          </cell>
        </row>
        <row r="2790">
          <cell r="F2790">
            <v>0</v>
          </cell>
          <cell r="H2790">
            <v>0</v>
          </cell>
          <cell r="I2790">
            <v>0</v>
          </cell>
        </row>
        <row r="2791">
          <cell r="F2791">
            <v>0</v>
          </cell>
          <cell r="H2791">
            <v>0</v>
          </cell>
          <cell r="I2791">
            <v>0</v>
          </cell>
        </row>
        <row r="2792">
          <cell r="F2792">
            <v>0</v>
          </cell>
          <cell r="H2792">
            <v>0</v>
          </cell>
          <cell r="I2792">
            <v>0</v>
          </cell>
        </row>
        <row r="2793">
          <cell r="F2793">
            <v>0</v>
          </cell>
          <cell r="H2793">
            <v>0</v>
          </cell>
          <cell r="I2793">
            <v>0</v>
          </cell>
        </row>
        <row r="2794">
          <cell r="F2794">
            <v>0</v>
          </cell>
          <cell r="H2794">
            <v>0</v>
          </cell>
          <cell r="I2794">
            <v>0</v>
          </cell>
        </row>
        <row r="2795">
          <cell r="F2795">
            <v>0</v>
          </cell>
          <cell r="H2795">
            <v>0</v>
          </cell>
          <cell r="I2795">
            <v>0</v>
          </cell>
        </row>
        <row r="2796">
          <cell r="F2796">
            <v>0</v>
          </cell>
          <cell r="H2796">
            <v>0</v>
          </cell>
          <cell r="I2796">
            <v>0</v>
          </cell>
        </row>
        <row r="2797">
          <cell r="F2797">
            <v>0</v>
          </cell>
          <cell r="H2797">
            <v>0</v>
          </cell>
          <cell r="I2797">
            <v>0</v>
          </cell>
        </row>
        <row r="2798">
          <cell r="F2798">
            <v>0</v>
          </cell>
          <cell r="H2798">
            <v>0</v>
          </cell>
          <cell r="I2798">
            <v>0</v>
          </cell>
        </row>
        <row r="2799">
          <cell r="F2799">
            <v>0</v>
          </cell>
          <cell r="H2799">
            <v>0</v>
          </cell>
          <cell r="I2799">
            <v>0</v>
          </cell>
        </row>
        <row r="2800">
          <cell r="F2800">
            <v>0</v>
          </cell>
          <cell r="H2800">
            <v>0</v>
          </cell>
          <cell r="I2800">
            <v>0</v>
          </cell>
        </row>
        <row r="2801">
          <cell r="F2801">
            <v>0</v>
          </cell>
          <cell r="H2801">
            <v>0</v>
          </cell>
          <cell r="I2801">
            <v>0</v>
          </cell>
        </row>
        <row r="2802">
          <cell r="F2802">
            <v>0</v>
          </cell>
          <cell r="H2802">
            <v>0</v>
          </cell>
          <cell r="I2802">
            <v>0</v>
          </cell>
        </row>
        <row r="2803">
          <cell r="F2803">
            <v>0</v>
          </cell>
          <cell r="H2803">
            <v>0</v>
          </cell>
          <cell r="I2803">
            <v>0</v>
          </cell>
        </row>
        <row r="2804">
          <cell r="F2804">
            <v>0</v>
          </cell>
          <cell r="H2804">
            <v>0</v>
          </cell>
          <cell r="I2804">
            <v>0</v>
          </cell>
        </row>
        <row r="2805">
          <cell r="F2805">
            <v>0</v>
          </cell>
          <cell r="H2805">
            <v>0</v>
          </cell>
          <cell r="I2805">
            <v>0</v>
          </cell>
        </row>
        <row r="2806">
          <cell r="F2806">
            <v>0</v>
          </cell>
          <cell r="H2806">
            <v>0</v>
          </cell>
          <cell r="I2806">
            <v>0</v>
          </cell>
        </row>
        <row r="2807">
          <cell r="F2807">
            <v>0</v>
          </cell>
          <cell r="H2807">
            <v>0</v>
          </cell>
          <cell r="I2807">
            <v>0</v>
          </cell>
        </row>
        <row r="2808">
          <cell r="F2808">
            <v>0</v>
          </cell>
          <cell r="H2808">
            <v>0</v>
          </cell>
          <cell r="I2808">
            <v>0</v>
          </cell>
        </row>
        <row r="2809">
          <cell r="F2809">
            <v>0</v>
          </cell>
          <cell r="H2809">
            <v>0</v>
          </cell>
          <cell r="I2809">
            <v>0</v>
          </cell>
        </row>
        <row r="2810">
          <cell r="F2810">
            <v>0</v>
          </cell>
          <cell r="H2810">
            <v>0</v>
          </cell>
          <cell r="I2810">
            <v>0</v>
          </cell>
        </row>
        <row r="2811">
          <cell r="F2811">
            <v>0</v>
          </cell>
          <cell r="H2811">
            <v>0</v>
          </cell>
          <cell r="I2811">
            <v>0</v>
          </cell>
        </row>
        <row r="2812">
          <cell r="F2812">
            <v>0</v>
          </cell>
          <cell r="H2812">
            <v>0</v>
          </cell>
          <cell r="I2812">
            <v>0</v>
          </cell>
        </row>
        <row r="2813">
          <cell r="F2813">
            <v>0</v>
          </cell>
          <cell r="H2813">
            <v>0</v>
          </cell>
          <cell r="I2813">
            <v>0</v>
          </cell>
        </row>
        <row r="2814">
          <cell r="F2814">
            <v>0</v>
          </cell>
          <cell r="H2814">
            <v>0</v>
          </cell>
          <cell r="I2814">
            <v>0</v>
          </cell>
        </row>
        <row r="2815">
          <cell r="F2815">
            <v>0</v>
          </cell>
          <cell r="H2815">
            <v>0</v>
          </cell>
          <cell r="I2815">
            <v>0</v>
          </cell>
        </row>
        <row r="2816">
          <cell r="F2816">
            <v>0</v>
          </cell>
          <cell r="H2816">
            <v>0</v>
          </cell>
          <cell r="I2816">
            <v>0</v>
          </cell>
        </row>
        <row r="2817">
          <cell r="F2817">
            <v>0</v>
          </cell>
          <cell r="H2817">
            <v>0</v>
          </cell>
          <cell r="I2817">
            <v>0</v>
          </cell>
        </row>
        <row r="2818">
          <cell r="F2818">
            <v>0</v>
          </cell>
          <cell r="H2818">
            <v>0</v>
          </cell>
          <cell r="I2818">
            <v>0</v>
          </cell>
        </row>
        <row r="2819">
          <cell r="F2819">
            <v>0</v>
          </cell>
          <cell r="H2819">
            <v>0</v>
          </cell>
          <cell r="I2819">
            <v>0</v>
          </cell>
        </row>
        <row r="2820">
          <cell r="F2820">
            <v>0</v>
          </cell>
          <cell r="H2820">
            <v>0</v>
          </cell>
          <cell r="I2820">
            <v>0</v>
          </cell>
        </row>
        <row r="2821">
          <cell r="F2821">
            <v>0</v>
          </cell>
          <cell r="H2821">
            <v>0</v>
          </cell>
          <cell r="I2821">
            <v>0</v>
          </cell>
        </row>
        <row r="2822">
          <cell r="F2822">
            <v>0</v>
          </cell>
          <cell r="H2822">
            <v>0</v>
          </cell>
          <cell r="I2822">
            <v>0</v>
          </cell>
        </row>
        <row r="2823">
          <cell r="F2823">
            <v>0</v>
          </cell>
          <cell r="H2823">
            <v>0</v>
          </cell>
          <cell r="I2823">
            <v>0</v>
          </cell>
        </row>
        <row r="2824">
          <cell r="F2824">
            <v>0</v>
          </cell>
          <cell r="H2824">
            <v>0</v>
          </cell>
          <cell r="I2824">
            <v>0</v>
          </cell>
        </row>
        <row r="2825">
          <cell r="F2825">
            <v>0</v>
          </cell>
          <cell r="H2825">
            <v>0</v>
          </cell>
          <cell r="I2825">
            <v>0</v>
          </cell>
        </row>
        <row r="2826">
          <cell r="F2826">
            <v>0</v>
          </cell>
          <cell r="H2826">
            <v>0</v>
          </cell>
          <cell r="I2826">
            <v>0</v>
          </cell>
        </row>
        <row r="2827">
          <cell r="F2827">
            <v>0</v>
          </cell>
          <cell r="H2827">
            <v>0</v>
          </cell>
          <cell r="I2827">
            <v>0</v>
          </cell>
        </row>
        <row r="2828">
          <cell r="F2828">
            <v>0</v>
          </cell>
          <cell r="H2828">
            <v>0</v>
          </cell>
          <cell r="I2828">
            <v>0</v>
          </cell>
        </row>
        <row r="2829">
          <cell r="F2829">
            <v>0</v>
          </cell>
          <cell r="H2829">
            <v>0</v>
          </cell>
          <cell r="I2829">
            <v>0</v>
          </cell>
        </row>
        <row r="2830">
          <cell r="F2830">
            <v>0</v>
          </cell>
          <cell r="H2830">
            <v>0</v>
          </cell>
          <cell r="I2830">
            <v>0</v>
          </cell>
        </row>
        <row r="2831">
          <cell r="F2831">
            <v>0</v>
          </cell>
          <cell r="H2831">
            <v>0</v>
          </cell>
          <cell r="I2831">
            <v>0</v>
          </cell>
        </row>
        <row r="2832">
          <cell r="F2832">
            <v>0</v>
          </cell>
          <cell r="H2832">
            <v>0</v>
          </cell>
          <cell r="I2832">
            <v>0</v>
          </cell>
        </row>
        <row r="2833">
          <cell r="F2833">
            <v>0</v>
          </cell>
          <cell r="H2833">
            <v>0</v>
          </cell>
          <cell r="I2833">
            <v>0</v>
          </cell>
        </row>
        <row r="2834">
          <cell r="F2834">
            <v>0</v>
          </cell>
          <cell r="H2834">
            <v>0</v>
          </cell>
          <cell r="I2834">
            <v>0</v>
          </cell>
        </row>
        <row r="2835">
          <cell r="F2835">
            <v>0</v>
          </cell>
          <cell r="H2835">
            <v>0</v>
          </cell>
          <cell r="I2835">
            <v>0</v>
          </cell>
        </row>
        <row r="2836">
          <cell r="F2836">
            <v>0</v>
          </cell>
          <cell r="H2836">
            <v>0</v>
          </cell>
          <cell r="I2836">
            <v>0</v>
          </cell>
        </row>
        <row r="2837">
          <cell r="F2837">
            <v>0</v>
          </cell>
          <cell r="H2837">
            <v>0</v>
          </cell>
          <cell r="I2837">
            <v>0</v>
          </cell>
        </row>
        <row r="2838">
          <cell r="F2838">
            <v>0</v>
          </cell>
          <cell r="H2838">
            <v>0</v>
          </cell>
          <cell r="I2838">
            <v>0</v>
          </cell>
        </row>
        <row r="2839">
          <cell r="F2839">
            <v>0</v>
          </cell>
          <cell r="H2839">
            <v>0</v>
          </cell>
          <cell r="I2839">
            <v>0</v>
          </cell>
        </row>
        <row r="2840">
          <cell r="F2840">
            <v>0</v>
          </cell>
          <cell r="H2840">
            <v>0</v>
          </cell>
          <cell r="I2840">
            <v>0</v>
          </cell>
        </row>
        <row r="2841">
          <cell r="F2841">
            <v>0</v>
          </cell>
          <cell r="H2841">
            <v>0</v>
          </cell>
          <cell r="I2841">
            <v>0</v>
          </cell>
        </row>
        <row r="2842">
          <cell r="F2842">
            <v>0</v>
          </cell>
          <cell r="H2842">
            <v>0</v>
          </cell>
          <cell r="I2842">
            <v>0</v>
          </cell>
        </row>
        <row r="2843">
          <cell r="F2843">
            <v>0</v>
          </cell>
          <cell r="H2843">
            <v>0</v>
          </cell>
          <cell r="I2843">
            <v>0</v>
          </cell>
        </row>
        <row r="2844">
          <cell r="F2844">
            <v>0</v>
          </cell>
          <cell r="H2844">
            <v>0</v>
          </cell>
          <cell r="I2844">
            <v>0</v>
          </cell>
        </row>
        <row r="2845">
          <cell r="F2845">
            <v>0</v>
          </cell>
          <cell r="H2845">
            <v>0</v>
          </cell>
          <cell r="I2845">
            <v>0</v>
          </cell>
        </row>
        <row r="2846">
          <cell r="F2846">
            <v>0</v>
          </cell>
          <cell r="H2846">
            <v>0</v>
          </cell>
          <cell r="I2846">
            <v>0</v>
          </cell>
        </row>
        <row r="2847">
          <cell r="F2847">
            <v>0</v>
          </cell>
          <cell r="H2847">
            <v>0</v>
          </cell>
          <cell r="I2847">
            <v>0</v>
          </cell>
        </row>
        <row r="2848">
          <cell r="F2848">
            <v>0</v>
          </cell>
          <cell r="H2848">
            <v>0</v>
          </cell>
          <cell r="I2848">
            <v>0</v>
          </cell>
        </row>
        <row r="2849">
          <cell r="F2849">
            <v>0</v>
          </cell>
          <cell r="H2849">
            <v>0</v>
          </cell>
          <cell r="I2849">
            <v>0</v>
          </cell>
        </row>
        <row r="2850">
          <cell r="F2850">
            <v>0</v>
          </cell>
          <cell r="H2850">
            <v>0</v>
          </cell>
          <cell r="I2850">
            <v>0</v>
          </cell>
        </row>
        <row r="2851">
          <cell r="F2851">
            <v>0</v>
          </cell>
          <cell r="H2851">
            <v>0</v>
          </cell>
          <cell r="I2851">
            <v>0</v>
          </cell>
        </row>
        <row r="2852">
          <cell r="F2852">
            <v>0</v>
          </cell>
          <cell r="H2852">
            <v>0</v>
          </cell>
          <cell r="I2852">
            <v>0</v>
          </cell>
        </row>
        <row r="2853">
          <cell r="F2853">
            <v>0</v>
          </cell>
          <cell r="H2853">
            <v>0</v>
          </cell>
          <cell r="I2853">
            <v>0</v>
          </cell>
        </row>
        <row r="2854">
          <cell r="F2854">
            <v>0</v>
          </cell>
          <cell r="H2854">
            <v>0</v>
          </cell>
          <cell r="I2854">
            <v>0</v>
          </cell>
        </row>
        <row r="2855">
          <cell r="F2855">
            <v>0</v>
          </cell>
          <cell r="H2855">
            <v>0</v>
          </cell>
          <cell r="I2855">
            <v>0</v>
          </cell>
        </row>
        <row r="2856">
          <cell r="F2856">
            <v>0</v>
          </cell>
          <cell r="H2856">
            <v>0</v>
          </cell>
          <cell r="I2856">
            <v>0</v>
          </cell>
        </row>
        <row r="2857">
          <cell r="F2857">
            <v>0</v>
          </cell>
          <cell r="H2857">
            <v>0</v>
          </cell>
          <cell r="I2857">
            <v>0</v>
          </cell>
        </row>
        <row r="2858">
          <cell r="F2858">
            <v>0</v>
          </cell>
          <cell r="H2858">
            <v>0</v>
          </cell>
          <cell r="I2858">
            <v>0</v>
          </cell>
        </row>
        <row r="2859">
          <cell r="F2859">
            <v>0</v>
          </cell>
          <cell r="H2859">
            <v>0</v>
          </cell>
          <cell r="I2859">
            <v>0</v>
          </cell>
        </row>
        <row r="2860">
          <cell r="F2860">
            <v>0</v>
          </cell>
          <cell r="H2860">
            <v>0</v>
          </cell>
          <cell r="I2860">
            <v>0</v>
          </cell>
        </row>
        <row r="2861">
          <cell r="F2861">
            <v>0</v>
          </cell>
          <cell r="H2861">
            <v>0</v>
          </cell>
          <cell r="I2861">
            <v>0</v>
          </cell>
        </row>
        <row r="2862">
          <cell r="F2862">
            <v>0</v>
          </cell>
          <cell r="H2862">
            <v>0</v>
          </cell>
          <cell r="I2862">
            <v>0</v>
          </cell>
        </row>
        <row r="2863">
          <cell r="F2863">
            <v>0</v>
          </cell>
          <cell r="H2863">
            <v>0</v>
          </cell>
          <cell r="I2863">
            <v>0</v>
          </cell>
        </row>
        <row r="2864">
          <cell r="F2864">
            <v>0</v>
          </cell>
          <cell r="H2864">
            <v>0</v>
          </cell>
          <cell r="I2864">
            <v>0</v>
          </cell>
        </row>
        <row r="2865">
          <cell r="F2865">
            <v>0</v>
          </cell>
          <cell r="H2865">
            <v>0</v>
          </cell>
          <cell r="I2865">
            <v>0</v>
          </cell>
        </row>
        <row r="2866">
          <cell r="F2866">
            <v>0</v>
          </cell>
          <cell r="H2866">
            <v>0</v>
          </cell>
          <cell r="I2866">
            <v>0</v>
          </cell>
        </row>
        <row r="2867">
          <cell r="F2867">
            <v>0</v>
          </cell>
          <cell r="H2867">
            <v>0</v>
          </cell>
          <cell r="I2867">
            <v>0</v>
          </cell>
        </row>
        <row r="2868">
          <cell r="F2868">
            <v>0</v>
          </cell>
          <cell r="H2868">
            <v>0</v>
          </cell>
          <cell r="I2868">
            <v>0</v>
          </cell>
        </row>
        <row r="2869">
          <cell r="F2869">
            <v>0</v>
          </cell>
          <cell r="H2869">
            <v>0</v>
          </cell>
          <cell r="I2869">
            <v>0</v>
          </cell>
        </row>
        <row r="2870">
          <cell r="F2870">
            <v>0</v>
          </cell>
          <cell r="H2870">
            <v>0</v>
          </cell>
          <cell r="I2870">
            <v>0</v>
          </cell>
        </row>
        <row r="2871">
          <cell r="F2871">
            <v>0</v>
          </cell>
          <cell r="H2871">
            <v>0</v>
          </cell>
          <cell r="I2871">
            <v>0</v>
          </cell>
        </row>
        <row r="2872">
          <cell r="F2872">
            <v>0</v>
          </cell>
          <cell r="H2872">
            <v>0</v>
          </cell>
          <cell r="I2872">
            <v>0</v>
          </cell>
        </row>
        <row r="2873">
          <cell r="F2873">
            <v>0</v>
          </cell>
          <cell r="H2873">
            <v>0</v>
          </cell>
          <cell r="I2873">
            <v>0</v>
          </cell>
        </row>
        <row r="2874">
          <cell r="F2874">
            <v>0</v>
          </cell>
          <cell r="H2874">
            <v>0</v>
          </cell>
          <cell r="I2874">
            <v>0</v>
          </cell>
        </row>
        <row r="2875">
          <cell r="F2875">
            <v>0</v>
          </cell>
          <cell r="H2875">
            <v>0</v>
          </cell>
          <cell r="I2875">
            <v>0</v>
          </cell>
        </row>
        <row r="2876">
          <cell r="F2876">
            <v>0</v>
          </cell>
          <cell r="H2876">
            <v>0</v>
          </cell>
          <cell r="I2876">
            <v>0</v>
          </cell>
        </row>
        <row r="2877">
          <cell r="F2877">
            <v>0</v>
          </cell>
          <cell r="H2877">
            <v>0</v>
          </cell>
          <cell r="I2877">
            <v>0</v>
          </cell>
        </row>
        <row r="2878">
          <cell r="F2878">
            <v>0</v>
          </cell>
          <cell r="H2878">
            <v>0</v>
          </cell>
          <cell r="I2878">
            <v>0</v>
          </cell>
        </row>
        <row r="2879">
          <cell r="F2879">
            <v>0</v>
          </cell>
          <cell r="H2879">
            <v>0</v>
          </cell>
          <cell r="I2879">
            <v>0</v>
          </cell>
        </row>
        <row r="2880">
          <cell r="F2880">
            <v>0</v>
          </cell>
          <cell r="H2880">
            <v>0</v>
          </cell>
          <cell r="I2880">
            <v>0</v>
          </cell>
        </row>
        <row r="2881">
          <cell r="F2881">
            <v>0</v>
          </cell>
          <cell r="H2881">
            <v>0</v>
          </cell>
          <cell r="I2881">
            <v>0</v>
          </cell>
        </row>
        <row r="2882">
          <cell r="F2882">
            <v>0</v>
          </cell>
          <cell r="H2882">
            <v>0</v>
          </cell>
          <cell r="I2882">
            <v>0</v>
          </cell>
        </row>
        <row r="2883">
          <cell r="F2883">
            <v>0</v>
          </cell>
          <cell r="H2883">
            <v>0</v>
          </cell>
          <cell r="I2883">
            <v>0</v>
          </cell>
        </row>
        <row r="2884">
          <cell r="F2884">
            <v>0</v>
          </cell>
          <cell r="H2884">
            <v>0</v>
          </cell>
          <cell r="I2884">
            <v>0</v>
          </cell>
        </row>
        <row r="2885">
          <cell r="F2885">
            <v>0</v>
          </cell>
          <cell r="H2885">
            <v>0</v>
          </cell>
          <cell r="I2885">
            <v>0</v>
          </cell>
        </row>
        <row r="2886">
          <cell r="F2886">
            <v>0</v>
          </cell>
          <cell r="H2886">
            <v>0</v>
          </cell>
          <cell r="I2886">
            <v>0</v>
          </cell>
        </row>
        <row r="2887">
          <cell r="F2887">
            <v>0</v>
          </cell>
          <cell r="H2887">
            <v>0</v>
          </cell>
          <cell r="I2887">
            <v>0</v>
          </cell>
        </row>
        <row r="2888">
          <cell r="F2888">
            <v>0</v>
          </cell>
          <cell r="H2888">
            <v>0</v>
          </cell>
          <cell r="I2888">
            <v>0</v>
          </cell>
        </row>
        <row r="2889">
          <cell r="F2889">
            <v>0</v>
          </cell>
          <cell r="H2889">
            <v>0</v>
          </cell>
          <cell r="I2889">
            <v>0</v>
          </cell>
        </row>
        <row r="2890">
          <cell r="F2890">
            <v>0</v>
          </cell>
          <cell r="H2890">
            <v>0</v>
          </cell>
          <cell r="I2890">
            <v>0</v>
          </cell>
        </row>
        <row r="2891">
          <cell r="F2891">
            <v>0</v>
          </cell>
          <cell r="H2891">
            <v>0</v>
          </cell>
          <cell r="I2891">
            <v>0</v>
          </cell>
        </row>
        <row r="2892">
          <cell r="F2892">
            <v>0</v>
          </cell>
          <cell r="H2892">
            <v>0</v>
          </cell>
          <cell r="I2892">
            <v>0</v>
          </cell>
        </row>
        <row r="2893">
          <cell r="F2893">
            <v>0</v>
          </cell>
          <cell r="H2893">
            <v>0</v>
          </cell>
          <cell r="I2893">
            <v>0</v>
          </cell>
        </row>
        <row r="2894">
          <cell r="F2894">
            <v>0</v>
          </cell>
          <cell r="H2894">
            <v>0</v>
          </cell>
          <cell r="I2894">
            <v>0</v>
          </cell>
        </row>
        <row r="2895">
          <cell r="F2895">
            <v>0</v>
          </cell>
          <cell r="H2895">
            <v>0</v>
          </cell>
          <cell r="I2895">
            <v>0</v>
          </cell>
        </row>
        <row r="2896">
          <cell r="F2896">
            <v>0</v>
          </cell>
          <cell r="H2896">
            <v>0</v>
          </cell>
          <cell r="I2896">
            <v>0</v>
          </cell>
        </row>
        <row r="2897">
          <cell r="F2897">
            <v>0</v>
          </cell>
          <cell r="H2897">
            <v>0</v>
          </cell>
          <cell r="I2897">
            <v>0</v>
          </cell>
        </row>
        <row r="2898">
          <cell r="F2898">
            <v>0</v>
          </cell>
          <cell r="H2898">
            <v>0</v>
          </cell>
          <cell r="I2898">
            <v>0</v>
          </cell>
        </row>
        <row r="2899">
          <cell r="F2899">
            <v>0</v>
          </cell>
          <cell r="H2899">
            <v>0</v>
          </cell>
          <cell r="I2899">
            <v>0</v>
          </cell>
        </row>
        <row r="2900">
          <cell r="F2900">
            <v>0</v>
          </cell>
          <cell r="H2900">
            <v>0</v>
          </cell>
          <cell r="I2900">
            <v>0</v>
          </cell>
        </row>
        <row r="2901">
          <cell r="F2901">
            <v>0</v>
          </cell>
          <cell r="H2901">
            <v>0</v>
          </cell>
          <cell r="I2901">
            <v>0</v>
          </cell>
        </row>
        <row r="2902">
          <cell r="F2902">
            <v>0</v>
          </cell>
          <cell r="H2902">
            <v>0</v>
          </cell>
          <cell r="I2902">
            <v>0</v>
          </cell>
        </row>
        <row r="2903">
          <cell r="F2903">
            <v>0</v>
          </cell>
          <cell r="H2903">
            <v>0</v>
          </cell>
          <cell r="I2903">
            <v>0</v>
          </cell>
        </row>
        <row r="2904">
          <cell r="F2904">
            <v>0</v>
          </cell>
          <cell r="H2904">
            <v>0</v>
          </cell>
          <cell r="I2904">
            <v>0</v>
          </cell>
        </row>
        <row r="2905">
          <cell r="F2905">
            <v>0</v>
          </cell>
          <cell r="H2905">
            <v>0</v>
          </cell>
          <cell r="I2905">
            <v>0</v>
          </cell>
        </row>
        <row r="2906">
          <cell r="F2906">
            <v>0</v>
          </cell>
          <cell r="H2906">
            <v>0</v>
          </cell>
          <cell r="I2906">
            <v>0</v>
          </cell>
        </row>
        <row r="2907">
          <cell r="F2907">
            <v>0</v>
          </cell>
          <cell r="H2907">
            <v>0</v>
          </cell>
          <cell r="I2907">
            <v>0</v>
          </cell>
        </row>
        <row r="2908">
          <cell r="F2908">
            <v>0</v>
          </cell>
          <cell r="H2908">
            <v>0</v>
          </cell>
          <cell r="I2908">
            <v>0</v>
          </cell>
        </row>
        <row r="2909">
          <cell r="F2909">
            <v>0</v>
          </cell>
          <cell r="H2909">
            <v>0</v>
          </cell>
          <cell r="I2909">
            <v>0</v>
          </cell>
        </row>
        <row r="2910">
          <cell r="F2910">
            <v>0</v>
          </cell>
          <cell r="H2910">
            <v>0</v>
          </cell>
          <cell r="I2910">
            <v>0</v>
          </cell>
        </row>
        <row r="2911">
          <cell r="F2911">
            <v>0</v>
          </cell>
          <cell r="H2911">
            <v>0</v>
          </cell>
          <cell r="I2911">
            <v>0</v>
          </cell>
        </row>
        <row r="2912">
          <cell r="F2912">
            <v>0</v>
          </cell>
          <cell r="H2912">
            <v>0</v>
          </cell>
          <cell r="I2912">
            <v>0</v>
          </cell>
        </row>
        <row r="2913">
          <cell r="F2913">
            <v>0</v>
          </cell>
          <cell r="H2913">
            <v>0</v>
          </cell>
          <cell r="I2913">
            <v>0</v>
          </cell>
        </row>
        <row r="2914">
          <cell r="F2914">
            <v>0</v>
          </cell>
          <cell r="H2914">
            <v>0</v>
          </cell>
          <cell r="I2914">
            <v>0</v>
          </cell>
        </row>
        <row r="2915">
          <cell r="F2915">
            <v>0</v>
          </cell>
          <cell r="H2915">
            <v>0</v>
          </cell>
          <cell r="I2915">
            <v>0</v>
          </cell>
        </row>
        <row r="2916">
          <cell r="F2916">
            <v>0</v>
          </cell>
          <cell r="H2916">
            <v>0</v>
          </cell>
          <cell r="I2916">
            <v>0</v>
          </cell>
        </row>
        <row r="2917">
          <cell r="F2917">
            <v>0</v>
          </cell>
          <cell r="H2917">
            <v>0</v>
          </cell>
          <cell r="I2917">
            <v>0</v>
          </cell>
        </row>
        <row r="2918">
          <cell r="F2918">
            <v>0</v>
          </cell>
          <cell r="H2918">
            <v>0</v>
          </cell>
          <cell r="I2918">
            <v>0</v>
          </cell>
        </row>
        <row r="2919">
          <cell r="F2919">
            <v>0</v>
          </cell>
          <cell r="H2919">
            <v>0</v>
          </cell>
          <cell r="I2919">
            <v>0</v>
          </cell>
        </row>
        <row r="2920">
          <cell r="F2920">
            <v>0</v>
          </cell>
          <cell r="H2920">
            <v>0</v>
          </cell>
          <cell r="I2920">
            <v>0</v>
          </cell>
        </row>
        <row r="2921">
          <cell r="F2921">
            <v>0</v>
          </cell>
          <cell r="H2921">
            <v>0</v>
          </cell>
          <cell r="I2921">
            <v>0</v>
          </cell>
        </row>
        <row r="2922">
          <cell r="F2922">
            <v>0</v>
          </cell>
          <cell r="H2922">
            <v>0</v>
          </cell>
          <cell r="I2922">
            <v>0</v>
          </cell>
        </row>
        <row r="2923">
          <cell r="F2923">
            <v>0</v>
          </cell>
          <cell r="H2923">
            <v>0</v>
          </cell>
          <cell r="I2923">
            <v>0</v>
          </cell>
        </row>
        <row r="2924">
          <cell r="F2924">
            <v>0</v>
          </cell>
          <cell r="H2924">
            <v>0</v>
          </cell>
          <cell r="I2924">
            <v>0</v>
          </cell>
        </row>
        <row r="2925">
          <cell r="F2925">
            <v>0</v>
          </cell>
          <cell r="H2925">
            <v>0</v>
          </cell>
          <cell r="I2925">
            <v>0</v>
          </cell>
        </row>
        <row r="2926">
          <cell r="F2926">
            <v>0</v>
          </cell>
          <cell r="H2926">
            <v>0</v>
          </cell>
          <cell r="I2926">
            <v>0</v>
          </cell>
        </row>
        <row r="2927">
          <cell r="F2927">
            <v>0</v>
          </cell>
          <cell r="H2927">
            <v>0</v>
          </cell>
          <cell r="I2927">
            <v>0</v>
          </cell>
        </row>
        <row r="2928">
          <cell r="F2928">
            <v>0</v>
          </cell>
          <cell r="H2928">
            <v>0</v>
          </cell>
          <cell r="I2928">
            <v>0</v>
          </cell>
        </row>
        <row r="2929">
          <cell r="F2929">
            <v>0</v>
          </cell>
          <cell r="H2929">
            <v>0</v>
          </cell>
          <cell r="I2929">
            <v>0</v>
          </cell>
        </row>
        <row r="2930">
          <cell r="F2930">
            <v>0</v>
          </cell>
          <cell r="H2930">
            <v>0</v>
          </cell>
          <cell r="I2930">
            <v>0</v>
          </cell>
        </row>
        <row r="2931">
          <cell r="F2931">
            <v>0</v>
          </cell>
          <cell r="H2931">
            <v>0</v>
          </cell>
          <cell r="I2931">
            <v>0</v>
          </cell>
        </row>
        <row r="2932">
          <cell r="F2932">
            <v>0</v>
          </cell>
          <cell r="H2932">
            <v>0</v>
          </cell>
          <cell r="I2932">
            <v>0</v>
          </cell>
        </row>
        <row r="2933">
          <cell r="F2933">
            <v>0</v>
          </cell>
          <cell r="H2933">
            <v>0</v>
          </cell>
          <cell r="I2933">
            <v>0</v>
          </cell>
        </row>
        <row r="2934">
          <cell r="F2934">
            <v>0</v>
          </cell>
          <cell r="H2934">
            <v>0</v>
          </cell>
          <cell r="I2934">
            <v>0</v>
          </cell>
        </row>
        <row r="2935">
          <cell r="F2935">
            <v>0</v>
          </cell>
          <cell r="H2935">
            <v>0</v>
          </cell>
          <cell r="I2935">
            <v>0</v>
          </cell>
        </row>
        <row r="2936">
          <cell r="F2936">
            <v>0</v>
          </cell>
          <cell r="H2936">
            <v>0</v>
          </cell>
          <cell r="I2936">
            <v>0</v>
          </cell>
        </row>
        <row r="2937">
          <cell r="F2937">
            <v>0</v>
          </cell>
          <cell r="H2937">
            <v>0</v>
          </cell>
          <cell r="I2937">
            <v>0</v>
          </cell>
        </row>
        <row r="2938">
          <cell r="F2938">
            <v>0</v>
          </cell>
          <cell r="H2938">
            <v>0</v>
          </cell>
          <cell r="I2938">
            <v>0</v>
          </cell>
        </row>
        <row r="2939">
          <cell r="F2939">
            <v>0</v>
          </cell>
          <cell r="H2939">
            <v>0</v>
          </cell>
          <cell r="I2939">
            <v>0</v>
          </cell>
        </row>
        <row r="2940">
          <cell r="F2940">
            <v>0</v>
          </cell>
          <cell r="H2940">
            <v>0</v>
          </cell>
          <cell r="I2940">
            <v>0</v>
          </cell>
        </row>
        <row r="2941">
          <cell r="F2941">
            <v>0</v>
          </cell>
          <cell r="H2941">
            <v>0</v>
          </cell>
          <cell r="I2941">
            <v>0</v>
          </cell>
        </row>
        <row r="2942">
          <cell r="F2942">
            <v>0</v>
          </cell>
          <cell r="H2942">
            <v>0</v>
          </cell>
          <cell r="I2942">
            <v>0</v>
          </cell>
        </row>
        <row r="2943">
          <cell r="F2943">
            <v>0</v>
          </cell>
          <cell r="H2943">
            <v>0</v>
          </cell>
          <cell r="I2943">
            <v>0</v>
          </cell>
        </row>
        <row r="2944">
          <cell r="F2944">
            <v>0</v>
          </cell>
          <cell r="H2944">
            <v>0</v>
          </cell>
          <cell r="I2944">
            <v>0</v>
          </cell>
        </row>
        <row r="2945">
          <cell r="F2945">
            <v>0</v>
          </cell>
          <cell r="H2945">
            <v>0</v>
          </cell>
          <cell r="I2945">
            <v>0</v>
          </cell>
        </row>
        <row r="2946">
          <cell r="F2946">
            <v>0</v>
          </cell>
          <cell r="H2946">
            <v>0</v>
          </cell>
          <cell r="I2946">
            <v>0</v>
          </cell>
        </row>
        <row r="2947">
          <cell r="F2947">
            <v>0</v>
          </cell>
          <cell r="H2947">
            <v>0</v>
          </cell>
          <cell r="I2947">
            <v>0</v>
          </cell>
        </row>
        <row r="2948">
          <cell r="F2948">
            <v>0</v>
          </cell>
          <cell r="H2948">
            <v>0</v>
          </cell>
          <cell r="I2948">
            <v>0</v>
          </cell>
        </row>
        <row r="2949">
          <cell r="F2949">
            <v>0</v>
          </cell>
          <cell r="H2949">
            <v>0</v>
          </cell>
          <cell r="I2949">
            <v>0</v>
          </cell>
        </row>
        <row r="2950">
          <cell r="F2950">
            <v>0</v>
          </cell>
          <cell r="H2950">
            <v>0</v>
          </cell>
          <cell r="I2950">
            <v>0</v>
          </cell>
        </row>
        <row r="2951">
          <cell r="F2951">
            <v>0</v>
          </cell>
          <cell r="H2951">
            <v>0</v>
          </cell>
          <cell r="I2951">
            <v>0</v>
          </cell>
        </row>
        <row r="2952">
          <cell r="F2952">
            <v>0</v>
          </cell>
          <cell r="H2952">
            <v>0</v>
          </cell>
          <cell r="I2952">
            <v>0</v>
          </cell>
        </row>
        <row r="2953">
          <cell r="F2953">
            <v>0</v>
          </cell>
          <cell r="H2953">
            <v>0</v>
          </cell>
          <cell r="I2953">
            <v>0</v>
          </cell>
        </row>
        <row r="2954">
          <cell r="F2954">
            <v>0</v>
          </cell>
          <cell r="H2954">
            <v>0</v>
          </cell>
          <cell r="I2954">
            <v>0</v>
          </cell>
        </row>
        <row r="2955">
          <cell r="F2955">
            <v>0</v>
          </cell>
          <cell r="H2955">
            <v>0</v>
          </cell>
          <cell r="I2955">
            <v>0</v>
          </cell>
        </row>
        <row r="2956">
          <cell r="F2956">
            <v>0</v>
          </cell>
          <cell r="H2956">
            <v>0</v>
          </cell>
          <cell r="I2956">
            <v>0</v>
          </cell>
        </row>
        <row r="2957">
          <cell r="F2957">
            <v>0</v>
          </cell>
          <cell r="H2957">
            <v>0</v>
          </cell>
          <cell r="I2957">
            <v>0</v>
          </cell>
        </row>
        <row r="2958">
          <cell r="F2958">
            <v>0</v>
          </cell>
          <cell r="H2958">
            <v>0</v>
          </cell>
          <cell r="I2958">
            <v>0</v>
          </cell>
        </row>
        <row r="2959">
          <cell r="F2959">
            <v>0</v>
          </cell>
          <cell r="H2959">
            <v>0</v>
          </cell>
          <cell r="I2959">
            <v>0</v>
          </cell>
        </row>
        <row r="2960">
          <cell r="F2960">
            <v>0</v>
          </cell>
          <cell r="H2960">
            <v>0</v>
          </cell>
          <cell r="I2960">
            <v>0</v>
          </cell>
        </row>
        <row r="2961">
          <cell r="F2961">
            <v>0</v>
          </cell>
          <cell r="H2961">
            <v>0</v>
          </cell>
          <cell r="I2961">
            <v>0</v>
          </cell>
        </row>
        <row r="2962">
          <cell r="F2962">
            <v>0</v>
          </cell>
          <cell r="H2962">
            <v>0</v>
          </cell>
          <cell r="I2962">
            <v>0</v>
          </cell>
        </row>
        <row r="2963">
          <cell r="F2963">
            <v>0</v>
          </cell>
          <cell r="H2963">
            <v>0</v>
          </cell>
          <cell r="I2963">
            <v>0</v>
          </cell>
        </row>
        <row r="2964">
          <cell r="F2964">
            <v>0</v>
          </cell>
          <cell r="H2964">
            <v>0</v>
          </cell>
          <cell r="I2964">
            <v>0</v>
          </cell>
        </row>
        <row r="2965">
          <cell r="F2965">
            <v>0</v>
          </cell>
          <cell r="H2965">
            <v>0</v>
          </cell>
          <cell r="I2965">
            <v>0</v>
          </cell>
        </row>
        <row r="2966">
          <cell r="F2966">
            <v>0</v>
          </cell>
          <cell r="H2966">
            <v>0</v>
          </cell>
          <cell r="I2966">
            <v>0</v>
          </cell>
        </row>
        <row r="2967">
          <cell r="F2967">
            <v>0</v>
          </cell>
          <cell r="H2967">
            <v>0</v>
          </cell>
          <cell r="I2967">
            <v>0</v>
          </cell>
        </row>
        <row r="2968">
          <cell r="F2968">
            <v>0</v>
          </cell>
          <cell r="H2968">
            <v>0</v>
          </cell>
          <cell r="I2968">
            <v>0</v>
          </cell>
        </row>
        <row r="2969">
          <cell r="F2969">
            <v>0</v>
          </cell>
          <cell r="H2969">
            <v>0</v>
          </cell>
          <cell r="I2969">
            <v>0</v>
          </cell>
        </row>
        <row r="2970">
          <cell r="F2970">
            <v>0</v>
          </cell>
          <cell r="H2970">
            <v>0</v>
          </cell>
          <cell r="I2970">
            <v>0</v>
          </cell>
        </row>
        <row r="2971">
          <cell r="F2971">
            <v>0</v>
          </cell>
          <cell r="H2971">
            <v>0</v>
          </cell>
          <cell r="I2971">
            <v>0</v>
          </cell>
        </row>
        <row r="2972">
          <cell r="F2972">
            <v>0</v>
          </cell>
          <cell r="H2972">
            <v>0</v>
          </cell>
          <cell r="I2972">
            <v>0</v>
          </cell>
        </row>
        <row r="2973">
          <cell r="F2973">
            <v>0</v>
          </cell>
          <cell r="H2973">
            <v>0</v>
          </cell>
          <cell r="I2973">
            <v>0</v>
          </cell>
        </row>
        <row r="2974">
          <cell r="F2974">
            <v>0</v>
          </cell>
          <cell r="H2974">
            <v>0</v>
          </cell>
          <cell r="I2974">
            <v>0</v>
          </cell>
        </row>
        <row r="2975">
          <cell r="F2975">
            <v>0</v>
          </cell>
          <cell r="H2975">
            <v>0</v>
          </cell>
          <cell r="I2975">
            <v>0</v>
          </cell>
        </row>
        <row r="2976">
          <cell r="F2976">
            <v>0</v>
          </cell>
          <cell r="H2976">
            <v>0</v>
          </cell>
          <cell r="I2976">
            <v>0</v>
          </cell>
        </row>
        <row r="2977">
          <cell r="F2977">
            <v>0</v>
          </cell>
          <cell r="H2977">
            <v>0</v>
          </cell>
          <cell r="I2977">
            <v>0</v>
          </cell>
        </row>
        <row r="2978">
          <cell r="F2978">
            <v>0</v>
          </cell>
          <cell r="H2978">
            <v>0</v>
          </cell>
          <cell r="I2978">
            <v>0</v>
          </cell>
        </row>
        <row r="2979">
          <cell r="F2979">
            <v>0</v>
          </cell>
          <cell r="H2979">
            <v>0</v>
          </cell>
          <cell r="I2979">
            <v>0</v>
          </cell>
        </row>
        <row r="2980">
          <cell r="F2980">
            <v>0</v>
          </cell>
          <cell r="H2980">
            <v>0</v>
          </cell>
          <cell r="I2980">
            <v>0</v>
          </cell>
        </row>
        <row r="2981">
          <cell r="F2981">
            <v>0</v>
          </cell>
          <cell r="H2981">
            <v>0</v>
          </cell>
          <cell r="I2981">
            <v>0</v>
          </cell>
        </row>
        <row r="2982">
          <cell r="F2982">
            <v>0</v>
          </cell>
          <cell r="H2982">
            <v>0</v>
          </cell>
          <cell r="I2982">
            <v>0</v>
          </cell>
        </row>
        <row r="2983">
          <cell r="F2983">
            <v>0</v>
          </cell>
          <cell r="H2983">
            <v>0</v>
          </cell>
          <cell r="I2983">
            <v>0</v>
          </cell>
        </row>
        <row r="2984">
          <cell r="F2984">
            <v>0</v>
          </cell>
          <cell r="H2984">
            <v>0</v>
          </cell>
          <cell r="I2984">
            <v>0</v>
          </cell>
        </row>
        <row r="2985">
          <cell r="F2985">
            <v>0</v>
          </cell>
          <cell r="H2985">
            <v>0</v>
          </cell>
          <cell r="I2985">
            <v>0</v>
          </cell>
        </row>
        <row r="2986">
          <cell r="F2986">
            <v>0</v>
          </cell>
          <cell r="H2986">
            <v>0</v>
          </cell>
          <cell r="I2986">
            <v>0</v>
          </cell>
        </row>
        <row r="2987">
          <cell r="F2987">
            <v>0</v>
          </cell>
          <cell r="H2987">
            <v>0</v>
          </cell>
          <cell r="I2987">
            <v>0</v>
          </cell>
        </row>
        <row r="2988">
          <cell r="F2988">
            <v>0</v>
          </cell>
          <cell r="H2988">
            <v>0</v>
          </cell>
          <cell r="I2988">
            <v>0</v>
          </cell>
        </row>
        <row r="2989">
          <cell r="F2989">
            <v>0</v>
          </cell>
          <cell r="H2989">
            <v>0</v>
          </cell>
          <cell r="I2989">
            <v>0</v>
          </cell>
        </row>
        <row r="2990">
          <cell r="F2990">
            <v>0</v>
          </cell>
          <cell r="H2990">
            <v>0</v>
          </cell>
          <cell r="I2990">
            <v>0</v>
          </cell>
        </row>
        <row r="2991">
          <cell r="F2991">
            <v>0</v>
          </cell>
          <cell r="H2991">
            <v>0</v>
          </cell>
          <cell r="I2991">
            <v>0</v>
          </cell>
        </row>
        <row r="2992">
          <cell r="F2992">
            <v>0</v>
          </cell>
          <cell r="H2992">
            <v>0</v>
          </cell>
          <cell r="I2992">
            <v>0</v>
          </cell>
        </row>
        <row r="2993">
          <cell r="F2993">
            <v>0</v>
          </cell>
          <cell r="H2993">
            <v>0</v>
          </cell>
          <cell r="I2993">
            <v>0</v>
          </cell>
        </row>
        <row r="2994">
          <cell r="F2994">
            <v>0</v>
          </cell>
          <cell r="H2994">
            <v>0</v>
          </cell>
          <cell r="I2994">
            <v>0</v>
          </cell>
        </row>
        <row r="2995">
          <cell r="F2995">
            <v>0</v>
          </cell>
          <cell r="H2995">
            <v>0</v>
          </cell>
          <cell r="I2995">
            <v>0</v>
          </cell>
        </row>
        <row r="2996">
          <cell r="F2996">
            <v>0</v>
          </cell>
          <cell r="H2996">
            <v>0</v>
          </cell>
          <cell r="I2996">
            <v>0</v>
          </cell>
        </row>
        <row r="2997">
          <cell r="F2997">
            <v>0</v>
          </cell>
          <cell r="H2997">
            <v>0</v>
          </cell>
          <cell r="I2997">
            <v>0</v>
          </cell>
        </row>
        <row r="2998">
          <cell r="F2998">
            <v>0</v>
          </cell>
          <cell r="H2998">
            <v>0</v>
          </cell>
          <cell r="I2998">
            <v>0</v>
          </cell>
        </row>
        <row r="2999">
          <cell r="F2999">
            <v>0</v>
          </cell>
          <cell r="H2999">
            <v>0</v>
          </cell>
          <cell r="I2999">
            <v>0</v>
          </cell>
        </row>
        <row r="3000">
          <cell r="F3000">
            <v>0</v>
          </cell>
          <cell r="H3000">
            <v>0</v>
          </cell>
          <cell r="I3000">
            <v>0</v>
          </cell>
        </row>
        <row r="3001">
          <cell r="F3001">
            <v>0</v>
          </cell>
          <cell r="H3001">
            <v>0</v>
          </cell>
          <cell r="I3001">
            <v>0</v>
          </cell>
        </row>
        <row r="3002">
          <cell r="F3002">
            <v>0</v>
          </cell>
          <cell r="H3002">
            <v>0</v>
          </cell>
          <cell r="I3002">
            <v>0</v>
          </cell>
        </row>
        <row r="3003">
          <cell r="F3003">
            <v>0</v>
          </cell>
          <cell r="H3003">
            <v>0</v>
          </cell>
          <cell r="I3003">
            <v>0</v>
          </cell>
        </row>
        <row r="3004">
          <cell r="F3004">
            <v>0</v>
          </cell>
          <cell r="H3004">
            <v>0</v>
          </cell>
          <cell r="I3004">
            <v>0</v>
          </cell>
        </row>
        <row r="3005">
          <cell r="F3005">
            <v>0</v>
          </cell>
          <cell r="H3005">
            <v>0</v>
          </cell>
          <cell r="I3005">
            <v>0</v>
          </cell>
        </row>
        <row r="3006">
          <cell r="F3006">
            <v>0</v>
          </cell>
          <cell r="H3006">
            <v>0</v>
          </cell>
          <cell r="I3006">
            <v>0</v>
          </cell>
        </row>
        <row r="3007">
          <cell r="F3007">
            <v>0</v>
          </cell>
          <cell r="H3007">
            <v>0</v>
          </cell>
          <cell r="I3007">
            <v>0</v>
          </cell>
        </row>
        <row r="3008">
          <cell r="F3008">
            <v>0</v>
          </cell>
          <cell r="H3008">
            <v>0</v>
          </cell>
          <cell r="I3008">
            <v>0</v>
          </cell>
        </row>
        <row r="3009">
          <cell r="F3009">
            <v>0</v>
          </cell>
          <cell r="H3009">
            <v>0</v>
          </cell>
          <cell r="I3009">
            <v>0</v>
          </cell>
        </row>
        <row r="3010">
          <cell r="F3010">
            <v>0</v>
          </cell>
          <cell r="H3010">
            <v>0</v>
          </cell>
          <cell r="I3010">
            <v>0</v>
          </cell>
        </row>
        <row r="3011">
          <cell r="F3011">
            <v>0</v>
          </cell>
          <cell r="H3011">
            <v>0</v>
          </cell>
          <cell r="I3011">
            <v>0</v>
          </cell>
        </row>
        <row r="3012">
          <cell r="F3012">
            <v>0</v>
          </cell>
          <cell r="H3012">
            <v>0</v>
          </cell>
          <cell r="I3012">
            <v>0</v>
          </cell>
        </row>
        <row r="3013">
          <cell r="F3013">
            <v>0</v>
          </cell>
          <cell r="H3013">
            <v>0</v>
          </cell>
          <cell r="I3013">
            <v>0</v>
          </cell>
        </row>
        <row r="3014">
          <cell r="F3014">
            <v>0</v>
          </cell>
          <cell r="H3014">
            <v>0</v>
          </cell>
          <cell r="I3014">
            <v>0</v>
          </cell>
        </row>
        <row r="3015">
          <cell r="F3015">
            <v>0</v>
          </cell>
          <cell r="H3015">
            <v>0</v>
          </cell>
          <cell r="I3015">
            <v>0</v>
          </cell>
        </row>
        <row r="3016">
          <cell r="F3016">
            <v>0</v>
          </cell>
          <cell r="H3016">
            <v>0</v>
          </cell>
          <cell r="I3016">
            <v>0</v>
          </cell>
        </row>
        <row r="3017">
          <cell r="F3017">
            <v>0</v>
          </cell>
          <cell r="H3017">
            <v>0</v>
          </cell>
          <cell r="I3017">
            <v>0</v>
          </cell>
        </row>
        <row r="3018">
          <cell r="F3018">
            <v>0</v>
          </cell>
          <cell r="H3018">
            <v>0</v>
          </cell>
          <cell r="I3018">
            <v>0</v>
          </cell>
        </row>
        <row r="3019">
          <cell r="F3019">
            <v>0</v>
          </cell>
          <cell r="H3019">
            <v>0</v>
          </cell>
          <cell r="I3019">
            <v>0</v>
          </cell>
        </row>
        <row r="3020">
          <cell r="F3020">
            <v>0</v>
          </cell>
          <cell r="H3020">
            <v>0</v>
          </cell>
          <cell r="I3020">
            <v>0</v>
          </cell>
        </row>
        <row r="3021">
          <cell r="F3021">
            <v>0</v>
          </cell>
          <cell r="H3021">
            <v>0</v>
          </cell>
          <cell r="I3021">
            <v>0</v>
          </cell>
        </row>
        <row r="3022">
          <cell r="F3022">
            <v>0</v>
          </cell>
          <cell r="H3022">
            <v>0</v>
          </cell>
          <cell r="I3022">
            <v>0</v>
          </cell>
        </row>
        <row r="3023">
          <cell r="F3023">
            <v>0</v>
          </cell>
          <cell r="H3023">
            <v>0</v>
          </cell>
          <cell r="I3023">
            <v>0</v>
          </cell>
        </row>
        <row r="3024">
          <cell r="F3024">
            <v>0</v>
          </cell>
          <cell r="H3024">
            <v>0</v>
          </cell>
          <cell r="I3024">
            <v>0</v>
          </cell>
        </row>
        <row r="3025">
          <cell r="F3025">
            <v>0</v>
          </cell>
          <cell r="H3025">
            <v>0</v>
          </cell>
          <cell r="I3025">
            <v>0</v>
          </cell>
        </row>
        <row r="3026">
          <cell r="F3026">
            <v>0</v>
          </cell>
          <cell r="H3026">
            <v>0</v>
          </cell>
          <cell r="I3026">
            <v>0</v>
          </cell>
        </row>
        <row r="3027">
          <cell r="F3027">
            <v>0</v>
          </cell>
          <cell r="H3027">
            <v>0</v>
          </cell>
          <cell r="I3027">
            <v>0</v>
          </cell>
        </row>
        <row r="3028">
          <cell r="F3028">
            <v>0</v>
          </cell>
          <cell r="H3028">
            <v>0</v>
          </cell>
          <cell r="I3028">
            <v>0</v>
          </cell>
        </row>
        <row r="3029">
          <cell r="F3029">
            <v>0</v>
          </cell>
          <cell r="H3029">
            <v>0</v>
          </cell>
          <cell r="I3029">
            <v>0</v>
          </cell>
        </row>
        <row r="3030">
          <cell r="F3030">
            <v>0</v>
          </cell>
          <cell r="H3030">
            <v>0</v>
          </cell>
          <cell r="I3030">
            <v>0</v>
          </cell>
        </row>
        <row r="3031">
          <cell r="F3031">
            <v>0</v>
          </cell>
          <cell r="H3031">
            <v>0</v>
          </cell>
          <cell r="I3031">
            <v>0</v>
          </cell>
        </row>
        <row r="3032">
          <cell r="F3032">
            <v>0</v>
          </cell>
          <cell r="H3032">
            <v>0</v>
          </cell>
          <cell r="I3032">
            <v>0</v>
          </cell>
        </row>
        <row r="3033">
          <cell r="F3033">
            <v>0</v>
          </cell>
          <cell r="H3033">
            <v>0</v>
          </cell>
          <cell r="I3033">
            <v>0</v>
          </cell>
        </row>
        <row r="3034">
          <cell r="F3034">
            <v>0</v>
          </cell>
          <cell r="H3034">
            <v>0</v>
          </cell>
          <cell r="I3034">
            <v>0</v>
          </cell>
        </row>
        <row r="3035">
          <cell r="F3035">
            <v>0</v>
          </cell>
          <cell r="H3035">
            <v>0</v>
          </cell>
          <cell r="I3035">
            <v>0</v>
          </cell>
        </row>
        <row r="3036">
          <cell r="F3036">
            <v>0</v>
          </cell>
          <cell r="H3036">
            <v>0</v>
          </cell>
          <cell r="I3036">
            <v>0</v>
          </cell>
        </row>
        <row r="3037">
          <cell r="F3037">
            <v>0</v>
          </cell>
          <cell r="H3037">
            <v>0</v>
          </cell>
          <cell r="I3037">
            <v>0</v>
          </cell>
        </row>
        <row r="3038">
          <cell r="F3038">
            <v>0</v>
          </cell>
          <cell r="H3038">
            <v>0</v>
          </cell>
          <cell r="I3038">
            <v>0</v>
          </cell>
        </row>
        <row r="3039">
          <cell r="F3039">
            <v>0</v>
          </cell>
          <cell r="H3039">
            <v>0</v>
          </cell>
          <cell r="I3039">
            <v>0</v>
          </cell>
        </row>
        <row r="3040">
          <cell r="F3040">
            <v>0</v>
          </cell>
          <cell r="H3040">
            <v>0</v>
          </cell>
          <cell r="I3040">
            <v>0</v>
          </cell>
        </row>
        <row r="3041">
          <cell r="F3041">
            <v>0</v>
          </cell>
          <cell r="H3041">
            <v>0</v>
          </cell>
          <cell r="I3041">
            <v>0</v>
          </cell>
        </row>
        <row r="3042">
          <cell r="F3042">
            <v>0</v>
          </cell>
          <cell r="H3042">
            <v>0</v>
          </cell>
          <cell r="I3042">
            <v>0</v>
          </cell>
        </row>
        <row r="3043">
          <cell r="F3043">
            <v>0</v>
          </cell>
          <cell r="H3043">
            <v>0</v>
          </cell>
          <cell r="I3043">
            <v>0</v>
          </cell>
        </row>
        <row r="3044">
          <cell r="F3044">
            <v>0</v>
          </cell>
          <cell r="H3044">
            <v>0</v>
          </cell>
          <cell r="I3044">
            <v>0</v>
          </cell>
        </row>
        <row r="3045">
          <cell r="F3045">
            <v>0</v>
          </cell>
          <cell r="H3045">
            <v>0</v>
          </cell>
          <cell r="I3045">
            <v>0</v>
          </cell>
        </row>
        <row r="3046">
          <cell r="F3046">
            <v>0</v>
          </cell>
          <cell r="H3046">
            <v>0</v>
          </cell>
          <cell r="I3046">
            <v>0</v>
          </cell>
        </row>
        <row r="3047">
          <cell r="F3047">
            <v>0</v>
          </cell>
          <cell r="H3047">
            <v>0</v>
          </cell>
          <cell r="I3047">
            <v>0</v>
          </cell>
        </row>
        <row r="3048">
          <cell r="F3048">
            <v>0</v>
          </cell>
          <cell r="H3048">
            <v>0</v>
          </cell>
          <cell r="I3048">
            <v>0</v>
          </cell>
        </row>
        <row r="3049">
          <cell r="F3049">
            <v>0</v>
          </cell>
          <cell r="H3049">
            <v>0</v>
          </cell>
          <cell r="I3049">
            <v>0</v>
          </cell>
        </row>
        <row r="3050">
          <cell r="F3050">
            <v>0</v>
          </cell>
          <cell r="H3050">
            <v>0</v>
          </cell>
          <cell r="I3050">
            <v>0</v>
          </cell>
        </row>
        <row r="3051">
          <cell r="F3051">
            <v>0</v>
          </cell>
          <cell r="H3051">
            <v>0</v>
          </cell>
          <cell r="I3051">
            <v>0</v>
          </cell>
        </row>
        <row r="3052">
          <cell r="F3052">
            <v>0</v>
          </cell>
          <cell r="H3052">
            <v>0</v>
          </cell>
          <cell r="I3052">
            <v>0</v>
          </cell>
        </row>
        <row r="3053">
          <cell r="F3053">
            <v>0</v>
          </cell>
          <cell r="H3053">
            <v>0</v>
          </cell>
          <cell r="I3053">
            <v>0</v>
          </cell>
        </row>
        <row r="3054">
          <cell r="F3054">
            <v>0</v>
          </cell>
          <cell r="H3054">
            <v>0</v>
          </cell>
          <cell r="I3054">
            <v>0</v>
          </cell>
        </row>
        <row r="3055">
          <cell r="F3055">
            <v>0</v>
          </cell>
          <cell r="H3055">
            <v>0</v>
          </cell>
          <cell r="I3055">
            <v>0</v>
          </cell>
        </row>
        <row r="3056">
          <cell r="F3056">
            <v>0</v>
          </cell>
          <cell r="H3056">
            <v>0</v>
          </cell>
          <cell r="I3056">
            <v>0</v>
          </cell>
        </row>
        <row r="3057">
          <cell r="F3057">
            <v>0</v>
          </cell>
          <cell r="H3057">
            <v>0</v>
          </cell>
          <cell r="I3057">
            <v>0</v>
          </cell>
        </row>
        <row r="3058">
          <cell r="F3058">
            <v>0</v>
          </cell>
          <cell r="H3058">
            <v>0</v>
          </cell>
          <cell r="I3058">
            <v>0</v>
          </cell>
        </row>
        <row r="3059">
          <cell r="F3059">
            <v>0</v>
          </cell>
          <cell r="H3059">
            <v>0</v>
          </cell>
          <cell r="I3059">
            <v>0</v>
          </cell>
        </row>
        <row r="3060">
          <cell r="F3060">
            <v>0</v>
          </cell>
          <cell r="H3060">
            <v>0</v>
          </cell>
          <cell r="I3060">
            <v>0</v>
          </cell>
        </row>
        <row r="3061">
          <cell r="F3061">
            <v>0</v>
          </cell>
          <cell r="H3061">
            <v>0</v>
          </cell>
          <cell r="I3061">
            <v>0</v>
          </cell>
        </row>
        <row r="3062">
          <cell r="F3062">
            <v>0</v>
          </cell>
          <cell r="H3062">
            <v>0</v>
          </cell>
          <cell r="I3062">
            <v>0</v>
          </cell>
        </row>
        <row r="3063">
          <cell r="F3063">
            <v>0</v>
          </cell>
          <cell r="H3063">
            <v>0</v>
          </cell>
          <cell r="I3063">
            <v>0</v>
          </cell>
        </row>
        <row r="3064">
          <cell r="F3064">
            <v>0</v>
          </cell>
          <cell r="H3064">
            <v>0</v>
          </cell>
          <cell r="I3064">
            <v>0</v>
          </cell>
        </row>
        <row r="3065">
          <cell r="F3065">
            <v>0</v>
          </cell>
          <cell r="H3065">
            <v>0</v>
          </cell>
          <cell r="I3065">
            <v>0</v>
          </cell>
        </row>
        <row r="3066">
          <cell r="F3066">
            <v>0</v>
          </cell>
          <cell r="H3066">
            <v>0</v>
          </cell>
          <cell r="I3066">
            <v>0</v>
          </cell>
        </row>
        <row r="3067">
          <cell r="F3067">
            <v>0</v>
          </cell>
          <cell r="H3067">
            <v>0</v>
          </cell>
          <cell r="I3067">
            <v>0</v>
          </cell>
        </row>
        <row r="3068">
          <cell r="F3068">
            <v>0</v>
          </cell>
          <cell r="H3068">
            <v>0</v>
          </cell>
          <cell r="I3068">
            <v>0</v>
          </cell>
        </row>
        <row r="3069">
          <cell r="F3069">
            <v>0</v>
          </cell>
          <cell r="H3069">
            <v>0</v>
          </cell>
          <cell r="I3069">
            <v>0</v>
          </cell>
        </row>
        <row r="3070">
          <cell r="F3070">
            <v>0</v>
          </cell>
          <cell r="H3070">
            <v>0</v>
          </cell>
          <cell r="I3070">
            <v>0</v>
          </cell>
        </row>
        <row r="3071">
          <cell r="F3071">
            <v>0</v>
          </cell>
          <cell r="H3071">
            <v>0</v>
          </cell>
          <cell r="I3071">
            <v>0</v>
          </cell>
        </row>
        <row r="3072">
          <cell r="F3072">
            <v>0</v>
          </cell>
          <cell r="H3072">
            <v>0</v>
          </cell>
          <cell r="I3072">
            <v>0</v>
          </cell>
        </row>
        <row r="3073">
          <cell r="F3073">
            <v>0</v>
          </cell>
          <cell r="H3073">
            <v>0</v>
          </cell>
          <cell r="I3073">
            <v>0</v>
          </cell>
        </row>
        <row r="3074">
          <cell r="F3074">
            <v>0</v>
          </cell>
          <cell r="H3074">
            <v>0</v>
          </cell>
          <cell r="I3074">
            <v>0</v>
          </cell>
        </row>
        <row r="3075">
          <cell r="F3075">
            <v>0</v>
          </cell>
          <cell r="H3075">
            <v>0</v>
          </cell>
          <cell r="I3075">
            <v>0</v>
          </cell>
        </row>
        <row r="3076">
          <cell r="F3076">
            <v>0</v>
          </cell>
          <cell r="H3076">
            <v>0</v>
          </cell>
          <cell r="I3076">
            <v>0</v>
          </cell>
        </row>
        <row r="3077">
          <cell r="F3077">
            <v>0</v>
          </cell>
          <cell r="H3077">
            <v>0</v>
          </cell>
          <cell r="I3077">
            <v>0</v>
          </cell>
        </row>
        <row r="3078">
          <cell r="F3078">
            <v>0</v>
          </cell>
          <cell r="H3078">
            <v>0</v>
          </cell>
          <cell r="I3078">
            <v>0</v>
          </cell>
        </row>
        <row r="3079">
          <cell r="F3079">
            <v>0</v>
          </cell>
          <cell r="H3079">
            <v>0</v>
          </cell>
          <cell r="I3079">
            <v>0</v>
          </cell>
        </row>
        <row r="3080">
          <cell r="F3080">
            <v>0</v>
          </cell>
          <cell r="H3080">
            <v>0</v>
          </cell>
          <cell r="I3080">
            <v>0</v>
          </cell>
        </row>
        <row r="3081">
          <cell r="F3081">
            <v>0</v>
          </cell>
          <cell r="H3081">
            <v>0</v>
          </cell>
          <cell r="I3081">
            <v>0</v>
          </cell>
        </row>
        <row r="3082">
          <cell r="F3082">
            <v>0</v>
          </cell>
          <cell r="H3082">
            <v>0</v>
          </cell>
          <cell r="I3082">
            <v>0</v>
          </cell>
        </row>
        <row r="3083">
          <cell r="F3083">
            <v>0</v>
          </cell>
          <cell r="H3083">
            <v>0</v>
          </cell>
          <cell r="I3083">
            <v>0</v>
          </cell>
        </row>
        <row r="3084">
          <cell r="F3084">
            <v>0</v>
          </cell>
          <cell r="H3084">
            <v>0</v>
          </cell>
          <cell r="I3084">
            <v>0</v>
          </cell>
        </row>
        <row r="3085">
          <cell r="F3085">
            <v>0</v>
          </cell>
          <cell r="H3085">
            <v>0</v>
          </cell>
          <cell r="I3085">
            <v>0</v>
          </cell>
        </row>
        <row r="3086">
          <cell r="F3086">
            <v>0</v>
          </cell>
          <cell r="H3086">
            <v>0</v>
          </cell>
          <cell r="I3086">
            <v>0</v>
          </cell>
        </row>
        <row r="3087">
          <cell r="F3087">
            <v>0</v>
          </cell>
          <cell r="H3087">
            <v>0</v>
          </cell>
          <cell r="I3087">
            <v>0</v>
          </cell>
        </row>
        <row r="3088">
          <cell r="F3088">
            <v>0</v>
          </cell>
          <cell r="H3088">
            <v>0</v>
          </cell>
          <cell r="I3088">
            <v>0</v>
          </cell>
        </row>
        <row r="3089">
          <cell r="F3089">
            <v>0</v>
          </cell>
          <cell r="H3089">
            <v>0</v>
          </cell>
          <cell r="I3089">
            <v>0</v>
          </cell>
        </row>
        <row r="3090">
          <cell r="F3090">
            <v>0</v>
          </cell>
          <cell r="H3090">
            <v>0</v>
          </cell>
          <cell r="I3090">
            <v>0</v>
          </cell>
        </row>
        <row r="3091">
          <cell r="F3091">
            <v>0</v>
          </cell>
          <cell r="H3091">
            <v>0</v>
          </cell>
          <cell r="I3091">
            <v>0</v>
          </cell>
        </row>
        <row r="3092">
          <cell r="F3092">
            <v>0</v>
          </cell>
          <cell r="H3092">
            <v>0</v>
          </cell>
          <cell r="I3092">
            <v>0</v>
          </cell>
        </row>
        <row r="3093">
          <cell r="F3093">
            <v>0</v>
          </cell>
          <cell r="H3093">
            <v>0</v>
          </cell>
          <cell r="I3093">
            <v>0</v>
          </cell>
        </row>
        <row r="3094">
          <cell r="F3094">
            <v>0</v>
          </cell>
          <cell r="H3094">
            <v>0</v>
          </cell>
          <cell r="I3094">
            <v>0</v>
          </cell>
        </row>
        <row r="3095">
          <cell r="F3095">
            <v>0</v>
          </cell>
          <cell r="H3095">
            <v>0</v>
          </cell>
          <cell r="I3095">
            <v>0</v>
          </cell>
        </row>
        <row r="3096">
          <cell r="F3096">
            <v>0</v>
          </cell>
          <cell r="H3096">
            <v>0</v>
          </cell>
          <cell r="I3096">
            <v>0</v>
          </cell>
        </row>
        <row r="3097">
          <cell r="F3097">
            <v>0</v>
          </cell>
          <cell r="H3097">
            <v>0</v>
          </cell>
          <cell r="I3097">
            <v>0</v>
          </cell>
        </row>
        <row r="3098">
          <cell r="F3098">
            <v>0</v>
          </cell>
          <cell r="H3098">
            <v>0</v>
          </cell>
          <cell r="I3098">
            <v>0</v>
          </cell>
        </row>
        <row r="3099">
          <cell r="F3099">
            <v>0</v>
          </cell>
          <cell r="H3099">
            <v>0</v>
          </cell>
          <cell r="I3099">
            <v>0</v>
          </cell>
        </row>
        <row r="3100">
          <cell r="F3100">
            <v>0</v>
          </cell>
          <cell r="H3100">
            <v>0</v>
          </cell>
          <cell r="I3100">
            <v>0</v>
          </cell>
        </row>
        <row r="3101">
          <cell r="F3101">
            <v>0</v>
          </cell>
          <cell r="H3101">
            <v>0</v>
          </cell>
          <cell r="I3101">
            <v>0</v>
          </cell>
        </row>
        <row r="3102">
          <cell r="F3102">
            <v>0</v>
          </cell>
          <cell r="H3102">
            <v>0</v>
          </cell>
          <cell r="I3102">
            <v>0</v>
          </cell>
        </row>
        <row r="3103">
          <cell r="F3103">
            <v>0</v>
          </cell>
          <cell r="H3103">
            <v>0</v>
          </cell>
          <cell r="I3103">
            <v>0</v>
          </cell>
        </row>
        <row r="3104">
          <cell r="F3104">
            <v>0</v>
          </cell>
          <cell r="H3104">
            <v>0</v>
          </cell>
          <cell r="I3104">
            <v>0</v>
          </cell>
        </row>
        <row r="3105">
          <cell r="F3105">
            <v>0</v>
          </cell>
          <cell r="H3105">
            <v>0</v>
          </cell>
          <cell r="I3105">
            <v>0</v>
          </cell>
        </row>
        <row r="3106">
          <cell r="F3106">
            <v>0</v>
          </cell>
          <cell r="H3106">
            <v>0</v>
          </cell>
          <cell r="I3106">
            <v>0</v>
          </cell>
        </row>
        <row r="3107">
          <cell r="F3107">
            <v>0</v>
          </cell>
          <cell r="H3107">
            <v>0</v>
          </cell>
          <cell r="I3107">
            <v>0</v>
          </cell>
        </row>
        <row r="3108">
          <cell r="F3108">
            <v>0</v>
          </cell>
          <cell r="H3108">
            <v>0</v>
          </cell>
          <cell r="I3108">
            <v>0</v>
          </cell>
        </row>
        <row r="3109">
          <cell r="F3109">
            <v>0</v>
          </cell>
          <cell r="H3109">
            <v>0</v>
          </cell>
          <cell r="I3109">
            <v>0</v>
          </cell>
        </row>
        <row r="3110">
          <cell r="F3110">
            <v>0</v>
          </cell>
          <cell r="H3110">
            <v>0</v>
          </cell>
          <cell r="I3110">
            <v>0</v>
          </cell>
        </row>
        <row r="3111">
          <cell r="F3111">
            <v>0</v>
          </cell>
          <cell r="H3111">
            <v>0</v>
          </cell>
          <cell r="I3111">
            <v>0</v>
          </cell>
        </row>
        <row r="3112">
          <cell r="F3112">
            <v>0</v>
          </cell>
          <cell r="H3112">
            <v>0</v>
          </cell>
          <cell r="I3112">
            <v>0</v>
          </cell>
        </row>
        <row r="3113">
          <cell r="F3113">
            <v>0</v>
          </cell>
          <cell r="H3113">
            <v>0</v>
          </cell>
          <cell r="I3113">
            <v>0</v>
          </cell>
        </row>
        <row r="3114">
          <cell r="F3114">
            <v>0</v>
          </cell>
          <cell r="H3114">
            <v>0</v>
          </cell>
          <cell r="I3114">
            <v>0</v>
          </cell>
        </row>
        <row r="3115">
          <cell r="F3115">
            <v>0</v>
          </cell>
          <cell r="H3115">
            <v>0</v>
          </cell>
          <cell r="I3115">
            <v>0</v>
          </cell>
        </row>
        <row r="3116">
          <cell r="F3116">
            <v>0</v>
          </cell>
          <cell r="H3116">
            <v>0</v>
          </cell>
          <cell r="I3116">
            <v>0</v>
          </cell>
        </row>
        <row r="3117">
          <cell r="F3117">
            <v>0</v>
          </cell>
          <cell r="H3117">
            <v>0</v>
          </cell>
          <cell r="I3117">
            <v>0</v>
          </cell>
        </row>
        <row r="3118">
          <cell r="F3118">
            <v>0</v>
          </cell>
          <cell r="H3118">
            <v>0</v>
          </cell>
          <cell r="I3118">
            <v>0</v>
          </cell>
        </row>
        <row r="3119">
          <cell r="F3119">
            <v>0</v>
          </cell>
          <cell r="H3119">
            <v>0</v>
          </cell>
          <cell r="I3119">
            <v>0</v>
          </cell>
        </row>
        <row r="3120">
          <cell r="F3120">
            <v>0</v>
          </cell>
          <cell r="H3120">
            <v>0</v>
          </cell>
          <cell r="I3120">
            <v>0</v>
          </cell>
        </row>
        <row r="3121">
          <cell r="F3121">
            <v>0</v>
          </cell>
          <cell r="H3121">
            <v>0</v>
          </cell>
          <cell r="I3121">
            <v>0</v>
          </cell>
        </row>
        <row r="3122">
          <cell r="F3122">
            <v>0</v>
          </cell>
          <cell r="H3122">
            <v>0</v>
          </cell>
          <cell r="I3122">
            <v>0</v>
          </cell>
        </row>
        <row r="3123">
          <cell r="F3123">
            <v>0</v>
          </cell>
          <cell r="H3123">
            <v>0</v>
          </cell>
          <cell r="I3123">
            <v>0</v>
          </cell>
        </row>
        <row r="3124">
          <cell r="F3124">
            <v>0</v>
          </cell>
          <cell r="H3124">
            <v>0</v>
          </cell>
          <cell r="I3124">
            <v>0</v>
          </cell>
        </row>
        <row r="3125">
          <cell r="F3125">
            <v>0</v>
          </cell>
          <cell r="H3125">
            <v>0</v>
          </cell>
          <cell r="I3125">
            <v>0</v>
          </cell>
        </row>
        <row r="3126">
          <cell r="F3126">
            <v>0</v>
          </cell>
          <cell r="H3126">
            <v>0</v>
          </cell>
          <cell r="I3126">
            <v>0</v>
          </cell>
        </row>
        <row r="3127">
          <cell r="F3127">
            <v>0</v>
          </cell>
          <cell r="H3127">
            <v>0</v>
          </cell>
          <cell r="I3127">
            <v>0</v>
          </cell>
        </row>
        <row r="3128">
          <cell r="F3128">
            <v>0</v>
          </cell>
          <cell r="H3128">
            <v>0</v>
          </cell>
          <cell r="I3128">
            <v>0</v>
          </cell>
        </row>
        <row r="3129">
          <cell r="F3129">
            <v>0</v>
          </cell>
          <cell r="H3129">
            <v>0</v>
          </cell>
          <cell r="I3129">
            <v>0</v>
          </cell>
        </row>
        <row r="3130">
          <cell r="F3130">
            <v>0</v>
          </cell>
          <cell r="H3130">
            <v>0</v>
          </cell>
          <cell r="I3130">
            <v>0</v>
          </cell>
        </row>
        <row r="3131">
          <cell r="F3131">
            <v>0</v>
          </cell>
          <cell r="H3131">
            <v>0</v>
          </cell>
          <cell r="I3131">
            <v>0</v>
          </cell>
        </row>
        <row r="3132">
          <cell r="F3132">
            <v>0</v>
          </cell>
          <cell r="H3132">
            <v>0</v>
          </cell>
          <cell r="I3132">
            <v>0</v>
          </cell>
        </row>
        <row r="3133">
          <cell r="F3133">
            <v>0</v>
          </cell>
          <cell r="H3133">
            <v>0</v>
          </cell>
          <cell r="I3133">
            <v>0</v>
          </cell>
        </row>
        <row r="3134">
          <cell r="F3134">
            <v>0</v>
          </cell>
          <cell r="H3134">
            <v>0</v>
          </cell>
          <cell r="I3134">
            <v>0</v>
          </cell>
        </row>
        <row r="3135">
          <cell r="F3135">
            <v>0</v>
          </cell>
          <cell r="H3135">
            <v>0</v>
          </cell>
          <cell r="I3135">
            <v>0</v>
          </cell>
        </row>
        <row r="3136">
          <cell r="F3136">
            <v>0</v>
          </cell>
          <cell r="H3136">
            <v>0</v>
          </cell>
          <cell r="I3136">
            <v>0</v>
          </cell>
        </row>
        <row r="3137">
          <cell r="F3137">
            <v>0</v>
          </cell>
          <cell r="H3137">
            <v>0</v>
          </cell>
          <cell r="I3137">
            <v>0</v>
          </cell>
        </row>
        <row r="3138">
          <cell r="F3138">
            <v>0</v>
          </cell>
          <cell r="H3138">
            <v>0</v>
          </cell>
          <cell r="I3138">
            <v>0</v>
          </cell>
        </row>
        <row r="3139">
          <cell r="F3139">
            <v>0</v>
          </cell>
          <cell r="H3139">
            <v>0</v>
          </cell>
          <cell r="I3139">
            <v>0</v>
          </cell>
        </row>
        <row r="3140">
          <cell r="F3140">
            <v>0</v>
          </cell>
          <cell r="H3140">
            <v>0</v>
          </cell>
          <cell r="I3140">
            <v>0</v>
          </cell>
        </row>
        <row r="3141">
          <cell r="F3141">
            <v>0</v>
          </cell>
          <cell r="H3141">
            <v>0</v>
          </cell>
          <cell r="I3141">
            <v>0</v>
          </cell>
        </row>
        <row r="3142">
          <cell r="F3142">
            <v>0</v>
          </cell>
          <cell r="H3142">
            <v>0</v>
          </cell>
          <cell r="I3142">
            <v>0</v>
          </cell>
        </row>
        <row r="3143">
          <cell r="F3143">
            <v>0</v>
          </cell>
          <cell r="H3143">
            <v>0</v>
          </cell>
          <cell r="I3143">
            <v>0</v>
          </cell>
        </row>
        <row r="3144">
          <cell r="F3144">
            <v>0</v>
          </cell>
          <cell r="H3144">
            <v>0</v>
          </cell>
          <cell r="I3144">
            <v>0</v>
          </cell>
        </row>
        <row r="3145">
          <cell r="F3145">
            <v>0</v>
          </cell>
          <cell r="H3145">
            <v>0</v>
          </cell>
          <cell r="I3145">
            <v>0</v>
          </cell>
        </row>
        <row r="3146">
          <cell r="F3146">
            <v>0</v>
          </cell>
          <cell r="H3146">
            <v>0</v>
          </cell>
          <cell r="I3146">
            <v>0</v>
          </cell>
        </row>
        <row r="3147">
          <cell r="F3147">
            <v>0</v>
          </cell>
          <cell r="H3147">
            <v>0</v>
          </cell>
          <cell r="I3147">
            <v>0</v>
          </cell>
        </row>
        <row r="3148">
          <cell r="F3148">
            <v>0</v>
          </cell>
          <cell r="H3148">
            <v>0</v>
          </cell>
          <cell r="I3148">
            <v>0</v>
          </cell>
        </row>
        <row r="3149">
          <cell r="F3149">
            <v>0</v>
          </cell>
          <cell r="H3149">
            <v>0</v>
          </cell>
          <cell r="I3149">
            <v>0</v>
          </cell>
        </row>
        <row r="3150">
          <cell r="F3150">
            <v>0</v>
          </cell>
          <cell r="H3150">
            <v>0</v>
          </cell>
          <cell r="I3150">
            <v>0</v>
          </cell>
        </row>
        <row r="3151">
          <cell r="F3151">
            <v>0</v>
          </cell>
          <cell r="H3151">
            <v>0</v>
          </cell>
          <cell r="I3151">
            <v>0</v>
          </cell>
        </row>
        <row r="3152">
          <cell r="F3152">
            <v>0</v>
          </cell>
          <cell r="H3152">
            <v>0</v>
          </cell>
          <cell r="I3152">
            <v>0</v>
          </cell>
        </row>
        <row r="3153">
          <cell r="F3153">
            <v>0</v>
          </cell>
          <cell r="H3153">
            <v>0</v>
          </cell>
          <cell r="I3153">
            <v>0</v>
          </cell>
        </row>
        <row r="3154">
          <cell r="F3154">
            <v>0</v>
          </cell>
          <cell r="H3154">
            <v>0</v>
          </cell>
          <cell r="I3154">
            <v>0</v>
          </cell>
        </row>
        <row r="3155">
          <cell r="F3155">
            <v>0</v>
          </cell>
          <cell r="H3155">
            <v>0</v>
          </cell>
          <cell r="I3155">
            <v>0</v>
          </cell>
        </row>
        <row r="3156">
          <cell r="F3156">
            <v>0</v>
          </cell>
          <cell r="H3156">
            <v>0</v>
          </cell>
          <cell r="I3156">
            <v>0</v>
          </cell>
        </row>
        <row r="3157">
          <cell r="F3157">
            <v>0</v>
          </cell>
          <cell r="H3157">
            <v>0</v>
          </cell>
          <cell r="I3157">
            <v>0</v>
          </cell>
        </row>
        <row r="3158">
          <cell r="F3158">
            <v>0</v>
          </cell>
          <cell r="H3158">
            <v>0</v>
          </cell>
          <cell r="I3158">
            <v>0</v>
          </cell>
        </row>
        <row r="3159">
          <cell r="F3159">
            <v>0</v>
          </cell>
          <cell r="H3159">
            <v>0</v>
          </cell>
          <cell r="I3159">
            <v>0</v>
          </cell>
        </row>
        <row r="3160">
          <cell r="F3160">
            <v>0</v>
          </cell>
          <cell r="H3160">
            <v>0</v>
          </cell>
          <cell r="I3160">
            <v>0</v>
          </cell>
        </row>
        <row r="3161">
          <cell r="F3161">
            <v>0</v>
          </cell>
          <cell r="H3161">
            <v>0</v>
          </cell>
          <cell r="I3161">
            <v>0</v>
          </cell>
        </row>
        <row r="3162">
          <cell r="F3162">
            <v>0</v>
          </cell>
          <cell r="H3162">
            <v>0</v>
          </cell>
          <cell r="I3162">
            <v>0</v>
          </cell>
        </row>
        <row r="3163">
          <cell r="F3163">
            <v>0</v>
          </cell>
          <cell r="H3163">
            <v>0</v>
          </cell>
          <cell r="I3163">
            <v>0</v>
          </cell>
        </row>
        <row r="3164">
          <cell r="F3164">
            <v>0</v>
          </cell>
          <cell r="H3164">
            <v>0</v>
          </cell>
          <cell r="I3164">
            <v>0</v>
          </cell>
        </row>
        <row r="3165">
          <cell r="F3165">
            <v>0</v>
          </cell>
          <cell r="H3165">
            <v>0</v>
          </cell>
          <cell r="I3165">
            <v>0</v>
          </cell>
        </row>
        <row r="3166">
          <cell r="F3166">
            <v>0</v>
          </cell>
          <cell r="H3166">
            <v>0</v>
          </cell>
          <cell r="I3166">
            <v>0</v>
          </cell>
        </row>
        <row r="3167">
          <cell r="F3167">
            <v>0</v>
          </cell>
          <cell r="H3167">
            <v>0</v>
          </cell>
          <cell r="I3167">
            <v>0</v>
          </cell>
        </row>
        <row r="3168">
          <cell r="F3168">
            <v>0</v>
          </cell>
          <cell r="H3168">
            <v>0</v>
          </cell>
          <cell r="I3168">
            <v>0</v>
          </cell>
        </row>
        <row r="3169">
          <cell r="F3169">
            <v>0</v>
          </cell>
          <cell r="H3169">
            <v>0</v>
          </cell>
          <cell r="I3169">
            <v>0</v>
          </cell>
        </row>
        <row r="3170">
          <cell r="F3170">
            <v>0</v>
          </cell>
          <cell r="H3170">
            <v>0</v>
          </cell>
          <cell r="I3170">
            <v>0</v>
          </cell>
        </row>
        <row r="3171">
          <cell r="F3171">
            <v>0</v>
          </cell>
          <cell r="H3171">
            <v>0</v>
          </cell>
          <cell r="I3171">
            <v>0</v>
          </cell>
        </row>
        <row r="3172">
          <cell r="F3172">
            <v>0</v>
          </cell>
          <cell r="H3172">
            <v>0</v>
          </cell>
          <cell r="I3172">
            <v>0</v>
          </cell>
        </row>
        <row r="3173">
          <cell r="F3173">
            <v>0</v>
          </cell>
          <cell r="H3173">
            <v>0</v>
          </cell>
          <cell r="I3173">
            <v>0</v>
          </cell>
        </row>
        <row r="3174">
          <cell r="F3174">
            <v>0</v>
          </cell>
          <cell r="H3174">
            <v>0</v>
          </cell>
          <cell r="I3174">
            <v>0</v>
          </cell>
        </row>
        <row r="3175">
          <cell r="F3175">
            <v>0</v>
          </cell>
          <cell r="H3175">
            <v>0</v>
          </cell>
          <cell r="I3175">
            <v>0</v>
          </cell>
        </row>
        <row r="3176">
          <cell r="F3176">
            <v>0</v>
          </cell>
          <cell r="H3176">
            <v>0</v>
          </cell>
          <cell r="I3176">
            <v>0</v>
          </cell>
        </row>
        <row r="3177">
          <cell r="F3177">
            <v>0</v>
          </cell>
          <cell r="H3177">
            <v>0</v>
          </cell>
          <cell r="I3177">
            <v>0</v>
          </cell>
        </row>
        <row r="3178">
          <cell r="F3178">
            <v>0</v>
          </cell>
          <cell r="H3178">
            <v>0</v>
          </cell>
          <cell r="I3178">
            <v>0</v>
          </cell>
        </row>
        <row r="3179">
          <cell r="F3179">
            <v>0</v>
          </cell>
          <cell r="H3179">
            <v>0</v>
          </cell>
          <cell r="I3179">
            <v>0</v>
          </cell>
        </row>
        <row r="3180">
          <cell r="F3180">
            <v>0</v>
          </cell>
          <cell r="H3180">
            <v>0</v>
          </cell>
          <cell r="I3180">
            <v>0</v>
          </cell>
        </row>
        <row r="3181">
          <cell r="F3181">
            <v>0</v>
          </cell>
          <cell r="H3181">
            <v>0</v>
          </cell>
          <cell r="I3181">
            <v>0</v>
          </cell>
        </row>
        <row r="3182">
          <cell r="F3182">
            <v>0</v>
          </cell>
          <cell r="H3182">
            <v>0</v>
          </cell>
          <cell r="I3182">
            <v>0</v>
          </cell>
        </row>
        <row r="3183">
          <cell r="F3183">
            <v>0</v>
          </cell>
          <cell r="H3183">
            <v>0</v>
          </cell>
          <cell r="I3183">
            <v>0</v>
          </cell>
        </row>
        <row r="3184">
          <cell r="F3184">
            <v>0</v>
          </cell>
          <cell r="H3184">
            <v>0</v>
          </cell>
          <cell r="I3184">
            <v>0</v>
          </cell>
        </row>
        <row r="3185">
          <cell r="F3185">
            <v>0</v>
          </cell>
          <cell r="H3185">
            <v>0</v>
          </cell>
          <cell r="I3185">
            <v>0</v>
          </cell>
        </row>
        <row r="3186">
          <cell r="F3186">
            <v>0</v>
          </cell>
          <cell r="H3186">
            <v>0</v>
          </cell>
          <cell r="I3186">
            <v>0</v>
          </cell>
        </row>
        <row r="3187">
          <cell r="F3187">
            <v>0</v>
          </cell>
          <cell r="H3187">
            <v>0</v>
          </cell>
          <cell r="I3187">
            <v>0</v>
          </cell>
        </row>
        <row r="3188">
          <cell r="F3188">
            <v>0</v>
          </cell>
          <cell r="H3188">
            <v>0</v>
          </cell>
          <cell r="I3188">
            <v>0</v>
          </cell>
        </row>
        <row r="3189">
          <cell r="F3189">
            <v>0</v>
          </cell>
          <cell r="H3189">
            <v>0</v>
          </cell>
          <cell r="I3189">
            <v>0</v>
          </cell>
        </row>
        <row r="3190">
          <cell r="F3190">
            <v>0</v>
          </cell>
          <cell r="H3190">
            <v>0</v>
          </cell>
          <cell r="I3190">
            <v>0</v>
          </cell>
        </row>
        <row r="3191">
          <cell r="F3191">
            <v>0</v>
          </cell>
          <cell r="H3191">
            <v>0</v>
          </cell>
          <cell r="I3191">
            <v>0</v>
          </cell>
        </row>
        <row r="3192">
          <cell r="F3192">
            <v>0</v>
          </cell>
          <cell r="H3192">
            <v>0</v>
          </cell>
          <cell r="I3192">
            <v>0</v>
          </cell>
        </row>
        <row r="3193">
          <cell r="F3193">
            <v>0</v>
          </cell>
          <cell r="H3193">
            <v>0</v>
          </cell>
          <cell r="I3193">
            <v>0</v>
          </cell>
        </row>
        <row r="3194">
          <cell r="F3194">
            <v>0</v>
          </cell>
          <cell r="H3194">
            <v>0</v>
          </cell>
          <cell r="I3194">
            <v>0</v>
          </cell>
        </row>
        <row r="3195">
          <cell r="F3195">
            <v>0</v>
          </cell>
          <cell r="H3195">
            <v>0</v>
          </cell>
          <cell r="I3195">
            <v>0</v>
          </cell>
        </row>
        <row r="3196">
          <cell r="F3196">
            <v>0</v>
          </cell>
          <cell r="H3196">
            <v>0</v>
          </cell>
          <cell r="I3196">
            <v>0</v>
          </cell>
        </row>
        <row r="3197">
          <cell r="F3197">
            <v>0</v>
          </cell>
          <cell r="H3197">
            <v>0</v>
          </cell>
          <cell r="I3197">
            <v>0</v>
          </cell>
        </row>
        <row r="3198">
          <cell r="F3198">
            <v>0</v>
          </cell>
          <cell r="H3198">
            <v>0</v>
          </cell>
          <cell r="I3198">
            <v>0</v>
          </cell>
        </row>
        <row r="3199">
          <cell r="F3199">
            <v>0</v>
          </cell>
          <cell r="H3199">
            <v>0</v>
          </cell>
          <cell r="I3199">
            <v>0</v>
          </cell>
        </row>
        <row r="3200">
          <cell r="F3200">
            <v>0</v>
          </cell>
          <cell r="H3200">
            <v>0</v>
          </cell>
          <cell r="I3200">
            <v>0</v>
          </cell>
        </row>
        <row r="3201">
          <cell r="F3201">
            <v>0</v>
          </cell>
          <cell r="H3201">
            <v>0</v>
          </cell>
          <cell r="I3201">
            <v>0</v>
          </cell>
        </row>
        <row r="3202">
          <cell r="F3202">
            <v>0</v>
          </cell>
          <cell r="H3202">
            <v>0</v>
          </cell>
          <cell r="I3202">
            <v>0</v>
          </cell>
        </row>
        <row r="3203">
          <cell r="F3203">
            <v>0</v>
          </cell>
          <cell r="H3203">
            <v>0</v>
          </cell>
          <cell r="I3203">
            <v>0</v>
          </cell>
        </row>
        <row r="3204">
          <cell r="F3204">
            <v>0</v>
          </cell>
          <cell r="H3204">
            <v>0</v>
          </cell>
          <cell r="I3204">
            <v>0</v>
          </cell>
        </row>
        <row r="3205">
          <cell r="F3205">
            <v>0</v>
          </cell>
          <cell r="H3205">
            <v>0</v>
          </cell>
          <cell r="I3205">
            <v>0</v>
          </cell>
        </row>
        <row r="3206">
          <cell r="F3206">
            <v>0</v>
          </cell>
          <cell r="H3206">
            <v>0</v>
          </cell>
          <cell r="I3206">
            <v>0</v>
          </cell>
        </row>
        <row r="3207">
          <cell r="F3207">
            <v>0</v>
          </cell>
          <cell r="H3207">
            <v>0</v>
          </cell>
          <cell r="I3207">
            <v>0</v>
          </cell>
        </row>
        <row r="3208">
          <cell r="F3208">
            <v>0</v>
          </cell>
          <cell r="H3208">
            <v>0</v>
          </cell>
          <cell r="I3208">
            <v>0</v>
          </cell>
        </row>
        <row r="3209">
          <cell r="F3209">
            <v>0</v>
          </cell>
          <cell r="H3209">
            <v>0</v>
          </cell>
          <cell r="I3209">
            <v>0</v>
          </cell>
        </row>
        <row r="3210">
          <cell r="F3210">
            <v>0</v>
          </cell>
          <cell r="H3210">
            <v>0</v>
          </cell>
          <cell r="I3210">
            <v>0</v>
          </cell>
        </row>
        <row r="3211">
          <cell r="F3211">
            <v>0</v>
          </cell>
          <cell r="H3211">
            <v>0</v>
          </cell>
          <cell r="I3211">
            <v>0</v>
          </cell>
        </row>
        <row r="3212">
          <cell r="F3212">
            <v>0</v>
          </cell>
          <cell r="H3212">
            <v>0</v>
          </cell>
          <cell r="I3212">
            <v>0</v>
          </cell>
        </row>
        <row r="3213">
          <cell r="F3213">
            <v>0</v>
          </cell>
          <cell r="H3213">
            <v>0</v>
          </cell>
          <cell r="I3213">
            <v>0</v>
          </cell>
        </row>
        <row r="3214">
          <cell r="F3214">
            <v>0</v>
          </cell>
          <cell r="H3214">
            <v>0</v>
          </cell>
          <cell r="I3214">
            <v>0</v>
          </cell>
        </row>
        <row r="3215">
          <cell r="F3215">
            <v>0</v>
          </cell>
          <cell r="H3215">
            <v>0</v>
          </cell>
          <cell r="I3215">
            <v>0</v>
          </cell>
        </row>
        <row r="3216">
          <cell r="F3216">
            <v>0</v>
          </cell>
          <cell r="H3216">
            <v>0</v>
          </cell>
          <cell r="I3216">
            <v>0</v>
          </cell>
        </row>
        <row r="3217">
          <cell r="F3217">
            <v>0</v>
          </cell>
          <cell r="H3217">
            <v>0</v>
          </cell>
          <cell r="I3217">
            <v>0</v>
          </cell>
        </row>
        <row r="3218">
          <cell r="F3218">
            <v>0</v>
          </cell>
          <cell r="H3218">
            <v>0</v>
          </cell>
          <cell r="I3218">
            <v>0</v>
          </cell>
        </row>
        <row r="3219">
          <cell r="F3219">
            <v>0</v>
          </cell>
          <cell r="H3219">
            <v>0</v>
          </cell>
          <cell r="I3219">
            <v>0</v>
          </cell>
        </row>
        <row r="3220">
          <cell r="F3220">
            <v>0</v>
          </cell>
          <cell r="H3220">
            <v>0</v>
          </cell>
          <cell r="I3220">
            <v>0</v>
          </cell>
        </row>
        <row r="3221">
          <cell r="F3221">
            <v>0</v>
          </cell>
          <cell r="H3221">
            <v>0</v>
          </cell>
          <cell r="I3221">
            <v>0</v>
          </cell>
        </row>
        <row r="3222">
          <cell r="F3222">
            <v>0</v>
          </cell>
          <cell r="H3222">
            <v>0</v>
          </cell>
          <cell r="I3222">
            <v>0</v>
          </cell>
        </row>
        <row r="3223">
          <cell r="F3223">
            <v>0</v>
          </cell>
          <cell r="H3223">
            <v>0</v>
          </cell>
          <cell r="I3223">
            <v>0</v>
          </cell>
        </row>
        <row r="3224">
          <cell r="F3224">
            <v>0</v>
          </cell>
          <cell r="H3224">
            <v>0</v>
          </cell>
          <cell r="I3224">
            <v>0</v>
          </cell>
        </row>
        <row r="3225">
          <cell r="F3225">
            <v>0</v>
          </cell>
          <cell r="H3225">
            <v>0</v>
          </cell>
          <cell r="I3225">
            <v>0</v>
          </cell>
        </row>
        <row r="3226">
          <cell r="F3226">
            <v>0</v>
          </cell>
          <cell r="H3226">
            <v>0</v>
          </cell>
          <cell r="I3226">
            <v>0</v>
          </cell>
        </row>
        <row r="3227">
          <cell r="F3227">
            <v>0</v>
          </cell>
          <cell r="H3227">
            <v>0</v>
          </cell>
          <cell r="I3227">
            <v>0</v>
          </cell>
        </row>
        <row r="3228">
          <cell r="F3228">
            <v>0</v>
          </cell>
          <cell r="H3228">
            <v>0</v>
          </cell>
          <cell r="I3228">
            <v>0</v>
          </cell>
        </row>
        <row r="3229">
          <cell r="F3229">
            <v>0</v>
          </cell>
          <cell r="H3229">
            <v>0</v>
          </cell>
          <cell r="I3229">
            <v>0</v>
          </cell>
        </row>
        <row r="3230">
          <cell r="F3230">
            <v>0</v>
          </cell>
          <cell r="H3230">
            <v>0</v>
          </cell>
          <cell r="I3230">
            <v>0</v>
          </cell>
        </row>
        <row r="3231">
          <cell r="F3231">
            <v>0</v>
          </cell>
          <cell r="H3231">
            <v>0</v>
          </cell>
          <cell r="I3231">
            <v>0</v>
          </cell>
        </row>
        <row r="3232">
          <cell r="F3232">
            <v>0</v>
          </cell>
          <cell r="H3232">
            <v>0</v>
          </cell>
          <cell r="I3232">
            <v>0</v>
          </cell>
        </row>
        <row r="3233">
          <cell r="F3233">
            <v>0</v>
          </cell>
          <cell r="H3233">
            <v>0</v>
          </cell>
          <cell r="I3233">
            <v>0</v>
          </cell>
        </row>
        <row r="3234">
          <cell r="F3234">
            <v>0</v>
          </cell>
          <cell r="H3234">
            <v>0</v>
          </cell>
          <cell r="I3234">
            <v>0</v>
          </cell>
        </row>
        <row r="3235">
          <cell r="F3235">
            <v>0</v>
          </cell>
          <cell r="H3235">
            <v>0</v>
          </cell>
          <cell r="I3235">
            <v>0</v>
          </cell>
        </row>
        <row r="3236">
          <cell r="F3236">
            <v>0</v>
          </cell>
          <cell r="H3236">
            <v>0</v>
          </cell>
          <cell r="I3236">
            <v>0</v>
          </cell>
        </row>
        <row r="3237">
          <cell r="F3237">
            <v>0</v>
          </cell>
          <cell r="H3237">
            <v>0</v>
          </cell>
          <cell r="I3237">
            <v>0</v>
          </cell>
        </row>
        <row r="3238">
          <cell r="F3238">
            <v>0</v>
          </cell>
          <cell r="H3238">
            <v>0</v>
          </cell>
          <cell r="I3238">
            <v>0</v>
          </cell>
        </row>
        <row r="3239">
          <cell r="F3239">
            <v>0</v>
          </cell>
          <cell r="H3239">
            <v>0</v>
          </cell>
          <cell r="I3239">
            <v>0</v>
          </cell>
        </row>
        <row r="3240">
          <cell r="F3240">
            <v>0</v>
          </cell>
          <cell r="H3240">
            <v>0</v>
          </cell>
          <cell r="I3240">
            <v>0</v>
          </cell>
        </row>
        <row r="3241">
          <cell r="F3241">
            <v>0</v>
          </cell>
          <cell r="H3241">
            <v>0</v>
          </cell>
          <cell r="I3241">
            <v>0</v>
          </cell>
        </row>
        <row r="3242">
          <cell r="F3242">
            <v>0</v>
          </cell>
          <cell r="H3242">
            <v>0</v>
          </cell>
          <cell r="I3242">
            <v>0</v>
          </cell>
        </row>
        <row r="3243">
          <cell r="F3243">
            <v>0</v>
          </cell>
          <cell r="H3243">
            <v>0</v>
          </cell>
          <cell r="I3243">
            <v>0</v>
          </cell>
        </row>
        <row r="3244">
          <cell r="F3244">
            <v>0</v>
          </cell>
          <cell r="H3244">
            <v>0</v>
          </cell>
          <cell r="I3244">
            <v>0</v>
          </cell>
        </row>
        <row r="3245">
          <cell r="F3245">
            <v>0</v>
          </cell>
          <cell r="H3245">
            <v>0</v>
          </cell>
          <cell r="I3245">
            <v>0</v>
          </cell>
        </row>
        <row r="3246">
          <cell r="F3246">
            <v>0</v>
          </cell>
          <cell r="H3246">
            <v>0</v>
          </cell>
          <cell r="I3246">
            <v>0</v>
          </cell>
        </row>
        <row r="3247">
          <cell r="F3247">
            <v>0</v>
          </cell>
          <cell r="H3247">
            <v>0</v>
          </cell>
          <cell r="I3247">
            <v>0</v>
          </cell>
        </row>
        <row r="3248">
          <cell r="F3248">
            <v>0</v>
          </cell>
          <cell r="H3248">
            <v>0</v>
          </cell>
          <cell r="I3248">
            <v>0</v>
          </cell>
        </row>
        <row r="3249">
          <cell r="F3249">
            <v>0</v>
          </cell>
          <cell r="H3249">
            <v>0</v>
          </cell>
          <cell r="I3249">
            <v>0</v>
          </cell>
        </row>
        <row r="3250">
          <cell r="F3250">
            <v>0</v>
          </cell>
          <cell r="H3250">
            <v>0</v>
          </cell>
          <cell r="I3250">
            <v>0</v>
          </cell>
        </row>
        <row r="3251">
          <cell r="F3251">
            <v>0</v>
          </cell>
          <cell r="H3251">
            <v>0</v>
          </cell>
          <cell r="I3251">
            <v>0</v>
          </cell>
        </row>
        <row r="3252">
          <cell r="F3252">
            <v>0</v>
          </cell>
          <cell r="H3252">
            <v>0</v>
          </cell>
          <cell r="I3252">
            <v>0</v>
          </cell>
        </row>
        <row r="3253">
          <cell r="F3253">
            <v>0</v>
          </cell>
          <cell r="H3253">
            <v>0</v>
          </cell>
          <cell r="I3253">
            <v>0</v>
          </cell>
        </row>
        <row r="3254">
          <cell r="F3254">
            <v>0</v>
          </cell>
          <cell r="H3254">
            <v>0</v>
          </cell>
          <cell r="I3254">
            <v>0</v>
          </cell>
        </row>
        <row r="3255">
          <cell r="F3255">
            <v>0</v>
          </cell>
          <cell r="H3255">
            <v>0</v>
          </cell>
          <cell r="I3255">
            <v>0</v>
          </cell>
        </row>
        <row r="3256">
          <cell r="F3256">
            <v>0</v>
          </cell>
          <cell r="H3256">
            <v>0</v>
          </cell>
          <cell r="I3256">
            <v>0</v>
          </cell>
        </row>
        <row r="3257">
          <cell r="F3257">
            <v>0</v>
          </cell>
          <cell r="H3257">
            <v>0</v>
          </cell>
          <cell r="I3257">
            <v>0</v>
          </cell>
        </row>
        <row r="3258">
          <cell r="F3258">
            <v>0</v>
          </cell>
          <cell r="H3258">
            <v>0</v>
          </cell>
          <cell r="I3258">
            <v>0</v>
          </cell>
        </row>
        <row r="3259">
          <cell r="F3259">
            <v>0</v>
          </cell>
          <cell r="H3259">
            <v>0</v>
          </cell>
          <cell r="I3259">
            <v>0</v>
          </cell>
        </row>
        <row r="3260">
          <cell r="F3260">
            <v>0</v>
          </cell>
          <cell r="H3260">
            <v>0</v>
          </cell>
          <cell r="I3260">
            <v>0</v>
          </cell>
        </row>
        <row r="3261">
          <cell r="F3261">
            <v>0</v>
          </cell>
          <cell r="H3261">
            <v>0</v>
          </cell>
          <cell r="I3261">
            <v>0</v>
          </cell>
        </row>
        <row r="3262">
          <cell r="F3262">
            <v>0</v>
          </cell>
          <cell r="H3262">
            <v>0</v>
          </cell>
          <cell r="I3262">
            <v>0</v>
          </cell>
        </row>
        <row r="3263">
          <cell r="F3263">
            <v>0</v>
          </cell>
          <cell r="H3263">
            <v>0</v>
          </cell>
          <cell r="I3263">
            <v>0</v>
          </cell>
        </row>
        <row r="3264">
          <cell r="F3264">
            <v>0</v>
          </cell>
          <cell r="H3264">
            <v>0</v>
          </cell>
          <cell r="I3264">
            <v>0</v>
          </cell>
        </row>
        <row r="3265">
          <cell r="F3265">
            <v>0</v>
          </cell>
          <cell r="H3265">
            <v>0</v>
          </cell>
          <cell r="I3265">
            <v>0</v>
          </cell>
        </row>
        <row r="3266">
          <cell r="F3266">
            <v>0</v>
          </cell>
          <cell r="H3266">
            <v>0</v>
          </cell>
          <cell r="I3266">
            <v>0</v>
          </cell>
        </row>
        <row r="3267">
          <cell r="F3267">
            <v>0</v>
          </cell>
          <cell r="H3267">
            <v>0</v>
          </cell>
          <cell r="I3267">
            <v>0</v>
          </cell>
        </row>
        <row r="3268">
          <cell r="F3268">
            <v>0</v>
          </cell>
          <cell r="H3268">
            <v>0</v>
          </cell>
          <cell r="I3268">
            <v>0</v>
          </cell>
        </row>
        <row r="3269">
          <cell r="F3269">
            <v>0</v>
          </cell>
          <cell r="H3269">
            <v>0</v>
          </cell>
          <cell r="I3269">
            <v>0</v>
          </cell>
        </row>
        <row r="3270">
          <cell r="F3270">
            <v>0</v>
          </cell>
          <cell r="H3270">
            <v>0</v>
          </cell>
          <cell r="I3270">
            <v>0</v>
          </cell>
        </row>
        <row r="3271">
          <cell r="F3271">
            <v>0</v>
          </cell>
          <cell r="H3271">
            <v>0</v>
          </cell>
          <cell r="I3271">
            <v>0</v>
          </cell>
        </row>
        <row r="3272">
          <cell r="F3272">
            <v>0</v>
          </cell>
          <cell r="H3272">
            <v>0</v>
          </cell>
          <cell r="I3272">
            <v>0</v>
          </cell>
        </row>
        <row r="3273">
          <cell r="F3273">
            <v>0</v>
          </cell>
          <cell r="H3273">
            <v>0</v>
          </cell>
          <cell r="I3273">
            <v>0</v>
          </cell>
        </row>
        <row r="3274">
          <cell r="F3274">
            <v>0</v>
          </cell>
          <cell r="H3274">
            <v>0</v>
          </cell>
          <cell r="I3274">
            <v>0</v>
          </cell>
        </row>
        <row r="3275">
          <cell r="F3275">
            <v>0</v>
          </cell>
          <cell r="H3275">
            <v>0</v>
          </cell>
          <cell r="I3275">
            <v>0</v>
          </cell>
        </row>
        <row r="3276">
          <cell r="F3276">
            <v>0</v>
          </cell>
          <cell r="H3276">
            <v>0</v>
          </cell>
          <cell r="I3276">
            <v>0</v>
          </cell>
        </row>
        <row r="3277">
          <cell r="F3277">
            <v>0</v>
          </cell>
          <cell r="H3277">
            <v>0</v>
          </cell>
          <cell r="I3277">
            <v>0</v>
          </cell>
        </row>
        <row r="3278">
          <cell r="F3278">
            <v>0</v>
          </cell>
          <cell r="H3278">
            <v>0</v>
          </cell>
          <cell r="I3278">
            <v>0</v>
          </cell>
        </row>
        <row r="3279">
          <cell r="F3279">
            <v>0</v>
          </cell>
          <cell r="H3279">
            <v>0</v>
          </cell>
          <cell r="I3279">
            <v>0</v>
          </cell>
        </row>
        <row r="3280">
          <cell r="F3280">
            <v>0</v>
          </cell>
          <cell r="H3280">
            <v>0</v>
          </cell>
          <cell r="I3280">
            <v>0</v>
          </cell>
        </row>
        <row r="3281">
          <cell r="F3281">
            <v>0</v>
          </cell>
          <cell r="H3281">
            <v>0</v>
          </cell>
          <cell r="I3281">
            <v>0</v>
          </cell>
        </row>
        <row r="3282">
          <cell r="F3282">
            <v>0</v>
          </cell>
          <cell r="H3282">
            <v>0</v>
          </cell>
          <cell r="I3282">
            <v>0</v>
          </cell>
        </row>
        <row r="3283">
          <cell r="F3283">
            <v>0</v>
          </cell>
          <cell r="H3283">
            <v>0</v>
          </cell>
          <cell r="I3283">
            <v>0</v>
          </cell>
        </row>
        <row r="3284">
          <cell r="F3284">
            <v>0</v>
          </cell>
          <cell r="H3284">
            <v>0</v>
          </cell>
          <cell r="I3284">
            <v>0</v>
          </cell>
        </row>
        <row r="3285">
          <cell r="F3285">
            <v>0</v>
          </cell>
          <cell r="H3285">
            <v>0</v>
          </cell>
          <cell r="I3285">
            <v>0</v>
          </cell>
        </row>
        <row r="3286">
          <cell r="F3286">
            <v>0</v>
          </cell>
          <cell r="H3286">
            <v>0</v>
          </cell>
          <cell r="I3286">
            <v>0</v>
          </cell>
        </row>
        <row r="3287">
          <cell r="F3287">
            <v>0</v>
          </cell>
          <cell r="H3287">
            <v>0</v>
          </cell>
          <cell r="I3287">
            <v>0</v>
          </cell>
        </row>
        <row r="3288">
          <cell r="F3288">
            <v>0</v>
          </cell>
          <cell r="H3288">
            <v>0</v>
          </cell>
          <cell r="I3288">
            <v>0</v>
          </cell>
        </row>
        <row r="3289">
          <cell r="F3289">
            <v>0</v>
          </cell>
          <cell r="H3289">
            <v>0</v>
          </cell>
          <cell r="I3289">
            <v>0</v>
          </cell>
        </row>
        <row r="3290">
          <cell r="F3290">
            <v>0</v>
          </cell>
          <cell r="H3290">
            <v>0</v>
          </cell>
          <cell r="I3290">
            <v>0</v>
          </cell>
        </row>
        <row r="3291">
          <cell r="F3291">
            <v>0</v>
          </cell>
          <cell r="H3291">
            <v>0</v>
          </cell>
          <cell r="I3291">
            <v>0</v>
          </cell>
        </row>
        <row r="3292">
          <cell r="F3292">
            <v>0</v>
          </cell>
          <cell r="H3292">
            <v>0</v>
          </cell>
          <cell r="I3292">
            <v>0</v>
          </cell>
        </row>
        <row r="3293">
          <cell r="F3293">
            <v>0</v>
          </cell>
          <cell r="H3293">
            <v>0</v>
          </cell>
          <cell r="I3293">
            <v>0</v>
          </cell>
        </row>
        <row r="3294">
          <cell r="F3294">
            <v>0</v>
          </cell>
          <cell r="H3294">
            <v>0</v>
          </cell>
          <cell r="I3294">
            <v>0</v>
          </cell>
        </row>
        <row r="3295">
          <cell r="F3295">
            <v>0</v>
          </cell>
          <cell r="H3295">
            <v>0</v>
          </cell>
          <cell r="I3295">
            <v>0</v>
          </cell>
        </row>
        <row r="3296">
          <cell r="F3296">
            <v>0</v>
          </cell>
          <cell r="H3296">
            <v>0</v>
          </cell>
          <cell r="I3296">
            <v>0</v>
          </cell>
        </row>
        <row r="3297">
          <cell r="F3297">
            <v>0</v>
          </cell>
          <cell r="H3297">
            <v>0</v>
          </cell>
          <cell r="I3297">
            <v>0</v>
          </cell>
        </row>
        <row r="3298">
          <cell r="F3298">
            <v>0</v>
          </cell>
          <cell r="H3298">
            <v>0</v>
          </cell>
          <cell r="I3298">
            <v>0</v>
          </cell>
        </row>
        <row r="3299">
          <cell r="F3299">
            <v>0</v>
          </cell>
          <cell r="H3299">
            <v>0</v>
          </cell>
          <cell r="I3299">
            <v>0</v>
          </cell>
        </row>
        <row r="3300">
          <cell r="F3300">
            <v>0</v>
          </cell>
          <cell r="H3300">
            <v>0</v>
          </cell>
          <cell r="I3300">
            <v>0</v>
          </cell>
        </row>
        <row r="3301">
          <cell r="F3301">
            <v>0</v>
          </cell>
          <cell r="H3301">
            <v>0</v>
          </cell>
          <cell r="I3301">
            <v>0</v>
          </cell>
        </row>
        <row r="3302">
          <cell r="F3302">
            <v>0</v>
          </cell>
          <cell r="H3302">
            <v>0</v>
          </cell>
          <cell r="I3302">
            <v>0</v>
          </cell>
        </row>
        <row r="3303">
          <cell r="F3303">
            <v>0</v>
          </cell>
          <cell r="H3303">
            <v>0</v>
          </cell>
          <cell r="I3303">
            <v>0</v>
          </cell>
        </row>
        <row r="3304">
          <cell r="F3304">
            <v>0</v>
          </cell>
          <cell r="H3304">
            <v>0</v>
          </cell>
          <cell r="I3304">
            <v>0</v>
          </cell>
        </row>
        <row r="3305">
          <cell r="F3305">
            <v>0</v>
          </cell>
          <cell r="H3305">
            <v>0</v>
          </cell>
          <cell r="I3305">
            <v>0</v>
          </cell>
        </row>
        <row r="3306">
          <cell r="F3306">
            <v>0</v>
          </cell>
          <cell r="H3306">
            <v>0</v>
          </cell>
          <cell r="I3306">
            <v>0</v>
          </cell>
        </row>
        <row r="3307">
          <cell r="F3307">
            <v>0</v>
          </cell>
          <cell r="H3307">
            <v>0</v>
          </cell>
          <cell r="I3307">
            <v>0</v>
          </cell>
        </row>
        <row r="3308">
          <cell r="F3308">
            <v>0</v>
          </cell>
          <cell r="H3308">
            <v>0</v>
          </cell>
          <cell r="I3308">
            <v>0</v>
          </cell>
        </row>
        <row r="3309">
          <cell r="F3309">
            <v>0</v>
          </cell>
          <cell r="H3309">
            <v>0</v>
          </cell>
          <cell r="I3309">
            <v>0</v>
          </cell>
        </row>
        <row r="3310">
          <cell r="F3310">
            <v>0</v>
          </cell>
          <cell r="H3310">
            <v>0</v>
          </cell>
          <cell r="I3310">
            <v>0</v>
          </cell>
        </row>
        <row r="3311">
          <cell r="F3311">
            <v>0</v>
          </cell>
          <cell r="H3311">
            <v>0</v>
          </cell>
          <cell r="I3311">
            <v>0</v>
          </cell>
        </row>
        <row r="3312">
          <cell r="F3312">
            <v>0</v>
          </cell>
          <cell r="H3312">
            <v>0</v>
          </cell>
          <cell r="I3312">
            <v>0</v>
          </cell>
        </row>
        <row r="3313">
          <cell r="F3313">
            <v>0</v>
          </cell>
          <cell r="H3313">
            <v>0</v>
          </cell>
          <cell r="I3313">
            <v>0</v>
          </cell>
        </row>
        <row r="3314">
          <cell r="F3314">
            <v>0</v>
          </cell>
          <cell r="H3314">
            <v>0</v>
          </cell>
          <cell r="I3314">
            <v>0</v>
          </cell>
        </row>
        <row r="3315">
          <cell r="F3315">
            <v>0</v>
          </cell>
          <cell r="H3315">
            <v>0</v>
          </cell>
          <cell r="I3315">
            <v>0</v>
          </cell>
        </row>
        <row r="3316">
          <cell r="F3316">
            <v>0</v>
          </cell>
          <cell r="H3316">
            <v>0</v>
          </cell>
          <cell r="I3316">
            <v>0</v>
          </cell>
        </row>
        <row r="3317">
          <cell r="F3317">
            <v>0</v>
          </cell>
          <cell r="H3317">
            <v>0</v>
          </cell>
          <cell r="I3317">
            <v>0</v>
          </cell>
        </row>
        <row r="3318">
          <cell r="F3318">
            <v>0</v>
          </cell>
          <cell r="H3318">
            <v>0</v>
          </cell>
          <cell r="I3318">
            <v>0</v>
          </cell>
        </row>
        <row r="3319">
          <cell r="F3319">
            <v>0</v>
          </cell>
          <cell r="H3319">
            <v>0</v>
          </cell>
          <cell r="I3319">
            <v>0</v>
          </cell>
        </row>
        <row r="3320">
          <cell r="F3320">
            <v>0</v>
          </cell>
          <cell r="H3320">
            <v>0</v>
          </cell>
          <cell r="I3320">
            <v>0</v>
          </cell>
        </row>
        <row r="3321">
          <cell r="F3321">
            <v>0</v>
          </cell>
          <cell r="H3321">
            <v>0</v>
          </cell>
          <cell r="I3321">
            <v>0</v>
          </cell>
        </row>
        <row r="3322">
          <cell r="F3322">
            <v>0</v>
          </cell>
          <cell r="H3322">
            <v>0</v>
          </cell>
          <cell r="I3322">
            <v>0</v>
          </cell>
        </row>
        <row r="3323">
          <cell r="F3323">
            <v>0</v>
          </cell>
          <cell r="H3323">
            <v>0</v>
          </cell>
          <cell r="I3323">
            <v>0</v>
          </cell>
        </row>
        <row r="3324">
          <cell r="F3324">
            <v>0</v>
          </cell>
          <cell r="H3324">
            <v>0</v>
          </cell>
          <cell r="I3324">
            <v>0</v>
          </cell>
        </row>
        <row r="3325">
          <cell r="F3325">
            <v>0</v>
          </cell>
          <cell r="H3325">
            <v>0</v>
          </cell>
          <cell r="I3325">
            <v>0</v>
          </cell>
        </row>
        <row r="3326">
          <cell r="F3326">
            <v>0</v>
          </cell>
          <cell r="H3326">
            <v>0</v>
          </cell>
          <cell r="I3326">
            <v>0</v>
          </cell>
        </row>
        <row r="3327">
          <cell r="F3327">
            <v>0</v>
          </cell>
          <cell r="H3327">
            <v>0</v>
          </cell>
          <cell r="I3327">
            <v>0</v>
          </cell>
        </row>
        <row r="3328">
          <cell r="F3328">
            <v>0</v>
          </cell>
          <cell r="H3328">
            <v>0</v>
          </cell>
          <cell r="I3328">
            <v>0</v>
          </cell>
        </row>
        <row r="3329">
          <cell r="F3329">
            <v>0</v>
          </cell>
          <cell r="H3329">
            <v>0</v>
          </cell>
          <cell r="I3329">
            <v>0</v>
          </cell>
        </row>
        <row r="3330">
          <cell r="F3330">
            <v>0</v>
          </cell>
          <cell r="H3330">
            <v>0</v>
          </cell>
          <cell r="I3330">
            <v>0</v>
          </cell>
        </row>
        <row r="3331">
          <cell r="F3331">
            <v>0</v>
          </cell>
          <cell r="H3331">
            <v>0</v>
          </cell>
          <cell r="I3331">
            <v>0</v>
          </cell>
        </row>
        <row r="3332">
          <cell r="F3332">
            <v>0</v>
          </cell>
          <cell r="H3332">
            <v>0</v>
          </cell>
          <cell r="I3332">
            <v>0</v>
          </cell>
        </row>
        <row r="3333">
          <cell r="F3333">
            <v>0</v>
          </cell>
          <cell r="H3333">
            <v>0</v>
          </cell>
          <cell r="I3333">
            <v>0</v>
          </cell>
        </row>
        <row r="3334">
          <cell r="F3334">
            <v>0</v>
          </cell>
          <cell r="H3334">
            <v>0</v>
          </cell>
          <cell r="I3334">
            <v>0</v>
          </cell>
        </row>
        <row r="3335">
          <cell r="F3335">
            <v>0</v>
          </cell>
          <cell r="H3335">
            <v>0</v>
          </cell>
          <cell r="I3335">
            <v>0</v>
          </cell>
        </row>
        <row r="3336">
          <cell r="F3336">
            <v>0</v>
          </cell>
          <cell r="H3336">
            <v>0</v>
          </cell>
          <cell r="I3336">
            <v>0</v>
          </cell>
        </row>
        <row r="3337">
          <cell r="F3337">
            <v>0</v>
          </cell>
          <cell r="H3337">
            <v>0</v>
          </cell>
          <cell r="I3337">
            <v>0</v>
          </cell>
        </row>
        <row r="3338">
          <cell r="F3338">
            <v>0</v>
          </cell>
          <cell r="H3338">
            <v>0</v>
          </cell>
          <cell r="I3338">
            <v>0</v>
          </cell>
        </row>
        <row r="3339">
          <cell r="F3339">
            <v>0</v>
          </cell>
          <cell r="H3339">
            <v>0</v>
          </cell>
          <cell r="I3339">
            <v>0</v>
          </cell>
        </row>
        <row r="3340">
          <cell r="F3340">
            <v>0</v>
          </cell>
          <cell r="H3340">
            <v>0</v>
          </cell>
          <cell r="I3340">
            <v>0</v>
          </cell>
        </row>
        <row r="3341">
          <cell r="F3341">
            <v>0</v>
          </cell>
          <cell r="H3341">
            <v>0</v>
          </cell>
          <cell r="I3341">
            <v>0</v>
          </cell>
        </row>
        <row r="3342">
          <cell r="F3342">
            <v>0</v>
          </cell>
          <cell r="H3342">
            <v>0</v>
          </cell>
          <cell r="I3342">
            <v>0</v>
          </cell>
        </row>
        <row r="3343">
          <cell r="F3343">
            <v>0</v>
          </cell>
          <cell r="H3343">
            <v>0</v>
          </cell>
          <cell r="I3343">
            <v>0</v>
          </cell>
        </row>
        <row r="3344">
          <cell r="F3344">
            <v>0</v>
          </cell>
          <cell r="H3344">
            <v>0</v>
          </cell>
          <cell r="I3344">
            <v>0</v>
          </cell>
        </row>
        <row r="3345">
          <cell r="F3345">
            <v>0</v>
          </cell>
          <cell r="H3345">
            <v>0</v>
          </cell>
          <cell r="I3345">
            <v>0</v>
          </cell>
        </row>
        <row r="3346">
          <cell r="F3346">
            <v>0</v>
          </cell>
          <cell r="H3346">
            <v>0</v>
          </cell>
          <cell r="I3346">
            <v>0</v>
          </cell>
        </row>
        <row r="3347">
          <cell r="F3347">
            <v>0</v>
          </cell>
          <cell r="H3347">
            <v>0</v>
          </cell>
          <cell r="I3347">
            <v>0</v>
          </cell>
        </row>
        <row r="3348">
          <cell r="F3348">
            <v>0</v>
          </cell>
          <cell r="H3348">
            <v>0</v>
          </cell>
          <cell r="I3348">
            <v>0</v>
          </cell>
        </row>
        <row r="3349">
          <cell r="F3349">
            <v>0</v>
          </cell>
          <cell r="H3349">
            <v>0</v>
          </cell>
          <cell r="I3349">
            <v>0</v>
          </cell>
        </row>
        <row r="3350">
          <cell r="F3350">
            <v>0</v>
          </cell>
          <cell r="H3350">
            <v>0</v>
          </cell>
          <cell r="I3350">
            <v>0</v>
          </cell>
        </row>
        <row r="3351">
          <cell r="F3351">
            <v>0</v>
          </cell>
          <cell r="H3351">
            <v>0</v>
          </cell>
          <cell r="I3351">
            <v>0</v>
          </cell>
        </row>
        <row r="3352">
          <cell r="F3352">
            <v>0</v>
          </cell>
          <cell r="H3352">
            <v>0</v>
          </cell>
          <cell r="I3352">
            <v>0</v>
          </cell>
        </row>
        <row r="3353">
          <cell r="F3353">
            <v>0</v>
          </cell>
          <cell r="H3353">
            <v>0</v>
          </cell>
          <cell r="I3353">
            <v>0</v>
          </cell>
        </row>
        <row r="3354">
          <cell r="F3354">
            <v>0</v>
          </cell>
          <cell r="H3354">
            <v>0</v>
          </cell>
          <cell r="I3354">
            <v>0</v>
          </cell>
        </row>
        <row r="3355">
          <cell r="F3355">
            <v>0</v>
          </cell>
          <cell r="H3355">
            <v>0</v>
          </cell>
          <cell r="I3355">
            <v>0</v>
          </cell>
        </row>
        <row r="3356">
          <cell r="F3356">
            <v>0</v>
          </cell>
          <cell r="H3356">
            <v>0</v>
          </cell>
          <cell r="I3356">
            <v>0</v>
          </cell>
        </row>
        <row r="3357">
          <cell r="F3357">
            <v>0</v>
          </cell>
          <cell r="H3357">
            <v>0</v>
          </cell>
          <cell r="I3357">
            <v>0</v>
          </cell>
        </row>
        <row r="3358">
          <cell r="F3358">
            <v>0</v>
          </cell>
          <cell r="H3358">
            <v>0</v>
          </cell>
          <cell r="I3358">
            <v>0</v>
          </cell>
        </row>
        <row r="3359">
          <cell r="F3359">
            <v>0</v>
          </cell>
          <cell r="H3359">
            <v>0</v>
          </cell>
          <cell r="I3359">
            <v>0</v>
          </cell>
        </row>
        <row r="3360">
          <cell r="F3360">
            <v>0</v>
          </cell>
          <cell r="H3360">
            <v>0</v>
          </cell>
          <cell r="I3360">
            <v>0</v>
          </cell>
        </row>
        <row r="3361">
          <cell r="F3361">
            <v>0</v>
          </cell>
          <cell r="H3361">
            <v>0</v>
          </cell>
          <cell r="I3361">
            <v>0</v>
          </cell>
        </row>
        <row r="3362">
          <cell r="F3362">
            <v>0</v>
          </cell>
          <cell r="H3362">
            <v>0</v>
          </cell>
          <cell r="I3362">
            <v>0</v>
          </cell>
        </row>
        <row r="3363">
          <cell r="F3363">
            <v>0</v>
          </cell>
          <cell r="H3363">
            <v>0</v>
          </cell>
          <cell r="I3363">
            <v>0</v>
          </cell>
        </row>
        <row r="3364">
          <cell r="F3364">
            <v>0</v>
          </cell>
          <cell r="H3364">
            <v>0</v>
          </cell>
          <cell r="I3364">
            <v>0</v>
          </cell>
        </row>
        <row r="3365">
          <cell r="F3365">
            <v>0</v>
          </cell>
          <cell r="H3365">
            <v>0</v>
          </cell>
          <cell r="I3365">
            <v>0</v>
          </cell>
        </row>
        <row r="3366">
          <cell r="F3366">
            <v>0</v>
          </cell>
          <cell r="H3366">
            <v>0</v>
          </cell>
          <cell r="I3366">
            <v>0</v>
          </cell>
        </row>
        <row r="3367">
          <cell r="F3367">
            <v>0</v>
          </cell>
          <cell r="H3367">
            <v>0</v>
          </cell>
          <cell r="I336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"/>
      <sheetName val="AVM "/>
      <sheetName val="Outstanding"/>
      <sheetName val="AVM12-10"/>
      <sheetName val="avm ap bank"/>
      <sheetName val="use this work file"/>
      <sheetName val="AP Disb"/>
      <sheetName val="GL Acct 1102"/>
      <sheetName val="AVM11-10"/>
      <sheetName val="AVM10-10"/>
      <sheetName val="AVM 9-10"/>
      <sheetName val="AVM 8-10"/>
      <sheetName val="avmap 07-2010"/>
      <sheetName val="7-10SF"/>
      <sheetName val="1102 710"/>
      <sheetName val="1102 bank"/>
      <sheetName val="1102-6-10"/>
      <sheetName val="bank 6-10"/>
      <sheetName val="use this work file 07-2010"/>
      <sheetName val="7-10F"/>
    </sheetNames>
    <sheetDataSet>
      <sheetData sheetId="0"/>
      <sheetData sheetId="1"/>
      <sheetData sheetId="2"/>
      <sheetData sheetId="3"/>
      <sheetData sheetId="4">
        <row r="2">
          <cell r="B2" t="str">
            <v>Check</v>
          </cell>
          <cell r="C2" t="str">
            <v>Description</v>
          </cell>
          <cell r="D2" t="str">
            <v>Debit</v>
          </cell>
          <cell r="E2" t="str">
            <v>Credit</v>
          </cell>
        </row>
        <row r="3">
          <cell r="B3">
            <v>53352</v>
          </cell>
          <cell r="C3" t="str">
            <v>Regular Check</v>
          </cell>
          <cell r="D3">
            <v>180.63</v>
          </cell>
          <cell r="E3">
            <v>0</v>
          </cell>
        </row>
        <row r="4">
          <cell r="B4">
            <v>53523</v>
          </cell>
          <cell r="C4" t="str">
            <v>Regular Check</v>
          </cell>
          <cell r="D4">
            <v>638.58000000000004</v>
          </cell>
          <cell r="E4">
            <v>0</v>
          </cell>
        </row>
        <row r="5">
          <cell r="B5">
            <v>53729</v>
          </cell>
          <cell r="C5" t="str">
            <v>Regular Check</v>
          </cell>
          <cell r="D5">
            <v>534</v>
          </cell>
          <cell r="E5">
            <v>0</v>
          </cell>
        </row>
        <row r="6">
          <cell r="B6">
            <v>53760</v>
          </cell>
          <cell r="C6" t="str">
            <v>Regular Check</v>
          </cell>
          <cell r="D6">
            <v>351.63</v>
          </cell>
          <cell r="E6">
            <v>0</v>
          </cell>
        </row>
        <row r="7">
          <cell r="B7">
            <v>53811</v>
          </cell>
          <cell r="C7" t="str">
            <v>Regular Check</v>
          </cell>
          <cell r="D7">
            <v>43.19</v>
          </cell>
          <cell r="E7">
            <v>0</v>
          </cell>
        </row>
        <row r="8">
          <cell r="B8">
            <v>53882</v>
          </cell>
          <cell r="C8" t="str">
            <v>Regular Check</v>
          </cell>
          <cell r="D8">
            <v>2160</v>
          </cell>
          <cell r="E8">
            <v>0</v>
          </cell>
        </row>
        <row r="9">
          <cell r="B9">
            <v>53906</v>
          </cell>
          <cell r="C9" t="str">
            <v>Regular Check</v>
          </cell>
          <cell r="D9">
            <v>316.16000000000003</v>
          </cell>
          <cell r="E9">
            <v>0</v>
          </cell>
        </row>
        <row r="10">
          <cell r="B10">
            <v>53907</v>
          </cell>
          <cell r="C10" t="str">
            <v>Regular Check</v>
          </cell>
          <cell r="D10">
            <v>1782.16</v>
          </cell>
          <cell r="E10">
            <v>0</v>
          </cell>
        </row>
        <row r="11">
          <cell r="B11">
            <v>53908</v>
          </cell>
          <cell r="C11" t="str">
            <v>Regular Check</v>
          </cell>
          <cell r="D11">
            <v>8174.87</v>
          </cell>
          <cell r="E11">
            <v>0</v>
          </cell>
        </row>
        <row r="12">
          <cell r="B12">
            <v>53910</v>
          </cell>
          <cell r="C12" t="str">
            <v>Regular Check</v>
          </cell>
          <cell r="D12">
            <v>245</v>
          </cell>
          <cell r="E12">
            <v>0</v>
          </cell>
        </row>
        <row r="13">
          <cell r="B13">
            <v>53911</v>
          </cell>
          <cell r="C13" t="str">
            <v>Regular Check</v>
          </cell>
          <cell r="D13">
            <v>8757.6</v>
          </cell>
          <cell r="E13">
            <v>0</v>
          </cell>
        </row>
        <row r="14">
          <cell r="B14">
            <v>53912</v>
          </cell>
          <cell r="C14" t="str">
            <v>Regular Check</v>
          </cell>
          <cell r="D14">
            <v>27.01</v>
          </cell>
          <cell r="E14">
            <v>0</v>
          </cell>
        </row>
        <row r="15">
          <cell r="B15">
            <v>53913</v>
          </cell>
          <cell r="C15" t="str">
            <v>Regular Check</v>
          </cell>
          <cell r="D15">
            <v>180.75</v>
          </cell>
          <cell r="E15">
            <v>0</v>
          </cell>
        </row>
        <row r="16">
          <cell r="B16">
            <v>53914</v>
          </cell>
          <cell r="C16" t="str">
            <v>Regular Check</v>
          </cell>
          <cell r="D16">
            <v>554.23</v>
          </cell>
          <cell r="E16">
            <v>0</v>
          </cell>
        </row>
        <row r="17">
          <cell r="B17">
            <v>53915</v>
          </cell>
          <cell r="C17" t="str">
            <v>Regular Check</v>
          </cell>
          <cell r="D17">
            <v>260</v>
          </cell>
          <cell r="E17">
            <v>0</v>
          </cell>
        </row>
        <row r="18">
          <cell r="B18">
            <v>53916</v>
          </cell>
          <cell r="C18" t="str">
            <v>Regular Check</v>
          </cell>
          <cell r="D18">
            <v>177.53</v>
          </cell>
          <cell r="E18">
            <v>0</v>
          </cell>
        </row>
        <row r="19">
          <cell r="B19">
            <v>53918</v>
          </cell>
          <cell r="C19" t="str">
            <v>Regular Check</v>
          </cell>
          <cell r="D19">
            <v>1022.5</v>
          </cell>
          <cell r="E19">
            <v>0</v>
          </cell>
        </row>
        <row r="20">
          <cell r="B20">
            <v>53919</v>
          </cell>
          <cell r="C20" t="str">
            <v>Regular Check</v>
          </cell>
          <cell r="D20">
            <v>63</v>
          </cell>
          <cell r="E20">
            <v>0</v>
          </cell>
        </row>
        <row r="21">
          <cell r="B21">
            <v>53920</v>
          </cell>
          <cell r="C21" t="str">
            <v>Regular Check</v>
          </cell>
          <cell r="D21">
            <v>140.33000000000001</v>
          </cell>
          <cell r="E21">
            <v>0</v>
          </cell>
        </row>
        <row r="22">
          <cell r="B22">
            <v>53921</v>
          </cell>
          <cell r="C22" t="str">
            <v>Regular Check</v>
          </cell>
          <cell r="D22">
            <v>1.88</v>
          </cell>
          <cell r="E22">
            <v>0</v>
          </cell>
        </row>
        <row r="23">
          <cell r="B23">
            <v>53922</v>
          </cell>
          <cell r="C23" t="str">
            <v>Regular Check</v>
          </cell>
          <cell r="D23">
            <v>300</v>
          </cell>
          <cell r="E23">
            <v>0</v>
          </cell>
        </row>
        <row r="24">
          <cell r="B24">
            <v>53924</v>
          </cell>
          <cell r="C24" t="str">
            <v>Regular Check</v>
          </cell>
          <cell r="D24">
            <v>15117.72</v>
          </cell>
          <cell r="E24">
            <v>0</v>
          </cell>
        </row>
        <row r="25">
          <cell r="B25">
            <v>53925</v>
          </cell>
          <cell r="C25" t="str">
            <v>Regular Check</v>
          </cell>
          <cell r="D25">
            <v>22610.25</v>
          </cell>
          <cell r="E25">
            <v>0</v>
          </cell>
        </row>
        <row r="26">
          <cell r="B26">
            <v>53926</v>
          </cell>
          <cell r="C26" t="str">
            <v>Regular Check</v>
          </cell>
          <cell r="D26">
            <v>65.48</v>
          </cell>
          <cell r="E26">
            <v>0</v>
          </cell>
        </row>
        <row r="27">
          <cell r="B27">
            <v>53927</v>
          </cell>
          <cell r="C27" t="str">
            <v>Regular Check</v>
          </cell>
          <cell r="D27">
            <v>189.86</v>
          </cell>
          <cell r="E27">
            <v>0</v>
          </cell>
        </row>
        <row r="28">
          <cell r="B28">
            <v>53928</v>
          </cell>
          <cell r="C28" t="str">
            <v>Regular Check</v>
          </cell>
          <cell r="D28">
            <v>2545.58</v>
          </cell>
          <cell r="E28">
            <v>0</v>
          </cell>
        </row>
        <row r="29">
          <cell r="B29">
            <v>53929</v>
          </cell>
          <cell r="C29" t="str">
            <v>Regular Check</v>
          </cell>
          <cell r="D29">
            <v>715.77</v>
          </cell>
          <cell r="E29">
            <v>0</v>
          </cell>
        </row>
        <row r="30">
          <cell r="B30">
            <v>53930</v>
          </cell>
          <cell r="C30" t="str">
            <v>Regular Check</v>
          </cell>
          <cell r="D30">
            <v>160.63</v>
          </cell>
          <cell r="E30">
            <v>0</v>
          </cell>
        </row>
        <row r="31">
          <cell r="B31">
            <v>53931</v>
          </cell>
          <cell r="C31" t="str">
            <v>Regular Check</v>
          </cell>
          <cell r="D31">
            <v>25</v>
          </cell>
          <cell r="E31">
            <v>0</v>
          </cell>
        </row>
        <row r="32">
          <cell r="B32">
            <v>53935</v>
          </cell>
          <cell r="C32" t="str">
            <v>Regular Check</v>
          </cell>
          <cell r="D32">
            <v>2616.9899999999998</v>
          </cell>
          <cell r="E32">
            <v>0</v>
          </cell>
        </row>
        <row r="33">
          <cell r="B33">
            <v>53936</v>
          </cell>
          <cell r="C33" t="str">
            <v>Regular Check</v>
          </cell>
          <cell r="D33">
            <v>31.6</v>
          </cell>
          <cell r="E33">
            <v>0</v>
          </cell>
        </row>
        <row r="34">
          <cell r="B34">
            <v>53937</v>
          </cell>
          <cell r="C34" t="str">
            <v>Regular Check</v>
          </cell>
          <cell r="D34">
            <v>377.52</v>
          </cell>
          <cell r="E34">
            <v>0</v>
          </cell>
        </row>
        <row r="35">
          <cell r="B35">
            <v>53938</v>
          </cell>
          <cell r="C35" t="str">
            <v>Regular Check</v>
          </cell>
          <cell r="D35">
            <v>125</v>
          </cell>
          <cell r="E35">
            <v>0</v>
          </cell>
        </row>
        <row r="36">
          <cell r="B36">
            <v>53940</v>
          </cell>
          <cell r="C36" t="str">
            <v>Regular Check</v>
          </cell>
          <cell r="D36">
            <v>180.4</v>
          </cell>
          <cell r="E36">
            <v>0</v>
          </cell>
        </row>
        <row r="37">
          <cell r="B37">
            <v>53945</v>
          </cell>
          <cell r="C37" t="str">
            <v>Regular Check</v>
          </cell>
          <cell r="D37">
            <v>529.54999999999995</v>
          </cell>
          <cell r="E37">
            <v>0</v>
          </cell>
        </row>
        <row r="38">
          <cell r="B38">
            <v>53946</v>
          </cell>
          <cell r="C38" t="str">
            <v>Regular Check</v>
          </cell>
          <cell r="D38">
            <v>85839.64</v>
          </cell>
          <cell r="E38">
            <v>0</v>
          </cell>
        </row>
        <row r="39">
          <cell r="B39">
            <v>53947</v>
          </cell>
          <cell r="C39" t="str">
            <v>Regular Check</v>
          </cell>
          <cell r="D39">
            <v>3014.09</v>
          </cell>
          <cell r="E39">
            <v>0</v>
          </cell>
        </row>
        <row r="40">
          <cell r="B40">
            <v>53948</v>
          </cell>
          <cell r="C40" t="str">
            <v>Regular Check</v>
          </cell>
          <cell r="D40">
            <v>429.08</v>
          </cell>
          <cell r="E40">
            <v>0</v>
          </cell>
        </row>
        <row r="41">
          <cell r="B41">
            <v>53949</v>
          </cell>
          <cell r="C41" t="str">
            <v>Regular Check</v>
          </cell>
          <cell r="D41">
            <v>360.62</v>
          </cell>
          <cell r="E41">
            <v>0</v>
          </cell>
        </row>
        <row r="42">
          <cell r="B42">
            <v>53950</v>
          </cell>
          <cell r="C42" t="str">
            <v>Regular Check</v>
          </cell>
          <cell r="D42">
            <v>132.72</v>
          </cell>
          <cell r="E42">
            <v>0</v>
          </cell>
        </row>
        <row r="43">
          <cell r="B43">
            <v>53953</v>
          </cell>
          <cell r="C43" t="str">
            <v>Regular Check</v>
          </cell>
          <cell r="D43">
            <v>70</v>
          </cell>
          <cell r="E43">
            <v>0</v>
          </cell>
        </row>
        <row r="44">
          <cell r="B44">
            <v>53954</v>
          </cell>
          <cell r="C44" t="str">
            <v>Regular Check</v>
          </cell>
          <cell r="D44">
            <v>344.09</v>
          </cell>
          <cell r="E44">
            <v>0</v>
          </cell>
        </row>
        <row r="45">
          <cell r="B45">
            <v>53956</v>
          </cell>
          <cell r="C45" t="str">
            <v>Regular Check</v>
          </cell>
          <cell r="D45">
            <v>1096</v>
          </cell>
          <cell r="E45">
            <v>0</v>
          </cell>
        </row>
        <row r="46">
          <cell r="B46">
            <v>53957</v>
          </cell>
          <cell r="C46" t="str">
            <v>Regular Check</v>
          </cell>
          <cell r="D46">
            <v>50</v>
          </cell>
          <cell r="E46">
            <v>0</v>
          </cell>
        </row>
        <row r="47">
          <cell r="B47">
            <v>53958</v>
          </cell>
          <cell r="C47" t="str">
            <v>Regular Check</v>
          </cell>
          <cell r="D47">
            <v>1960</v>
          </cell>
          <cell r="E47">
            <v>0</v>
          </cell>
        </row>
        <row r="48">
          <cell r="B48">
            <v>53959</v>
          </cell>
          <cell r="C48" t="str">
            <v>Regular Check</v>
          </cell>
          <cell r="D48">
            <v>61.91</v>
          </cell>
          <cell r="E48">
            <v>0</v>
          </cell>
        </row>
        <row r="49">
          <cell r="B49">
            <v>53960</v>
          </cell>
          <cell r="C49" t="str">
            <v>Regular Check</v>
          </cell>
          <cell r="D49">
            <v>8952.67</v>
          </cell>
          <cell r="E49">
            <v>0</v>
          </cell>
        </row>
        <row r="50">
          <cell r="B50">
            <v>53961</v>
          </cell>
          <cell r="C50" t="str">
            <v>Regular Check</v>
          </cell>
          <cell r="D50">
            <v>79.099999999999994</v>
          </cell>
          <cell r="E50">
            <v>0</v>
          </cell>
        </row>
        <row r="51">
          <cell r="B51">
            <v>53962</v>
          </cell>
          <cell r="C51" t="str">
            <v>Regular Check</v>
          </cell>
          <cell r="D51">
            <v>949</v>
          </cell>
          <cell r="E51">
            <v>0</v>
          </cell>
        </row>
        <row r="52">
          <cell r="B52">
            <v>53963</v>
          </cell>
          <cell r="C52" t="str">
            <v>Regular Check</v>
          </cell>
          <cell r="D52">
            <v>634.13</v>
          </cell>
          <cell r="E52">
            <v>0</v>
          </cell>
        </row>
        <row r="53">
          <cell r="B53">
            <v>53964</v>
          </cell>
          <cell r="C53" t="str">
            <v>Regular Check</v>
          </cell>
          <cell r="D53">
            <v>3400</v>
          </cell>
          <cell r="E53">
            <v>0</v>
          </cell>
        </row>
        <row r="54">
          <cell r="B54">
            <v>53965</v>
          </cell>
          <cell r="C54" t="str">
            <v>Regular Check</v>
          </cell>
          <cell r="D54">
            <v>100</v>
          </cell>
          <cell r="E54">
            <v>0</v>
          </cell>
        </row>
        <row r="55">
          <cell r="B55">
            <v>53966</v>
          </cell>
          <cell r="C55" t="str">
            <v>Regular Check</v>
          </cell>
          <cell r="D55">
            <v>100</v>
          </cell>
          <cell r="E55">
            <v>0</v>
          </cell>
        </row>
        <row r="56">
          <cell r="B56">
            <v>53967</v>
          </cell>
          <cell r="C56" t="str">
            <v>Regular Check</v>
          </cell>
          <cell r="D56">
            <v>50</v>
          </cell>
          <cell r="E56">
            <v>0</v>
          </cell>
        </row>
        <row r="57">
          <cell r="B57">
            <v>53968</v>
          </cell>
          <cell r="C57" t="str">
            <v>Regular Check</v>
          </cell>
          <cell r="D57">
            <v>450.53</v>
          </cell>
          <cell r="E57">
            <v>0</v>
          </cell>
        </row>
        <row r="58">
          <cell r="B58">
            <v>53970</v>
          </cell>
          <cell r="C58" t="str">
            <v>Regular Check</v>
          </cell>
          <cell r="D58">
            <v>357.23</v>
          </cell>
          <cell r="E58">
            <v>0</v>
          </cell>
        </row>
        <row r="59">
          <cell r="B59">
            <v>53971</v>
          </cell>
          <cell r="C59" t="str">
            <v>Regular Check</v>
          </cell>
          <cell r="D59">
            <v>169.26</v>
          </cell>
          <cell r="E59">
            <v>0</v>
          </cell>
        </row>
        <row r="60">
          <cell r="B60">
            <v>53972</v>
          </cell>
          <cell r="C60" t="str">
            <v>Regular Check</v>
          </cell>
          <cell r="D60">
            <v>27.54</v>
          </cell>
          <cell r="E60">
            <v>0</v>
          </cell>
        </row>
        <row r="61">
          <cell r="B61">
            <v>53973</v>
          </cell>
          <cell r="C61" t="str">
            <v>Regular Check</v>
          </cell>
          <cell r="D61">
            <v>2865.69</v>
          </cell>
          <cell r="E61">
            <v>0</v>
          </cell>
        </row>
        <row r="62">
          <cell r="B62">
            <v>53974</v>
          </cell>
          <cell r="C62" t="str">
            <v>Regular Check</v>
          </cell>
          <cell r="D62">
            <v>266</v>
          </cell>
          <cell r="E62">
            <v>0</v>
          </cell>
        </row>
        <row r="63">
          <cell r="B63">
            <v>53975</v>
          </cell>
          <cell r="C63" t="str">
            <v>Regular Check</v>
          </cell>
          <cell r="D63">
            <v>710</v>
          </cell>
          <cell r="E63">
            <v>0</v>
          </cell>
        </row>
        <row r="64">
          <cell r="B64">
            <v>53976</v>
          </cell>
          <cell r="C64" t="str">
            <v>Regular Check</v>
          </cell>
          <cell r="D64">
            <v>1500</v>
          </cell>
          <cell r="E64">
            <v>0</v>
          </cell>
        </row>
        <row r="65">
          <cell r="B65">
            <v>53977</v>
          </cell>
          <cell r="C65" t="str">
            <v>Regular Check</v>
          </cell>
          <cell r="D65">
            <v>104.03</v>
          </cell>
          <cell r="E65">
            <v>0</v>
          </cell>
        </row>
        <row r="66">
          <cell r="B66">
            <v>53978</v>
          </cell>
          <cell r="C66" t="str">
            <v>Regular Check</v>
          </cell>
          <cell r="D66">
            <v>310.7</v>
          </cell>
          <cell r="E66">
            <v>0</v>
          </cell>
        </row>
        <row r="67">
          <cell r="B67">
            <v>53979</v>
          </cell>
          <cell r="C67" t="str">
            <v>Regular Check</v>
          </cell>
          <cell r="D67">
            <v>769</v>
          </cell>
          <cell r="E67">
            <v>0</v>
          </cell>
        </row>
        <row r="68">
          <cell r="B68">
            <v>53980</v>
          </cell>
          <cell r="C68" t="str">
            <v>Regular Check</v>
          </cell>
          <cell r="D68">
            <v>187.62</v>
          </cell>
          <cell r="E68">
            <v>0</v>
          </cell>
        </row>
        <row r="69">
          <cell r="B69">
            <v>53981</v>
          </cell>
          <cell r="C69" t="str">
            <v>Regular Check</v>
          </cell>
          <cell r="D69">
            <v>100</v>
          </cell>
          <cell r="E69">
            <v>0</v>
          </cell>
        </row>
        <row r="70">
          <cell r="B70">
            <v>53982</v>
          </cell>
          <cell r="C70" t="str">
            <v>Regular Check</v>
          </cell>
          <cell r="D70">
            <v>1827.07</v>
          </cell>
          <cell r="E70">
            <v>0</v>
          </cell>
        </row>
        <row r="71">
          <cell r="B71">
            <v>53983</v>
          </cell>
          <cell r="C71" t="str">
            <v>Regular Check</v>
          </cell>
          <cell r="D71">
            <v>992</v>
          </cell>
          <cell r="E71">
            <v>0</v>
          </cell>
        </row>
        <row r="72">
          <cell r="B72">
            <v>53984</v>
          </cell>
          <cell r="C72" t="str">
            <v>Regular Check</v>
          </cell>
          <cell r="D72">
            <v>6463.34</v>
          </cell>
          <cell r="E72">
            <v>0</v>
          </cell>
        </row>
        <row r="73">
          <cell r="B73">
            <v>53985</v>
          </cell>
          <cell r="C73" t="str">
            <v>Regular Check</v>
          </cell>
          <cell r="D73">
            <v>5515.34</v>
          </cell>
          <cell r="E73">
            <v>0</v>
          </cell>
        </row>
        <row r="74">
          <cell r="B74">
            <v>53986</v>
          </cell>
          <cell r="C74" t="str">
            <v>Regular Check</v>
          </cell>
          <cell r="D74">
            <v>195.97</v>
          </cell>
          <cell r="E74">
            <v>0</v>
          </cell>
        </row>
        <row r="75">
          <cell r="B75">
            <v>53987</v>
          </cell>
          <cell r="C75" t="str">
            <v>Regular Check</v>
          </cell>
          <cell r="D75">
            <v>375.24</v>
          </cell>
          <cell r="E75">
            <v>0</v>
          </cell>
        </row>
        <row r="76">
          <cell r="B76">
            <v>53988</v>
          </cell>
          <cell r="C76" t="str">
            <v>Regular Check</v>
          </cell>
          <cell r="D76">
            <v>60</v>
          </cell>
          <cell r="E76">
            <v>0</v>
          </cell>
        </row>
        <row r="77">
          <cell r="B77">
            <v>53989</v>
          </cell>
          <cell r="C77" t="str">
            <v>Regular Check</v>
          </cell>
          <cell r="D77">
            <v>1061.1400000000001</v>
          </cell>
          <cell r="E77">
            <v>0</v>
          </cell>
        </row>
        <row r="78">
          <cell r="B78">
            <v>53990</v>
          </cell>
          <cell r="C78" t="str">
            <v>Regular Check</v>
          </cell>
          <cell r="D78">
            <v>2622.7</v>
          </cell>
          <cell r="E78">
            <v>0</v>
          </cell>
        </row>
        <row r="79">
          <cell r="B79">
            <v>53991</v>
          </cell>
          <cell r="C79" t="str">
            <v>Regular Check</v>
          </cell>
          <cell r="D79">
            <v>137.63999999999999</v>
          </cell>
          <cell r="E79">
            <v>0</v>
          </cell>
        </row>
        <row r="80">
          <cell r="B80">
            <v>53992</v>
          </cell>
          <cell r="C80" t="str">
            <v>Regular Check</v>
          </cell>
          <cell r="D80">
            <v>86.56</v>
          </cell>
          <cell r="E80">
            <v>0</v>
          </cell>
        </row>
        <row r="81">
          <cell r="B81">
            <v>53993</v>
          </cell>
          <cell r="C81" t="str">
            <v>Regular Check</v>
          </cell>
          <cell r="D81">
            <v>590</v>
          </cell>
          <cell r="E81">
            <v>0</v>
          </cell>
        </row>
        <row r="82">
          <cell r="B82">
            <v>53994</v>
          </cell>
          <cell r="C82" t="str">
            <v>Regular Check</v>
          </cell>
          <cell r="D82">
            <v>120</v>
          </cell>
          <cell r="E82">
            <v>0</v>
          </cell>
        </row>
        <row r="83">
          <cell r="B83">
            <v>53996</v>
          </cell>
          <cell r="C83" t="str">
            <v>Regular Check</v>
          </cell>
          <cell r="D83">
            <v>250</v>
          </cell>
          <cell r="E83">
            <v>0</v>
          </cell>
        </row>
        <row r="84">
          <cell r="B84">
            <v>53997</v>
          </cell>
          <cell r="C84" t="str">
            <v>Regular Check</v>
          </cell>
          <cell r="D84">
            <v>250</v>
          </cell>
          <cell r="E84">
            <v>0</v>
          </cell>
        </row>
        <row r="85">
          <cell r="B85">
            <v>53998</v>
          </cell>
          <cell r="C85" t="str">
            <v>Regular Check</v>
          </cell>
          <cell r="D85">
            <v>167.5</v>
          </cell>
          <cell r="E85">
            <v>0</v>
          </cell>
        </row>
        <row r="86">
          <cell r="B86">
            <v>53999</v>
          </cell>
          <cell r="C86" t="str">
            <v>Regular Check</v>
          </cell>
          <cell r="D86">
            <v>1071.8599999999999</v>
          </cell>
          <cell r="E86">
            <v>0</v>
          </cell>
        </row>
        <row r="87">
          <cell r="B87">
            <v>54000</v>
          </cell>
          <cell r="C87" t="str">
            <v>Regular Check</v>
          </cell>
          <cell r="D87">
            <v>64.239999999999995</v>
          </cell>
          <cell r="E87">
            <v>0</v>
          </cell>
        </row>
        <row r="88">
          <cell r="B88">
            <v>54001</v>
          </cell>
          <cell r="C88" t="str">
            <v>Regular Check</v>
          </cell>
          <cell r="D88">
            <v>2910.04</v>
          </cell>
          <cell r="E88">
            <v>0</v>
          </cell>
        </row>
        <row r="89">
          <cell r="B89">
            <v>54002</v>
          </cell>
          <cell r="C89" t="str">
            <v>Regular Check</v>
          </cell>
          <cell r="D89">
            <v>7657.9</v>
          </cell>
          <cell r="E89">
            <v>0</v>
          </cell>
        </row>
        <row r="90">
          <cell r="B90">
            <v>54003</v>
          </cell>
          <cell r="C90" t="str">
            <v>Regular Check</v>
          </cell>
          <cell r="D90">
            <v>215.67</v>
          </cell>
          <cell r="E90">
            <v>0</v>
          </cell>
        </row>
        <row r="91">
          <cell r="B91">
            <v>54004</v>
          </cell>
          <cell r="C91" t="str">
            <v>Regular Check</v>
          </cell>
          <cell r="D91">
            <v>224.08</v>
          </cell>
          <cell r="E91">
            <v>0</v>
          </cell>
        </row>
        <row r="92">
          <cell r="B92">
            <v>54005</v>
          </cell>
          <cell r="C92" t="str">
            <v>Regular Check</v>
          </cell>
          <cell r="D92">
            <v>1897.44</v>
          </cell>
          <cell r="E92">
            <v>0</v>
          </cell>
        </row>
        <row r="93">
          <cell r="B93">
            <v>54007</v>
          </cell>
          <cell r="C93" t="str">
            <v>Regular Check</v>
          </cell>
          <cell r="D93">
            <v>1322.99</v>
          </cell>
          <cell r="E93">
            <v>0</v>
          </cell>
        </row>
        <row r="94">
          <cell r="B94">
            <v>54008</v>
          </cell>
          <cell r="C94" t="str">
            <v>Regular Check</v>
          </cell>
          <cell r="D94">
            <v>640.88</v>
          </cell>
          <cell r="E94">
            <v>0</v>
          </cell>
        </row>
        <row r="95">
          <cell r="B95">
            <v>54010</v>
          </cell>
          <cell r="C95" t="str">
            <v>Regular Check</v>
          </cell>
          <cell r="D95">
            <v>1500</v>
          </cell>
          <cell r="E95">
            <v>0</v>
          </cell>
        </row>
        <row r="96">
          <cell r="B96">
            <v>54011</v>
          </cell>
          <cell r="C96" t="str">
            <v>Regular Check</v>
          </cell>
          <cell r="D96">
            <v>1124.6300000000001</v>
          </cell>
          <cell r="E96">
            <v>0</v>
          </cell>
        </row>
        <row r="97">
          <cell r="B97">
            <v>54012</v>
          </cell>
          <cell r="C97" t="str">
            <v>Regular Check</v>
          </cell>
          <cell r="D97">
            <v>10000</v>
          </cell>
          <cell r="E97">
            <v>0</v>
          </cell>
        </row>
        <row r="98">
          <cell r="B98">
            <v>54013</v>
          </cell>
          <cell r="C98" t="str">
            <v>Regular Check</v>
          </cell>
          <cell r="D98">
            <v>532</v>
          </cell>
          <cell r="E98">
            <v>0</v>
          </cell>
        </row>
        <row r="99">
          <cell r="B99">
            <v>54014</v>
          </cell>
          <cell r="C99" t="str">
            <v>Regular Check</v>
          </cell>
          <cell r="D99">
            <v>802.05</v>
          </cell>
          <cell r="E99">
            <v>0</v>
          </cell>
        </row>
        <row r="100">
          <cell r="B100">
            <v>54015</v>
          </cell>
          <cell r="C100" t="str">
            <v>Regular Check</v>
          </cell>
          <cell r="D100">
            <v>177.95</v>
          </cell>
          <cell r="E100">
            <v>0</v>
          </cell>
        </row>
        <row r="101">
          <cell r="B101">
            <v>54016</v>
          </cell>
          <cell r="C101" t="str">
            <v>Regular Check</v>
          </cell>
          <cell r="D101">
            <v>2334.42</v>
          </cell>
          <cell r="E101">
            <v>0</v>
          </cell>
        </row>
        <row r="102">
          <cell r="B102">
            <v>54017</v>
          </cell>
          <cell r="C102" t="str">
            <v>Regular Check</v>
          </cell>
          <cell r="D102">
            <v>97.72</v>
          </cell>
          <cell r="E102">
            <v>0</v>
          </cell>
        </row>
        <row r="103">
          <cell r="B103">
            <v>54018</v>
          </cell>
          <cell r="C103" t="str">
            <v>Regular Check</v>
          </cell>
          <cell r="D103">
            <v>235.16</v>
          </cell>
          <cell r="E103">
            <v>0</v>
          </cell>
        </row>
        <row r="104">
          <cell r="B104">
            <v>54019</v>
          </cell>
          <cell r="C104" t="str">
            <v>Regular Check</v>
          </cell>
          <cell r="D104">
            <v>527.38</v>
          </cell>
          <cell r="E104">
            <v>0</v>
          </cell>
        </row>
        <row r="105">
          <cell r="B105">
            <v>54020</v>
          </cell>
          <cell r="C105" t="str">
            <v>Regular Check</v>
          </cell>
          <cell r="D105">
            <v>103</v>
          </cell>
          <cell r="E105">
            <v>0</v>
          </cell>
        </row>
        <row r="106">
          <cell r="B106">
            <v>54021</v>
          </cell>
          <cell r="C106" t="str">
            <v>Regular Check</v>
          </cell>
          <cell r="D106">
            <v>84.18</v>
          </cell>
          <cell r="E106">
            <v>0</v>
          </cell>
        </row>
        <row r="107">
          <cell r="B107">
            <v>54022</v>
          </cell>
          <cell r="C107" t="str">
            <v>Regular Check</v>
          </cell>
          <cell r="D107">
            <v>545.27</v>
          </cell>
          <cell r="E107">
            <v>0</v>
          </cell>
        </row>
        <row r="108">
          <cell r="B108">
            <v>54023</v>
          </cell>
          <cell r="C108" t="str">
            <v>Regular Check</v>
          </cell>
          <cell r="D108">
            <v>343.85</v>
          </cell>
          <cell r="E108">
            <v>0</v>
          </cell>
        </row>
        <row r="109">
          <cell r="B109">
            <v>54024</v>
          </cell>
          <cell r="C109" t="str">
            <v>Regular Check</v>
          </cell>
          <cell r="D109">
            <v>85</v>
          </cell>
          <cell r="E109">
            <v>0</v>
          </cell>
        </row>
        <row r="110">
          <cell r="B110">
            <v>54025</v>
          </cell>
          <cell r="C110" t="str">
            <v>Regular Check</v>
          </cell>
          <cell r="D110">
            <v>30.5</v>
          </cell>
          <cell r="E110">
            <v>0</v>
          </cell>
        </row>
        <row r="111">
          <cell r="B111">
            <v>54026</v>
          </cell>
          <cell r="C111" t="str">
            <v>Regular Check</v>
          </cell>
          <cell r="D111">
            <v>255.44</v>
          </cell>
          <cell r="E111">
            <v>0</v>
          </cell>
        </row>
        <row r="112">
          <cell r="B112">
            <v>54027</v>
          </cell>
          <cell r="C112" t="str">
            <v>Regular Check</v>
          </cell>
          <cell r="D112">
            <v>7486</v>
          </cell>
          <cell r="E112">
            <v>0</v>
          </cell>
        </row>
        <row r="113">
          <cell r="B113">
            <v>54028</v>
          </cell>
          <cell r="C113" t="str">
            <v>Regular Check</v>
          </cell>
          <cell r="D113">
            <v>2134.67</v>
          </cell>
          <cell r="E113">
            <v>0</v>
          </cell>
        </row>
        <row r="114">
          <cell r="B114">
            <v>54029</v>
          </cell>
          <cell r="C114" t="str">
            <v>Regular Check</v>
          </cell>
          <cell r="D114">
            <v>325.67</v>
          </cell>
          <cell r="E114">
            <v>0</v>
          </cell>
        </row>
        <row r="115">
          <cell r="B115">
            <v>54030</v>
          </cell>
          <cell r="C115" t="str">
            <v>Regular Check</v>
          </cell>
          <cell r="D115">
            <v>3871.95</v>
          </cell>
          <cell r="E115">
            <v>0</v>
          </cell>
        </row>
        <row r="116">
          <cell r="B116">
            <v>54031</v>
          </cell>
          <cell r="C116" t="str">
            <v>Regular Check</v>
          </cell>
          <cell r="D116">
            <v>269.3</v>
          </cell>
          <cell r="E116">
            <v>0</v>
          </cell>
        </row>
        <row r="117">
          <cell r="B117">
            <v>54032</v>
          </cell>
          <cell r="C117" t="str">
            <v>Regular Check</v>
          </cell>
          <cell r="D117">
            <v>80.97</v>
          </cell>
          <cell r="E117">
            <v>0</v>
          </cell>
        </row>
        <row r="118">
          <cell r="B118">
            <v>54033</v>
          </cell>
          <cell r="C118" t="str">
            <v>Regular Check</v>
          </cell>
          <cell r="D118">
            <v>540</v>
          </cell>
          <cell r="E118">
            <v>0</v>
          </cell>
        </row>
        <row r="119">
          <cell r="B119">
            <v>54034</v>
          </cell>
          <cell r="C119" t="str">
            <v>Regular Check</v>
          </cell>
          <cell r="D119">
            <v>2500</v>
          </cell>
          <cell r="E119">
            <v>0</v>
          </cell>
        </row>
        <row r="120">
          <cell r="B120">
            <v>54035</v>
          </cell>
          <cell r="C120" t="str">
            <v>Regular Check</v>
          </cell>
          <cell r="D120">
            <v>6727.24</v>
          </cell>
          <cell r="E120">
            <v>0</v>
          </cell>
        </row>
        <row r="121">
          <cell r="B121">
            <v>54036</v>
          </cell>
          <cell r="C121" t="str">
            <v>Regular Check</v>
          </cell>
          <cell r="D121">
            <v>685.52</v>
          </cell>
          <cell r="E121">
            <v>0</v>
          </cell>
        </row>
        <row r="122">
          <cell r="B122">
            <v>54037</v>
          </cell>
          <cell r="C122" t="str">
            <v>Regular Check</v>
          </cell>
          <cell r="D122">
            <v>400</v>
          </cell>
          <cell r="E122">
            <v>0</v>
          </cell>
        </row>
        <row r="123">
          <cell r="B123">
            <v>54038</v>
          </cell>
          <cell r="C123" t="str">
            <v>Regular Check</v>
          </cell>
          <cell r="D123">
            <v>5551.88</v>
          </cell>
          <cell r="E123">
            <v>0</v>
          </cell>
        </row>
        <row r="124">
          <cell r="B124">
            <v>54039</v>
          </cell>
          <cell r="C124" t="str">
            <v>Regular Check</v>
          </cell>
          <cell r="D124">
            <v>584.41999999999996</v>
          </cell>
          <cell r="E124">
            <v>0</v>
          </cell>
        </row>
        <row r="125">
          <cell r="B125">
            <v>54040</v>
          </cell>
          <cell r="C125" t="str">
            <v>Regular Check</v>
          </cell>
          <cell r="D125">
            <v>1441.19</v>
          </cell>
          <cell r="E125">
            <v>0</v>
          </cell>
        </row>
        <row r="126">
          <cell r="B126">
            <v>54041</v>
          </cell>
          <cell r="C126" t="str">
            <v>Regular Check</v>
          </cell>
          <cell r="D126">
            <v>1000</v>
          </cell>
          <cell r="E126">
            <v>0</v>
          </cell>
        </row>
        <row r="127">
          <cell r="B127">
            <v>54042</v>
          </cell>
          <cell r="C127" t="str">
            <v>Regular Check</v>
          </cell>
          <cell r="D127">
            <v>674.89</v>
          </cell>
          <cell r="E127">
            <v>0</v>
          </cell>
        </row>
        <row r="128">
          <cell r="B128">
            <v>54043</v>
          </cell>
          <cell r="C128" t="str">
            <v>Regular Check</v>
          </cell>
          <cell r="D128">
            <v>2000</v>
          </cell>
          <cell r="E128">
            <v>0</v>
          </cell>
        </row>
        <row r="129">
          <cell r="B129">
            <v>54045</v>
          </cell>
          <cell r="C129" t="str">
            <v>Regular Check</v>
          </cell>
          <cell r="D129">
            <v>11428.71</v>
          </cell>
          <cell r="E129">
            <v>0</v>
          </cell>
        </row>
        <row r="130">
          <cell r="B130">
            <v>54046</v>
          </cell>
          <cell r="C130" t="str">
            <v>Regular Check</v>
          </cell>
          <cell r="D130">
            <v>11790</v>
          </cell>
          <cell r="E130">
            <v>0</v>
          </cell>
        </row>
        <row r="131">
          <cell r="B131">
            <v>54047</v>
          </cell>
          <cell r="C131" t="str">
            <v>Regular Check</v>
          </cell>
          <cell r="D131">
            <v>11790</v>
          </cell>
          <cell r="E131">
            <v>0</v>
          </cell>
        </row>
        <row r="132">
          <cell r="B132">
            <v>54048</v>
          </cell>
          <cell r="C132" t="str">
            <v>Regular Check</v>
          </cell>
          <cell r="D132">
            <v>11790</v>
          </cell>
          <cell r="E132">
            <v>0</v>
          </cell>
        </row>
        <row r="133">
          <cell r="B133">
            <v>54049</v>
          </cell>
          <cell r="C133" t="str">
            <v>Regular Check</v>
          </cell>
          <cell r="D133">
            <v>11790</v>
          </cell>
          <cell r="E133">
            <v>0</v>
          </cell>
        </row>
        <row r="134">
          <cell r="B134">
            <v>54050</v>
          </cell>
          <cell r="C134" t="str">
            <v>Regular Check</v>
          </cell>
          <cell r="D134">
            <v>11790</v>
          </cell>
          <cell r="E134">
            <v>0</v>
          </cell>
        </row>
        <row r="135">
          <cell r="B135">
            <v>54051</v>
          </cell>
          <cell r="C135" t="str">
            <v>Regular Check</v>
          </cell>
          <cell r="D135">
            <v>11790</v>
          </cell>
          <cell r="E135">
            <v>0</v>
          </cell>
        </row>
        <row r="136">
          <cell r="B136">
            <v>54052</v>
          </cell>
          <cell r="C136" t="str">
            <v>Regular Check</v>
          </cell>
          <cell r="D136">
            <v>11790</v>
          </cell>
          <cell r="E136">
            <v>0</v>
          </cell>
        </row>
        <row r="137">
          <cell r="B137">
            <v>54053</v>
          </cell>
          <cell r="C137" t="str">
            <v>Regular Check</v>
          </cell>
          <cell r="D137">
            <v>11790</v>
          </cell>
          <cell r="E137">
            <v>0</v>
          </cell>
        </row>
        <row r="138">
          <cell r="B138">
            <v>54059</v>
          </cell>
          <cell r="C138" t="str">
            <v>Regular Check</v>
          </cell>
          <cell r="D138">
            <v>119.77</v>
          </cell>
          <cell r="E138">
            <v>0</v>
          </cell>
        </row>
        <row r="139">
          <cell r="B139">
            <v>54060</v>
          </cell>
          <cell r="C139" t="str">
            <v>Regular Check</v>
          </cell>
          <cell r="D139">
            <v>58.57</v>
          </cell>
          <cell r="E139">
            <v>0</v>
          </cell>
        </row>
        <row r="140">
          <cell r="B140">
            <v>54061</v>
          </cell>
          <cell r="C140" t="str">
            <v>Regular Check</v>
          </cell>
          <cell r="D140">
            <v>490</v>
          </cell>
          <cell r="E140">
            <v>0</v>
          </cell>
        </row>
        <row r="141">
          <cell r="B141">
            <v>54062</v>
          </cell>
          <cell r="C141" t="str">
            <v>Regular Check</v>
          </cell>
          <cell r="D141">
            <v>167.62</v>
          </cell>
          <cell r="E141">
            <v>0</v>
          </cell>
        </row>
        <row r="142">
          <cell r="B142">
            <v>54067</v>
          </cell>
          <cell r="C142" t="str">
            <v>Regular Check</v>
          </cell>
          <cell r="D142">
            <v>294.5</v>
          </cell>
          <cell r="E142">
            <v>0</v>
          </cell>
        </row>
        <row r="143">
          <cell r="B143">
            <v>54068</v>
          </cell>
          <cell r="C143" t="str">
            <v>Regular Check</v>
          </cell>
          <cell r="D143">
            <v>114.9</v>
          </cell>
          <cell r="E143">
            <v>0</v>
          </cell>
        </row>
        <row r="144">
          <cell r="B144">
            <v>54069</v>
          </cell>
          <cell r="C144" t="str">
            <v>Regular Check</v>
          </cell>
          <cell r="D144">
            <v>100</v>
          </cell>
          <cell r="E144">
            <v>0</v>
          </cell>
        </row>
        <row r="145">
          <cell r="B145">
            <v>54070</v>
          </cell>
          <cell r="C145" t="str">
            <v>Regular Check</v>
          </cell>
          <cell r="D145">
            <v>2164.31</v>
          </cell>
          <cell r="E145">
            <v>0</v>
          </cell>
        </row>
        <row r="146">
          <cell r="B146">
            <v>54071</v>
          </cell>
          <cell r="C146" t="str">
            <v>Regular Check</v>
          </cell>
          <cell r="D146">
            <v>87</v>
          </cell>
          <cell r="E146">
            <v>0</v>
          </cell>
        </row>
        <row r="147">
          <cell r="B147">
            <v>54072</v>
          </cell>
          <cell r="C147" t="str">
            <v>Regular Check</v>
          </cell>
          <cell r="D147">
            <v>178.5</v>
          </cell>
          <cell r="E147">
            <v>0</v>
          </cell>
        </row>
        <row r="148">
          <cell r="B148">
            <v>54074</v>
          </cell>
          <cell r="C148" t="str">
            <v>Regular Check</v>
          </cell>
          <cell r="D148">
            <v>51.33</v>
          </cell>
          <cell r="E148">
            <v>0</v>
          </cell>
        </row>
        <row r="149">
          <cell r="B149">
            <v>54075</v>
          </cell>
          <cell r="C149" t="str">
            <v>Regular Check</v>
          </cell>
          <cell r="D149">
            <v>3133.85</v>
          </cell>
          <cell r="E149">
            <v>0</v>
          </cell>
        </row>
        <row r="150">
          <cell r="B150">
            <v>54076</v>
          </cell>
          <cell r="C150" t="str">
            <v>Regular Check</v>
          </cell>
          <cell r="D150">
            <v>1938</v>
          </cell>
          <cell r="E150">
            <v>0</v>
          </cell>
        </row>
        <row r="151">
          <cell r="B151">
            <v>54077</v>
          </cell>
          <cell r="C151" t="str">
            <v>Regular Check</v>
          </cell>
          <cell r="D151">
            <v>17.86</v>
          </cell>
          <cell r="E151">
            <v>0</v>
          </cell>
        </row>
        <row r="152">
          <cell r="B152">
            <v>54079</v>
          </cell>
          <cell r="C152" t="str">
            <v>Regular Check</v>
          </cell>
          <cell r="D152">
            <v>385.11</v>
          </cell>
          <cell r="E152">
            <v>0</v>
          </cell>
        </row>
        <row r="153">
          <cell r="B153">
            <v>54081</v>
          </cell>
          <cell r="C153" t="str">
            <v>Regular Check</v>
          </cell>
          <cell r="D153">
            <v>195</v>
          </cell>
          <cell r="E153">
            <v>0</v>
          </cell>
        </row>
        <row r="154">
          <cell r="B154">
            <v>54084</v>
          </cell>
          <cell r="C154" t="str">
            <v>Regular Check</v>
          </cell>
          <cell r="D154">
            <v>200</v>
          </cell>
          <cell r="E154">
            <v>0</v>
          </cell>
        </row>
        <row r="155">
          <cell r="B155">
            <v>54085</v>
          </cell>
          <cell r="C155" t="str">
            <v>Regular Check</v>
          </cell>
          <cell r="D155">
            <v>2460</v>
          </cell>
          <cell r="E155">
            <v>0</v>
          </cell>
        </row>
        <row r="156">
          <cell r="B156">
            <v>54086</v>
          </cell>
          <cell r="C156" t="str">
            <v>Regular Check</v>
          </cell>
          <cell r="D156">
            <v>325</v>
          </cell>
          <cell r="E156">
            <v>0</v>
          </cell>
        </row>
        <row r="157">
          <cell r="B157">
            <v>54087</v>
          </cell>
          <cell r="C157" t="str">
            <v>Regular Check</v>
          </cell>
          <cell r="D157">
            <v>156.46</v>
          </cell>
          <cell r="E157">
            <v>0</v>
          </cell>
        </row>
        <row r="158">
          <cell r="B158">
            <v>54088</v>
          </cell>
          <cell r="C158" t="str">
            <v>Regular Check</v>
          </cell>
          <cell r="D158">
            <v>480.86</v>
          </cell>
          <cell r="E158">
            <v>0</v>
          </cell>
        </row>
        <row r="159">
          <cell r="B159">
            <v>54090</v>
          </cell>
          <cell r="C159" t="str">
            <v>Regular Check</v>
          </cell>
          <cell r="D159">
            <v>1799.13</v>
          </cell>
          <cell r="E159">
            <v>0</v>
          </cell>
        </row>
        <row r="160">
          <cell r="B160">
            <v>54091</v>
          </cell>
          <cell r="C160" t="str">
            <v>Regular Check</v>
          </cell>
          <cell r="D160">
            <v>514.75</v>
          </cell>
          <cell r="E160">
            <v>0</v>
          </cell>
        </row>
        <row r="161">
          <cell r="B161">
            <v>54092</v>
          </cell>
          <cell r="C161" t="str">
            <v>Regular Check</v>
          </cell>
          <cell r="D161">
            <v>1236.99</v>
          </cell>
          <cell r="E161">
            <v>0</v>
          </cell>
        </row>
        <row r="162">
          <cell r="B162">
            <v>54093</v>
          </cell>
          <cell r="C162" t="str">
            <v>Regular Check</v>
          </cell>
          <cell r="D162">
            <v>154.84</v>
          </cell>
          <cell r="E162">
            <v>0</v>
          </cell>
        </row>
        <row r="163">
          <cell r="B163">
            <v>54095</v>
          </cell>
          <cell r="C163" t="str">
            <v>Regular Check</v>
          </cell>
          <cell r="D163">
            <v>45.88</v>
          </cell>
          <cell r="E163">
            <v>0</v>
          </cell>
        </row>
        <row r="164">
          <cell r="B164">
            <v>54098</v>
          </cell>
          <cell r="C164" t="str">
            <v>Regular Check</v>
          </cell>
          <cell r="D164">
            <v>733.8</v>
          </cell>
          <cell r="E164">
            <v>0</v>
          </cell>
        </row>
        <row r="165">
          <cell r="B165">
            <v>54099</v>
          </cell>
          <cell r="C165" t="str">
            <v>Regular Check</v>
          </cell>
          <cell r="D165">
            <v>90.01</v>
          </cell>
          <cell r="E165">
            <v>0</v>
          </cell>
        </row>
        <row r="166">
          <cell r="B166">
            <v>54100</v>
          </cell>
          <cell r="C166" t="str">
            <v>Regular Check</v>
          </cell>
          <cell r="D166">
            <v>227.78</v>
          </cell>
          <cell r="E166">
            <v>0</v>
          </cell>
        </row>
        <row r="167">
          <cell r="B167">
            <v>54101</v>
          </cell>
          <cell r="C167" t="str">
            <v>Regular Check</v>
          </cell>
          <cell r="D167">
            <v>148.27000000000001</v>
          </cell>
          <cell r="E167">
            <v>0</v>
          </cell>
        </row>
        <row r="168">
          <cell r="B168">
            <v>54102</v>
          </cell>
          <cell r="C168" t="str">
            <v>Regular Check</v>
          </cell>
          <cell r="D168">
            <v>30.66</v>
          </cell>
          <cell r="E168">
            <v>0</v>
          </cell>
        </row>
        <row r="169">
          <cell r="B169">
            <v>54103</v>
          </cell>
          <cell r="C169" t="str">
            <v>Regular Check</v>
          </cell>
          <cell r="D169">
            <v>562</v>
          </cell>
          <cell r="E169">
            <v>0</v>
          </cell>
        </row>
        <row r="170">
          <cell r="B170">
            <v>54104</v>
          </cell>
          <cell r="C170" t="str">
            <v>Regular Check</v>
          </cell>
          <cell r="D170">
            <v>250</v>
          </cell>
          <cell r="E170">
            <v>0</v>
          </cell>
        </row>
        <row r="171">
          <cell r="B171">
            <v>54105</v>
          </cell>
          <cell r="C171" t="str">
            <v>Regular Check</v>
          </cell>
          <cell r="D171">
            <v>181.25</v>
          </cell>
          <cell r="E171">
            <v>0</v>
          </cell>
        </row>
        <row r="172">
          <cell r="B172">
            <v>54106</v>
          </cell>
          <cell r="C172" t="str">
            <v>Regular Check</v>
          </cell>
          <cell r="D172">
            <v>1308</v>
          </cell>
          <cell r="E172">
            <v>0</v>
          </cell>
        </row>
        <row r="173">
          <cell r="B173">
            <v>54108</v>
          </cell>
          <cell r="C173" t="str">
            <v>Regular Check</v>
          </cell>
          <cell r="D173">
            <v>6901.42</v>
          </cell>
          <cell r="E173">
            <v>0</v>
          </cell>
        </row>
        <row r="174">
          <cell r="B174">
            <v>54109</v>
          </cell>
          <cell r="C174" t="str">
            <v>Regular Check</v>
          </cell>
          <cell r="D174">
            <v>521.77</v>
          </cell>
          <cell r="E174">
            <v>0</v>
          </cell>
        </row>
        <row r="175">
          <cell r="B175">
            <v>54110</v>
          </cell>
          <cell r="C175" t="str">
            <v>Regular Check</v>
          </cell>
          <cell r="D175">
            <v>79.739999999999995</v>
          </cell>
          <cell r="E175">
            <v>0</v>
          </cell>
        </row>
        <row r="176">
          <cell r="B176">
            <v>54112</v>
          </cell>
          <cell r="C176" t="str">
            <v>Regular Check</v>
          </cell>
          <cell r="D176">
            <v>1522.25</v>
          </cell>
          <cell r="E176">
            <v>0</v>
          </cell>
        </row>
        <row r="177">
          <cell r="B177">
            <v>54117</v>
          </cell>
          <cell r="C177" t="str">
            <v>Regular Check</v>
          </cell>
          <cell r="D177">
            <v>990</v>
          </cell>
          <cell r="E177">
            <v>0</v>
          </cell>
        </row>
        <row r="178">
          <cell r="B178">
            <v>54118</v>
          </cell>
          <cell r="C178" t="str">
            <v>Regular Check</v>
          </cell>
          <cell r="D178">
            <v>99.33</v>
          </cell>
          <cell r="E178">
            <v>0</v>
          </cell>
        </row>
        <row r="179">
          <cell r="B179">
            <v>54119</v>
          </cell>
          <cell r="C179" t="str">
            <v>Regular Check</v>
          </cell>
          <cell r="D179">
            <v>105.43</v>
          </cell>
          <cell r="E179">
            <v>0</v>
          </cell>
        </row>
        <row r="180">
          <cell r="B180">
            <v>54122</v>
          </cell>
          <cell r="C180" t="str">
            <v>Regular Check</v>
          </cell>
          <cell r="D180">
            <v>334.68</v>
          </cell>
          <cell r="E180">
            <v>0</v>
          </cell>
        </row>
        <row r="181">
          <cell r="B181">
            <v>54124</v>
          </cell>
          <cell r="C181" t="str">
            <v>Regular Check</v>
          </cell>
          <cell r="D181">
            <v>105.59</v>
          </cell>
          <cell r="E181">
            <v>0</v>
          </cell>
        </row>
        <row r="182">
          <cell r="B182">
            <v>54125</v>
          </cell>
          <cell r="C182" t="str">
            <v>Regular Check</v>
          </cell>
          <cell r="D182">
            <v>2287.46</v>
          </cell>
          <cell r="E182">
            <v>0</v>
          </cell>
        </row>
        <row r="183">
          <cell r="B183">
            <v>54126</v>
          </cell>
          <cell r="C183" t="str">
            <v>Regular Check</v>
          </cell>
          <cell r="D183">
            <v>1635.1</v>
          </cell>
          <cell r="E183">
            <v>0</v>
          </cell>
        </row>
        <row r="184">
          <cell r="B184">
            <v>54129</v>
          </cell>
          <cell r="C184" t="str">
            <v>Regular Check</v>
          </cell>
          <cell r="D184">
            <v>260.27</v>
          </cell>
          <cell r="E184">
            <v>0</v>
          </cell>
        </row>
        <row r="185">
          <cell r="B185">
            <v>54131</v>
          </cell>
          <cell r="C185" t="str">
            <v>Regular Check</v>
          </cell>
          <cell r="D185">
            <v>5000</v>
          </cell>
          <cell r="E185">
            <v>0</v>
          </cell>
        </row>
        <row r="186">
          <cell r="B186">
            <v>54132</v>
          </cell>
          <cell r="C186" t="str">
            <v>Regular Check</v>
          </cell>
          <cell r="D186">
            <v>143.47999999999999</v>
          </cell>
          <cell r="E186">
            <v>0</v>
          </cell>
        </row>
        <row r="187">
          <cell r="B187">
            <v>54134</v>
          </cell>
          <cell r="C187" t="str">
            <v>Regular Check</v>
          </cell>
          <cell r="D187">
            <v>25</v>
          </cell>
          <cell r="E187">
            <v>0</v>
          </cell>
        </row>
        <row r="188">
          <cell r="B188">
            <v>54136</v>
          </cell>
          <cell r="C188" t="str">
            <v>Regular Check</v>
          </cell>
          <cell r="D188">
            <v>1235.99</v>
          </cell>
          <cell r="E188">
            <v>0</v>
          </cell>
        </row>
        <row r="189">
          <cell r="B189">
            <v>54137</v>
          </cell>
          <cell r="C189" t="str">
            <v>Regular Check</v>
          </cell>
          <cell r="D189">
            <v>474.85</v>
          </cell>
          <cell r="E189">
            <v>0</v>
          </cell>
        </row>
        <row r="190">
          <cell r="B190">
            <v>54139</v>
          </cell>
          <cell r="C190" t="str">
            <v>Regular Check</v>
          </cell>
          <cell r="D190">
            <v>45.88</v>
          </cell>
          <cell r="E190">
            <v>0</v>
          </cell>
        </row>
        <row r="191">
          <cell r="B191">
            <v>54142</v>
          </cell>
          <cell r="C191" t="str">
            <v>Regular Check</v>
          </cell>
          <cell r="D191">
            <v>100</v>
          </cell>
          <cell r="E191">
            <v>0</v>
          </cell>
        </row>
        <row r="192">
          <cell r="B192">
            <v>54144</v>
          </cell>
          <cell r="C192" t="str">
            <v>Regular Check</v>
          </cell>
          <cell r="D192">
            <v>1271.8399999999999</v>
          </cell>
          <cell r="E192">
            <v>0</v>
          </cell>
        </row>
        <row r="193">
          <cell r="B193">
            <v>54145</v>
          </cell>
          <cell r="C193" t="str">
            <v>Regular Check</v>
          </cell>
          <cell r="D193">
            <v>8299.66</v>
          </cell>
          <cell r="E193">
            <v>0</v>
          </cell>
        </row>
        <row r="194">
          <cell r="B194">
            <v>54146</v>
          </cell>
          <cell r="C194" t="str">
            <v>Regular Check</v>
          </cell>
          <cell r="D194">
            <v>7300.69</v>
          </cell>
          <cell r="E194">
            <v>0</v>
          </cell>
        </row>
        <row r="195">
          <cell r="B195">
            <v>0</v>
          </cell>
          <cell r="C195" t="str">
            <v>TRANSFER FROM DDA Business ACCOUNT 3819884</v>
          </cell>
          <cell r="D195">
            <v>0</v>
          </cell>
          <cell r="E195">
            <v>4792.68</v>
          </cell>
        </row>
        <row r="196">
          <cell r="B196">
            <v>0</v>
          </cell>
          <cell r="C196" t="str">
            <v>TRANSFER FROM DDA Business ACCOUNT 3819884</v>
          </cell>
          <cell r="D196">
            <v>0</v>
          </cell>
          <cell r="E196">
            <v>8158.99</v>
          </cell>
        </row>
        <row r="197">
          <cell r="B197">
            <v>0</v>
          </cell>
          <cell r="C197" t="str">
            <v>TRANSFER FROM DDA Business ACCOUNT 3819884</v>
          </cell>
          <cell r="D197">
            <v>0</v>
          </cell>
          <cell r="E197">
            <v>19740.29</v>
          </cell>
        </row>
        <row r="198">
          <cell r="B198">
            <v>0</v>
          </cell>
          <cell r="C198" t="str">
            <v>TRANSFER FROM DDA Business ACCOUNT 3819884</v>
          </cell>
          <cell r="D198">
            <v>0</v>
          </cell>
          <cell r="E198">
            <v>2927.62</v>
          </cell>
        </row>
        <row r="199">
          <cell r="B199">
            <v>0</v>
          </cell>
          <cell r="C199" t="str">
            <v>TRANSFER FROM DDA Business ACCOUNT 3819884</v>
          </cell>
          <cell r="D199">
            <v>0</v>
          </cell>
          <cell r="E199">
            <v>2109.0300000000002</v>
          </cell>
        </row>
        <row r="200">
          <cell r="B200">
            <v>0</v>
          </cell>
          <cell r="C200" t="str">
            <v>TRANSFER FROM DDA Business ACCOUNT 3819884</v>
          </cell>
          <cell r="D200">
            <v>0</v>
          </cell>
          <cell r="E200">
            <v>59880.7</v>
          </cell>
        </row>
        <row r="201">
          <cell r="B201">
            <v>0</v>
          </cell>
          <cell r="C201" t="str">
            <v>TRANSFER FROM DDA Business ACCOUNT 3819884</v>
          </cell>
          <cell r="D201">
            <v>0</v>
          </cell>
          <cell r="E201">
            <v>4096.96</v>
          </cell>
        </row>
        <row r="202">
          <cell r="B202">
            <v>0</v>
          </cell>
          <cell r="C202" t="str">
            <v>TRANSFER FROM DDA Business ACCOUNT 3819884</v>
          </cell>
          <cell r="D202">
            <v>0</v>
          </cell>
          <cell r="E202">
            <v>21702.65</v>
          </cell>
        </row>
        <row r="203">
          <cell r="B203">
            <v>0</v>
          </cell>
          <cell r="C203" t="str">
            <v>TRANSFER FROM DDA Business ACCOUNT 3819884</v>
          </cell>
          <cell r="D203">
            <v>0</v>
          </cell>
          <cell r="E203">
            <v>5088.79</v>
          </cell>
        </row>
        <row r="204">
          <cell r="B204">
            <v>0</v>
          </cell>
          <cell r="C204" t="str">
            <v>TRANSFER FROM DDA Business ACCOUNT 3819884</v>
          </cell>
          <cell r="D204">
            <v>0</v>
          </cell>
          <cell r="E204">
            <v>24789</v>
          </cell>
        </row>
        <row r="205">
          <cell r="B205">
            <v>0</v>
          </cell>
          <cell r="C205" t="str">
            <v>TRANSFER FROM DDA Business ACCOUNT 3819884</v>
          </cell>
          <cell r="D205">
            <v>0</v>
          </cell>
          <cell r="E205">
            <v>16796.93</v>
          </cell>
        </row>
        <row r="206">
          <cell r="B206">
            <v>0</v>
          </cell>
          <cell r="C206" t="str">
            <v>TRANSFER FROM DDA Business ACCOUNT 3819884</v>
          </cell>
          <cell r="D206">
            <v>0</v>
          </cell>
          <cell r="E206">
            <v>15204.98</v>
          </cell>
        </row>
        <row r="207">
          <cell r="B207">
            <v>0</v>
          </cell>
          <cell r="C207" t="str">
            <v>TRANSFER FROM DDA Business ACCOUNT 3819884</v>
          </cell>
          <cell r="D207">
            <v>0</v>
          </cell>
          <cell r="E207">
            <v>22231.95</v>
          </cell>
        </row>
        <row r="208">
          <cell r="B208">
            <v>0</v>
          </cell>
          <cell r="C208" t="str">
            <v>TRANSFER FROM DDA Business ACCOUNT 3819884</v>
          </cell>
          <cell r="D208">
            <v>0</v>
          </cell>
          <cell r="E208">
            <v>14981.52</v>
          </cell>
        </row>
        <row r="209">
          <cell r="B209">
            <v>0</v>
          </cell>
          <cell r="C209" t="str">
            <v>TRANSFER FROM DDA Business ACCOUNT 3819884</v>
          </cell>
          <cell r="D209">
            <v>0</v>
          </cell>
          <cell r="E209">
            <v>15042.21</v>
          </cell>
        </row>
        <row r="210">
          <cell r="B210">
            <v>0</v>
          </cell>
          <cell r="C210" t="str">
            <v>TRANSFER FROM DDA Business ACCOUNT 3819884</v>
          </cell>
          <cell r="D210">
            <v>0</v>
          </cell>
          <cell r="E210">
            <v>8713.77</v>
          </cell>
        </row>
        <row r="211">
          <cell r="B211">
            <v>0</v>
          </cell>
          <cell r="C211" t="str">
            <v>TRANSFER FROM DDA Business ACCOUNT 3819884</v>
          </cell>
          <cell r="D211">
            <v>0</v>
          </cell>
          <cell r="E211">
            <v>12884.28</v>
          </cell>
        </row>
        <row r="212">
          <cell r="B212">
            <v>0</v>
          </cell>
          <cell r="C212" t="str">
            <v>TRANSFER FROM DDA Business ACCOUNT 3819884</v>
          </cell>
          <cell r="D212">
            <v>0</v>
          </cell>
          <cell r="E212">
            <v>27687.040000000001</v>
          </cell>
        </row>
        <row r="213">
          <cell r="B213">
            <v>0</v>
          </cell>
          <cell r="C213" t="str">
            <v>TRANSFER FROM DDA Business ACCOUNT 3819884</v>
          </cell>
          <cell r="D213">
            <v>0</v>
          </cell>
          <cell r="E213">
            <v>99722.62</v>
          </cell>
        </row>
        <row r="214">
          <cell r="B214">
            <v>0</v>
          </cell>
          <cell r="C214" t="str">
            <v>TRANSFER FROM DDA Business ACCOUNT 3819884</v>
          </cell>
          <cell r="D214">
            <v>0</v>
          </cell>
          <cell r="E214">
            <v>2909</v>
          </cell>
        </row>
        <row r="215">
          <cell r="B215">
            <v>0</v>
          </cell>
          <cell r="C215" t="str">
            <v>TRANSFER FROM DDA Business ACCOUNT 3819884</v>
          </cell>
          <cell r="D215">
            <v>0</v>
          </cell>
          <cell r="E215">
            <v>226.11</v>
          </cell>
        </row>
        <row r="216">
          <cell r="B216">
            <v>0</v>
          </cell>
          <cell r="C216" t="str">
            <v>TRANSFER FROM DDA Business ACCOUNT 3819884</v>
          </cell>
          <cell r="D216">
            <v>0</v>
          </cell>
          <cell r="E216">
            <v>2137.83</v>
          </cell>
        </row>
        <row r="217">
          <cell r="B217">
            <v>0</v>
          </cell>
          <cell r="C217" t="str">
            <v>TRANSFER FROM DDA Business ACCOUNT 3819884</v>
          </cell>
          <cell r="D217">
            <v>0</v>
          </cell>
          <cell r="E217">
            <v>51481.09</v>
          </cell>
        </row>
      </sheetData>
      <sheetData sheetId="5">
        <row r="5">
          <cell r="F5" t="str">
            <v>Reconciling / Outstanding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10</v>
          </cell>
        </row>
        <row r="198">
          <cell r="F198">
            <v>3000</v>
          </cell>
        </row>
        <row r="199">
          <cell r="F199">
            <v>460</v>
          </cell>
        </row>
        <row r="200">
          <cell r="F200">
            <v>112.81</v>
          </cell>
        </row>
        <row r="201">
          <cell r="F201">
            <v>250</v>
          </cell>
        </row>
        <row r="202">
          <cell r="F202">
            <v>498</v>
          </cell>
        </row>
        <row r="203">
          <cell r="F203">
            <v>141</v>
          </cell>
        </row>
        <row r="204">
          <cell r="F204">
            <v>30</v>
          </cell>
        </row>
        <row r="205">
          <cell r="F205">
            <v>800</v>
          </cell>
        </row>
        <row r="206">
          <cell r="F206">
            <v>490</v>
          </cell>
        </row>
        <row r="207">
          <cell r="F207">
            <v>500</v>
          </cell>
        </row>
        <row r="208">
          <cell r="F208">
            <v>73.430000000000007</v>
          </cell>
        </row>
        <row r="209">
          <cell r="F209">
            <v>530</v>
          </cell>
        </row>
        <row r="210">
          <cell r="F210">
            <v>1208</v>
          </cell>
        </row>
        <row r="211">
          <cell r="F211">
            <v>553.11</v>
          </cell>
        </row>
        <row r="212">
          <cell r="F212">
            <v>100</v>
          </cell>
        </row>
        <row r="213">
          <cell r="F213">
            <v>560</v>
          </cell>
        </row>
        <row r="214">
          <cell r="F214">
            <v>-100</v>
          </cell>
        </row>
        <row r="215">
          <cell r="F215">
            <v>100</v>
          </cell>
        </row>
        <row r="216">
          <cell r="F216">
            <v>336.35</v>
          </cell>
        </row>
        <row r="217">
          <cell r="F217">
            <v>505.5</v>
          </cell>
        </row>
        <row r="218">
          <cell r="F218">
            <v>-100</v>
          </cell>
        </row>
        <row r="219">
          <cell r="F219">
            <v>-336.35</v>
          </cell>
        </row>
        <row r="220">
          <cell r="F220">
            <v>710</v>
          </cell>
        </row>
        <row r="221">
          <cell r="F221">
            <v>98.5</v>
          </cell>
        </row>
        <row r="222">
          <cell r="F222">
            <v>1800</v>
          </cell>
        </row>
        <row r="223">
          <cell r="F223">
            <v>399</v>
          </cell>
        </row>
        <row r="224">
          <cell r="F224">
            <v>155.27000000000001</v>
          </cell>
        </row>
        <row r="225">
          <cell r="F225">
            <v>327.26</v>
          </cell>
        </row>
        <row r="226">
          <cell r="F226">
            <v>815</v>
          </cell>
        </row>
        <row r="227">
          <cell r="F227">
            <v>850</v>
          </cell>
        </row>
        <row r="228">
          <cell r="F228">
            <v>815</v>
          </cell>
        </row>
        <row r="229">
          <cell r="F229">
            <v>1440</v>
          </cell>
        </row>
        <row r="230">
          <cell r="F230">
            <v>28400.74</v>
          </cell>
        </row>
        <row r="231">
          <cell r="F231">
            <v>225</v>
          </cell>
        </row>
        <row r="232">
          <cell r="F232">
            <v>66.7</v>
          </cell>
        </row>
        <row r="233">
          <cell r="F233">
            <v>100</v>
          </cell>
        </row>
        <row r="234">
          <cell r="F234">
            <v>245.28</v>
          </cell>
        </row>
        <row r="235">
          <cell r="F235">
            <v>2000</v>
          </cell>
        </row>
        <row r="236">
          <cell r="F236">
            <v>45</v>
          </cell>
        </row>
        <row r="237">
          <cell r="F237">
            <v>1300</v>
          </cell>
        </row>
        <row r="238">
          <cell r="F238">
            <v>307.5</v>
          </cell>
        </row>
        <row r="239">
          <cell r="F239">
            <v>50</v>
          </cell>
        </row>
        <row r="240">
          <cell r="F240">
            <v>236</v>
          </cell>
        </row>
        <row r="241">
          <cell r="F241">
            <v>330.90000000000003</v>
          </cell>
        </row>
        <row r="242">
          <cell r="F242">
            <v>200</v>
          </cell>
        </row>
        <row r="243">
          <cell r="F243">
            <v>29.73</v>
          </cell>
        </row>
        <row r="244">
          <cell r="F244">
            <v>780</v>
          </cell>
        </row>
        <row r="245">
          <cell r="F245">
            <v>15117.720000000001</v>
          </cell>
        </row>
        <row r="246">
          <cell r="F246">
            <v>-505.5</v>
          </cell>
        </row>
        <row r="247">
          <cell r="F247">
            <v>765</v>
          </cell>
        </row>
        <row r="248">
          <cell r="F248">
            <v>4848</v>
          </cell>
        </row>
        <row r="249">
          <cell r="F249">
            <v>1010.3100000000001</v>
          </cell>
        </row>
        <row r="250">
          <cell r="F250">
            <v>137.47999999999999</v>
          </cell>
        </row>
        <row r="251">
          <cell r="F251">
            <v>180.4</v>
          </cell>
        </row>
        <row r="252">
          <cell r="F252">
            <v>94.93</v>
          </cell>
        </row>
        <row r="253">
          <cell r="F253">
            <v>2500</v>
          </cell>
        </row>
        <row r="254">
          <cell r="F254">
            <v>693.88</v>
          </cell>
        </row>
        <row r="255">
          <cell r="F255">
            <v>505.5</v>
          </cell>
        </row>
        <row r="256">
          <cell r="F256">
            <v>940</v>
          </cell>
        </row>
        <row r="257">
          <cell r="F257">
            <v>113.66</v>
          </cell>
        </row>
        <row r="258">
          <cell r="F258">
            <v>260</v>
          </cell>
        </row>
        <row r="259">
          <cell r="F259">
            <v>980.48</v>
          </cell>
        </row>
        <row r="260">
          <cell r="F260">
            <v>3822.63</v>
          </cell>
        </row>
        <row r="261">
          <cell r="F261">
            <v>80.739999999999995</v>
          </cell>
        </row>
        <row r="262">
          <cell r="F262">
            <v>815</v>
          </cell>
        </row>
        <row r="263">
          <cell r="F263">
            <v>640</v>
          </cell>
        </row>
        <row r="264">
          <cell r="F264">
            <v>45.88</v>
          </cell>
        </row>
        <row r="265">
          <cell r="F265">
            <v>645.55000000000007</v>
          </cell>
        </row>
        <row r="266">
          <cell r="F266">
            <v>2940</v>
          </cell>
        </row>
        <row r="267">
          <cell r="F267">
            <v>1556.18</v>
          </cell>
        </row>
        <row r="268">
          <cell r="F268">
            <v>325.67</v>
          </cell>
        </row>
        <row r="269">
          <cell r="F269">
            <v>181.19</v>
          </cell>
        </row>
        <row r="270">
          <cell r="F270">
            <v>900</v>
          </cell>
        </row>
        <row r="271">
          <cell r="F271">
            <v>850</v>
          </cell>
        </row>
        <row r="272">
          <cell r="F272">
            <v>29</v>
          </cell>
        </row>
        <row r="273">
          <cell r="F273">
            <v>375.24</v>
          </cell>
        </row>
        <row r="274">
          <cell r="F274">
            <v>9503.9500000000007</v>
          </cell>
        </row>
        <row r="275">
          <cell r="F275">
            <v>648</v>
          </cell>
        </row>
        <row r="276">
          <cell r="F276">
            <v>321.74</v>
          </cell>
        </row>
        <row r="277">
          <cell r="F277">
            <v>9981.19</v>
          </cell>
        </row>
        <row r="278">
          <cell r="F278">
            <v>35.69</v>
          </cell>
        </row>
        <row r="279">
          <cell r="F279">
            <v>94.93</v>
          </cell>
        </row>
        <row r="280">
          <cell r="F280">
            <v>64.95</v>
          </cell>
        </row>
        <row r="281">
          <cell r="F281">
            <v>70</v>
          </cell>
        </row>
        <row r="282">
          <cell r="F282">
            <v>449.2</v>
          </cell>
        </row>
        <row r="283">
          <cell r="F283">
            <v>211.92000000000002</v>
          </cell>
        </row>
        <row r="284">
          <cell r="F284">
            <v>2403.5</v>
          </cell>
        </row>
        <row r="285">
          <cell r="F285">
            <v>241.97</v>
          </cell>
        </row>
        <row r="286">
          <cell r="F286">
            <v>54.120000000000005</v>
          </cell>
        </row>
        <row r="287">
          <cell r="F287">
            <v>62.120000000000005</v>
          </cell>
        </row>
        <row r="288">
          <cell r="F288">
            <v>720</v>
          </cell>
        </row>
        <row r="289">
          <cell r="F289">
            <v>1086.3399999999999</v>
          </cell>
        </row>
        <row r="290">
          <cell r="F290">
            <v>1300</v>
          </cell>
        </row>
        <row r="291">
          <cell r="F291">
            <v>326.77</v>
          </cell>
        </row>
        <row r="292">
          <cell r="F292">
            <v>194.69</v>
          </cell>
        </row>
        <row r="293">
          <cell r="F293">
            <v>2610</v>
          </cell>
        </row>
        <row r="294">
          <cell r="F294">
            <v>4442.01</v>
          </cell>
        </row>
        <row r="295">
          <cell r="F295">
            <v>3000</v>
          </cell>
        </row>
        <row r="296">
          <cell r="F296">
            <v>757.52</v>
          </cell>
        </row>
        <row r="297">
          <cell r="F297">
            <v>3000</v>
          </cell>
        </row>
        <row r="298">
          <cell r="F298">
            <v>3292.8</v>
          </cell>
        </row>
        <row r="299">
          <cell r="F299">
            <v>3555</v>
          </cell>
        </row>
        <row r="300">
          <cell r="F300">
            <v>770</v>
          </cell>
        </row>
        <row r="301">
          <cell r="F301">
            <v>3500</v>
          </cell>
        </row>
        <row r="302">
          <cell r="F302">
            <v>675</v>
          </cell>
        </row>
        <row r="303">
          <cell r="F303">
            <v>48.980000000000004</v>
          </cell>
        </row>
        <row r="304">
          <cell r="F304">
            <v>2147.71</v>
          </cell>
        </row>
        <row r="305">
          <cell r="F305">
            <v>710</v>
          </cell>
        </row>
        <row r="306">
          <cell r="F306">
            <v>1154.8600000000001</v>
          </cell>
        </row>
        <row r="307">
          <cell r="F307">
            <v>20.48</v>
          </cell>
        </row>
        <row r="308">
          <cell r="F308">
            <v>610</v>
          </cell>
        </row>
        <row r="309">
          <cell r="F309">
            <v>360.62</v>
          </cell>
        </row>
        <row r="310">
          <cell r="F310">
            <v>61.24</v>
          </cell>
        </row>
        <row r="311">
          <cell r="F311">
            <v>22.73</v>
          </cell>
        </row>
        <row r="312">
          <cell r="F312">
            <v>14.290000000000001</v>
          </cell>
        </row>
        <row r="313">
          <cell r="F313">
            <v>142.5</v>
          </cell>
        </row>
        <row r="314">
          <cell r="F314">
            <v>470</v>
          </cell>
        </row>
        <row r="315">
          <cell r="F315">
            <v>560.76</v>
          </cell>
        </row>
        <row r="316">
          <cell r="F316">
            <v>429.08</v>
          </cell>
        </row>
        <row r="317">
          <cell r="F317">
            <v>2844.29</v>
          </cell>
        </row>
        <row r="318">
          <cell r="F318">
            <v>769</v>
          </cell>
        </row>
        <row r="319">
          <cell r="F319">
            <v>140</v>
          </cell>
        </row>
        <row r="320">
          <cell r="F320">
            <v>839.97</v>
          </cell>
        </row>
        <row r="321">
          <cell r="F321">
            <v>471.6</v>
          </cell>
        </row>
        <row r="322">
          <cell r="F322">
            <v>3680</v>
          </cell>
        </row>
        <row r="323">
          <cell r="F323">
            <v>1480.9</v>
          </cell>
        </row>
        <row r="324">
          <cell r="F324">
            <v>727.08</v>
          </cell>
        </row>
        <row r="325">
          <cell r="F325">
            <v>711.4</v>
          </cell>
        </row>
        <row r="326">
          <cell r="F326">
            <v>815</v>
          </cell>
        </row>
        <row r="327">
          <cell r="F327">
            <v>5515.34</v>
          </cell>
        </row>
        <row r="328">
          <cell r="F328">
            <v>65.790000000000006</v>
          </cell>
        </row>
        <row r="329">
          <cell r="F329">
            <v>745</v>
          </cell>
        </row>
        <row r="330">
          <cell r="F330">
            <v>815</v>
          </cell>
        </row>
        <row r="331">
          <cell r="F331">
            <v>595</v>
          </cell>
        </row>
        <row r="332">
          <cell r="F332">
            <v>-2000</v>
          </cell>
        </row>
        <row r="333">
          <cell r="F333">
            <v>2000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1"/>
      <sheetName val="1102"/>
      <sheetName val="AP OS 2011-01"/>
      <sheetName val="AP OS 2010-12"/>
      <sheetName val="1103"/>
      <sheetName val="PR Outstanding Checks"/>
      <sheetName val="1105"/>
      <sheetName val="1202"/>
      <sheetName val="AR Aging By GL_Date By FC "/>
      <sheetName val="1204"/>
      <sheetName val="1251"/>
      <sheetName val="1252"/>
      <sheetName val="1253"/>
      <sheetName val="1408.13"/>
      <sheetName val="1409.13"/>
      <sheetName val="1450"/>
      <sheetName val="1451"/>
      <sheetName val="1510 1520"/>
      <sheetName val="AVM 2010 Inventory"/>
      <sheetName val="avm2009 invty"/>
      <sheetName val="1600"/>
      <sheetName val="1670"/>
      <sheetName val="Depreciation 11-01"/>
      <sheetName val="2000"/>
      <sheetName val="2050 "/>
      <sheetName val="2110"/>
      <sheetName val="2120"/>
      <sheetName val="2124 2010 "/>
      <sheetName val="AVM sched2011"/>
      <sheetName val="2130"/>
      <sheetName val="2140"/>
      <sheetName val="WC Analysis"/>
      <sheetName val="2150"/>
      <sheetName val="Lit.Report 12-31-2010"/>
      <sheetName val="2200 2010"/>
      <sheetName val="2210 2010"/>
      <sheetName val="2230"/>
      <sheetName val="2231"/>
      <sheetName val="2232"/>
      <sheetName val="2233"/>
      <sheetName val="2234"/>
      <sheetName val="2235"/>
      <sheetName val="2240"/>
      <sheetName val="2245"/>
      <sheetName val="2248"/>
      <sheetName val="2249"/>
      <sheetName val="2310 2010)"/>
      <sheetName val="2330.2010 Revised 2010-09"/>
      <sheetName val="2540.25 2010"/>
      <sheetName val="3020"/>
      <sheetName val="PR Outstanding "/>
      <sheetName val="AR Aging By GL_Date By FC"/>
      <sheetName val="1253 "/>
    </sheetNames>
    <sheetDataSet>
      <sheetData sheetId="0"/>
      <sheetData sheetId="1"/>
      <sheetData sheetId="2"/>
      <sheetData sheetId="3">
        <row r="5">
          <cell r="G5">
            <v>169629.69999999998</v>
          </cell>
        </row>
        <row r="6">
          <cell r="G6">
            <v>3010</v>
          </cell>
        </row>
        <row r="7">
          <cell r="G7">
            <v>172639.69999999998</v>
          </cell>
        </row>
        <row r="10">
          <cell r="G10" t="str">
            <v>Variance</v>
          </cell>
        </row>
        <row r="11">
          <cell r="A11" t="str">
            <v>Reconciling</v>
          </cell>
          <cell r="G11">
            <v>10</v>
          </cell>
        </row>
        <row r="12">
          <cell r="A12" t="str">
            <v>Reconciling</v>
          </cell>
          <cell r="G12">
            <v>3000</v>
          </cell>
        </row>
        <row r="15">
          <cell r="A15" t="str">
            <v>Outstanding</v>
          </cell>
          <cell r="G15">
            <v>460</v>
          </cell>
        </row>
        <row r="16">
          <cell r="A16" t="str">
            <v>Outstanding</v>
          </cell>
          <cell r="G16">
            <v>112.81</v>
          </cell>
        </row>
        <row r="17">
          <cell r="A17" t="str">
            <v>Outstanding</v>
          </cell>
          <cell r="G17">
            <v>250</v>
          </cell>
        </row>
        <row r="18">
          <cell r="A18" t="str">
            <v>Outstanding</v>
          </cell>
          <cell r="G18">
            <v>498</v>
          </cell>
        </row>
        <row r="19">
          <cell r="A19" t="str">
            <v>Outstanding</v>
          </cell>
          <cell r="G19">
            <v>141</v>
          </cell>
        </row>
        <row r="20">
          <cell r="A20" t="str">
            <v>Outstanding</v>
          </cell>
          <cell r="G20">
            <v>30</v>
          </cell>
        </row>
        <row r="21">
          <cell r="A21" t="str">
            <v>Outstanding</v>
          </cell>
          <cell r="G21">
            <v>800</v>
          </cell>
        </row>
        <row r="22">
          <cell r="A22" t="str">
            <v>Outstanding</v>
          </cell>
          <cell r="G22">
            <v>490</v>
          </cell>
        </row>
        <row r="23">
          <cell r="A23" t="str">
            <v>Outstanding</v>
          </cell>
          <cell r="G23">
            <v>500</v>
          </cell>
        </row>
        <row r="24">
          <cell r="A24" t="str">
            <v>Outstanding</v>
          </cell>
          <cell r="G24">
            <v>73.430000000000007</v>
          </cell>
        </row>
        <row r="25">
          <cell r="A25" t="str">
            <v>Outstanding</v>
          </cell>
          <cell r="G25">
            <v>530</v>
          </cell>
        </row>
        <row r="26">
          <cell r="A26" t="str">
            <v>Outstanding</v>
          </cell>
          <cell r="G26">
            <v>1208</v>
          </cell>
        </row>
        <row r="27">
          <cell r="A27" t="str">
            <v>Outstanding</v>
          </cell>
          <cell r="G27">
            <v>553.11</v>
          </cell>
        </row>
        <row r="28">
          <cell r="A28" t="str">
            <v>Outstanding</v>
          </cell>
          <cell r="G28">
            <v>560</v>
          </cell>
        </row>
        <row r="29">
          <cell r="A29" t="str">
            <v>Outstanding</v>
          </cell>
          <cell r="G29">
            <v>710</v>
          </cell>
        </row>
        <row r="30">
          <cell r="A30" t="str">
            <v>Outstanding</v>
          </cell>
          <cell r="G30">
            <v>155.27000000000001</v>
          </cell>
        </row>
        <row r="31">
          <cell r="A31" t="str">
            <v>Outstanding</v>
          </cell>
          <cell r="G31">
            <v>1800</v>
          </cell>
        </row>
        <row r="32">
          <cell r="A32" t="str">
            <v>Outstanding</v>
          </cell>
          <cell r="G32">
            <v>399</v>
          </cell>
        </row>
        <row r="33">
          <cell r="A33" t="str">
            <v>Outstanding</v>
          </cell>
          <cell r="G33">
            <v>327.26</v>
          </cell>
        </row>
        <row r="34">
          <cell r="A34" t="str">
            <v>Outstanding</v>
          </cell>
          <cell r="G34">
            <v>98.5</v>
          </cell>
        </row>
        <row r="35">
          <cell r="A35" t="str">
            <v>Outstanding</v>
          </cell>
          <cell r="G35">
            <v>815</v>
          </cell>
        </row>
        <row r="36">
          <cell r="A36" t="str">
            <v>Outstanding</v>
          </cell>
          <cell r="G36">
            <v>850</v>
          </cell>
        </row>
        <row r="37">
          <cell r="A37" t="str">
            <v>Outstanding</v>
          </cell>
          <cell r="G37">
            <v>780</v>
          </cell>
        </row>
        <row r="38">
          <cell r="A38" t="str">
            <v>Outstanding</v>
          </cell>
          <cell r="G38">
            <v>15117.720000000001</v>
          </cell>
        </row>
        <row r="39">
          <cell r="A39" t="str">
            <v>Outstanding</v>
          </cell>
          <cell r="G39">
            <v>815</v>
          </cell>
        </row>
        <row r="40">
          <cell r="A40" t="str">
            <v>Outstanding</v>
          </cell>
          <cell r="G40">
            <v>29.73</v>
          </cell>
        </row>
        <row r="41">
          <cell r="A41" t="str">
            <v>Outstanding</v>
          </cell>
          <cell r="G41">
            <v>100</v>
          </cell>
        </row>
        <row r="42">
          <cell r="A42" t="str">
            <v>Outstanding</v>
          </cell>
          <cell r="G42">
            <v>225</v>
          </cell>
        </row>
        <row r="43">
          <cell r="A43" t="str">
            <v>Outstanding</v>
          </cell>
          <cell r="G43">
            <v>28400.74</v>
          </cell>
        </row>
        <row r="44">
          <cell r="A44" t="str">
            <v>Outstanding</v>
          </cell>
          <cell r="G44">
            <v>330.90000000000003</v>
          </cell>
        </row>
        <row r="45">
          <cell r="A45" t="str">
            <v>Outstanding</v>
          </cell>
          <cell r="G45">
            <v>1300</v>
          </cell>
        </row>
        <row r="46">
          <cell r="A46" t="str">
            <v>Outstanding</v>
          </cell>
          <cell r="G46">
            <v>2000</v>
          </cell>
        </row>
        <row r="47">
          <cell r="A47" t="str">
            <v>Outstanding</v>
          </cell>
          <cell r="G47">
            <v>1440</v>
          </cell>
        </row>
        <row r="48">
          <cell r="A48" t="str">
            <v>Outstanding</v>
          </cell>
          <cell r="G48">
            <v>66.7</v>
          </cell>
        </row>
        <row r="49">
          <cell r="A49" t="str">
            <v>Outstanding</v>
          </cell>
          <cell r="G49">
            <v>45</v>
          </cell>
        </row>
        <row r="50">
          <cell r="A50" t="str">
            <v>Outstanding</v>
          </cell>
          <cell r="G50">
            <v>200</v>
          </cell>
        </row>
        <row r="51">
          <cell r="A51" t="str">
            <v>Outstanding</v>
          </cell>
          <cell r="G51">
            <v>307.5</v>
          </cell>
        </row>
        <row r="52">
          <cell r="A52" t="str">
            <v>Outstanding</v>
          </cell>
          <cell r="G52">
            <v>245.28</v>
          </cell>
        </row>
        <row r="53">
          <cell r="A53" t="str">
            <v>Outstanding</v>
          </cell>
          <cell r="G53">
            <v>236</v>
          </cell>
        </row>
        <row r="54">
          <cell r="A54" t="str">
            <v>Outstanding</v>
          </cell>
          <cell r="G54">
            <v>50</v>
          </cell>
        </row>
        <row r="55">
          <cell r="A55" t="str">
            <v>Outstanding</v>
          </cell>
          <cell r="G55">
            <v>640</v>
          </cell>
        </row>
        <row r="56">
          <cell r="A56" t="str">
            <v>Outstanding</v>
          </cell>
          <cell r="G56">
            <v>980.48</v>
          </cell>
        </row>
        <row r="57">
          <cell r="A57" t="str">
            <v>Outstanding</v>
          </cell>
          <cell r="G57">
            <v>815</v>
          </cell>
        </row>
        <row r="58">
          <cell r="A58" t="str">
            <v>Outstanding</v>
          </cell>
          <cell r="G58">
            <v>765</v>
          </cell>
        </row>
        <row r="59">
          <cell r="A59" t="str">
            <v>Outstanding</v>
          </cell>
          <cell r="G59">
            <v>113.66</v>
          </cell>
        </row>
        <row r="60">
          <cell r="A60" t="str">
            <v>Outstanding</v>
          </cell>
          <cell r="G60">
            <v>260</v>
          </cell>
        </row>
        <row r="61">
          <cell r="A61" t="str">
            <v>Outstanding</v>
          </cell>
          <cell r="G61">
            <v>137.47999999999999</v>
          </cell>
        </row>
        <row r="62">
          <cell r="A62" t="str">
            <v>Outstanding</v>
          </cell>
          <cell r="G62">
            <v>693.88</v>
          </cell>
        </row>
        <row r="63">
          <cell r="A63" t="str">
            <v>Outstanding</v>
          </cell>
          <cell r="G63">
            <v>4848</v>
          </cell>
        </row>
        <row r="64">
          <cell r="A64" t="str">
            <v>Outstanding</v>
          </cell>
          <cell r="G64">
            <v>94.93</v>
          </cell>
        </row>
        <row r="65">
          <cell r="A65" t="str">
            <v>Outstanding</v>
          </cell>
          <cell r="G65">
            <v>3822.63</v>
          </cell>
        </row>
        <row r="66">
          <cell r="A66" t="str">
            <v>Outstanding</v>
          </cell>
          <cell r="G66">
            <v>505.5</v>
          </cell>
        </row>
        <row r="67">
          <cell r="A67" t="str">
            <v>Outstanding</v>
          </cell>
          <cell r="G67">
            <v>1010.3100000000001</v>
          </cell>
        </row>
        <row r="68">
          <cell r="A68" t="str">
            <v>Outstanding</v>
          </cell>
          <cell r="G68">
            <v>2500</v>
          </cell>
        </row>
        <row r="69">
          <cell r="A69" t="str">
            <v>Outstanding</v>
          </cell>
          <cell r="G69">
            <v>940</v>
          </cell>
        </row>
        <row r="70">
          <cell r="A70" t="str">
            <v>Outstanding</v>
          </cell>
          <cell r="G70">
            <v>180.4</v>
          </cell>
        </row>
        <row r="71">
          <cell r="A71" t="str">
            <v>Outstanding</v>
          </cell>
          <cell r="G71">
            <v>80.739999999999995</v>
          </cell>
        </row>
        <row r="72">
          <cell r="A72" t="str">
            <v>Outstanding</v>
          </cell>
          <cell r="G72">
            <v>675</v>
          </cell>
        </row>
        <row r="73">
          <cell r="A73" t="str">
            <v>Outstanding</v>
          </cell>
          <cell r="G73">
            <v>1300</v>
          </cell>
        </row>
        <row r="74">
          <cell r="A74" t="str">
            <v>Outstanding</v>
          </cell>
          <cell r="G74">
            <v>900</v>
          </cell>
        </row>
        <row r="75">
          <cell r="A75" t="str">
            <v>Outstanding</v>
          </cell>
          <cell r="G75">
            <v>3500</v>
          </cell>
        </row>
        <row r="76">
          <cell r="A76" t="str">
            <v>Outstanding</v>
          </cell>
          <cell r="G76">
            <v>645.55000000000007</v>
          </cell>
        </row>
        <row r="77">
          <cell r="A77" t="str">
            <v>Outstanding</v>
          </cell>
          <cell r="G77">
            <v>3000</v>
          </cell>
        </row>
        <row r="78">
          <cell r="A78" t="str">
            <v>Outstanding</v>
          </cell>
          <cell r="G78">
            <v>62.120000000000005</v>
          </cell>
        </row>
        <row r="79">
          <cell r="A79" t="str">
            <v>Outstanding</v>
          </cell>
          <cell r="G79">
            <v>9503.9500000000007</v>
          </cell>
        </row>
        <row r="80">
          <cell r="A80" t="str">
            <v>Outstanding</v>
          </cell>
          <cell r="G80">
            <v>648</v>
          </cell>
        </row>
        <row r="81">
          <cell r="A81" t="str">
            <v>Outstanding</v>
          </cell>
          <cell r="G81">
            <v>64.95</v>
          </cell>
        </row>
        <row r="82">
          <cell r="A82" t="str">
            <v>Outstanding</v>
          </cell>
          <cell r="G82">
            <v>4442.01</v>
          </cell>
        </row>
        <row r="83">
          <cell r="A83" t="str">
            <v>Outstanding</v>
          </cell>
          <cell r="G83">
            <v>770</v>
          </cell>
        </row>
        <row r="84">
          <cell r="A84" t="str">
            <v>Outstanding</v>
          </cell>
          <cell r="G84">
            <v>2940</v>
          </cell>
        </row>
        <row r="85">
          <cell r="A85" t="str">
            <v>Outstanding</v>
          </cell>
          <cell r="G85">
            <v>29</v>
          </cell>
        </row>
        <row r="86">
          <cell r="A86" t="str">
            <v>Outstanding</v>
          </cell>
          <cell r="G86">
            <v>1556.18</v>
          </cell>
        </row>
        <row r="87">
          <cell r="A87" t="str">
            <v>Outstanding</v>
          </cell>
          <cell r="G87">
            <v>850</v>
          </cell>
        </row>
        <row r="88">
          <cell r="A88" t="str">
            <v>Outstanding</v>
          </cell>
          <cell r="G88">
            <v>3000</v>
          </cell>
        </row>
        <row r="89">
          <cell r="A89" t="str">
            <v>Outstanding</v>
          </cell>
          <cell r="G89">
            <v>449.2</v>
          </cell>
        </row>
        <row r="90">
          <cell r="A90" t="str">
            <v>Outstanding</v>
          </cell>
          <cell r="G90">
            <v>321.74</v>
          </cell>
        </row>
        <row r="91">
          <cell r="A91" t="str">
            <v>Outstanding</v>
          </cell>
          <cell r="G91">
            <v>326.77</v>
          </cell>
        </row>
        <row r="92">
          <cell r="A92" t="str">
            <v>Outstanding</v>
          </cell>
          <cell r="G92">
            <v>241.97</v>
          </cell>
        </row>
        <row r="93">
          <cell r="A93" t="str">
            <v>Outstanding</v>
          </cell>
          <cell r="G93">
            <v>3555</v>
          </cell>
        </row>
        <row r="94">
          <cell r="A94" t="str">
            <v>Outstanding</v>
          </cell>
          <cell r="G94">
            <v>211.92000000000002</v>
          </cell>
        </row>
        <row r="95">
          <cell r="A95" t="str">
            <v>Outstanding</v>
          </cell>
          <cell r="G95">
            <v>3292.8</v>
          </cell>
        </row>
        <row r="96">
          <cell r="A96" t="str">
            <v>Outstanding</v>
          </cell>
          <cell r="G96">
            <v>94.93</v>
          </cell>
        </row>
        <row r="97">
          <cell r="A97" t="str">
            <v>Outstanding</v>
          </cell>
          <cell r="G97">
            <v>2403.5</v>
          </cell>
        </row>
        <row r="98">
          <cell r="A98" t="str">
            <v>Outstanding</v>
          </cell>
          <cell r="G98">
            <v>325.67</v>
          </cell>
        </row>
        <row r="99">
          <cell r="A99" t="str">
            <v>Outstanding</v>
          </cell>
          <cell r="G99">
            <v>2610</v>
          </cell>
        </row>
        <row r="100">
          <cell r="A100" t="str">
            <v>Outstanding</v>
          </cell>
          <cell r="G100">
            <v>54.120000000000005</v>
          </cell>
        </row>
        <row r="101">
          <cell r="A101" t="str">
            <v>Outstanding</v>
          </cell>
          <cell r="G101">
            <v>375.24</v>
          </cell>
        </row>
        <row r="102">
          <cell r="A102" t="str">
            <v>Outstanding</v>
          </cell>
          <cell r="G102">
            <v>194.69</v>
          </cell>
        </row>
        <row r="103">
          <cell r="A103" t="str">
            <v>Outstanding</v>
          </cell>
          <cell r="G103">
            <v>757.52</v>
          </cell>
        </row>
        <row r="104">
          <cell r="A104" t="str">
            <v>Outstanding</v>
          </cell>
          <cell r="G104">
            <v>45.88</v>
          </cell>
        </row>
        <row r="105">
          <cell r="A105" t="str">
            <v>Outstanding</v>
          </cell>
          <cell r="G105">
            <v>35.69</v>
          </cell>
        </row>
        <row r="106">
          <cell r="A106" t="str">
            <v>Outstanding</v>
          </cell>
          <cell r="G106">
            <v>70</v>
          </cell>
        </row>
        <row r="107">
          <cell r="A107" t="str">
            <v>Outstanding</v>
          </cell>
          <cell r="G107">
            <v>181.19</v>
          </cell>
        </row>
        <row r="108">
          <cell r="A108" t="str">
            <v>Outstanding</v>
          </cell>
          <cell r="G108">
            <v>720</v>
          </cell>
        </row>
        <row r="109">
          <cell r="A109" t="str">
            <v>Outstanding</v>
          </cell>
          <cell r="G109">
            <v>9981.19</v>
          </cell>
        </row>
        <row r="110">
          <cell r="A110" t="str">
            <v>Outstanding</v>
          </cell>
          <cell r="G110">
            <v>1086.3399999999999</v>
          </cell>
        </row>
        <row r="111">
          <cell r="A111" t="str">
            <v>Outstanding</v>
          </cell>
          <cell r="G111">
            <v>595</v>
          </cell>
        </row>
        <row r="112">
          <cell r="A112" t="str">
            <v>Outstanding</v>
          </cell>
          <cell r="G112">
            <v>142.5</v>
          </cell>
        </row>
        <row r="113">
          <cell r="A113" t="str">
            <v>Outstanding</v>
          </cell>
          <cell r="G113">
            <v>360.62</v>
          </cell>
        </row>
        <row r="114">
          <cell r="A114" t="str">
            <v>Outstanding</v>
          </cell>
          <cell r="G114">
            <v>710</v>
          </cell>
        </row>
        <row r="115">
          <cell r="A115" t="str">
            <v>Outstanding</v>
          </cell>
          <cell r="G115">
            <v>711.4</v>
          </cell>
        </row>
        <row r="116">
          <cell r="A116" t="str">
            <v>Outstanding</v>
          </cell>
          <cell r="G116">
            <v>610</v>
          </cell>
        </row>
        <row r="117">
          <cell r="A117" t="str">
            <v>Outstanding</v>
          </cell>
          <cell r="G117">
            <v>14.290000000000001</v>
          </cell>
        </row>
        <row r="118">
          <cell r="A118" t="str">
            <v>Outstanding</v>
          </cell>
          <cell r="G118">
            <v>1480.9</v>
          </cell>
        </row>
        <row r="119">
          <cell r="A119" t="str">
            <v>Outstanding</v>
          </cell>
          <cell r="G119">
            <v>1154.8600000000001</v>
          </cell>
        </row>
        <row r="120">
          <cell r="A120" t="str">
            <v>Outstanding</v>
          </cell>
          <cell r="G120">
            <v>429.08</v>
          </cell>
        </row>
        <row r="121">
          <cell r="A121" t="str">
            <v>Outstanding</v>
          </cell>
          <cell r="G121">
            <v>20.48</v>
          </cell>
        </row>
        <row r="122">
          <cell r="A122" t="str">
            <v>Outstanding</v>
          </cell>
          <cell r="G122">
            <v>3680</v>
          </cell>
        </row>
        <row r="123">
          <cell r="A123" t="str">
            <v>Outstanding</v>
          </cell>
          <cell r="G123">
            <v>140</v>
          </cell>
        </row>
        <row r="124">
          <cell r="A124" t="str">
            <v>Outstanding</v>
          </cell>
          <cell r="G124">
            <v>471.6</v>
          </cell>
        </row>
        <row r="125">
          <cell r="A125" t="str">
            <v>Outstanding</v>
          </cell>
          <cell r="G125">
            <v>769</v>
          </cell>
        </row>
        <row r="126">
          <cell r="A126" t="str">
            <v>Outstanding</v>
          </cell>
          <cell r="G126">
            <v>839.97</v>
          </cell>
        </row>
        <row r="127">
          <cell r="A127" t="str">
            <v>Outstanding</v>
          </cell>
          <cell r="G127">
            <v>61.24</v>
          </cell>
        </row>
        <row r="128">
          <cell r="A128" t="str">
            <v>Outstanding</v>
          </cell>
          <cell r="G128">
            <v>470</v>
          </cell>
        </row>
        <row r="129">
          <cell r="A129" t="str">
            <v>Outstanding</v>
          </cell>
          <cell r="G129">
            <v>2147.71</v>
          </cell>
        </row>
        <row r="130">
          <cell r="A130" t="str">
            <v>Outstanding</v>
          </cell>
          <cell r="G130">
            <v>48.980000000000004</v>
          </cell>
        </row>
        <row r="131">
          <cell r="A131" t="str">
            <v>Outstanding</v>
          </cell>
          <cell r="G131">
            <v>2844.29</v>
          </cell>
        </row>
        <row r="132">
          <cell r="A132" t="str">
            <v>Outstanding</v>
          </cell>
          <cell r="G132">
            <v>560.76</v>
          </cell>
        </row>
        <row r="133">
          <cell r="A133" t="str">
            <v>Outstanding</v>
          </cell>
          <cell r="G133">
            <v>22.73</v>
          </cell>
        </row>
        <row r="134">
          <cell r="A134" t="str">
            <v>Outstanding</v>
          </cell>
          <cell r="G134">
            <v>727.08</v>
          </cell>
        </row>
        <row r="135">
          <cell r="A135" t="str">
            <v>Outstanding</v>
          </cell>
          <cell r="G135">
            <v>65.790000000000006</v>
          </cell>
        </row>
        <row r="136">
          <cell r="A136" t="str">
            <v>Outstanding</v>
          </cell>
          <cell r="G136">
            <v>815</v>
          </cell>
        </row>
        <row r="137">
          <cell r="A137" t="str">
            <v>Outstanding</v>
          </cell>
          <cell r="G137">
            <v>5515.34</v>
          </cell>
        </row>
        <row r="138">
          <cell r="A138" t="str">
            <v>Outstanding</v>
          </cell>
          <cell r="G138">
            <v>745</v>
          </cell>
        </row>
        <row r="139">
          <cell r="A139" t="str">
            <v>Outstanding</v>
          </cell>
          <cell r="G139">
            <v>815</v>
          </cell>
        </row>
        <row r="140">
          <cell r="G140">
            <v>172639.69999999995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 2110"/>
      <sheetName val="3312010"/>
      <sheetName val="Sheet1"/>
      <sheetName val="PTO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3">
          <cell r="A3">
            <v>102</v>
          </cell>
          <cell r="B3">
            <v>5057</v>
          </cell>
        </row>
        <row r="4">
          <cell r="A4">
            <v>103</v>
          </cell>
          <cell r="B4">
            <v>5051</v>
          </cell>
        </row>
        <row r="5">
          <cell r="A5">
            <v>104</v>
          </cell>
          <cell r="B5">
            <v>5051</v>
          </cell>
        </row>
        <row r="6">
          <cell r="A6">
            <v>105</v>
          </cell>
          <cell r="B6">
            <v>5050</v>
          </cell>
        </row>
        <row r="7">
          <cell r="A7">
            <v>106</v>
          </cell>
          <cell r="B7">
            <v>5051</v>
          </cell>
        </row>
        <row r="8">
          <cell r="A8">
            <v>107</v>
          </cell>
          <cell r="B8">
            <v>5051</v>
          </cell>
        </row>
        <row r="9">
          <cell r="A9">
            <v>108</v>
          </cell>
          <cell r="B9">
            <v>5051</v>
          </cell>
        </row>
        <row r="10">
          <cell r="A10">
            <v>109</v>
          </cell>
          <cell r="B10">
            <v>5051</v>
          </cell>
        </row>
        <row r="11">
          <cell r="A11">
            <v>110</v>
          </cell>
          <cell r="B11">
            <v>5051</v>
          </cell>
        </row>
        <row r="12">
          <cell r="A12">
            <v>111</v>
          </cell>
          <cell r="B12">
            <v>5051</v>
          </cell>
        </row>
        <row r="13">
          <cell r="A13">
            <v>112</v>
          </cell>
          <cell r="B13">
            <v>5051</v>
          </cell>
        </row>
        <row r="14">
          <cell r="A14">
            <v>113</v>
          </cell>
          <cell r="B14">
            <v>5051</v>
          </cell>
        </row>
        <row r="15">
          <cell r="A15">
            <v>114</v>
          </cell>
          <cell r="B15">
            <v>5051</v>
          </cell>
        </row>
        <row r="16">
          <cell r="A16">
            <v>115</v>
          </cell>
          <cell r="B16">
            <v>5051</v>
          </cell>
        </row>
        <row r="17">
          <cell r="A17">
            <v>116</v>
          </cell>
          <cell r="B17">
            <v>5051</v>
          </cell>
        </row>
        <row r="18">
          <cell r="A18">
            <v>117</v>
          </cell>
          <cell r="B18">
            <v>5051</v>
          </cell>
        </row>
        <row r="19">
          <cell r="A19">
            <v>118</v>
          </cell>
          <cell r="B19">
            <v>5057</v>
          </cell>
        </row>
        <row r="20">
          <cell r="A20">
            <v>119</v>
          </cell>
          <cell r="B20">
            <v>5051</v>
          </cell>
        </row>
        <row r="21">
          <cell r="A21">
            <v>120</v>
          </cell>
          <cell r="B21">
            <v>5051</v>
          </cell>
        </row>
        <row r="22">
          <cell r="A22">
            <v>121</v>
          </cell>
          <cell r="B22">
            <v>5050</v>
          </cell>
        </row>
        <row r="23">
          <cell r="A23">
            <v>122</v>
          </cell>
          <cell r="B23">
            <v>5052</v>
          </cell>
        </row>
        <row r="24">
          <cell r="A24">
            <v>123</v>
          </cell>
          <cell r="B24">
            <v>5052</v>
          </cell>
        </row>
        <row r="25">
          <cell r="A25">
            <v>124</v>
          </cell>
          <cell r="B25">
            <v>5052</v>
          </cell>
        </row>
        <row r="26">
          <cell r="A26">
            <v>125</v>
          </cell>
          <cell r="B26">
            <v>5051</v>
          </cell>
        </row>
        <row r="27">
          <cell r="A27">
            <v>126</v>
          </cell>
          <cell r="B27">
            <v>5051</v>
          </cell>
        </row>
        <row r="28">
          <cell r="A28">
            <v>127</v>
          </cell>
          <cell r="B28">
            <v>5051</v>
          </cell>
        </row>
        <row r="29">
          <cell r="A29">
            <v>128</v>
          </cell>
          <cell r="B29">
            <v>5051</v>
          </cell>
        </row>
        <row r="30">
          <cell r="A30">
            <v>129</v>
          </cell>
          <cell r="B30">
            <v>5052</v>
          </cell>
        </row>
        <row r="31">
          <cell r="A31">
            <v>130</v>
          </cell>
          <cell r="B31">
            <v>5052</v>
          </cell>
        </row>
        <row r="32">
          <cell r="A32">
            <v>131</v>
          </cell>
          <cell r="B32">
            <v>5052</v>
          </cell>
        </row>
        <row r="33">
          <cell r="A33">
            <v>132</v>
          </cell>
          <cell r="B33">
            <v>5052</v>
          </cell>
        </row>
        <row r="34">
          <cell r="A34">
            <v>133</v>
          </cell>
          <cell r="B34">
            <v>5052</v>
          </cell>
        </row>
        <row r="35">
          <cell r="A35">
            <v>134</v>
          </cell>
          <cell r="B35">
            <v>5052</v>
          </cell>
        </row>
        <row r="36">
          <cell r="A36">
            <v>135</v>
          </cell>
          <cell r="B36">
            <v>5052</v>
          </cell>
        </row>
        <row r="37">
          <cell r="A37">
            <v>136</v>
          </cell>
          <cell r="B37">
            <v>5052</v>
          </cell>
        </row>
        <row r="38">
          <cell r="A38">
            <v>137</v>
          </cell>
          <cell r="B38">
            <v>5052</v>
          </cell>
        </row>
        <row r="39">
          <cell r="A39">
            <v>138</v>
          </cell>
          <cell r="B39">
            <v>5052</v>
          </cell>
        </row>
        <row r="40">
          <cell r="A40">
            <v>139</v>
          </cell>
          <cell r="B40">
            <v>5052</v>
          </cell>
        </row>
        <row r="41">
          <cell r="A41">
            <v>140</v>
          </cell>
          <cell r="B41">
            <v>5052</v>
          </cell>
        </row>
        <row r="42">
          <cell r="A42">
            <v>141</v>
          </cell>
          <cell r="B42">
            <v>5052</v>
          </cell>
        </row>
        <row r="43">
          <cell r="A43">
            <v>142</v>
          </cell>
          <cell r="B43">
            <v>5052</v>
          </cell>
        </row>
        <row r="44">
          <cell r="A44">
            <v>143</v>
          </cell>
          <cell r="B44">
            <v>5052</v>
          </cell>
        </row>
        <row r="45">
          <cell r="A45">
            <v>144</v>
          </cell>
          <cell r="B45">
            <v>5051</v>
          </cell>
        </row>
        <row r="46">
          <cell r="A46">
            <v>145</v>
          </cell>
          <cell r="B46">
            <v>5052</v>
          </cell>
        </row>
        <row r="47">
          <cell r="A47">
            <v>146</v>
          </cell>
          <cell r="B47">
            <v>5057</v>
          </cell>
        </row>
        <row r="48">
          <cell r="A48">
            <v>147</v>
          </cell>
          <cell r="B48">
            <v>5057</v>
          </cell>
        </row>
        <row r="49">
          <cell r="A49">
            <v>148</v>
          </cell>
          <cell r="B49">
            <v>5051</v>
          </cell>
        </row>
        <row r="50">
          <cell r="A50">
            <v>201</v>
          </cell>
          <cell r="B50">
            <v>5055</v>
          </cell>
        </row>
        <row r="51">
          <cell r="A51">
            <v>202</v>
          </cell>
          <cell r="B51">
            <v>5055</v>
          </cell>
        </row>
        <row r="52">
          <cell r="A52">
            <v>203</v>
          </cell>
          <cell r="B52">
            <v>5055</v>
          </cell>
        </row>
        <row r="53">
          <cell r="A53">
            <v>204</v>
          </cell>
          <cell r="B53">
            <v>5053</v>
          </cell>
        </row>
        <row r="54">
          <cell r="A54">
            <v>205</v>
          </cell>
          <cell r="B54">
            <v>5055</v>
          </cell>
        </row>
        <row r="55">
          <cell r="A55">
            <v>206</v>
          </cell>
          <cell r="B55">
            <v>5055</v>
          </cell>
        </row>
        <row r="56">
          <cell r="A56">
            <v>207</v>
          </cell>
          <cell r="B56">
            <v>5055</v>
          </cell>
        </row>
        <row r="57">
          <cell r="A57">
            <v>208</v>
          </cell>
          <cell r="B57">
            <v>5052</v>
          </cell>
        </row>
        <row r="58">
          <cell r="A58">
            <v>209</v>
          </cell>
          <cell r="B58">
            <v>5055</v>
          </cell>
        </row>
        <row r="59">
          <cell r="A59">
            <v>210</v>
          </cell>
          <cell r="B59">
            <v>5055</v>
          </cell>
        </row>
        <row r="60">
          <cell r="A60">
            <v>211</v>
          </cell>
          <cell r="B60">
            <v>5055</v>
          </cell>
        </row>
        <row r="61">
          <cell r="A61">
            <v>212</v>
          </cell>
          <cell r="B61">
            <v>5053</v>
          </cell>
        </row>
        <row r="62">
          <cell r="A62">
            <v>213</v>
          </cell>
          <cell r="B62">
            <v>5055</v>
          </cell>
        </row>
        <row r="63">
          <cell r="A63">
            <v>214</v>
          </cell>
          <cell r="B63">
            <v>5052</v>
          </cell>
        </row>
        <row r="64">
          <cell r="A64">
            <v>215</v>
          </cell>
          <cell r="B64">
            <v>5053</v>
          </cell>
        </row>
        <row r="65">
          <cell r="A65">
            <v>216</v>
          </cell>
          <cell r="B65">
            <v>5055</v>
          </cell>
        </row>
        <row r="66">
          <cell r="A66">
            <v>217</v>
          </cell>
          <cell r="B66">
            <v>5055</v>
          </cell>
        </row>
        <row r="67">
          <cell r="A67">
            <v>218</v>
          </cell>
          <cell r="B67">
            <v>5055</v>
          </cell>
        </row>
        <row r="68">
          <cell r="A68">
            <v>219</v>
          </cell>
          <cell r="B68">
            <v>5055</v>
          </cell>
        </row>
        <row r="69">
          <cell r="A69">
            <v>220</v>
          </cell>
          <cell r="B69">
            <v>5055</v>
          </cell>
        </row>
        <row r="70">
          <cell r="A70">
            <v>221</v>
          </cell>
          <cell r="B70">
            <v>5053</v>
          </cell>
        </row>
        <row r="71">
          <cell r="A71">
            <v>222</v>
          </cell>
          <cell r="B71">
            <v>5055</v>
          </cell>
        </row>
        <row r="72">
          <cell r="A72">
            <v>223</v>
          </cell>
          <cell r="B72">
            <v>5054</v>
          </cell>
        </row>
        <row r="73">
          <cell r="A73">
            <v>224</v>
          </cell>
          <cell r="B73">
            <v>5055</v>
          </cell>
        </row>
        <row r="74">
          <cell r="A74">
            <v>225</v>
          </cell>
          <cell r="B74">
            <v>5054</v>
          </cell>
        </row>
        <row r="75">
          <cell r="A75">
            <v>226</v>
          </cell>
          <cell r="B75">
            <v>5055</v>
          </cell>
        </row>
        <row r="76">
          <cell r="A76">
            <v>301</v>
          </cell>
          <cell r="B76">
            <v>5056</v>
          </cell>
        </row>
        <row r="77">
          <cell r="A77">
            <v>302</v>
          </cell>
          <cell r="B77">
            <v>5055</v>
          </cell>
        </row>
        <row r="78">
          <cell r="A78">
            <v>303</v>
          </cell>
          <cell r="B78">
            <v>5055</v>
          </cell>
        </row>
        <row r="79">
          <cell r="A79">
            <v>304</v>
          </cell>
          <cell r="B79">
            <v>5055</v>
          </cell>
        </row>
        <row r="80">
          <cell r="A80">
            <v>305</v>
          </cell>
          <cell r="B80">
            <v>5059</v>
          </cell>
        </row>
        <row r="81">
          <cell r="A81">
            <v>306</v>
          </cell>
          <cell r="B81">
            <v>5054</v>
          </cell>
        </row>
        <row r="82">
          <cell r="A82">
            <v>307</v>
          </cell>
          <cell r="B82">
            <v>5055</v>
          </cell>
        </row>
        <row r="83">
          <cell r="A83">
            <v>308</v>
          </cell>
          <cell r="B83">
            <v>5056</v>
          </cell>
        </row>
        <row r="84">
          <cell r="A84">
            <v>309</v>
          </cell>
          <cell r="B84">
            <v>5054</v>
          </cell>
        </row>
        <row r="85">
          <cell r="A85">
            <v>310</v>
          </cell>
          <cell r="B85">
            <v>5054</v>
          </cell>
        </row>
        <row r="86">
          <cell r="A86">
            <v>311</v>
          </cell>
          <cell r="B86">
            <v>5054</v>
          </cell>
        </row>
        <row r="87">
          <cell r="A87">
            <v>312</v>
          </cell>
          <cell r="B87">
            <v>5056</v>
          </cell>
        </row>
        <row r="88">
          <cell r="A88">
            <v>313</v>
          </cell>
          <cell r="B88">
            <v>5057</v>
          </cell>
        </row>
        <row r="89">
          <cell r="A89">
            <v>501</v>
          </cell>
          <cell r="B89">
            <v>5057</v>
          </cell>
        </row>
        <row r="90">
          <cell r="A90">
            <v>502</v>
          </cell>
          <cell r="B90">
            <v>5057</v>
          </cell>
        </row>
        <row r="91">
          <cell r="A91">
            <v>503</v>
          </cell>
          <cell r="B91">
            <v>5057</v>
          </cell>
        </row>
        <row r="92">
          <cell r="A92">
            <v>504</v>
          </cell>
          <cell r="B92">
            <v>5057</v>
          </cell>
        </row>
        <row r="93">
          <cell r="A93">
            <v>505</v>
          </cell>
          <cell r="B93">
            <v>5057</v>
          </cell>
        </row>
        <row r="94">
          <cell r="A94">
            <v>506</v>
          </cell>
          <cell r="B94">
            <v>5057</v>
          </cell>
        </row>
        <row r="95">
          <cell r="A95">
            <v>507</v>
          </cell>
          <cell r="B95">
            <v>5057</v>
          </cell>
        </row>
        <row r="96">
          <cell r="A96">
            <v>508</v>
          </cell>
          <cell r="B96">
            <v>5057</v>
          </cell>
        </row>
        <row r="97">
          <cell r="A97">
            <v>509</v>
          </cell>
          <cell r="B97">
            <v>5057</v>
          </cell>
        </row>
        <row r="98">
          <cell r="A98">
            <v>510</v>
          </cell>
          <cell r="B98">
            <v>5057</v>
          </cell>
        </row>
        <row r="99">
          <cell r="A99">
            <v>511</v>
          </cell>
          <cell r="B99">
            <v>5057</v>
          </cell>
        </row>
        <row r="100">
          <cell r="A100">
            <v>512</v>
          </cell>
          <cell r="B100">
            <v>5057</v>
          </cell>
        </row>
        <row r="101">
          <cell r="A101">
            <v>513</v>
          </cell>
          <cell r="B101">
            <v>5057</v>
          </cell>
        </row>
        <row r="102">
          <cell r="A102">
            <v>514</v>
          </cell>
          <cell r="B102">
            <v>5057</v>
          </cell>
        </row>
        <row r="103">
          <cell r="A103">
            <v>515</v>
          </cell>
          <cell r="B103">
            <v>5057</v>
          </cell>
        </row>
        <row r="104">
          <cell r="A104">
            <v>516</v>
          </cell>
          <cell r="B104">
            <v>5057</v>
          </cell>
        </row>
        <row r="105">
          <cell r="A105">
            <v>517</v>
          </cell>
          <cell r="B105">
            <v>5057</v>
          </cell>
        </row>
        <row r="106">
          <cell r="A106">
            <v>518</v>
          </cell>
          <cell r="B106">
            <v>5057</v>
          </cell>
        </row>
        <row r="107">
          <cell r="A107">
            <v>519</v>
          </cell>
          <cell r="B107">
            <v>5059</v>
          </cell>
        </row>
        <row r="108">
          <cell r="A108">
            <v>520</v>
          </cell>
          <cell r="B108">
            <v>5057</v>
          </cell>
        </row>
        <row r="109">
          <cell r="A109">
            <v>521</v>
          </cell>
          <cell r="B109">
            <v>5059</v>
          </cell>
        </row>
        <row r="110">
          <cell r="A110">
            <v>522</v>
          </cell>
          <cell r="B110">
            <v>5057</v>
          </cell>
        </row>
        <row r="111">
          <cell r="A111">
            <v>523</v>
          </cell>
          <cell r="B111">
            <v>5059</v>
          </cell>
        </row>
        <row r="112">
          <cell r="A112">
            <v>524</v>
          </cell>
          <cell r="B112">
            <v>5057</v>
          </cell>
        </row>
        <row r="113">
          <cell r="A113">
            <v>525</v>
          </cell>
          <cell r="B113">
            <v>5059</v>
          </cell>
        </row>
        <row r="114">
          <cell r="A114">
            <v>601</v>
          </cell>
          <cell r="B114">
            <v>5059</v>
          </cell>
        </row>
        <row r="115">
          <cell r="A115">
            <v>801</v>
          </cell>
          <cell r="B115">
            <v>5059</v>
          </cell>
        </row>
        <row r="116">
          <cell r="A116">
            <v>802</v>
          </cell>
          <cell r="B116">
            <v>5059</v>
          </cell>
        </row>
        <row r="117">
          <cell r="A117">
            <v>803</v>
          </cell>
          <cell r="B117">
            <v>5059</v>
          </cell>
        </row>
        <row r="118">
          <cell r="A118">
            <v>804</v>
          </cell>
          <cell r="B118">
            <v>5059</v>
          </cell>
        </row>
        <row r="119">
          <cell r="A119">
            <v>901</v>
          </cell>
          <cell r="B119">
            <v>5059</v>
          </cell>
        </row>
        <row r="120">
          <cell r="A120">
            <v>902</v>
          </cell>
          <cell r="B120">
            <v>5059</v>
          </cell>
        </row>
        <row r="121">
          <cell r="A121">
            <v>903</v>
          </cell>
          <cell r="B121">
            <v>5059</v>
          </cell>
        </row>
        <row r="122">
          <cell r="A122">
            <v>904</v>
          </cell>
          <cell r="B122">
            <v>5059</v>
          </cell>
        </row>
        <row r="123">
          <cell r="A123">
            <v>905</v>
          </cell>
          <cell r="B123">
            <v>5059</v>
          </cell>
        </row>
        <row r="124">
          <cell r="A124">
            <v>906</v>
          </cell>
          <cell r="B124">
            <v>5059</v>
          </cell>
        </row>
        <row r="125">
          <cell r="A125">
            <v>907</v>
          </cell>
          <cell r="B125">
            <v>5059</v>
          </cell>
        </row>
        <row r="126">
          <cell r="A126">
            <v>908</v>
          </cell>
          <cell r="B126">
            <v>5059</v>
          </cell>
        </row>
        <row r="127">
          <cell r="A127">
            <v>909</v>
          </cell>
          <cell r="B127">
            <v>5059</v>
          </cell>
        </row>
      </sheetData>
      <sheetData sheetId="2"/>
      <sheetData sheetId="3">
        <row r="54">
          <cell r="B54">
            <v>-347991.46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1-24-11"/>
      <sheetName val="IC balances"/>
    </sheetNames>
    <sheetDataSet>
      <sheetData sheetId="0" refreshError="1"/>
      <sheetData sheetId="1">
        <row r="37">
          <cell r="B37" t="str">
            <v>Signature</v>
          </cell>
          <cell r="C37">
            <v>0</v>
          </cell>
          <cell r="D37">
            <v>35705.599999999999</v>
          </cell>
          <cell r="E37">
            <v>-20532.63</v>
          </cell>
          <cell r="F37">
            <v>-1805.66</v>
          </cell>
          <cell r="G37">
            <v>-23012.54</v>
          </cell>
          <cell r="H37">
            <v>-3283887.27</v>
          </cell>
          <cell r="I37">
            <v>-14743.35</v>
          </cell>
          <cell r="J37">
            <v>469.18</v>
          </cell>
          <cell r="K37">
            <v>0</v>
          </cell>
          <cell r="L37">
            <v>-5554369.9199999999</v>
          </cell>
          <cell r="M37">
            <v>-8862176.5899999999</v>
          </cell>
        </row>
        <row r="38">
          <cell r="B38" t="str">
            <v>Charter Oak</v>
          </cell>
          <cell r="C38">
            <v>-35705.599999999999</v>
          </cell>
          <cell r="D38">
            <v>0</v>
          </cell>
          <cell r="E38">
            <v>-252.67</v>
          </cell>
          <cell r="F38">
            <v>0.53</v>
          </cell>
          <cell r="G38">
            <v>-450.38</v>
          </cell>
          <cell r="H38">
            <v>-336.4</v>
          </cell>
          <cell r="I38">
            <v>-42907.47</v>
          </cell>
          <cell r="J38">
            <v>-3961.93</v>
          </cell>
          <cell r="K38">
            <v>0</v>
          </cell>
          <cell r="L38">
            <v>-33956.76</v>
          </cell>
          <cell r="M38">
            <v>-117570.68</v>
          </cell>
        </row>
        <row r="39">
          <cell r="B39" t="str">
            <v>San Diego</v>
          </cell>
          <cell r="C39">
            <v>20532.63</v>
          </cell>
          <cell r="D39">
            <v>252.67</v>
          </cell>
          <cell r="E39">
            <v>0</v>
          </cell>
          <cell r="F39">
            <v>-9.5299999999999994</v>
          </cell>
          <cell r="G39">
            <v>-622.04999999999995</v>
          </cell>
          <cell r="H39">
            <v>-9.5299999999999994</v>
          </cell>
          <cell r="I39">
            <v>-9.5299999999999994</v>
          </cell>
          <cell r="J39">
            <v>0</v>
          </cell>
          <cell r="K39">
            <v>0</v>
          </cell>
          <cell r="L39">
            <v>-9.5299999999999994</v>
          </cell>
          <cell r="M39">
            <v>20125.13</v>
          </cell>
        </row>
        <row r="40">
          <cell r="B40" t="str">
            <v>Chicago Lakeshore</v>
          </cell>
          <cell r="C40">
            <v>1805.66</v>
          </cell>
          <cell r="D40">
            <v>-0.5</v>
          </cell>
          <cell r="E40">
            <v>9.5299999999999994</v>
          </cell>
          <cell r="F40">
            <v>0</v>
          </cell>
          <cell r="G40">
            <v>-30.79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1783.9</v>
          </cell>
        </row>
        <row r="41">
          <cell r="B41" t="str">
            <v>Vista Del Mar</v>
          </cell>
          <cell r="C41">
            <v>23012.54</v>
          </cell>
          <cell r="D41">
            <v>450.36</v>
          </cell>
          <cell r="E41">
            <v>622.04999999999995</v>
          </cell>
          <cell r="F41">
            <v>30.79</v>
          </cell>
          <cell r="G41">
            <v>0</v>
          </cell>
          <cell r="H41">
            <v>49.22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24164.959999999999</v>
          </cell>
        </row>
        <row r="42">
          <cell r="B42" t="str">
            <v>Las Encinas</v>
          </cell>
          <cell r="C42">
            <v>2301037.27</v>
          </cell>
          <cell r="D42">
            <v>336.4</v>
          </cell>
          <cell r="E42">
            <v>9.5299999999999994</v>
          </cell>
          <cell r="F42">
            <v>0</v>
          </cell>
          <cell r="G42">
            <v>-49.22</v>
          </cell>
          <cell r="H42">
            <v>0</v>
          </cell>
          <cell r="I42">
            <v>0</v>
          </cell>
          <cell r="J42">
            <v>-2726.83</v>
          </cell>
          <cell r="K42">
            <v>0</v>
          </cell>
          <cell r="L42">
            <v>0</v>
          </cell>
          <cell r="M42">
            <v>2298607.15</v>
          </cell>
        </row>
        <row r="43">
          <cell r="B43" t="str">
            <v>Phoenix</v>
          </cell>
          <cell r="C43">
            <v>14743.35</v>
          </cell>
          <cell r="D43">
            <v>42907.46</v>
          </cell>
          <cell r="E43">
            <v>9.5299999999999994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-20402.84</v>
          </cell>
          <cell r="M43">
            <v>37257.5</v>
          </cell>
        </row>
        <row r="44">
          <cell r="B44" t="str">
            <v>Pasadena Oaks</v>
          </cell>
          <cell r="C44">
            <v>-469.18</v>
          </cell>
          <cell r="D44">
            <v>8558</v>
          </cell>
          <cell r="E44">
            <v>0</v>
          </cell>
          <cell r="F44">
            <v>0</v>
          </cell>
          <cell r="G44">
            <v>0</v>
          </cell>
          <cell r="H44">
            <v>33320.68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41409.5</v>
          </cell>
        </row>
        <row r="45">
          <cell r="B45" t="str">
            <v>Glendale School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Tempe</v>
          </cell>
          <cell r="C46">
            <v>4448716.92</v>
          </cell>
          <cell r="D46">
            <v>33956.76</v>
          </cell>
          <cell r="E46">
            <v>9.5299999999999994</v>
          </cell>
          <cell r="F46">
            <v>0</v>
          </cell>
          <cell r="G46">
            <v>0</v>
          </cell>
          <cell r="H46">
            <v>0</v>
          </cell>
          <cell r="I46">
            <v>20402.84</v>
          </cell>
          <cell r="J46">
            <v>0</v>
          </cell>
          <cell r="K46">
            <v>0</v>
          </cell>
          <cell r="L46">
            <v>0</v>
          </cell>
          <cell r="M46">
            <v>4503086.05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201108"/>
      <sheetName val="201107 (2)"/>
      <sheetName val="201107"/>
      <sheetName val="201106"/>
      <sheetName val="201105"/>
      <sheetName val="201104"/>
      <sheetName val="201103"/>
      <sheetName val="201102"/>
      <sheetName val="201101"/>
      <sheetName val="201012"/>
      <sheetName val="201011"/>
      <sheetName val="201010"/>
      <sheetName val="201009"/>
      <sheetName val="201008"/>
      <sheetName val="201007"/>
      <sheetName val="201006"/>
      <sheetName val="201005"/>
      <sheetName val="201004"/>
      <sheetName val="201003 "/>
      <sheetName val="201002"/>
      <sheetName val="201001"/>
      <sheetName val="2009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E5" t="str">
            <v>From Date</v>
          </cell>
          <cell r="G5" t="str">
            <v>Months</v>
          </cell>
          <cell r="H5" t="str">
            <v>Total Invoice Amount</v>
          </cell>
          <cell r="J5" t="str">
            <v>Add'l Amount</v>
          </cell>
          <cell r="M5" t="str">
            <v>Accum. Prepaid Exp</v>
          </cell>
        </row>
        <row r="6">
          <cell r="E6">
            <v>40057</v>
          </cell>
          <cell r="G6">
            <v>12</v>
          </cell>
          <cell r="H6">
            <v>5056</v>
          </cell>
          <cell r="J6">
            <v>0</v>
          </cell>
          <cell r="M6">
            <v>1685.3333333333333</v>
          </cell>
        </row>
        <row r="7">
          <cell r="E7">
            <v>40057</v>
          </cell>
          <cell r="G7">
            <v>12</v>
          </cell>
          <cell r="H7">
            <v>17414.490000000002</v>
          </cell>
          <cell r="J7">
            <v>0</v>
          </cell>
          <cell r="M7">
            <v>5804.8300000000008</v>
          </cell>
        </row>
        <row r="8">
          <cell r="E8">
            <v>40057</v>
          </cell>
          <cell r="G8">
            <v>12</v>
          </cell>
          <cell r="H8">
            <v>757.98</v>
          </cell>
          <cell r="J8">
            <v>0</v>
          </cell>
          <cell r="M8">
            <v>252.66</v>
          </cell>
        </row>
        <row r="9">
          <cell r="E9">
            <v>40057</v>
          </cell>
          <cell r="G9">
            <v>12</v>
          </cell>
          <cell r="H9">
            <v>21200.25</v>
          </cell>
          <cell r="J9">
            <v>4770</v>
          </cell>
          <cell r="M9">
            <v>7066.75</v>
          </cell>
        </row>
        <row r="10">
          <cell r="E10">
            <v>40057</v>
          </cell>
          <cell r="G10">
            <v>12</v>
          </cell>
          <cell r="H10">
            <v>3230.65</v>
          </cell>
          <cell r="J10">
            <v>0</v>
          </cell>
          <cell r="M10">
            <v>1076.8833333333334</v>
          </cell>
        </row>
        <row r="11">
          <cell r="E11">
            <v>40057</v>
          </cell>
          <cell r="G11">
            <v>12</v>
          </cell>
          <cell r="H11">
            <v>147568</v>
          </cell>
          <cell r="J11">
            <v>46873.86</v>
          </cell>
          <cell r="M11">
            <v>49189.333333333336</v>
          </cell>
        </row>
        <row r="12">
          <cell r="E12">
            <v>40148</v>
          </cell>
          <cell r="G12">
            <v>12</v>
          </cell>
          <cell r="H12">
            <v>7414.2</v>
          </cell>
          <cell r="J12">
            <v>0</v>
          </cell>
          <cell r="M12">
            <v>617.85</v>
          </cell>
        </row>
        <row r="13">
          <cell r="H13">
            <v>202641.57</v>
          </cell>
          <cell r="J13">
            <v>51643.86</v>
          </cell>
          <cell r="M13">
            <v>65693.64</v>
          </cell>
        </row>
        <row r="14">
          <cell r="E14">
            <v>40057</v>
          </cell>
          <cell r="G14">
            <v>12</v>
          </cell>
          <cell r="H14">
            <v>83618</v>
          </cell>
          <cell r="J14">
            <v>19932.32</v>
          </cell>
          <cell r="M14">
            <v>27872.666666666668</v>
          </cell>
        </row>
        <row r="15">
          <cell r="H15">
            <v>83618</v>
          </cell>
          <cell r="J15">
            <v>19932.32</v>
          </cell>
          <cell r="M15">
            <v>27872.666666666668</v>
          </cell>
        </row>
        <row r="16">
          <cell r="E16">
            <v>40057</v>
          </cell>
          <cell r="G16">
            <v>12</v>
          </cell>
          <cell r="H16">
            <v>324671</v>
          </cell>
          <cell r="J16">
            <v>81167.97</v>
          </cell>
          <cell r="M16">
            <v>0</v>
          </cell>
        </row>
        <row r="17">
          <cell r="H17">
            <v>218034.59</v>
          </cell>
          <cell r="J17">
            <v>0</v>
          </cell>
          <cell r="M17">
            <v>44738.17</v>
          </cell>
        </row>
        <row r="18">
          <cell r="H18">
            <v>542705.59</v>
          </cell>
          <cell r="J18">
            <v>81167.97</v>
          </cell>
          <cell r="M18">
            <v>44738.17</v>
          </cell>
        </row>
        <row r="19">
          <cell r="E19">
            <v>40179</v>
          </cell>
          <cell r="G19">
            <v>1</v>
          </cell>
          <cell r="H19">
            <v>1136.4000000000001</v>
          </cell>
          <cell r="J19">
            <v>0</v>
          </cell>
          <cell r="M19">
            <v>0</v>
          </cell>
        </row>
        <row r="20">
          <cell r="H20">
            <v>1136.4000000000001</v>
          </cell>
          <cell r="J20">
            <v>0</v>
          </cell>
          <cell r="M20">
            <v>0</v>
          </cell>
        </row>
        <row r="23">
          <cell r="H23">
            <v>0</v>
          </cell>
          <cell r="J23">
            <v>0</v>
          </cell>
          <cell r="M23">
            <v>0</v>
          </cell>
        </row>
        <row r="24">
          <cell r="E24">
            <v>40148</v>
          </cell>
          <cell r="G24">
            <v>10</v>
          </cell>
          <cell r="H24">
            <v>5270.4</v>
          </cell>
          <cell r="J24">
            <v>0</v>
          </cell>
          <cell r="M24">
            <v>527.04</v>
          </cell>
        </row>
        <row r="25">
          <cell r="E25">
            <v>39965</v>
          </cell>
          <cell r="G25">
            <v>12</v>
          </cell>
          <cell r="H25">
            <v>1287.97</v>
          </cell>
          <cell r="J25">
            <v>0</v>
          </cell>
          <cell r="M25">
            <v>751.31583333333333</v>
          </cell>
        </row>
        <row r="26">
          <cell r="H26">
            <v>6558.37</v>
          </cell>
          <cell r="J26">
            <v>0</v>
          </cell>
          <cell r="M26">
            <v>1278.3558333333333</v>
          </cell>
        </row>
        <row r="27">
          <cell r="E27">
            <v>36770</v>
          </cell>
          <cell r="G27">
            <v>0</v>
          </cell>
          <cell r="H27">
            <v>14000</v>
          </cell>
          <cell r="J27">
            <v>0</v>
          </cell>
          <cell r="M27">
            <v>0</v>
          </cell>
        </row>
        <row r="28">
          <cell r="E28">
            <v>38353</v>
          </cell>
          <cell r="G28">
            <v>0</v>
          </cell>
          <cell r="H28">
            <v>14735</v>
          </cell>
          <cell r="J28">
            <v>0</v>
          </cell>
          <cell r="M28">
            <v>0</v>
          </cell>
        </row>
        <row r="29">
          <cell r="H29">
            <v>28735</v>
          </cell>
          <cell r="J29">
            <v>0</v>
          </cell>
          <cell r="M29">
            <v>0</v>
          </cell>
        </row>
        <row r="30">
          <cell r="E30">
            <v>40087</v>
          </cell>
          <cell r="G30">
            <v>12</v>
          </cell>
          <cell r="H30">
            <v>24487.200000000001</v>
          </cell>
          <cell r="J30">
            <v>0</v>
          </cell>
          <cell r="M30">
            <v>6121.8</v>
          </cell>
        </row>
        <row r="31">
          <cell r="E31">
            <v>39904</v>
          </cell>
          <cell r="G31">
            <v>12</v>
          </cell>
          <cell r="H31">
            <v>4285.71</v>
          </cell>
          <cell r="J31">
            <v>0</v>
          </cell>
          <cell r="M31">
            <v>3214.2824999999998</v>
          </cell>
        </row>
        <row r="32">
          <cell r="E32">
            <v>39203</v>
          </cell>
          <cell r="G32">
            <v>36</v>
          </cell>
          <cell r="H32">
            <v>551.16</v>
          </cell>
          <cell r="J32">
            <v>0</v>
          </cell>
          <cell r="M32">
            <v>490.08</v>
          </cell>
        </row>
        <row r="33">
          <cell r="E33">
            <v>39995</v>
          </cell>
          <cell r="G33">
            <v>12</v>
          </cell>
          <cell r="H33">
            <v>6254</v>
          </cell>
          <cell r="J33">
            <v>0</v>
          </cell>
          <cell r="M33">
            <v>3127</v>
          </cell>
        </row>
        <row r="34">
          <cell r="E34">
            <v>39692</v>
          </cell>
          <cell r="G34">
            <v>23</v>
          </cell>
          <cell r="H34">
            <v>1690.5</v>
          </cell>
          <cell r="J34">
            <v>0</v>
          </cell>
          <cell r="M34">
            <v>1176</v>
          </cell>
        </row>
        <row r="35">
          <cell r="E35">
            <v>40057</v>
          </cell>
          <cell r="G35">
            <v>9</v>
          </cell>
          <cell r="H35">
            <v>11576.04</v>
          </cell>
          <cell r="J35">
            <v>0</v>
          </cell>
          <cell r="M35">
            <v>5144.9066666666668</v>
          </cell>
        </row>
        <row r="36">
          <cell r="E36">
            <v>40179</v>
          </cell>
          <cell r="G36">
            <v>12</v>
          </cell>
          <cell r="H36">
            <v>4999.75</v>
          </cell>
          <cell r="J36">
            <v>0</v>
          </cell>
          <cell r="M36">
            <v>0</v>
          </cell>
        </row>
        <row r="37">
          <cell r="E37">
            <v>39873</v>
          </cell>
          <cell r="G37">
            <v>12</v>
          </cell>
          <cell r="H37">
            <v>1650</v>
          </cell>
          <cell r="J37">
            <v>0</v>
          </cell>
          <cell r="M37">
            <v>1375</v>
          </cell>
        </row>
        <row r="38">
          <cell r="E38">
            <v>39934</v>
          </cell>
          <cell r="G38">
            <v>24</v>
          </cell>
          <cell r="H38">
            <v>16200</v>
          </cell>
          <cell r="J38">
            <v>0</v>
          </cell>
          <cell r="M38">
            <v>5400</v>
          </cell>
        </row>
        <row r="39">
          <cell r="E39">
            <v>40179</v>
          </cell>
          <cell r="G39">
            <v>3</v>
          </cell>
          <cell r="H39">
            <v>328</v>
          </cell>
          <cell r="J39">
            <v>0</v>
          </cell>
          <cell r="M39">
            <v>0</v>
          </cell>
        </row>
        <row r="40">
          <cell r="E40">
            <v>39995</v>
          </cell>
          <cell r="G40">
            <v>12</v>
          </cell>
          <cell r="H40">
            <v>6165</v>
          </cell>
          <cell r="J40">
            <v>0</v>
          </cell>
          <cell r="M40">
            <v>3082.5</v>
          </cell>
        </row>
        <row r="41">
          <cell r="H41">
            <v>78187.360000000001</v>
          </cell>
          <cell r="J41">
            <v>0</v>
          </cell>
          <cell r="M41">
            <v>29131.569166666668</v>
          </cell>
        </row>
        <row r="42">
          <cell r="E42">
            <v>39995</v>
          </cell>
          <cell r="G42">
            <v>12</v>
          </cell>
          <cell r="H42">
            <v>657.98</v>
          </cell>
          <cell r="J42">
            <v>0</v>
          </cell>
          <cell r="M42">
            <v>328.99</v>
          </cell>
        </row>
        <row r="43">
          <cell r="E43">
            <v>39995</v>
          </cell>
          <cell r="G43">
            <v>12</v>
          </cell>
          <cell r="H43">
            <v>3861.9</v>
          </cell>
          <cell r="J43">
            <v>0</v>
          </cell>
          <cell r="M43">
            <v>1930.9499999999998</v>
          </cell>
        </row>
        <row r="44">
          <cell r="H44">
            <v>4519.88</v>
          </cell>
          <cell r="J44">
            <v>0</v>
          </cell>
          <cell r="M44">
            <v>2259.9399999999996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"/>
      <sheetName val="ACO"/>
      <sheetName val="Outstanding"/>
      <sheetName val="ACO 12-10"/>
      <sheetName val="bank"/>
      <sheetName val="Cleared"/>
      <sheetName val="AP disb"/>
      <sheetName val="ACO 11-10"/>
      <sheetName val="ACO 10-10"/>
      <sheetName val="ACO 9-10."/>
      <sheetName val="ACO 8-10"/>
      <sheetName val="ACO 7-10"/>
      <sheetName val="ACO 6-10"/>
      <sheetName val="ACO 5-10"/>
      <sheetName val="ACO 4-10"/>
      <sheetName val="ACO 3-10"/>
      <sheetName val="ACO 2-10 "/>
      <sheetName val="ACO 1-10"/>
      <sheetName val="ACO 12-09"/>
    </sheetNames>
    <sheetDataSet>
      <sheetData sheetId="0"/>
      <sheetData sheetId="1"/>
      <sheetData sheetId="2"/>
      <sheetData sheetId="3"/>
      <sheetData sheetId="4">
        <row r="2">
          <cell r="B2" t="str">
            <v>Check</v>
          </cell>
          <cell r="C2" t="str">
            <v>Description</v>
          </cell>
          <cell r="D2" t="str">
            <v>Debit</v>
          </cell>
        </row>
        <row r="3">
          <cell r="B3">
            <v>0</v>
          </cell>
          <cell r="C3" t="str">
            <v>FEE NPDB QUERY N24574956</v>
          </cell>
          <cell r="D3">
            <v>4.75</v>
          </cell>
        </row>
        <row r="4">
          <cell r="B4">
            <v>0</v>
          </cell>
          <cell r="C4" t="str">
            <v>FEE NPDB QUERY N24498687</v>
          </cell>
          <cell r="D4">
            <v>4.75</v>
          </cell>
        </row>
        <row r="5">
          <cell r="B5">
            <v>0</v>
          </cell>
          <cell r="C5" t="str">
            <v>FEE NPDB QUERY N24478568</v>
          </cell>
          <cell r="D5">
            <v>4.75</v>
          </cell>
        </row>
        <row r="6">
          <cell r="B6">
            <v>0</v>
          </cell>
          <cell r="C6" t="str">
            <v>FEE NPDB QUERY N24478559</v>
          </cell>
          <cell r="D6">
            <v>4.75</v>
          </cell>
        </row>
        <row r="7">
          <cell r="B7">
            <v>0</v>
          </cell>
          <cell r="C7" t="str">
            <v>FEE NPDB QUERY N24478561</v>
          </cell>
          <cell r="D7">
            <v>4.75</v>
          </cell>
        </row>
        <row r="8">
          <cell r="B8">
            <v>0</v>
          </cell>
          <cell r="C8" t="str">
            <v>FEE NPDB QUERY N24478560</v>
          </cell>
          <cell r="D8">
            <v>4.75</v>
          </cell>
        </row>
        <row r="9">
          <cell r="B9">
            <v>44325</v>
          </cell>
          <cell r="C9" t="str">
            <v>Regular Check</v>
          </cell>
          <cell r="D9">
            <v>14.5</v>
          </cell>
        </row>
        <row r="10">
          <cell r="B10">
            <v>44419</v>
          </cell>
          <cell r="C10" t="str">
            <v>Regular Check</v>
          </cell>
          <cell r="D10">
            <v>14.5</v>
          </cell>
        </row>
        <row r="11">
          <cell r="B11">
            <v>44380</v>
          </cell>
          <cell r="C11" t="str">
            <v>Regular Check</v>
          </cell>
          <cell r="D11">
            <v>25</v>
          </cell>
        </row>
        <row r="12">
          <cell r="B12">
            <v>44664</v>
          </cell>
          <cell r="C12" t="str">
            <v>Regular Check</v>
          </cell>
          <cell r="D12">
            <v>33</v>
          </cell>
        </row>
        <row r="13">
          <cell r="B13">
            <v>44645</v>
          </cell>
          <cell r="C13" t="str">
            <v>Regular Check</v>
          </cell>
          <cell r="D13">
            <v>39.840000000000003</v>
          </cell>
        </row>
        <row r="14">
          <cell r="B14">
            <v>44326</v>
          </cell>
          <cell r="C14" t="str">
            <v>Regular Check</v>
          </cell>
          <cell r="D14">
            <v>40</v>
          </cell>
        </row>
        <row r="15">
          <cell r="B15">
            <v>44601</v>
          </cell>
          <cell r="C15" t="str">
            <v>Regular Check</v>
          </cell>
          <cell r="D15">
            <v>40.71</v>
          </cell>
        </row>
        <row r="16">
          <cell r="B16">
            <v>44357</v>
          </cell>
          <cell r="C16" t="str">
            <v>Regular Check</v>
          </cell>
          <cell r="D16">
            <v>42.95</v>
          </cell>
        </row>
        <row r="17">
          <cell r="B17">
            <v>44403</v>
          </cell>
          <cell r="C17" t="str">
            <v>Regular Check</v>
          </cell>
          <cell r="D17">
            <v>45</v>
          </cell>
        </row>
        <row r="18">
          <cell r="B18">
            <v>44401</v>
          </cell>
          <cell r="C18" t="str">
            <v>Regular Check</v>
          </cell>
          <cell r="D18">
            <v>45.75</v>
          </cell>
        </row>
        <row r="19">
          <cell r="B19">
            <v>44683</v>
          </cell>
          <cell r="C19" t="str">
            <v>Regular Check</v>
          </cell>
          <cell r="D19">
            <v>48.06</v>
          </cell>
        </row>
        <row r="20">
          <cell r="B20">
            <v>44659</v>
          </cell>
          <cell r="C20" t="str">
            <v>Regular Check</v>
          </cell>
          <cell r="D20">
            <v>50</v>
          </cell>
        </row>
        <row r="21">
          <cell r="B21">
            <v>44327</v>
          </cell>
          <cell r="C21" t="str">
            <v>Regular Check</v>
          </cell>
          <cell r="D21">
            <v>52</v>
          </cell>
        </row>
        <row r="22">
          <cell r="B22">
            <v>44661</v>
          </cell>
          <cell r="C22" t="str">
            <v>Regular Check</v>
          </cell>
          <cell r="D22">
            <v>53.97</v>
          </cell>
        </row>
        <row r="23">
          <cell r="B23">
            <v>44653</v>
          </cell>
          <cell r="C23" t="str">
            <v>Check Cashed</v>
          </cell>
          <cell r="D23">
            <v>55</v>
          </cell>
        </row>
        <row r="24">
          <cell r="B24">
            <v>44385</v>
          </cell>
          <cell r="C24" t="str">
            <v>Regular Check</v>
          </cell>
          <cell r="D24">
            <v>55</v>
          </cell>
        </row>
        <row r="25">
          <cell r="B25">
            <v>44347</v>
          </cell>
          <cell r="C25" t="str">
            <v>Regular Check</v>
          </cell>
          <cell r="D25">
            <v>56.81</v>
          </cell>
        </row>
        <row r="26">
          <cell r="B26">
            <v>44603</v>
          </cell>
          <cell r="C26" t="str">
            <v>Regular Check</v>
          </cell>
          <cell r="D26">
            <v>65</v>
          </cell>
        </row>
        <row r="27">
          <cell r="B27">
            <v>44377</v>
          </cell>
          <cell r="C27" t="str">
            <v>Regular Check</v>
          </cell>
          <cell r="D27">
            <v>65</v>
          </cell>
        </row>
        <row r="28">
          <cell r="B28">
            <v>44635</v>
          </cell>
          <cell r="C28" t="str">
            <v>Regular Check</v>
          </cell>
          <cell r="D28">
            <v>65.849999999999994</v>
          </cell>
        </row>
        <row r="29">
          <cell r="B29">
            <v>44696</v>
          </cell>
          <cell r="C29" t="str">
            <v>Regular Check</v>
          </cell>
          <cell r="D29">
            <v>66.12</v>
          </cell>
        </row>
        <row r="30">
          <cell r="B30">
            <v>44375</v>
          </cell>
          <cell r="C30" t="str">
            <v>Regular Check</v>
          </cell>
          <cell r="D30">
            <v>70</v>
          </cell>
        </row>
        <row r="31">
          <cell r="B31">
            <v>44362</v>
          </cell>
          <cell r="C31" t="str">
            <v>Regular Check</v>
          </cell>
          <cell r="D31">
            <v>75</v>
          </cell>
        </row>
        <row r="32">
          <cell r="B32">
            <v>44713</v>
          </cell>
          <cell r="C32" t="str">
            <v>Regular Check</v>
          </cell>
          <cell r="D32">
            <v>80</v>
          </cell>
        </row>
        <row r="33">
          <cell r="B33">
            <v>44290</v>
          </cell>
          <cell r="C33" t="str">
            <v>Regular Check</v>
          </cell>
          <cell r="D33">
            <v>80.5</v>
          </cell>
        </row>
        <row r="34">
          <cell r="B34">
            <v>44618</v>
          </cell>
          <cell r="C34" t="str">
            <v>Regular Check</v>
          </cell>
          <cell r="D34">
            <v>86.15</v>
          </cell>
        </row>
        <row r="35">
          <cell r="B35">
            <v>44717</v>
          </cell>
          <cell r="C35" t="str">
            <v>Regular Check</v>
          </cell>
          <cell r="D35">
            <v>87.26</v>
          </cell>
        </row>
        <row r="36">
          <cell r="B36">
            <v>44386</v>
          </cell>
          <cell r="C36" t="str">
            <v>Regular Check</v>
          </cell>
          <cell r="D36">
            <v>88</v>
          </cell>
        </row>
        <row r="37">
          <cell r="B37">
            <v>44718</v>
          </cell>
          <cell r="C37" t="str">
            <v>Regular Check</v>
          </cell>
          <cell r="D37">
            <v>91.87</v>
          </cell>
        </row>
        <row r="38">
          <cell r="B38">
            <v>44686</v>
          </cell>
          <cell r="C38" t="str">
            <v>Regular Check</v>
          </cell>
          <cell r="D38">
            <v>93.54</v>
          </cell>
        </row>
        <row r="39">
          <cell r="B39">
            <v>44426</v>
          </cell>
          <cell r="C39" t="str">
            <v>Regular Check</v>
          </cell>
          <cell r="D39">
            <v>94.28</v>
          </cell>
        </row>
        <row r="40">
          <cell r="B40">
            <v>44730</v>
          </cell>
          <cell r="C40" t="str">
            <v>Regular Check</v>
          </cell>
          <cell r="D40">
            <v>96.58</v>
          </cell>
        </row>
        <row r="41">
          <cell r="B41">
            <v>44249</v>
          </cell>
          <cell r="C41" t="str">
            <v>Regular Check</v>
          </cell>
          <cell r="D41">
            <v>99.02</v>
          </cell>
        </row>
        <row r="42">
          <cell r="B42">
            <v>44687</v>
          </cell>
          <cell r="C42" t="str">
            <v>Regular Check</v>
          </cell>
          <cell r="D42">
            <v>100</v>
          </cell>
        </row>
        <row r="43">
          <cell r="B43">
            <v>44381</v>
          </cell>
          <cell r="C43" t="str">
            <v>Regular Check</v>
          </cell>
          <cell r="D43">
            <v>100</v>
          </cell>
        </row>
        <row r="44">
          <cell r="B44">
            <v>44402</v>
          </cell>
          <cell r="C44" t="str">
            <v>Regular Check</v>
          </cell>
          <cell r="D44">
            <v>100</v>
          </cell>
        </row>
        <row r="45">
          <cell r="B45">
            <v>44404</v>
          </cell>
          <cell r="C45" t="str">
            <v>Regular Check</v>
          </cell>
          <cell r="D45">
            <v>115</v>
          </cell>
        </row>
        <row r="46">
          <cell r="B46">
            <v>44306</v>
          </cell>
          <cell r="C46" t="str">
            <v>Regular Check</v>
          </cell>
          <cell r="D46">
            <v>120</v>
          </cell>
        </row>
        <row r="47">
          <cell r="B47">
            <v>44734</v>
          </cell>
          <cell r="C47" t="str">
            <v>Regular Check</v>
          </cell>
          <cell r="D47">
            <v>120.18</v>
          </cell>
        </row>
        <row r="48">
          <cell r="B48">
            <v>44711</v>
          </cell>
          <cell r="C48" t="str">
            <v>Regular Check</v>
          </cell>
          <cell r="D48">
            <v>121</v>
          </cell>
        </row>
        <row r="49">
          <cell r="B49">
            <v>44649</v>
          </cell>
          <cell r="C49" t="str">
            <v>Regular Check</v>
          </cell>
          <cell r="D49">
            <v>125</v>
          </cell>
        </row>
        <row r="50">
          <cell r="B50">
            <v>44656</v>
          </cell>
          <cell r="C50" t="str">
            <v>Regular Check</v>
          </cell>
          <cell r="D50">
            <v>126.72</v>
          </cell>
        </row>
        <row r="51">
          <cell r="B51">
            <v>44423</v>
          </cell>
          <cell r="C51" t="str">
            <v>Regular Check</v>
          </cell>
          <cell r="D51">
            <v>130.88</v>
          </cell>
        </row>
        <row r="52">
          <cell r="B52">
            <v>44397</v>
          </cell>
          <cell r="C52" t="str">
            <v>Regular Check</v>
          </cell>
          <cell r="D52">
            <v>145</v>
          </cell>
        </row>
        <row r="53">
          <cell r="B53">
            <v>44379</v>
          </cell>
          <cell r="C53" t="str">
            <v>Regular Check</v>
          </cell>
          <cell r="D53">
            <v>150</v>
          </cell>
        </row>
        <row r="54">
          <cell r="B54">
            <v>44769</v>
          </cell>
          <cell r="C54" t="str">
            <v>Regular Check</v>
          </cell>
          <cell r="D54">
            <v>151.55000000000001</v>
          </cell>
        </row>
        <row r="55">
          <cell r="B55">
            <v>44408</v>
          </cell>
          <cell r="C55" t="str">
            <v>Regular Check</v>
          </cell>
          <cell r="D55">
            <v>160</v>
          </cell>
        </row>
        <row r="56">
          <cell r="B56">
            <v>44259</v>
          </cell>
          <cell r="C56" t="str">
            <v>Regular Check</v>
          </cell>
          <cell r="D56">
            <v>162.86000000000001</v>
          </cell>
        </row>
        <row r="57">
          <cell r="B57">
            <v>44384</v>
          </cell>
          <cell r="C57" t="str">
            <v>Regular Check</v>
          </cell>
          <cell r="D57">
            <v>170.5</v>
          </cell>
        </row>
        <row r="58">
          <cell r="B58">
            <v>44610</v>
          </cell>
          <cell r="C58" t="str">
            <v>Regular Check</v>
          </cell>
          <cell r="D58">
            <v>174.08</v>
          </cell>
        </row>
        <row r="59">
          <cell r="B59">
            <v>44287</v>
          </cell>
          <cell r="C59" t="str">
            <v>Regular Check</v>
          </cell>
          <cell r="D59">
            <v>175</v>
          </cell>
        </row>
        <row r="60">
          <cell r="B60">
            <v>44339</v>
          </cell>
          <cell r="C60" t="str">
            <v>Regular Check</v>
          </cell>
          <cell r="D60">
            <v>181.52</v>
          </cell>
        </row>
        <row r="61">
          <cell r="B61">
            <v>44088</v>
          </cell>
          <cell r="C61" t="str">
            <v>Regular Check</v>
          </cell>
          <cell r="D61">
            <v>188</v>
          </cell>
        </row>
        <row r="62">
          <cell r="B62">
            <v>44739</v>
          </cell>
          <cell r="C62" t="str">
            <v>Regular Check</v>
          </cell>
          <cell r="D62">
            <v>188.14</v>
          </cell>
        </row>
        <row r="63">
          <cell r="B63">
            <v>44691</v>
          </cell>
          <cell r="C63" t="str">
            <v>Regular Check</v>
          </cell>
          <cell r="D63">
            <v>190.2</v>
          </cell>
        </row>
        <row r="64">
          <cell r="B64">
            <v>44630</v>
          </cell>
          <cell r="C64" t="str">
            <v>Regular Check</v>
          </cell>
          <cell r="D64">
            <v>192</v>
          </cell>
        </row>
        <row r="65">
          <cell r="B65">
            <v>44616</v>
          </cell>
          <cell r="C65" t="str">
            <v>Regular Check</v>
          </cell>
          <cell r="D65">
            <v>198.38</v>
          </cell>
        </row>
        <row r="66">
          <cell r="B66">
            <v>44689</v>
          </cell>
          <cell r="C66" t="str">
            <v>Regular Check</v>
          </cell>
          <cell r="D66">
            <v>200</v>
          </cell>
        </row>
        <row r="67">
          <cell r="B67">
            <v>44628</v>
          </cell>
          <cell r="C67" t="str">
            <v>Regular Check</v>
          </cell>
          <cell r="D67">
            <v>200</v>
          </cell>
        </row>
        <row r="68">
          <cell r="B68">
            <v>44387</v>
          </cell>
          <cell r="C68" t="str">
            <v>Regular Check</v>
          </cell>
          <cell r="D68">
            <v>200</v>
          </cell>
        </row>
        <row r="69">
          <cell r="B69">
            <v>44643</v>
          </cell>
          <cell r="C69" t="str">
            <v>Regular Check</v>
          </cell>
          <cell r="D69">
            <v>200</v>
          </cell>
        </row>
        <row r="70">
          <cell r="B70">
            <v>44393</v>
          </cell>
          <cell r="C70" t="str">
            <v>Regular Check</v>
          </cell>
          <cell r="D70">
            <v>200</v>
          </cell>
        </row>
        <row r="71">
          <cell r="B71">
            <v>44429</v>
          </cell>
          <cell r="C71" t="str">
            <v>Regular Check</v>
          </cell>
          <cell r="D71">
            <v>200</v>
          </cell>
        </row>
        <row r="72">
          <cell r="B72">
            <v>44129</v>
          </cell>
          <cell r="C72" t="str">
            <v>Regular Check</v>
          </cell>
          <cell r="D72">
            <v>200</v>
          </cell>
        </row>
        <row r="73">
          <cell r="B73">
            <v>44658</v>
          </cell>
          <cell r="C73" t="str">
            <v>Regular Check</v>
          </cell>
          <cell r="D73">
            <v>203.12</v>
          </cell>
        </row>
        <row r="74">
          <cell r="B74">
            <v>44351</v>
          </cell>
          <cell r="C74" t="str">
            <v>Regular Check</v>
          </cell>
          <cell r="D74">
            <v>205.94</v>
          </cell>
        </row>
        <row r="75">
          <cell r="B75">
            <v>44394</v>
          </cell>
          <cell r="C75" t="str">
            <v>Regular Check</v>
          </cell>
          <cell r="D75">
            <v>210</v>
          </cell>
        </row>
        <row r="76">
          <cell r="B76">
            <v>44641</v>
          </cell>
          <cell r="C76" t="str">
            <v>Regular Check</v>
          </cell>
          <cell r="D76">
            <v>223.6</v>
          </cell>
        </row>
        <row r="77">
          <cell r="B77">
            <v>44323</v>
          </cell>
          <cell r="C77" t="str">
            <v>Regular Check</v>
          </cell>
          <cell r="D77">
            <v>225</v>
          </cell>
        </row>
        <row r="78">
          <cell r="B78">
            <v>44268</v>
          </cell>
          <cell r="C78" t="str">
            <v>Regular Check</v>
          </cell>
          <cell r="D78">
            <v>225</v>
          </cell>
        </row>
        <row r="79">
          <cell r="B79">
            <v>44431</v>
          </cell>
          <cell r="C79" t="str">
            <v>Regular Check</v>
          </cell>
          <cell r="D79">
            <v>234</v>
          </cell>
        </row>
        <row r="80">
          <cell r="B80">
            <v>44700</v>
          </cell>
          <cell r="C80" t="str">
            <v>Regular Check</v>
          </cell>
          <cell r="D80">
            <v>235.18</v>
          </cell>
        </row>
        <row r="81">
          <cell r="B81">
            <v>44644</v>
          </cell>
          <cell r="C81" t="str">
            <v>Regular Check</v>
          </cell>
          <cell r="D81">
            <v>238.48</v>
          </cell>
        </row>
        <row r="82">
          <cell r="B82">
            <v>44753</v>
          </cell>
          <cell r="C82" t="str">
            <v>Regular Check</v>
          </cell>
          <cell r="D82">
            <v>245.21</v>
          </cell>
        </row>
        <row r="83">
          <cell r="B83">
            <v>44395</v>
          </cell>
          <cell r="C83" t="str">
            <v>Regular Check</v>
          </cell>
          <cell r="D83">
            <v>247.5</v>
          </cell>
        </row>
        <row r="84">
          <cell r="B84">
            <v>44611</v>
          </cell>
          <cell r="C84" t="str">
            <v>Regular Check</v>
          </cell>
          <cell r="D84">
            <v>252.64</v>
          </cell>
        </row>
        <row r="85">
          <cell r="B85">
            <v>44421</v>
          </cell>
          <cell r="C85" t="str">
            <v>Regular Check</v>
          </cell>
          <cell r="D85">
            <v>252.97</v>
          </cell>
        </row>
        <row r="86">
          <cell r="B86">
            <v>44710</v>
          </cell>
          <cell r="C86" t="str">
            <v>Regular Check</v>
          </cell>
          <cell r="D86">
            <v>260.98</v>
          </cell>
        </row>
        <row r="87">
          <cell r="B87">
            <v>44632</v>
          </cell>
          <cell r="C87" t="str">
            <v>Regular Check</v>
          </cell>
          <cell r="D87">
            <v>262.5</v>
          </cell>
        </row>
        <row r="88">
          <cell r="B88">
            <v>44324</v>
          </cell>
          <cell r="C88" t="str">
            <v>Regular Check</v>
          </cell>
          <cell r="D88">
            <v>264.23</v>
          </cell>
        </row>
        <row r="89">
          <cell r="B89">
            <v>44620</v>
          </cell>
          <cell r="C89" t="str">
            <v>Regular Check</v>
          </cell>
          <cell r="D89">
            <v>267</v>
          </cell>
        </row>
        <row r="90">
          <cell r="B90">
            <v>44605</v>
          </cell>
          <cell r="C90" t="str">
            <v>Regular Check</v>
          </cell>
          <cell r="D90">
            <v>268.98</v>
          </cell>
        </row>
        <row r="91">
          <cell r="B91">
            <v>44424</v>
          </cell>
          <cell r="C91" t="str">
            <v>Regular Check</v>
          </cell>
          <cell r="D91">
            <v>269.92</v>
          </cell>
        </row>
        <row r="92">
          <cell r="B92">
            <v>44432</v>
          </cell>
          <cell r="C92" t="str">
            <v>Regular Check</v>
          </cell>
          <cell r="D92">
            <v>279.04000000000002</v>
          </cell>
        </row>
        <row r="93">
          <cell r="B93">
            <v>44627</v>
          </cell>
          <cell r="C93" t="str">
            <v>Regular Check</v>
          </cell>
          <cell r="D93">
            <v>280</v>
          </cell>
        </row>
        <row r="94">
          <cell r="B94">
            <v>44714</v>
          </cell>
          <cell r="C94" t="str">
            <v>Regular Check</v>
          </cell>
          <cell r="D94">
            <v>289.3</v>
          </cell>
        </row>
        <row r="95">
          <cell r="B95">
            <v>44743</v>
          </cell>
          <cell r="C95" t="str">
            <v>Regular Check</v>
          </cell>
          <cell r="D95">
            <v>292.3</v>
          </cell>
        </row>
        <row r="96">
          <cell r="B96">
            <v>44376</v>
          </cell>
          <cell r="C96" t="str">
            <v>Regular Check</v>
          </cell>
          <cell r="D96">
            <v>300</v>
          </cell>
        </row>
        <row r="97">
          <cell r="B97">
            <v>44373</v>
          </cell>
          <cell r="C97" t="str">
            <v>Regular Check</v>
          </cell>
          <cell r="D97">
            <v>309.93</v>
          </cell>
        </row>
        <row r="98">
          <cell r="B98">
            <v>44680</v>
          </cell>
          <cell r="C98" t="str">
            <v>Regular Check</v>
          </cell>
          <cell r="D98">
            <v>315</v>
          </cell>
        </row>
        <row r="99">
          <cell r="B99">
            <v>44631</v>
          </cell>
          <cell r="C99" t="str">
            <v>Regular Check</v>
          </cell>
          <cell r="D99">
            <v>326.91000000000003</v>
          </cell>
        </row>
        <row r="100">
          <cell r="B100">
            <v>44606</v>
          </cell>
          <cell r="C100" t="str">
            <v>Regular Check</v>
          </cell>
          <cell r="D100">
            <v>328.42</v>
          </cell>
        </row>
        <row r="101">
          <cell r="B101">
            <v>44382</v>
          </cell>
          <cell r="C101" t="str">
            <v>Regular Check</v>
          </cell>
          <cell r="D101">
            <v>330</v>
          </cell>
        </row>
        <row r="102">
          <cell r="B102">
            <v>44615</v>
          </cell>
          <cell r="C102" t="str">
            <v>Regular Check</v>
          </cell>
          <cell r="D102">
            <v>364.5</v>
          </cell>
        </row>
        <row r="103">
          <cell r="B103">
            <v>44332</v>
          </cell>
          <cell r="C103" t="str">
            <v>Regular Check</v>
          </cell>
          <cell r="D103">
            <v>364.5</v>
          </cell>
        </row>
        <row r="104">
          <cell r="B104">
            <v>44420</v>
          </cell>
          <cell r="C104" t="str">
            <v>Regular Check</v>
          </cell>
          <cell r="D104">
            <v>380</v>
          </cell>
        </row>
        <row r="105">
          <cell r="B105">
            <v>44622</v>
          </cell>
          <cell r="C105" t="str">
            <v>Regular Check</v>
          </cell>
          <cell r="D105">
            <v>390</v>
          </cell>
        </row>
        <row r="106">
          <cell r="B106">
            <v>44705</v>
          </cell>
          <cell r="C106" t="str">
            <v>Regular Check</v>
          </cell>
          <cell r="D106">
            <v>400</v>
          </cell>
        </row>
        <row r="107">
          <cell r="B107">
            <v>44418</v>
          </cell>
          <cell r="C107" t="str">
            <v>Regular Check</v>
          </cell>
          <cell r="D107">
            <v>400</v>
          </cell>
        </row>
        <row r="108">
          <cell r="B108">
            <v>44721</v>
          </cell>
          <cell r="C108" t="str">
            <v>Regular Check</v>
          </cell>
          <cell r="D108">
            <v>410</v>
          </cell>
        </row>
        <row r="109">
          <cell r="B109">
            <v>44370</v>
          </cell>
          <cell r="C109" t="str">
            <v>Regular Check</v>
          </cell>
          <cell r="D109">
            <v>410</v>
          </cell>
        </row>
        <row r="110">
          <cell r="B110">
            <v>44625</v>
          </cell>
          <cell r="C110" t="str">
            <v>Regular Check</v>
          </cell>
          <cell r="D110">
            <v>410.38</v>
          </cell>
        </row>
        <row r="111">
          <cell r="B111">
            <v>44410</v>
          </cell>
          <cell r="C111" t="str">
            <v>Regular Check</v>
          </cell>
          <cell r="D111">
            <v>424.75</v>
          </cell>
        </row>
        <row r="112">
          <cell r="B112">
            <v>44729</v>
          </cell>
          <cell r="C112" t="str">
            <v>Regular Check</v>
          </cell>
          <cell r="D112">
            <v>432.7</v>
          </cell>
        </row>
        <row r="113">
          <cell r="B113">
            <v>44712</v>
          </cell>
          <cell r="C113" t="str">
            <v>Regular Check</v>
          </cell>
          <cell r="D113">
            <v>441.75</v>
          </cell>
        </row>
        <row r="114">
          <cell r="B114">
            <v>44685</v>
          </cell>
          <cell r="C114" t="str">
            <v>Regular Check</v>
          </cell>
          <cell r="D114">
            <v>442.74</v>
          </cell>
        </row>
        <row r="115">
          <cell r="B115">
            <v>44640</v>
          </cell>
          <cell r="C115" t="str">
            <v>Regular Check</v>
          </cell>
          <cell r="D115">
            <v>455.76</v>
          </cell>
        </row>
        <row r="116">
          <cell r="B116">
            <v>44371</v>
          </cell>
          <cell r="C116" t="str">
            <v>Regular Check</v>
          </cell>
          <cell r="D116">
            <v>463.19</v>
          </cell>
        </row>
        <row r="117">
          <cell r="B117">
            <v>44372</v>
          </cell>
          <cell r="C117" t="str">
            <v>Regular Check</v>
          </cell>
          <cell r="D117">
            <v>467.72</v>
          </cell>
        </row>
        <row r="118">
          <cell r="B118">
            <v>44422</v>
          </cell>
          <cell r="C118" t="str">
            <v>Regular Check</v>
          </cell>
          <cell r="D118">
            <v>472.99</v>
          </cell>
        </row>
        <row r="119">
          <cell r="B119">
            <v>44607</v>
          </cell>
          <cell r="C119" t="str">
            <v>Regular Check</v>
          </cell>
          <cell r="D119">
            <v>473</v>
          </cell>
        </row>
        <row r="120">
          <cell r="B120">
            <v>44590</v>
          </cell>
          <cell r="C120" t="str">
            <v>Regular Check</v>
          </cell>
          <cell r="D120">
            <v>482.6</v>
          </cell>
        </row>
        <row r="121">
          <cell r="B121">
            <v>44692</v>
          </cell>
          <cell r="C121" t="str">
            <v>Regular Check</v>
          </cell>
          <cell r="D121">
            <v>485.28</v>
          </cell>
        </row>
        <row r="122">
          <cell r="B122">
            <v>44694</v>
          </cell>
          <cell r="C122" t="str">
            <v>Regular Check</v>
          </cell>
          <cell r="D122">
            <v>493</v>
          </cell>
        </row>
        <row r="123">
          <cell r="B123">
            <v>44307</v>
          </cell>
          <cell r="C123" t="str">
            <v>Regular Check</v>
          </cell>
          <cell r="D123">
            <v>493</v>
          </cell>
        </row>
        <row r="124">
          <cell r="B124">
            <v>44409</v>
          </cell>
          <cell r="C124" t="str">
            <v>ENC ERR CK 44409 W/O 112910 55.00 S/B 550.00</v>
          </cell>
          <cell r="D124">
            <v>495</v>
          </cell>
        </row>
        <row r="125">
          <cell r="B125">
            <v>44746</v>
          </cell>
          <cell r="C125" t="str">
            <v>Regular Check</v>
          </cell>
          <cell r="D125">
            <v>497.56</v>
          </cell>
        </row>
        <row r="126">
          <cell r="B126">
            <v>44391</v>
          </cell>
          <cell r="C126" t="str">
            <v>Regular Check</v>
          </cell>
          <cell r="D126">
            <v>500</v>
          </cell>
        </row>
        <row r="127">
          <cell r="B127">
            <v>44662</v>
          </cell>
          <cell r="C127" t="str">
            <v>Regular Check</v>
          </cell>
          <cell r="D127">
            <v>500</v>
          </cell>
        </row>
        <row r="128">
          <cell r="B128">
            <v>44722</v>
          </cell>
          <cell r="C128" t="str">
            <v>Regular Check</v>
          </cell>
          <cell r="D128">
            <v>551.76</v>
          </cell>
        </row>
        <row r="129">
          <cell r="B129">
            <v>44760</v>
          </cell>
          <cell r="C129" t="str">
            <v>Regular Check</v>
          </cell>
          <cell r="D129">
            <v>562.74</v>
          </cell>
        </row>
        <row r="130">
          <cell r="B130">
            <v>44699</v>
          </cell>
          <cell r="C130" t="str">
            <v>Regular Check</v>
          </cell>
          <cell r="D130">
            <v>582.94000000000005</v>
          </cell>
        </row>
        <row r="131">
          <cell r="B131">
            <v>44425</v>
          </cell>
          <cell r="C131" t="str">
            <v>Regular Check</v>
          </cell>
          <cell r="D131">
            <v>600</v>
          </cell>
        </row>
        <row r="132">
          <cell r="B132">
            <v>44597</v>
          </cell>
          <cell r="C132" t="str">
            <v>Regular Check</v>
          </cell>
          <cell r="D132">
            <v>604.51</v>
          </cell>
        </row>
        <row r="133">
          <cell r="B133">
            <v>44441</v>
          </cell>
          <cell r="C133" t="str">
            <v>Regular Check</v>
          </cell>
          <cell r="D133">
            <v>650</v>
          </cell>
        </row>
        <row r="134">
          <cell r="B134">
            <v>44617</v>
          </cell>
          <cell r="C134" t="str">
            <v>Regular Check</v>
          </cell>
          <cell r="D134">
            <v>656.87</v>
          </cell>
        </row>
        <row r="135">
          <cell r="B135">
            <v>44688</v>
          </cell>
          <cell r="C135" t="str">
            <v>Regular Check</v>
          </cell>
          <cell r="D135">
            <v>678.22</v>
          </cell>
        </row>
        <row r="136">
          <cell r="B136">
            <v>44302</v>
          </cell>
          <cell r="C136" t="str">
            <v>Regular Check</v>
          </cell>
          <cell r="D136">
            <v>730.4</v>
          </cell>
        </row>
        <row r="137">
          <cell r="B137">
            <v>44356</v>
          </cell>
          <cell r="C137" t="str">
            <v>Regular Check</v>
          </cell>
          <cell r="D137">
            <v>846.76</v>
          </cell>
        </row>
        <row r="138">
          <cell r="B138">
            <v>44352</v>
          </cell>
          <cell r="C138" t="str">
            <v>Regular Check</v>
          </cell>
          <cell r="D138">
            <v>890.14</v>
          </cell>
        </row>
        <row r="139">
          <cell r="B139">
            <v>44614</v>
          </cell>
          <cell r="C139" t="str">
            <v>Regular Check</v>
          </cell>
          <cell r="D139">
            <v>894.57</v>
          </cell>
        </row>
        <row r="140">
          <cell r="B140">
            <v>44665</v>
          </cell>
          <cell r="C140" t="str">
            <v>Regular Check</v>
          </cell>
          <cell r="D140">
            <v>921.5</v>
          </cell>
        </row>
        <row r="141">
          <cell r="B141">
            <v>44348</v>
          </cell>
          <cell r="C141" t="str">
            <v>Regular Check</v>
          </cell>
          <cell r="D141">
            <v>1024.8800000000001</v>
          </cell>
        </row>
        <row r="142">
          <cell r="B142">
            <v>44646</v>
          </cell>
          <cell r="C142" t="str">
            <v>Regular Check</v>
          </cell>
          <cell r="D142">
            <v>1053.25</v>
          </cell>
        </row>
        <row r="143">
          <cell r="B143">
            <v>44609</v>
          </cell>
          <cell r="C143" t="str">
            <v>Regular Check</v>
          </cell>
          <cell r="D143">
            <v>1089.6300000000001</v>
          </cell>
        </row>
        <row r="144">
          <cell r="B144">
            <v>44447</v>
          </cell>
          <cell r="C144" t="str">
            <v>Regular Check</v>
          </cell>
          <cell r="D144">
            <v>1100</v>
          </cell>
        </row>
        <row r="145">
          <cell r="B145">
            <v>44329</v>
          </cell>
          <cell r="C145" t="str">
            <v>Regular Check</v>
          </cell>
          <cell r="D145">
            <v>1100</v>
          </cell>
        </row>
        <row r="146">
          <cell r="B146">
            <v>44642</v>
          </cell>
          <cell r="C146" t="str">
            <v>Regular Check</v>
          </cell>
          <cell r="D146">
            <v>1120</v>
          </cell>
        </row>
        <row r="147">
          <cell r="B147">
            <v>44755</v>
          </cell>
          <cell r="C147" t="str">
            <v>Regular Check</v>
          </cell>
          <cell r="D147">
            <v>1132.8800000000001</v>
          </cell>
        </row>
        <row r="148">
          <cell r="B148">
            <v>44748</v>
          </cell>
          <cell r="C148" t="str">
            <v>Regular Check</v>
          </cell>
          <cell r="D148">
            <v>1134</v>
          </cell>
        </row>
        <row r="149">
          <cell r="B149">
            <v>44591</v>
          </cell>
          <cell r="C149" t="str">
            <v>Regular Check</v>
          </cell>
          <cell r="D149">
            <v>1195.9100000000001</v>
          </cell>
        </row>
        <row r="150">
          <cell r="B150">
            <v>44446</v>
          </cell>
          <cell r="C150" t="str">
            <v>Regular Check</v>
          </cell>
          <cell r="D150">
            <v>1250</v>
          </cell>
        </row>
        <row r="151">
          <cell r="B151">
            <v>44637</v>
          </cell>
          <cell r="C151" t="str">
            <v>Regular Check</v>
          </cell>
          <cell r="D151">
            <v>1262.98</v>
          </cell>
        </row>
        <row r="152">
          <cell r="B152">
            <v>44613</v>
          </cell>
          <cell r="C152" t="str">
            <v>Regular Check</v>
          </cell>
          <cell r="D152">
            <v>1333.85</v>
          </cell>
        </row>
        <row r="153">
          <cell r="B153">
            <v>44427</v>
          </cell>
          <cell r="C153" t="str">
            <v>Regular Check</v>
          </cell>
          <cell r="D153">
            <v>1393.98</v>
          </cell>
        </row>
        <row r="154">
          <cell r="B154">
            <v>44745</v>
          </cell>
          <cell r="C154" t="str">
            <v>Regular Check</v>
          </cell>
          <cell r="D154">
            <v>1404</v>
          </cell>
        </row>
        <row r="155">
          <cell r="B155">
            <v>44430</v>
          </cell>
          <cell r="C155" t="str">
            <v>Regular Check</v>
          </cell>
          <cell r="D155">
            <v>1443.29</v>
          </cell>
        </row>
        <row r="156">
          <cell r="B156">
            <v>44690</v>
          </cell>
          <cell r="C156" t="str">
            <v>Regular Check</v>
          </cell>
          <cell r="D156">
            <v>1482.63</v>
          </cell>
        </row>
        <row r="157">
          <cell r="B157">
            <v>44444</v>
          </cell>
          <cell r="C157" t="str">
            <v>Regular Check</v>
          </cell>
          <cell r="D157">
            <v>1500</v>
          </cell>
        </row>
        <row r="158">
          <cell r="B158">
            <v>44648</v>
          </cell>
          <cell r="C158" t="str">
            <v>Regular Check</v>
          </cell>
          <cell r="D158">
            <v>1526.05</v>
          </cell>
        </row>
        <row r="159">
          <cell r="B159">
            <v>44442</v>
          </cell>
          <cell r="C159" t="str">
            <v>Regular Check</v>
          </cell>
          <cell r="D159">
            <v>1700</v>
          </cell>
        </row>
        <row r="160">
          <cell r="B160">
            <v>44740</v>
          </cell>
          <cell r="C160" t="str">
            <v>Regular Check</v>
          </cell>
          <cell r="D160">
            <v>1792</v>
          </cell>
        </row>
        <row r="161">
          <cell r="B161">
            <v>44747</v>
          </cell>
          <cell r="C161" t="str">
            <v>Regular Check</v>
          </cell>
          <cell r="D161">
            <v>1811.84</v>
          </cell>
        </row>
        <row r="162">
          <cell r="B162">
            <v>44416</v>
          </cell>
          <cell r="C162" t="str">
            <v>Regular Check</v>
          </cell>
          <cell r="D162">
            <v>1851.83</v>
          </cell>
        </row>
        <row r="163">
          <cell r="B163">
            <v>44702</v>
          </cell>
          <cell r="C163" t="str">
            <v>Regular Check</v>
          </cell>
          <cell r="D163">
            <v>1946.33</v>
          </cell>
        </row>
        <row r="164">
          <cell r="B164">
            <v>44595</v>
          </cell>
          <cell r="C164" t="str">
            <v>Regular Check</v>
          </cell>
          <cell r="D164">
            <v>1954.34</v>
          </cell>
        </row>
        <row r="165">
          <cell r="B165">
            <v>44709</v>
          </cell>
          <cell r="C165" t="str">
            <v>Check Cashed</v>
          </cell>
          <cell r="D165">
            <v>2000</v>
          </cell>
        </row>
        <row r="166">
          <cell r="B166">
            <v>44415</v>
          </cell>
          <cell r="C166" t="str">
            <v>Regular Check</v>
          </cell>
          <cell r="D166">
            <v>2000</v>
          </cell>
        </row>
        <row r="167">
          <cell r="B167">
            <v>44598</v>
          </cell>
          <cell r="C167" t="str">
            <v>Regular Check</v>
          </cell>
          <cell r="D167">
            <v>2012.5</v>
          </cell>
        </row>
        <row r="168">
          <cell r="B168">
            <v>44445</v>
          </cell>
          <cell r="C168" t="str">
            <v>Regular Check</v>
          </cell>
          <cell r="D168">
            <v>2050</v>
          </cell>
        </row>
        <row r="169">
          <cell r="B169">
            <v>44761</v>
          </cell>
          <cell r="C169" t="str">
            <v>Regular Check</v>
          </cell>
          <cell r="D169">
            <v>2051.7800000000002</v>
          </cell>
        </row>
        <row r="170">
          <cell r="B170">
            <v>44758</v>
          </cell>
          <cell r="C170" t="str">
            <v>Regular Check</v>
          </cell>
          <cell r="D170">
            <v>2113.6999999999998</v>
          </cell>
        </row>
        <row r="171">
          <cell r="B171">
            <v>44716</v>
          </cell>
          <cell r="C171" t="str">
            <v>Regular Check</v>
          </cell>
          <cell r="D171">
            <v>2114.31</v>
          </cell>
        </row>
        <row r="172">
          <cell r="B172">
            <v>44681</v>
          </cell>
          <cell r="C172" t="str">
            <v>Regular Check</v>
          </cell>
          <cell r="D172">
            <v>2130.98</v>
          </cell>
        </row>
        <row r="173">
          <cell r="B173">
            <v>44663</v>
          </cell>
          <cell r="C173" t="str">
            <v>Regular Check</v>
          </cell>
          <cell r="D173">
            <v>2148.7399999999998</v>
          </cell>
        </row>
        <row r="174">
          <cell r="B174">
            <v>44443</v>
          </cell>
          <cell r="C174" t="str">
            <v>Regular Check</v>
          </cell>
          <cell r="D174">
            <v>2200</v>
          </cell>
        </row>
        <row r="175">
          <cell r="B175">
            <v>44634</v>
          </cell>
          <cell r="C175" t="str">
            <v>Regular Check</v>
          </cell>
          <cell r="D175">
            <v>2268.67</v>
          </cell>
        </row>
        <row r="176">
          <cell r="B176">
            <v>44344</v>
          </cell>
          <cell r="C176" t="str">
            <v>Regular Check</v>
          </cell>
          <cell r="D176">
            <v>2297.9499999999998</v>
          </cell>
        </row>
        <row r="177">
          <cell r="B177">
            <v>44440</v>
          </cell>
          <cell r="C177" t="str">
            <v>Regular Check</v>
          </cell>
          <cell r="D177">
            <v>2300</v>
          </cell>
        </row>
        <row r="178">
          <cell r="B178">
            <v>44592</v>
          </cell>
          <cell r="C178" t="str">
            <v>Regular Check</v>
          </cell>
          <cell r="D178">
            <v>2375</v>
          </cell>
        </row>
        <row r="179">
          <cell r="B179">
            <v>44654</v>
          </cell>
          <cell r="C179" t="str">
            <v>Regular Check</v>
          </cell>
          <cell r="D179">
            <v>2394.9899999999998</v>
          </cell>
        </row>
        <row r="180">
          <cell r="B180">
            <v>44657</v>
          </cell>
          <cell r="C180" t="str">
            <v>Regular Check</v>
          </cell>
          <cell r="D180">
            <v>2400</v>
          </cell>
        </row>
        <row r="181">
          <cell r="B181">
            <v>44723</v>
          </cell>
          <cell r="C181" t="str">
            <v>Regular Check</v>
          </cell>
          <cell r="D181">
            <v>2440</v>
          </cell>
        </row>
        <row r="182">
          <cell r="B182">
            <v>44619</v>
          </cell>
          <cell r="C182" t="str">
            <v>Regular Check</v>
          </cell>
          <cell r="D182">
            <v>2440</v>
          </cell>
        </row>
        <row r="183">
          <cell r="B183">
            <v>44335</v>
          </cell>
          <cell r="C183" t="str">
            <v>Regular Check</v>
          </cell>
          <cell r="D183">
            <v>2440</v>
          </cell>
        </row>
        <row r="184">
          <cell r="B184">
            <v>44735</v>
          </cell>
          <cell r="C184" t="str">
            <v>Regular Check</v>
          </cell>
          <cell r="D184">
            <v>2466.59</v>
          </cell>
        </row>
        <row r="185">
          <cell r="B185">
            <v>44448</v>
          </cell>
          <cell r="C185" t="str">
            <v>Regular Check</v>
          </cell>
          <cell r="D185">
            <v>2500</v>
          </cell>
        </row>
        <row r="186">
          <cell r="B186">
            <v>44623</v>
          </cell>
          <cell r="C186" t="str">
            <v>Regular Check</v>
          </cell>
          <cell r="D186">
            <v>2501.38</v>
          </cell>
        </row>
        <row r="187">
          <cell r="B187">
            <v>44650</v>
          </cell>
          <cell r="C187" t="str">
            <v>Regular Check</v>
          </cell>
          <cell r="D187">
            <v>2502.5</v>
          </cell>
        </row>
        <row r="188">
          <cell r="B188">
            <v>44608</v>
          </cell>
          <cell r="C188" t="str">
            <v>Regular Check</v>
          </cell>
          <cell r="D188">
            <v>2539.87</v>
          </cell>
        </row>
        <row r="189">
          <cell r="B189">
            <v>44639</v>
          </cell>
          <cell r="C189" t="str">
            <v>Regular Check</v>
          </cell>
          <cell r="D189">
            <v>2678.53</v>
          </cell>
        </row>
        <row r="190">
          <cell r="B190">
            <v>44439</v>
          </cell>
          <cell r="C190" t="str">
            <v>Regular Check</v>
          </cell>
          <cell r="D190">
            <v>2700</v>
          </cell>
        </row>
        <row r="191">
          <cell r="B191">
            <v>44679</v>
          </cell>
          <cell r="C191" t="str">
            <v>Regular Check</v>
          </cell>
          <cell r="D191">
            <v>2750</v>
          </cell>
        </row>
        <row r="192">
          <cell r="B192">
            <v>44695</v>
          </cell>
          <cell r="C192" t="str">
            <v>Regular Check</v>
          </cell>
          <cell r="D192">
            <v>2858.42</v>
          </cell>
        </row>
        <row r="193">
          <cell r="B193">
            <v>44337</v>
          </cell>
          <cell r="C193" t="str">
            <v>Regular Check</v>
          </cell>
          <cell r="D193">
            <v>2889.34</v>
          </cell>
        </row>
        <row r="194">
          <cell r="B194">
            <v>44638</v>
          </cell>
          <cell r="C194" t="str">
            <v>Regular Check</v>
          </cell>
          <cell r="D194">
            <v>2935.65</v>
          </cell>
        </row>
        <row r="195">
          <cell r="B195">
            <v>44593</v>
          </cell>
          <cell r="C195" t="str">
            <v>Regular Check</v>
          </cell>
          <cell r="D195">
            <v>2990</v>
          </cell>
        </row>
        <row r="196">
          <cell r="B196">
            <v>44655</v>
          </cell>
          <cell r="C196" t="str">
            <v>Regular Check</v>
          </cell>
          <cell r="D196">
            <v>3000</v>
          </cell>
        </row>
        <row r="197">
          <cell r="B197">
            <v>44612</v>
          </cell>
          <cell r="C197" t="str">
            <v>Regular Check</v>
          </cell>
          <cell r="D197">
            <v>3016.87</v>
          </cell>
        </row>
        <row r="198">
          <cell r="B198">
            <v>44666</v>
          </cell>
          <cell r="C198" t="str">
            <v>Regular Check</v>
          </cell>
          <cell r="D198">
            <v>3126</v>
          </cell>
        </row>
        <row r="199">
          <cell r="B199">
            <v>44438</v>
          </cell>
          <cell r="C199" t="str">
            <v>Regular Check</v>
          </cell>
          <cell r="D199">
            <v>3200</v>
          </cell>
        </row>
        <row r="200">
          <cell r="B200">
            <v>44428</v>
          </cell>
          <cell r="C200" t="str">
            <v>Regular Check</v>
          </cell>
          <cell r="D200">
            <v>3255.46</v>
          </cell>
        </row>
        <row r="201">
          <cell r="B201">
            <v>44677</v>
          </cell>
          <cell r="C201" t="str">
            <v>Regular Check</v>
          </cell>
          <cell r="D201">
            <v>3301.43</v>
          </cell>
        </row>
        <row r="202">
          <cell r="B202">
            <v>44724</v>
          </cell>
          <cell r="C202" t="str">
            <v>Regular Check</v>
          </cell>
          <cell r="D202">
            <v>3450</v>
          </cell>
        </row>
        <row r="203">
          <cell r="B203">
            <v>44437</v>
          </cell>
          <cell r="C203" t="str">
            <v>Regular Check</v>
          </cell>
          <cell r="D203">
            <v>3450</v>
          </cell>
        </row>
        <row r="204">
          <cell r="B204">
            <v>44693</v>
          </cell>
          <cell r="C204" t="str">
            <v>Regular Check</v>
          </cell>
          <cell r="D204">
            <v>3645</v>
          </cell>
        </row>
        <row r="205">
          <cell r="B205">
            <v>44684</v>
          </cell>
          <cell r="C205" t="str">
            <v>Regular Check</v>
          </cell>
          <cell r="D205">
            <v>3650</v>
          </cell>
        </row>
        <row r="206">
          <cell r="B206">
            <v>44698</v>
          </cell>
          <cell r="C206" t="str">
            <v>Regular Check</v>
          </cell>
          <cell r="D206">
            <v>3745.12</v>
          </cell>
        </row>
        <row r="207">
          <cell r="B207">
            <v>44772</v>
          </cell>
          <cell r="C207" t="str">
            <v>Regular Check</v>
          </cell>
          <cell r="D207">
            <v>3771.67</v>
          </cell>
        </row>
        <row r="208">
          <cell r="B208">
            <v>44744</v>
          </cell>
          <cell r="C208" t="str">
            <v>Regular Check</v>
          </cell>
          <cell r="D208">
            <v>3803.4</v>
          </cell>
        </row>
        <row r="209">
          <cell r="B209">
            <v>43991</v>
          </cell>
          <cell r="C209" t="str">
            <v>Regular Check</v>
          </cell>
          <cell r="D209">
            <v>3840</v>
          </cell>
        </row>
        <row r="210">
          <cell r="B210">
            <v>44703</v>
          </cell>
          <cell r="C210" t="str">
            <v>Regular Check</v>
          </cell>
          <cell r="D210">
            <v>3969.17</v>
          </cell>
        </row>
        <row r="211">
          <cell r="B211">
            <v>44594</v>
          </cell>
          <cell r="C211" t="str">
            <v>Regular Check</v>
          </cell>
          <cell r="D211">
            <v>4025</v>
          </cell>
        </row>
        <row r="212">
          <cell r="B212">
            <v>44602</v>
          </cell>
          <cell r="C212" t="str">
            <v>Check Cashed</v>
          </cell>
          <cell r="D212">
            <v>4100</v>
          </cell>
        </row>
        <row r="213">
          <cell r="B213">
            <v>44633</v>
          </cell>
          <cell r="C213" t="str">
            <v>Regular Check</v>
          </cell>
          <cell r="D213">
            <v>4147.5</v>
          </cell>
        </row>
        <row r="214">
          <cell r="B214">
            <v>44596</v>
          </cell>
          <cell r="C214" t="str">
            <v>Regular Check</v>
          </cell>
          <cell r="D214">
            <v>4220.1000000000004</v>
          </cell>
        </row>
        <row r="215">
          <cell r="B215">
            <v>44720</v>
          </cell>
          <cell r="C215" t="str">
            <v>Regular Check</v>
          </cell>
          <cell r="D215">
            <v>4275</v>
          </cell>
        </row>
        <row r="216">
          <cell r="B216">
            <v>44624</v>
          </cell>
          <cell r="C216" t="str">
            <v>Regular Check</v>
          </cell>
          <cell r="D216">
            <v>4322.28</v>
          </cell>
        </row>
        <row r="217">
          <cell r="B217">
            <v>44604</v>
          </cell>
          <cell r="C217" t="str">
            <v>Regular Check</v>
          </cell>
          <cell r="D217">
            <v>4503.8900000000003</v>
          </cell>
        </row>
        <row r="218">
          <cell r="B218">
            <v>44433</v>
          </cell>
          <cell r="C218" t="str">
            <v>Regular Check</v>
          </cell>
          <cell r="D218">
            <v>4660.62</v>
          </cell>
        </row>
        <row r="219">
          <cell r="B219">
            <v>44697</v>
          </cell>
          <cell r="C219" t="str">
            <v>Regular Check</v>
          </cell>
          <cell r="D219">
            <v>4815</v>
          </cell>
        </row>
        <row r="220">
          <cell r="B220">
            <v>44314</v>
          </cell>
          <cell r="C220" t="str">
            <v>Regular Check</v>
          </cell>
          <cell r="D220">
            <v>4920</v>
          </cell>
        </row>
        <row r="221">
          <cell r="B221">
            <v>44417</v>
          </cell>
          <cell r="C221" t="str">
            <v>Regular Check</v>
          </cell>
          <cell r="D221">
            <v>5056.0600000000004</v>
          </cell>
        </row>
        <row r="222">
          <cell r="B222">
            <v>44636</v>
          </cell>
          <cell r="C222" t="str">
            <v>Regular Check</v>
          </cell>
          <cell r="D222">
            <v>5299.11</v>
          </cell>
        </row>
        <row r="223">
          <cell r="B223">
            <v>44629</v>
          </cell>
          <cell r="C223" t="str">
            <v>Regular Check</v>
          </cell>
          <cell r="D223">
            <v>5405</v>
          </cell>
        </row>
        <row r="224">
          <cell r="B224">
            <v>44434</v>
          </cell>
          <cell r="C224" t="str">
            <v>Regular Check</v>
          </cell>
          <cell r="D224">
            <v>6809.06</v>
          </cell>
        </row>
        <row r="225">
          <cell r="B225">
            <v>44757</v>
          </cell>
          <cell r="C225" t="str">
            <v>Regular Check</v>
          </cell>
          <cell r="D225">
            <v>6878.86</v>
          </cell>
        </row>
        <row r="226">
          <cell r="B226">
            <v>44647</v>
          </cell>
          <cell r="C226" t="str">
            <v>Regular Check</v>
          </cell>
          <cell r="D226">
            <v>7707.88</v>
          </cell>
        </row>
        <row r="227">
          <cell r="B227">
            <v>44621</v>
          </cell>
          <cell r="C227" t="str">
            <v>Regular Check</v>
          </cell>
          <cell r="D227">
            <v>8140.75</v>
          </cell>
        </row>
        <row r="228">
          <cell r="B228">
            <v>44733</v>
          </cell>
          <cell r="C228" t="str">
            <v>Regular Check</v>
          </cell>
          <cell r="D228">
            <v>8407.7999999999993</v>
          </cell>
        </row>
        <row r="229">
          <cell r="B229">
            <v>44652</v>
          </cell>
          <cell r="C229" t="str">
            <v>Regular Check</v>
          </cell>
          <cell r="D229">
            <v>8543.2800000000007</v>
          </cell>
        </row>
        <row r="230">
          <cell r="B230">
            <v>44599</v>
          </cell>
          <cell r="C230" t="str">
            <v>Regular Check</v>
          </cell>
          <cell r="D230">
            <v>9952</v>
          </cell>
        </row>
        <row r="231">
          <cell r="B231">
            <v>44626</v>
          </cell>
          <cell r="C231" t="str">
            <v>Regular Check</v>
          </cell>
          <cell r="D231">
            <v>10350</v>
          </cell>
        </row>
        <row r="232">
          <cell r="B232">
            <v>44336</v>
          </cell>
          <cell r="C232" t="str">
            <v>Regular Check</v>
          </cell>
          <cell r="D232">
            <v>10350</v>
          </cell>
        </row>
        <row r="233">
          <cell r="B233">
            <v>44667</v>
          </cell>
          <cell r="C233" t="str">
            <v>Regular Check</v>
          </cell>
          <cell r="D233">
            <v>11790</v>
          </cell>
        </row>
        <row r="234">
          <cell r="B234">
            <v>44672</v>
          </cell>
          <cell r="C234" t="str">
            <v>Regular Check</v>
          </cell>
          <cell r="D234">
            <v>11790</v>
          </cell>
        </row>
        <row r="235">
          <cell r="B235">
            <v>44671</v>
          </cell>
          <cell r="C235" t="str">
            <v>Regular Check</v>
          </cell>
          <cell r="D235">
            <v>11790</v>
          </cell>
        </row>
        <row r="236">
          <cell r="B236">
            <v>44669</v>
          </cell>
          <cell r="C236" t="str">
            <v>Regular Check</v>
          </cell>
          <cell r="D236">
            <v>11790</v>
          </cell>
        </row>
        <row r="237">
          <cell r="B237">
            <v>44668</v>
          </cell>
          <cell r="C237" t="str">
            <v>Regular Check</v>
          </cell>
          <cell r="D237">
            <v>11790</v>
          </cell>
        </row>
        <row r="238">
          <cell r="B238">
            <v>44673</v>
          </cell>
          <cell r="C238" t="str">
            <v>Regular Check</v>
          </cell>
          <cell r="D238">
            <v>11790</v>
          </cell>
        </row>
        <row r="239">
          <cell r="B239">
            <v>44670</v>
          </cell>
          <cell r="C239" t="str">
            <v>Regular Check</v>
          </cell>
          <cell r="D239">
            <v>11790</v>
          </cell>
        </row>
        <row r="240">
          <cell r="B240">
            <v>44674</v>
          </cell>
          <cell r="C240" t="str">
            <v>Regular Check</v>
          </cell>
          <cell r="D240">
            <v>11790</v>
          </cell>
        </row>
        <row r="241">
          <cell r="B241">
            <v>44675</v>
          </cell>
          <cell r="C241" t="str">
            <v>Regular Check</v>
          </cell>
          <cell r="D241">
            <v>11790</v>
          </cell>
        </row>
        <row r="242">
          <cell r="B242">
            <v>44660</v>
          </cell>
          <cell r="C242" t="str">
            <v>Regular Check</v>
          </cell>
          <cell r="D242">
            <v>13003.91</v>
          </cell>
        </row>
        <row r="243">
          <cell r="B243">
            <v>44338</v>
          </cell>
          <cell r="C243" t="str">
            <v>Regular Check</v>
          </cell>
          <cell r="D243">
            <v>16618.07</v>
          </cell>
        </row>
        <row r="244">
          <cell r="B244">
            <v>44754</v>
          </cell>
          <cell r="C244" t="str">
            <v>Regular Check</v>
          </cell>
          <cell r="D244">
            <v>38900</v>
          </cell>
        </row>
        <row r="245">
          <cell r="B245">
            <v>44435</v>
          </cell>
          <cell r="C245" t="str">
            <v>Regular Check</v>
          </cell>
          <cell r="D245">
            <v>43561.760000000002</v>
          </cell>
        </row>
        <row r="246">
          <cell r="B246">
            <v>44676</v>
          </cell>
          <cell r="C246" t="str">
            <v>Regular Check</v>
          </cell>
          <cell r="D246">
            <v>52176.06</v>
          </cell>
        </row>
        <row r="247">
          <cell r="B247">
            <v>44320</v>
          </cell>
          <cell r="C247" t="str">
            <v>Regular Check</v>
          </cell>
          <cell r="D247">
            <v>53077.46</v>
          </cell>
        </row>
        <row r="248">
          <cell r="B248">
            <v>44600</v>
          </cell>
          <cell r="C248" t="str">
            <v>Regular Check</v>
          </cell>
          <cell r="D248">
            <v>110213.54</v>
          </cell>
        </row>
        <row r="249">
          <cell r="B249">
            <v>44369</v>
          </cell>
          <cell r="C249" t="str">
            <v>Regular Check</v>
          </cell>
          <cell r="D249">
            <v>166596</v>
          </cell>
        </row>
        <row r="250">
          <cell r="B250">
            <v>0</v>
          </cell>
          <cell r="C250" t="str">
            <v>TRANSFER FROM DDA Business ACCOUNT 3819833</v>
          </cell>
          <cell r="D250">
            <v>0</v>
          </cell>
        </row>
        <row r="251">
          <cell r="B251">
            <v>0</v>
          </cell>
          <cell r="C251" t="str">
            <v>TRANSFER FROM DDA Business ACCOUNT 3819833</v>
          </cell>
          <cell r="D251">
            <v>0</v>
          </cell>
        </row>
        <row r="252">
          <cell r="B252">
            <v>0</v>
          </cell>
          <cell r="C252" t="str">
            <v>TRANSFER FROM DDA Business ACCOUNT 3819833</v>
          </cell>
          <cell r="D252">
            <v>0</v>
          </cell>
        </row>
        <row r="253">
          <cell r="B253">
            <v>0</v>
          </cell>
          <cell r="C253" t="str">
            <v>TRANSFER FROM DDA Business ACCOUNT 3819833</v>
          </cell>
          <cell r="D253">
            <v>0</v>
          </cell>
        </row>
        <row r="254">
          <cell r="B254">
            <v>0</v>
          </cell>
          <cell r="C254" t="str">
            <v>TRANSFER FROM DDA Business ACCOUNT 3819833</v>
          </cell>
          <cell r="D254">
            <v>0</v>
          </cell>
        </row>
        <row r="255">
          <cell r="B255">
            <v>0</v>
          </cell>
          <cell r="C255" t="str">
            <v>TRANSFER FROM DDA Business ACCOUNT 3819833</v>
          </cell>
          <cell r="D255">
            <v>0</v>
          </cell>
        </row>
        <row r="256">
          <cell r="B256">
            <v>0</v>
          </cell>
          <cell r="C256" t="str">
            <v>TRANSFER FROM DDA Business ACCOUNT 3819833</v>
          </cell>
          <cell r="D256">
            <v>0</v>
          </cell>
        </row>
        <row r="257">
          <cell r="B257">
            <v>0</v>
          </cell>
          <cell r="C257" t="str">
            <v>TRANSFER FROM DDA Business ACCOUNT 3819833</v>
          </cell>
          <cell r="D257">
            <v>0</v>
          </cell>
        </row>
        <row r="258">
          <cell r="B258">
            <v>0</v>
          </cell>
          <cell r="C258" t="str">
            <v>TRANSFER FROM DDA Business ACCOUNT 3819833</v>
          </cell>
          <cell r="D258">
            <v>0</v>
          </cell>
        </row>
        <row r="259">
          <cell r="B259">
            <v>0</v>
          </cell>
          <cell r="C259" t="str">
            <v>TRANSFER FROM DDA Business ACCOUNT 3819833</v>
          </cell>
          <cell r="D259">
            <v>0</v>
          </cell>
        </row>
        <row r="260">
          <cell r="B260">
            <v>0</v>
          </cell>
          <cell r="C260" t="str">
            <v>TRANSFER FROM DDA Business ACCOUNT 3819833</v>
          </cell>
          <cell r="D260">
            <v>0</v>
          </cell>
        </row>
        <row r="261">
          <cell r="B261">
            <v>0</v>
          </cell>
          <cell r="C261" t="str">
            <v>TRANSFER FROM DDA Business ACCOUNT 3819833</v>
          </cell>
          <cell r="D261">
            <v>0</v>
          </cell>
        </row>
        <row r="262">
          <cell r="B262">
            <v>0</v>
          </cell>
          <cell r="C262" t="str">
            <v>TRANSFER FROM DDA Business ACCOUNT 3819833</v>
          </cell>
          <cell r="D262">
            <v>0</v>
          </cell>
        </row>
        <row r="263">
          <cell r="B263">
            <v>0</v>
          </cell>
          <cell r="C263" t="str">
            <v>TRANSFER FROM DDA Business ACCOUNT 3819833</v>
          </cell>
          <cell r="D263">
            <v>0</v>
          </cell>
        </row>
        <row r="264">
          <cell r="B264">
            <v>0</v>
          </cell>
          <cell r="C264" t="str">
            <v>TRANSFER FROM DDA Business ACCOUNT 3819833</v>
          </cell>
          <cell r="D264">
            <v>0</v>
          </cell>
        </row>
        <row r="265">
          <cell r="B265">
            <v>0</v>
          </cell>
          <cell r="C265" t="str">
            <v>TRANSFER FROM DDA Business ACCOUNT 3819833</v>
          </cell>
          <cell r="D265">
            <v>0</v>
          </cell>
        </row>
        <row r="266">
          <cell r="B266">
            <v>0</v>
          </cell>
          <cell r="C266" t="str">
            <v>TRANSFER FROM DDA Business ACCOUNT 3819833</v>
          </cell>
          <cell r="D266">
            <v>0</v>
          </cell>
        </row>
        <row r="267">
          <cell r="B267">
            <v>0</v>
          </cell>
          <cell r="C267" t="str">
            <v>TRANSFER FROM DDA Business ACCOUNT 3819833</v>
          </cell>
          <cell r="D267">
            <v>0</v>
          </cell>
        </row>
        <row r="268">
          <cell r="B268">
            <v>0</v>
          </cell>
          <cell r="C268" t="str">
            <v>TRANSFER FROM DDA Business ACCOUNT 3819833</v>
          </cell>
          <cell r="D268">
            <v>0</v>
          </cell>
        </row>
        <row r="269">
          <cell r="B269">
            <v>0</v>
          </cell>
          <cell r="C269" t="str">
            <v>TRANSFER FROM DDA Business ACCOUNT 3819833</v>
          </cell>
          <cell r="D269">
            <v>0</v>
          </cell>
        </row>
        <row r="270">
          <cell r="B270">
            <v>0</v>
          </cell>
          <cell r="C270" t="str">
            <v>TRANSFER FROM DDA Business ACCOUNT 3819833</v>
          </cell>
          <cell r="D270">
            <v>0</v>
          </cell>
        </row>
        <row r="271">
          <cell r="B271">
            <v>0</v>
          </cell>
          <cell r="C271" t="str">
            <v>TRANSFER FROM DDA Business ACCOUNT 3819833</v>
          </cell>
          <cell r="D271">
            <v>0</v>
          </cell>
        </row>
        <row r="272">
          <cell r="B272">
            <v>0</v>
          </cell>
          <cell r="C272" t="str">
            <v>TRANSFER FROM DDA Business ACCOUNT 3819833</v>
          </cell>
          <cell r="D272">
            <v>0</v>
          </cell>
        </row>
      </sheetData>
      <sheetData sheetId="5"/>
      <sheetData sheetId="6">
        <row r="8">
          <cell r="F8" t="str">
            <v>Variance</v>
          </cell>
        </row>
        <row r="9">
          <cell r="F9">
            <v>50</v>
          </cell>
        </row>
        <row r="10">
          <cell r="F10">
            <v>87.5</v>
          </cell>
        </row>
        <row r="11">
          <cell r="F11">
            <v>100</v>
          </cell>
        </row>
        <row r="12">
          <cell r="F12">
            <v>40</v>
          </cell>
        </row>
        <row r="13">
          <cell r="F13">
            <v>2050</v>
          </cell>
        </row>
        <row r="14">
          <cell r="F14">
            <v>921.07</v>
          </cell>
        </row>
        <row r="15">
          <cell r="F15">
            <v>1400</v>
          </cell>
        </row>
        <row r="16">
          <cell r="F16">
            <v>1735.51</v>
          </cell>
        </row>
        <row r="17">
          <cell r="F17">
            <v>1159.6000000000001</v>
          </cell>
        </row>
        <row r="18">
          <cell r="F18">
            <v>920</v>
          </cell>
        </row>
        <row r="19">
          <cell r="F19">
            <v>795.2</v>
          </cell>
        </row>
        <row r="20">
          <cell r="F20">
            <v>650</v>
          </cell>
        </row>
        <row r="21">
          <cell r="F21">
            <v>870</v>
          </cell>
        </row>
        <row r="22">
          <cell r="F22">
            <v>835.80000000000007</v>
          </cell>
        </row>
        <row r="23">
          <cell r="F23">
            <v>1730</v>
          </cell>
        </row>
        <row r="24">
          <cell r="F24">
            <v>1700</v>
          </cell>
        </row>
        <row r="25">
          <cell r="F25">
            <v>660</v>
          </cell>
        </row>
        <row r="26">
          <cell r="F26">
            <v>1556.68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100</v>
          </cell>
        </row>
        <row r="30">
          <cell r="F30">
            <v>150</v>
          </cell>
        </row>
        <row r="31">
          <cell r="F31">
            <v>90</v>
          </cell>
        </row>
        <row r="32">
          <cell r="F32">
            <v>150</v>
          </cell>
        </row>
        <row r="33">
          <cell r="F33">
            <v>450</v>
          </cell>
        </row>
        <row r="34">
          <cell r="F34">
            <v>243.16</v>
          </cell>
        </row>
        <row r="35">
          <cell r="F35">
            <v>400</v>
          </cell>
        </row>
        <row r="36">
          <cell r="F36">
            <v>480</v>
          </cell>
        </row>
        <row r="37">
          <cell r="F37">
            <v>126.5</v>
          </cell>
        </row>
        <row r="38">
          <cell r="F38">
            <v>0</v>
          </cell>
        </row>
        <row r="39">
          <cell r="F39">
            <v>27.25</v>
          </cell>
        </row>
        <row r="40">
          <cell r="F40">
            <v>375</v>
          </cell>
        </row>
        <row r="41">
          <cell r="F41">
            <v>233</v>
          </cell>
        </row>
        <row r="42">
          <cell r="F42">
            <v>3450</v>
          </cell>
        </row>
        <row r="43">
          <cell r="F43">
            <v>250</v>
          </cell>
        </row>
        <row r="44">
          <cell r="F44">
            <v>105.02</v>
          </cell>
        </row>
        <row r="45">
          <cell r="F45">
            <v>70.48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50</v>
          </cell>
        </row>
        <row r="49">
          <cell r="F49">
            <v>113.75</v>
          </cell>
        </row>
        <row r="50">
          <cell r="F50">
            <v>300</v>
          </cell>
        </row>
        <row r="51">
          <cell r="F51">
            <v>0</v>
          </cell>
        </row>
        <row r="52">
          <cell r="F52">
            <v>25</v>
          </cell>
        </row>
        <row r="53">
          <cell r="F53">
            <v>850.86</v>
          </cell>
        </row>
        <row r="54">
          <cell r="F54">
            <v>330</v>
          </cell>
        </row>
        <row r="55">
          <cell r="F55">
            <v>25.76</v>
          </cell>
        </row>
        <row r="56">
          <cell r="F56">
            <v>115</v>
          </cell>
        </row>
        <row r="57">
          <cell r="F57">
            <v>310.66000000000003</v>
          </cell>
        </row>
        <row r="58">
          <cell r="F58">
            <v>30</v>
          </cell>
        </row>
        <row r="59">
          <cell r="F59">
            <v>109</v>
          </cell>
        </row>
        <row r="60">
          <cell r="F60">
            <v>0</v>
          </cell>
        </row>
        <row r="61">
          <cell r="F61">
            <v>62.78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254.04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135.06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450</v>
          </cell>
        </row>
        <row r="90">
          <cell r="F90">
            <v>0</v>
          </cell>
        </row>
        <row r="91">
          <cell r="F91">
            <v>78812.88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79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90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40</v>
          </cell>
        </row>
        <row r="111">
          <cell r="F111">
            <v>125</v>
          </cell>
        </row>
        <row r="112">
          <cell r="F112">
            <v>0</v>
          </cell>
        </row>
        <row r="113">
          <cell r="F113">
            <v>160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100</v>
          </cell>
        </row>
        <row r="118">
          <cell r="F118">
            <v>0</v>
          </cell>
        </row>
        <row r="119">
          <cell r="F119">
            <v>164.4</v>
          </cell>
        </row>
        <row r="120">
          <cell r="F120">
            <v>155.45000000000002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399.2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31.580000000000002</v>
          </cell>
        </row>
        <row r="129">
          <cell r="F129">
            <v>225</v>
          </cell>
        </row>
        <row r="130">
          <cell r="F130">
            <v>250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-78812.88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-3450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550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2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-4750</v>
          </cell>
        </row>
        <row r="255">
          <cell r="F255">
            <v>4750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50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3286.5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7.76</v>
          </cell>
        </row>
        <row r="282">
          <cell r="F282">
            <v>0</v>
          </cell>
        </row>
        <row r="283">
          <cell r="F283">
            <v>900</v>
          </cell>
        </row>
        <row r="284">
          <cell r="F284">
            <v>158.85</v>
          </cell>
        </row>
        <row r="285">
          <cell r="F285">
            <v>21320.420000000002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52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260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2650</v>
          </cell>
        </row>
        <row r="303">
          <cell r="F303">
            <v>463.19</v>
          </cell>
        </row>
        <row r="304">
          <cell r="F304">
            <v>467.72</v>
          </cell>
        </row>
        <row r="305">
          <cell r="F305">
            <v>6170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180</v>
          </cell>
        </row>
        <row r="309">
          <cell r="F309">
            <v>16557.72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160</v>
          </cell>
        </row>
        <row r="314">
          <cell r="F314">
            <v>2302.5</v>
          </cell>
        </row>
        <row r="315">
          <cell r="F315">
            <v>1029.8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671.85</v>
          </cell>
        </row>
        <row r="319">
          <cell r="F319">
            <v>456.58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150</v>
          </cell>
        </row>
        <row r="327">
          <cell r="F327">
            <v>10200</v>
          </cell>
        </row>
        <row r="328">
          <cell r="F328">
            <v>1149.5899999999999</v>
          </cell>
        </row>
        <row r="329">
          <cell r="F329">
            <v>531.95000000000005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166596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697.34</v>
          </cell>
        </row>
        <row r="337">
          <cell r="F337">
            <v>0</v>
          </cell>
        </row>
        <row r="338">
          <cell r="F338">
            <v>-30</v>
          </cell>
        </row>
        <row r="339">
          <cell r="F339">
            <v>0</v>
          </cell>
        </row>
        <row r="340">
          <cell r="F340">
            <v>12532</v>
          </cell>
        </row>
        <row r="341">
          <cell r="F341">
            <v>30</v>
          </cell>
        </row>
        <row r="342">
          <cell r="F342">
            <v>1450</v>
          </cell>
        </row>
        <row r="343">
          <cell r="F343">
            <v>1979.42</v>
          </cell>
        </row>
        <row r="344">
          <cell r="F344">
            <v>7641.46</v>
          </cell>
        </row>
        <row r="345">
          <cell r="F345">
            <v>280.15000000000003</v>
          </cell>
        </row>
        <row r="346">
          <cell r="F346">
            <v>1429.4</v>
          </cell>
        </row>
        <row r="347">
          <cell r="F347">
            <v>0</v>
          </cell>
        </row>
        <row r="348">
          <cell r="F348">
            <v>100</v>
          </cell>
        </row>
        <row r="349">
          <cell r="F349">
            <v>2186.6</v>
          </cell>
        </row>
        <row r="350">
          <cell r="F350">
            <v>0</v>
          </cell>
        </row>
        <row r="351">
          <cell r="F351">
            <v>298.39</v>
          </cell>
        </row>
        <row r="352">
          <cell r="F352">
            <v>2750</v>
          </cell>
        </row>
        <row r="353">
          <cell r="F353">
            <v>250</v>
          </cell>
        </row>
        <row r="354">
          <cell r="F354">
            <v>234.46</v>
          </cell>
        </row>
        <row r="355">
          <cell r="F355">
            <v>5960.6</v>
          </cell>
        </row>
        <row r="356">
          <cell r="F356">
            <v>355.39</v>
          </cell>
        </row>
        <row r="357">
          <cell r="F357">
            <v>131.59</v>
          </cell>
        </row>
        <row r="358">
          <cell r="F358">
            <v>30.77</v>
          </cell>
        </row>
        <row r="359">
          <cell r="F359">
            <v>708.35</v>
          </cell>
        </row>
        <row r="360">
          <cell r="F360">
            <v>803.35</v>
          </cell>
        </row>
        <row r="361">
          <cell r="F361">
            <v>659.84</v>
          </cell>
        </row>
        <row r="362">
          <cell r="F362">
            <v>135.62</v>
          </cell>
        </row>
        <row r="363">
          <cell r="F363">
            <v>52</v>
          </cell>
        </row>
        <row r="364">
          <cell r="F364">
            <v>114.99000000000001</v>
          </cell>
        </row>
        <row r="365">
          <cell r="F365">
            <v>1534.79</v>
          </cell>
        </row>
        <row r="366">
          <cell r="F366">
            <v>328.61</v>
          </cell>
        </row>
        <row r="367">
          <cell r="F367">
            <v>136.33000000000001</v>
          </cell>
        </row>
        <row r="368">
          <cell r="F368">
            <v>514.62</v>
          </cell>
        </row>
        <row r="369">
          <cell r="F369">
            <v>4080.4</v>
          </cell>
        </row>
        <row r="370">
          <cell r="F370">
            <v>50.96</v>
          </cell>
        </row>
        <row r="371">
          <cell r="F371">
            <v>110.74000000000001</v>
          </cell>
        </row>
        <row r="372">
          <cell r="F372">
            <v>670.80000000000007</v>
          </cell>
        </row>
        <row r="373">
          <cell r="F373">
            <v>1792</v>
          </cell>
        </row>
        <row r="374">
          <cell r="F374">
            <v>714.15</v>
          </cell>
        </row>
        <row r="375">
          <cell r="F375">
            <v>246.46</v>
          </cell>
        </row>
        <row r="376">
          <cell r="F376">
            <v>142.65</v>
          </cell>
        </row>
        <row r="377">
          <cell r="F377">
            <v>1045</v>
          </cell>
        </row>
        <row r="378">
          <cell r="F378">
            <v>1104.3800000000001</v>
          </cell>
        </row>
        <row r="379">
          <cell r="F379">
            <v>19534.55</v>
          </cell>
        </row>
        <row r="380">
          <cell r="F380">
            <v>255.23000000000002</v>
          </cell>
        </row>
        <row r="381">
          <cell r="F381">
            <v>146.78</v>
          </cell>
        </row>
        <row r="382">
          <cell r="F382">
            <v>6.99</v>
          </cell>
        </row>
        <row r="383">
          <cell r="F383">
            <v>258.74</v>
          </cell>
        </row>
        <row r="384">
          <cell r="F384">
            <v>938.41</v>
          </cell>
        </row>
        <row r="385">
          <cell r="F385">
            <v>134.99</v>
          </cell>
        </row>
        <row r="386">
          <cell r="F386">
            <v>266.82</v>
          </cell>
        </row>
        <row r="387">
          <cell r="F387">
            <v>131.6</v>
          </cell>
        </row>
        <row r="388">
          <cell r="F388">
            <v>507.78000000000003</v>
          </cell>
        </row>
        <row r="389">
          <cell r="F389">
            <v>1966.03</v>
          </cell>
        </row>
        <row r="390">
          <cell r="F390">
            <v>255</v>
          </cell>
        </row>
        <row r="391">
          <cell r="F391">
            <v>255</v>
          </cell>
        </row>
        <row r="392">
          <cell r="F392">
            <v>367.97</v>
          </cell>
        </row>
        <row r="393">
          <cell r="F393">
            <v>328.35</v>
          </cell>
        </row>
        <row r="394">
          <cell r="F394">
            <v>198.78</v>
          </cell>
        </row>
        <row r="395">
          <cell r="F395">
            <v>52.49</v>
          </cell>
        </row>
        <row r="396">
          <cell r="F396">
            <v>109.23</v>
          </cell>
        </row>
        <row r="397">
          <cell r="F397">
            <v>3566.46</v>
          </cell>
        </row>
        <row r="398">
          <cell r="F398">
            <v>8970</v>
          </cell>
        </row>
        <row r="399">
          <cell r="F399">
            <v>2567.0500000000002</v>
          </cell>
        </row>
        <row r="400">
          <cell r="F400">
            <v>38.35</v>
          </cell>
        </row>
        <row r="401">
          <cell r="F401">
            <v>199</v>
          </cell>
        </row>
        <row r="402">
          <cell r="F402">
            <v>2394.96</v>
          </cell>
        </row>
        <row r="403">
          <cell r="F403">
            <v>3605.32</v>
          </cell>
        </row>
        <row r="404">
          <cell r="F404">
            <v>4564.5200000000004</v>
          </cell>
        </row>
        <row r="405">
          <cell r="F405">
            <v>3462.2000000000003</v>
          </cell>
        </row>
        <row r="406">
          <cell r="F406">
            <v>2482.16</v>
          </cell>
        </row>
        <row r="407">
          <cell r="F407">
            <v>532.38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"/>
      <sheetName val="Recs731f "/>
      <sheetName val="Recs731Sf"/>
      <sheetName val="Sheet1"/>
      <sheetName val="adjmnt"/>
      <sheetName val="recon"/>
      <sheetName val="bank"/>
      <sheetName val="1101"/>
      <sheetName val="CC US BA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"/>
      <sheetName val="7-10F"/>
      <sheetName val="7-10SF"/>
      <sheetName val="AP OS CHECKS "/>
      <sheetName val="avmap"/>
      <sheetName val="1102 710"/>
      <sheetName val="1102 bank"/>
      <sheetName val="1102-6-10"/>
      <sheetName val="bank 6-10"/>
      <sheetName val="use this work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Check</v>
          </cell>
          <cell r="B1" t="str">
            <v>Debit</v>
          </cell>
          <cell r="C1" t="str">
            <v>Credit</v>
          </cell>
          <cell r="D1" t="str">
            <v>Balance</v>
          </cell>
          <cell r="E1" t="str">
            <v>Post Date</v>
          </cell>
          <cell r="F1" t="str">
            <v>Description</v>
          </cell>
        </row>
        <row r="2">
          <cell r="A2">
            <v>52370</v>
          </cell>
          <cell r="B2">
            <v>248.01</v>
          </cell>
          <cell r="C2">
            <v>0</v>
          </cell>
          <cell r="D2">
            <v>248.01</v>
          </cell>
          <cell r="E2">
            <v>40361</v>
          </cell>
          <cell r="F2" t="str">
            <v>CHECK</v>
          </cell>
        </row>
        <row r="3">
          <cell r="A3">
            <v>52908</v>
          </cell>
          <cell r="B3">
            <v>1980</v>
          </cell>
          <cell r="C3">
            <v>0</v>
          </cell>
          <cell r="D3">
            <v>1980</v>
          </cell>
          <cell r="E3">
            <v>40366</v>
          </cell>
          <cell r="F3" t="str">
            <v>CHECK</v>
          </cell>
        </row>
        <row r="4">
          <cell r="A4">
            <v>53014</v>
          </cell>
          <cell r="B4">
            <v>5001.1400000000003</v>
          </cell>
          <cell r="C4">
            <v>0</v>
          </cell>
          <cell r="D4">
            <v>5001.1400000000003</v>
          </cell>
          <cell r="E4">
            <v>40371</v>
          </cell>
          <cell r="F4" t="str">
            <v>CHECK</v>
          </cell>
        </row>
        <row r="5">
          <cell r="A5">
            <v>53061</v>
          </cell>
          <cell r="B5">
            <v>3401.24</v>
          </cell>
          <cell r="C5">
            <v>0</v>
          </cell>
          <cell r="D5">
            <v>3401.24</v>
          </cell>
          <cell r="E5">
            <v>40366</v>
          </cell>
          <cell r="F5" t="str">
            <v>CHECK</v>
          </cell>
        </row>
        <row r="6">
          <cell r="A6">
            <v>53068</v>
          </cell>
          <cell r="B6">
            <v>246.46</v>
          </cell>
          <cell r="C6">
            <v>0</v>
          </cell>
          <cell r="D6">
            <v>246.46</v>
          </cell>
          <cell r="E6">
            <v>40366</v>
          </cell>
          <cell r="F6" t="str">
            <v>CHECK</v>
          </cell>
        </row>
        <row r="7">
          <cell r="A7">
            <v>53085</v>
          </cell>
          <cell r="B7">
            <v>15117.72</v>
          </cell>
          <cell r="C7">
            <v>0</v>
          </cell>
          <cell r="D7">
            <v>15117.72</v>
          </cell>
          <cell r="E7">
            <v>40365</v>
          </cell>
          <cell r="F7" t="str">
            <v>CHECK</v>
          </cell>
        </row>
        <row r="8">
          <cell r="A8">
            <v>53088</v>
          </cell>
          <cell r="B8">
            <v>352.29</v>
          </cell>
          <cell r="C8">
            <v>0</v>
          </cell>
          <cell r="D8">
            <v>352.29</v>
          </cell>
          <cell r="E8">
            <v>40360</v>
          </cell>
          <cell r="F8" t="str">
            <v>CHECK</v>
          </cell>
        </row>
        <row r="9">
          <cell r="A9">
            <v>53089</v>
          </cell>
          <cell r="B9">
            <v>670</v>
          </cell>
          <cell r="C9">
            <v>0</v>
          </cell>
          <cell r="D9">
            <v>670</v>
          </cell>
          <cell r="E9">
            <v>40380</v>
          </cell>
          <cell r="F9" t="str">
            <v>CHECK</v>
          </cell>
        </row>
        <row r="10">
          <cell r="A10">
            <v>53090</v>
          </cell>
          <cell r="B10">
            <v>314.39999999999998</v>
          </cell>
          <cell r="C10">
            <v>0</v>
          </cell>
          <cell r="D10">
            <v>314.39999999999998</v>
          </cell>
          <cell r="E10">
            <v>40378</v>
          </cell>
          <cell r="F10" t="str">
            <v>CHECK</v>
          </cell>
        </row>
        <row r="11">
          <cell r="A11">
            <v>53091</v>
          </cell>
          <cell r="B11">
            <v>375</v>
          </cell>
          <cell r="C11">
            <v>0</v>
          </cell>
          <cell r="D11">
            <v>375</v>
          </cell>
          <cell r="E11">
            <v>40360</v>
          </cell>
          <cell r="F11" t="str">
            <v>CHECK</v>
          </cell>
        </row>
        <row r="12">
          <cell r="A12">
            <v>53092</v>
          </cell>
          <cell r="B12">
            <v>2700</v>
          </cell>
          <cell r="C12">
            <v>0</v>
          </cell>
          <cell r="D12">
            <v>2700</v>
          </cell>
          <cell r="E12">
            <v>40365</v>
          </cell>
          <cell r="F12" t="str">
            <v>CHECK</v>
          </cell>
        </row>
        <row r="13">
          <cell r="A13">
            <v>53097</v>
          </cell>
          <cell r="B13">
            <v>302.45999999999998</v>
          </cell>
          <cell r="C13">
            <v>0</v>
          </cell>
          <cell r="D13">
            <v>302.45999999999998</v>
          </cell>
          <cell r="E13">
            <v>40367</v>
          </cell>
          <cell r="F13" t="str">
            <v>CHECK</v>
          </cell>
        </row>
        <row r="14">
          <cell r="A14">
            <v>53101</v>
          </cell>
          <cell r="B14">
            <v>4803</v>
          </cell>
          <cell r="C14">
            <v>0</v>
          </cell>
          <cell r="D14">
            <v>4803</v>
          </cell>
          <cell r="E14">
            <v>40361</v>
          </cell>
          <cell r="F14" t="str">
            <v>CHECK</v>
          </cell>
        </row>
        <row r="15">
          <cell r="A15">
            <v>53105</v>
          </cell>
          <cell r="B15">
            <v>2110</v>
          </cell>
          <cell r="C15">
            <v>0</v>
          </cell>
          <cell r="D15">
            <v>2110</v>
          </cell>
          <cell r="E15">
            <v>40371</v>
          </cell>
          <cell r="F15" t="str">
            <v>CHECK</v>
          </cell>
        </row>
        <row r="16">
          <cell r="A16">
            <v>53109</v>
          </cell>
          <cell r="B16">
            <v>250</v>
          </cell>
          <cell r="C16">
            <v>0</v>
          </cell>
          <cell r="D16">
            <v>250</v>
          </cell>
          <cell r="E16">
            <v>40361</v>
          </cell>
          <cell r="F16" t="str">
            <v>CHECK</v>
          </cell>
        </row>
        <row r="17">
          <cell r="A17">
            <v>53110</v>
          </cell>
          <cell r="B17">
            <v>43.19</v>
          </cell>
          <cell r="C17">
            <v>0</v>
          </cell>
          <cell r="D17">
            <v>43.19</v>
          </cell>
          <cell r="E17">
            <v>40374</v>
          </cell>
          <cell r="F17" t="str">
            <v>CHECK</v>
          </cell>
        </row>
        <row r="18">
          <cell r="A18">
            <v>53114</v>
          </cell>
          <cell r="B18">
            <v>525</v>
          </cell>
          <cell r="C18">
            <v>0</v>
          </cell>
          <cell r="D18">
            <v>525</v>
          </cell>
          <cell r="E18">
            <v>40360</v>
          </cell>
          <cell r="F18" t="str">
            <v>CHECK</v>
          </cell>
        </row>
        <row r="19">
          <cell r="A19">
            <v>53115</v>
          </cell>
          <cell r="B19">
            <v>750</v>
          </cell>
          <cell r="C19">
            <v>0</v>
          </cell>
          <cell r="D19">
            <v>750</v>
          </cell>
          <cell r="E19">
            <v>40380</v>
          </cell>
          <cell r="F19" t="str">
            <v>CHECK</v>
          </cell>
        </row>
        <row r="20">
          <cell r="A20">
            <v>53116</v>
          </cell>
          <cell r="B20">
            <v>670</v>
          </cell>
          <cell r="C20">
            <v>0</v>
          </cell>
          <cell r="D20">
            <v>670</v>
          </cell>
          <cell r="E20">
            <v>40380</v>
          </cell>
          <cell r="F20" t="str">
            <v>CHECK</v>
          </cell>
        </row>
        <row r="21">
          <cell r="A21">
            <v>53117</v>
          </cell>
          <cell r="B21">
            <v>114.9</v>
          </cell>
          <cell r="C21">
            <v>0</v>
          </cell>
          <cell r="D21">
            <v>114.9</v>
          </cell>
          <cell r="E21">
            <v>40371</v>
          </cell>
          <cell r="F21" t="str">
            <v>CHECK</v>
          </cell>
        </row>
        <row r="22">
          <cell r="A22">
            <v>53118</v>
          </cell>
          <cell r="B22">
            <v>269</v>
          </cell>
          <cell r="C22">
            <v>0</v>
          </cell>
          <cell r="D22">
            <v>269</v>
          </cell>
          <cell r="E22">
            <v>40371</v>
          </cell>
          <cell r="F22" t="str">
            <v>CHECK</v>
          </cell>
        </row>
        <row r="23">
          <cell r="A23">
            <v>53119</v>
          </cell>
          <cell r="B23">
            <v>302.45999999999998</v>
          </cell>
          <cell r="C23">
            <v>0</v>
          </cell>
          <cell r="D23">
            <v>302.45999999999998</v>
          </cell>
          <cell r="E23">
            <v>40374</v>
          </cell>
          <cell r="F23" t="str">
            <v>CHECK</v>
          </cell>
        </row>
        <row r="24">
          <cell r="A24">
            <v>53120</v>
          </cell>
          <cell r="B24">
            <v>2020.8</v>
          </cell>
          <cell r="C24">
            <v>0</v>
          </cell>
          <cell r="D24">
            <v>2020.8</v>
          </cell>
          <cell r="E24">
            <v>40368</v>
          </cell>
          <cell r="F24" t="str">
            <v>CHECK</v>
          </cell>
        </row>
        <row r="25">
          <cell r="A25">
            <v>53121</v>
          </cell>
          <cell r="B25">
            <v>750</v>
          </cell>
          <cell r="C25">
            <v>0</v>
          </cell>
          <cell r="D25">
            <v>750</v>
          </cell>
          <cell r="E25">
            <v>40367</v>
          </cell>
          <cell r="F25" t="str">
            <v>CHECK</v>
          </cell>
        </row>
        <row r="26">
          <cell r="A26">
            <v>53122</v>
          </cell>
          <cell r="B26">
            <v>510</v>
          </cell>
          <cell r="C26">
            <v>0</v>
          </cell>
          <cell r="D26">
            <v>510</v>
          </cell>
          <cell r="E26">
            <v>40380</v>
          </cell>
          <cell r="F26" t="str">
            <v>CHECK</v>
          </cell>
        </row>
        <row r="27">
          <cell r="A27">
            <v>53123</v>
          </cell>
          <cell r="B27">
            <v>427.59</v>
          </cell>
          <cell r="C27">
            <v>0</v>
          </cell>
          <cell r="D27">
            <v>427.59</v>
          </cell>
          <cell r="E27">
            <v>40367</v>
          </cell>
          <cell r="F27" t="str">
            <v>CHECK</v>
          </cell>
        </row>
        <row r="28">
          <cell r="A28">
            <v>53124</v>
          </cell>
          <cell r="B28">
            <v>4778.12</v>
          </cell>
          <cell r="C28">
            <v>0</v>
          </cell>
          <cell r="D28">
            <v>4778.12</v>
          </cell>
          <cell r="E28">
            <v>40367</v>
          </cell>
          <cell r="F28" t="str">
            <v>CHECK</v>
          </cell>
        </row>
        <row r="29">
          <cell r="A29">
            <v>53126</v>
          </cell>
          <cell r="B29">
            <v>270</v>
          </cell>
          <cell r="C29">
            <v>0</v>
          </cell>
          <cell r="D29">
            <v>270</v>
          </cell>
          <cell r="E29">
            <v>40381</v>
          </cell>
          <cell r="F29" t="str">
            <v>CHECK</v>
          </cell>
        </row>
        <row r="30">
          <cell r="A30">
            <v>53127</v>
          </cell>
          <cell r="B30">
            <v>2500</v>
          </cell>
          <cell r="C30">
            <v>0</v>
          </cell>
          <cell r="D30">
            <v>2500</v>
          </cell>
          <cell r="E30">
            <v>40365</v>
          </cell>
          <cell r="F30" t="str">
            <v>CHECK</v>
          </cell>
        </row>
        <row r="31">
          <cell r="A31">
            <v>53128</v>
          </cell>
          <cell r="B31">
            <v>58.4</v>
          </cell>
          <cell r="C31">
            <v>0</v>
          </cell>
          <cell r="D31">
            <v>58.4</v>
          </cell>
          <cell r="E31">
            <v>40368</v>
          </cell>
          <cell r="F31" t="str">
            <v>CHECK</v>
          </cell>
        </row>
        <row r="32">
          <cell r="A32">
            <v>53129</v>
          </cell>
          <cell r="B32">
            <v>633.55999999999995</v>
          </cell>
          <cell r="C32">
            <v>0</v>
          </cell>
          <cell r="D32">
            <v>633.55999999999995</v>
          </cell>
          <cell r="E32">
            <v>40371</v>
          </cell>
          <cell r="F32" t="str">
            <v>CHECK</v>
          </cell>
        </row>
        <row r="33">
          <cell r="A33">
            <v>53130</v>
          </cell>
          <cell r="B33">
            <v>29.19</v>
          </cell>
          <cell r="C33">
            <v>0</v>
          </cell>
          <cell r="D33">
            <v>29.19</v>
          </cell>
          <cell r="E33">
            <v>40371</v>
          </cell>
          <cell r="F33" t="str">
            <v>CHECK</v>
          </cell>
        </row>
        <row r="34">
          <cell r="A34">
            <v>53131</v>
          </cell>
          <cell r="B34">
            <v>1227.97</v>
          </cell>
          <cell r="C34">
            <v>0</v>
          </cell>
          <cell r="D34">
            <v>1227.97</v>
          </cell>
          <cell r="E34">
            <v>40365</v>
          </cell>
          <cell r="F34" t="str">
            <v>CHECK</v>
          </cell>
        </row>
        <row r="35">
          <cell r="A35">
            <v>53132</v>
          </cell>
          <cell r="B35">
            <v>239.5</v>
          </cell>
          <cell r="C35">
            <v>0</v>
          </cell>
          <cell r="D35">
            <v>239.5</v>
          </cell>
          <cell r="E35">
            <v>40365</v>
          </cell>
          <cell r="F35" t="str">
            <v>CHECK</v>
          </cell>
        </row>
        <row r="36">
          <cell r="A36">
            <v>53133</v>
          </cell>
          <cell r="B36">
            <v>210</v>
          </cell>
          <cell r="C36">
            <v>0</v>
          </cell>
          <cell r="D36">
            <v>210</v>
          </cell>
          <cell r="E36">
            <v>40371</v>
          </cell>
          <cell r="F36" t="str">
            <v>CHECK</v>
          </cell>
        </row>
        <row r="37">
          <cell r="A37">
            <v>53134</v>
          </cell>
          <cell r="B37">
            <v>200</v>
          </cell>
          <cell r="C37">
            <v>0</v>
          </cell>
          <cell r="D37">
            <v>200</v>
          </cell>
          <cell r="E37">
            <v>40375</v>
          </cell>
          <cell r="F37" t="str">
            <v>CHECK</v>
          </cell>
        </row>
        <row r="38">
          <cell r="A38">
            <v>53135</v>
          </cell>
          <cell r="B38">
            <v>245.99</v>
          </cell>
          <cell r="C38">
            <v>0</v>
          </cell>
          <cell r="D38">
            <v>245.99</v>
          </cell>
          <cell r="E38">
            <v>40368</v>
          </cell>
          <cell r="F38" t="str">
            <v>CHECK</v>
          </cell>
        </row>
        <row r="39">
          <cell r="A39">
            <v>53136</v>
          </cell>
          <cell r="B39">
            <v>1705</v>
          </cell>
          <cell r="C39">
            <v>0</v>
          </cell>
          <cell r="D39">
            <v>1705</v>
          </cell>
          <cell r="E39">
            <v>40372</v>
          </cell>
          <cell r="F39" t="str">
            <v>CHECK</v>
          </cell>
        </row>
        <row r="40">
          <cell r="A40">
            <v>53137</v>
          </cell>
          <cell r="B40">
            <v>475</v>
          </cell>
          <cell r="C40">
            <v>0</v>
          </cell>
          <cell r="D40">
            <v>475</v>
          </cell>
          <cell r="E40">
            <v>40371</v>
          </cell>
          <cell r="F40" t="str">
            <v>CHECK</v>
          </cell>
        </row>
        <row r="41">
          <cell r="A41">
            <v>53139</v>
          </cell>
          <cell r="B41">
            <v>5775</v>
          </cell>
          <cell r="C41">
            <v>0</v>
          </cell>
          <cell r="D41">
            <v>5775</v>
          </cell>
          <cell r="E41">
            <v>40371</v>
          </cell>
          <cell r="F41" t="str">
            <v>CHECK</v>
          </cell>
        </row>
        <row r="42">
          <cell r="A42">
            <v>53140</v>
          </cell>
          <cell r="B42">
            <v>926</v>
          </cell>
          <cell r="C42">
            <v>0</v>
          </cell>
          <cell r="D42">
            <v>926</v>
          </cell>
          <cell r="E42">
            <v>40366</v>
          </cell>
          <cell r="F42" t="str">
            <v>CHECK</v>
          </cell>
        </row>
        <row r="43">
          <cell r="A43">
            <v>53141</v>
          </cell>
          <cell r="B43">
            <v>90</v>
          </cell>
          <cell r="C43">
            <v>0</v>
          </cell>
          <cell r="D43">
            <v>90</v>
          </cell>
          <cell r="E43">
            <v>40367</v>
          </cell>
          <cell r="F43" t="str">
            <v>CHECK</v>
          </cell>
        </row>
        <row r="44">
          <cell r="A44">
            <v>53142</v>
          </cell>
          <cell r="B44">
            <v>1651.01</v>
          </cell>
          <cell r="C44">
            <v>0</v>
          </cell>
          <cell r="D44">
            <v>1651.01</v>
          </cell>
          <cell r="E44">
            <v>40368</v>
          </cell>
          <cell r="F44" t="str">
            <v>CHECK</v>
          </cell>
        </row>
        <row r="45">
          <cell r="A45">
            <v>53143</v>
          </cell>
          <cell r="B45">
            <v>302.45999999999998</v>
          </cell>
          <cell r="C45">
            <v>0</v>
          </cell>
          <cell r="D45">
            <v>302.45999999999998</v>
          </cell>
          <cell r="E45">
            <v>40367</v>
          </cell>
          <cell r="F45" t="str">
            <v>CHECK</v>
          </cell>
        </row>
        <row r="46">
          <cell r="A46">
            <v>53144</v>
          </cell>
          <cell r="B46">
            <v>1159.4000000000001</v>
          </cell>
          <cell r="C46">
            <v>0</v>
          </cell>
          <cell r="D46">
            <v>1159.4000000000001</v>
          </cell>
          <cell r="E46">
            <v>40374</v>
          </cell>
          <cell r="F46" t="str">
            <v>CHECK</v>
          </cell>
        </row>
        <row r="47">
          <cell r="A47">
            <v>53145</v>
          </cell>
          <cell r="B47">
            <v>3082</v>
          </cell>
          <cell r="C47">
            <v>0</v>
          </cell>
          <cell r="D47">
            <v>3082</v>
          </cell>
          <cell r="E47">
            <v>40371</v>
          </cell>
          <cell r="F47" t="str">
            <v>CHECK</v>
          </cell>
        </row>
        <row r="48">
          <cell r="A48">
            <v>53146</v>
          </cell>
          <cell r="B48">
            <v>82.78</v>
          </cell>
          <cell r="C48">
            <v>0</v>
          </cell>
          <cell r="D48">
            <v>82.78</v>
          </cell>
          <cell r="E48">
            <v>40366</v>
          </cell>
          <cell r="F48" t="str">
            <v>CHECK</v>
          </cell>
        </row>
        <row r="49">
          <cell r="A49">
            <v>53147</v>
          </cell>
          <cell r="B49">
            <v>107.2</v>
          </cell>
          <cell r="C49">
            <v>0</v>
          </cell>
          <cell r="D49">
            <v>107.2</v>
          </cell>
          <cell r="E49">
            <v>40372</v>
          </cell>
          <cell r="F49" t="str">
            <v>CHECK</v>
          </cell>
        </row>
        <row r="50">
          <cell r="A50">
            <v>53149</v>
          </cell>
          <cell r="B50">
            <v>5515.34</v>
          </cell>
          <cell r="C50">
            <v>0</v>
          </cell>
          <cell r="D50">
            <v>5515.34</v>
          </cell>
          <cell r="E50">
            <v>40366</v>
          </cell>
          <cell r="F50" t="str">
            <v>CHECK</v>
          </cell>
        </row>
        <row r="51">
          <cell r="A51">
            <v>53150</v>
          </cell>
          <cell r="B51">
            <v>32.94</v>
          </cell>
          <cell r="C51">
            <v>0</v>
          </cell>
          <cell r="D51">
            <v>32.94</v>
          </cell>
          <cell r="E51">
            <v>40365</v>
          </cell>
          <cell r="F51" t="str">
            <v>CHECK</v>
          </cell>
        </row>
        <row r="52">
          <cell r="A52">
            <v>53151</v>
          </cell>
          <cell r="B52">
            <v>3280</v>
          </cell>
          <cell r="C52">
            <v>0</v>
          </cell>
          <cell r="D52">
            <v>3280</v>
          </cell>
          <cell r="E52">
            <v>40367</v>
          </cell>
          <cell r="F52" t="str">
            <v>CHECK</v>
          </cell>
        </row>
        <row r="53">
          <cell r="A53">
            <v>53152</v>
          </cell>
          <cell r="B53">
            <v>470.66</v>
          </cell>
          <cell r="C53">
            <v>0</v>
          </cell>
          <cell r="D53">
            <v>470.66</v>
          </cell>
          <cell r="E53">
            <v>40365</v>
          </cell>
          <cell r="F53" t="str">
            <v>CHECK</v>
          </cell>
        </row>
        <row r="54">
          <cell r="A54">
            <v>53153</v>
          </cell>
          <cell r="B54">
            <v>1710.9</v>
          </cell>
          <cell r="C54">
            <v>0</v>
          </cell>
          <cell r="D54">
            <v>1710.9</v>
          </cell>
          <cell r="E54">
            <v>40367</v>
          </cell>
          <cell r="F54" t="str">
            <v>CHECK</v>
          </cell>
        </row>
        <row r="55">
          <cell r="A55">
            <v>53154</v>
          </cell>
          <cell r="B55">
            <v>129.74</v>
          </cell>
          <cell r="C55">
            <v>0</v>
          </cell>
          <cell r="D55">
            <v>129.74</v>
          </cell>
          <cell r="E55">
            <v>40379</v>
          </cell>
          <cell r="F55" t="str">
            <v>CHECK</v>
          </cell>
        </row>
        <row r="56">
          <cell r="A56">
            <v>53155</v>
          </cell>
          <cell r="B56">
            <v>45.88</v>
          </cell>
          <cell r="C56">
            <v>0</v>
          </cell>
          <cell r="D56">
            <v>45.88</v>
          </cell>
          <cell r="E56">
            <v>40365</v>
          </cell>
          <cell r="F56" t="str">
            <v>CHECK</v>
          </cell>
        </row>
        <row r="57">
          <cell r="A57">
            <v>53156</v>
          </cell>
          <cell r="B57">
            <v>13.62</v>
          </cell>
          <cell r="C57">
            <v>0</v>
          </cell>
          <cell r="D57">
            <v>13.62</v>
          </cell>
          <cell r="E57">
            <v>40366</v>
          </cell>
          <cell r="F57" t="str">
            <v>CHECK</v>
          </cell>
        </row>
        <row r="58">
          <cell r="A58">
            <v>53157</v>
          </cell>
          <cell r="B58">
            <v>2859.21</v>
          </cell>
          <cell r="C58">
            <v>0</v>
          </cell>
          <cell r="D58">
            <v>2859.21</v>
          </cell>
          <cell r="E58">
            <v>40366</v>
          </cell>
          <cell r="F58" t="str">
            <v>CHECK</v>
          </cell>
        </row>
        <row r="59">
          <cell r="A59">
            <v>53158</v>
          </cell>
          <cell r="B59">
            <v>7145.4</v>
          </cell>
          <cell r="C59">
            <v>0</v>
          </cell>
          <cell r="D59">
            <v>7145.4</v>
          </cell>
          <cell r="E59">
            <v>40365</v>
          </cell>
          <cell r="F59" t="str">
            <v>CHECK</v>
          </cell>
        </row>
        <row r="60">
          <cell r="A60">
            <v>53159</v>
          </cell>
          <cell r="B60">
            <v>1206.48</v>
          </cell>
          <cell r="C60">
            <v>0</v>
          </cell>
          <cell r="D60">
            <v>1206.48</v>
          </cell>
          <cell r="E60">
            <v>40366</v>
          </cell>
          <cell r="F60" t="str">
            <v>CHECK</v>
          </cell>
        </row>
        <row r="61">
          <cell r="A61">
            <v>53160</v>
          </cell>
          <cell r="B61">
            <v>528.11</v>
          </cell>
          <cell r="C61">
            <v>0</v>
          </cell>
          <cell r="D61">
            <v>528.11</v>
          </cell>
          <cell r="E61">
            <v>40371</v>
          </cell>
          <cell r="F61" t="str">
            <v>CHECK</v>
          </cell>
        </row>
        <row r="62">
          <cell r="A62">
            <v>53161</v>
          </cell>
          <cell r="B62">
            <v>630</v>
          </cell>
          <cell r="C62">
            <v>0</v>
          </cell>
          <cell r="D62">
            <v>630</v>
          </cell>
          <cell r="E62">
            <v>40381</v>
          </cell>
          <cell r="F62" t="str">
            <v>CHECK</v>
          </cell>
        </row>
        <row r="63">
          <cell r="A63">
            <v>53162</v>
          </cell>
          <cell r="B63">
            <v>72039.990000000005</v>
          </cell>
          <cell r="C63">
            <v>0</v>
          </cell>
          <cell r="D63">
            <v>72039.990000000005</v>
          </cell>
          <cell r="E63">
            <v>40372</v>
          </cell>
          <cell r="F63" t="str">
            <v>CHECK</v>
          </cell>
        </row>
        <row r="64">
          <cell r="A64">
            <v>53163</v>
          </cell>
          <cell r="B64">
            <v>3006.98</v>
          </cell>
          <cell r="C64">
            <v>0</v>
          </cell>
          <cell r="D64">
            <v>3006.98</v>
          </cell>
          <cell r="E64">
            <v>40373</v>
          </cell>
          <cell r="F64" t="str">
            <v>CHECK</v>
          </cell>
        </row>
        <row r="65">
          <cell r="A65">
            <v>53164</v>
          </cell>
          <cell r="B65">
            <v>10163.94</v>
          </cell>
          <cell r="C65">
            <v>0</v>
          </cell>
          <cell r="D65">
            <v>10163.94</v>
          </cell>
          <cell r="E65">
            <v>40388</v>
          </cell>
          <cell r="F65" t="str">
            <v>CHECK</v>
          </cell>
        </row>
        <row r="66">
          <cell r="A66">
            <v>53165</v>
          </cell>
          <cell r="B66">
            <v>11.44</v>
          </cell>
          <cell r="C66">
            <v>0</v>
          </cell>
          <cell r="D66">
            <v>11.44</v>
          </cell>
          <cell r="E66">
            <v>40373</v>
          </cell>
          <cell r="F66" t="str">
            <v>CHECK</v>
          </cell>
        </row>
        <row r="67">
          <cell r="A67">
            <v>53166</v>
          </cell>
          <cell r="B67">
            <v>73.08</v>
          </cell>
          <cell r="C67">
            <v>0</v>
          </cell>
          <cell r="D67">
            <v>73.08</v>
          </cell>
          <cell r="E67">
            <v>40372</v>
          </cell>
          <cell r="F67" t="str">
            <v>CHECK</v>
          </cell>
        </row>
        <row r="68">
          <cell r="A68">
            <v>53167</v>
          </cell>
          <cell r="B68">
            <v>429.08</v>
          </cell>
          <cell r="C68">
            <v>0</v>
          </cell>
          <cell r="D68">
            <v>429.08</v>
          </cell>
          <cell r="E68">
            <v>40373</v>
          </cell>
          <cell r="F68" t="str">
            <v>CHECK</v>
          </cell>
        </row>
        <row r="69">
          <cell r="A69">
            <v>53168</v>
          </cell>
          <cell r="B69">
            <v>1999.92</v>
          </cell>
          <cell r="C69">
            <v>0</v>
          </cell>
          <cell r="D69">
            <v>1999.92</v>
          </cell>
          <cell r="E69">
            <v>40372</v>
          </cell>
          <cell r="F69" t="str">
            <v>CHECK</v>
          </cell>
        </row>
        <row r="70">
          <cell r="A70">
            <v>53169</v>
          </cell>
          <cell r="B70">
            <v>470</v>
          </cell>
          <cell r="C70">
            <v>0</v>
          </cell>
          <cell r="D70">
            <v>470</v>
          </cell>
          <cell r="E70">
            <v>40372</v>
          </cell>
          <cell r="F70" t="str">
            <v>CHECK</v>
          </cell>
        </row>
        <row r="71">
          <cell r="A71">
            <v>53170</v>
          </cell>
          <cell r="B71">
            <v>9.0299999999999994</v>
          </cell>
          <cell r="C71">
            <v>0</v>
          </cell>
          <cell r="D71">
            <v>9.0299999999999994</v>
          </cell>
          <cell r="E71">
            <v>40373</v>
          </cell>
          <cell r="F71" t="str">
            <v>CHECK</v>
          </cell>
        </row>
        <row r="72">
          <cell r="A72">
            <v>53171</v>
          </cell>
          <cell r="B72">
            <v>137</v>
          </cell>
          <cell r="C72">
            <v>0</v>
          </cell>
          <cell r="D72">
            <v>137</v>
          </cell>
          <cell r="E72">
            <v>40389</v>
          </cell>
          <cell r="F72" t="str">
            <v>CHECK</v>
          </cell>
        </row>
        <row r="73">
          <cell r="A73">
            <v>53172</v>
          </cell>
          <cell r="B73">
            <v>302.45999999999998</v>
          </cell>
          <cell r="C73">
            <v>0</v>
          </cell>
          <cell r="D73">
            <v>302.45999999999998</v>
          </cell>
          <cell r="E73">
            <v>40380</v>
          </cell>
          <cell r="F73" t="str">
            <v>CHECK</v>
          </cell>
        </row>
        <row r="74">
          <cell r="A74">
            <v>53173</v>
          </cell>
          <cell r="B74">
            <v>189.86</v>
          </cell>
          <cell r="C74">
            <v>0</v>
          </cell>
          <cell r="D74">
            <v>189.86</v>
          </cell>
          <cell r="E74">
            <v>40387</v>
          </cell>
          <cell r="F74" t="str">
            <v>CHECK</v>
          </cell>
        </row>
        <row r="75">
          <cell r="A75">
            <v>53174</v>
          </cell>
          <cell r="B75">
            <v>3082</v>
          </cell>
          <cell r="C75">
            <v>0</v>
          </cell>
          <cell r="D75">
            <v>3082</v>
          </cell>
          <cell r="E75">
            <v>40378</v>
          </cell>
          <cell r="F75" t="str">
            <v>CHECK</v>
          </cell>
        </row>
        <row r="76">
          <cell r="A76">
            <v>53175</v>
          </cell>
          <cell r="B76">
            <v>769</v>
          </cell>
          <cell r="C76">
            <v>0</v>
          </cell>
          <cell r="D76">
            <v>769</v>
          </cell>
          <cell r="E76">
            <v>40373</v>
          </cell>
          <cell r="F76" t="str">
            <v>CHECK</v>
          </cell>
        </row>
        <row r="77">
          <cell r="A77">
            <v>53176</v>
          </cell>
          <cell r="B77">
            <v>169.11</v>
          </cell>
          <cell r="C77">
            <v>0</v>
          </cell>
          <cell r="D77">
            <v>169.11</v>
          </cell>
          <cell r="E77">
            <v>40372</v>
          </cell>
          <cell r="F77" t="str">
            <v>CHECK</v>
          </cell>
        </row>
        <row r="78">
          <cell r="A78">
            <v>53177</v>
          </cell>
          <cell r="B78">
            <v>143.47999999999999</v>
          </cell>
          <cell r="C78">
            <v>0</v>
          </cell>
          <cell r="D78">
            <v>143.47999999999999</v>
          </cell>
          <cell r="E78">
            <v>40374</v>
          </cell>
          <cell r="F78" t="str">
            <v>CHECK</v>
          </cell>
        </row>
        <row r="79">
          <cell r="A79">
            <v>53178</v>
          </cell>
          <cell r="B79">
            <v>1893.7</v>
          </cell>
          <cell r="C79">
            <v>0</v>
          </cell>
          <cell r="D79">
            <v>1893.7</v>
          </cell>
          <cell r="E79">
            <v>40375</v>
          </cell>
          <cell r="F79" t="str">
            <v>CHECK</v>
          </cell>
        </row>
        <row r="80">
          <cell r="A80">
            <v>53179</v>
          </cell>
          <cell r="B80">
            <v>25</v>
          </cell>
          <cell r="C80">
            <v>0</v>
          </cell>
          <cell r="D80">
            <v>25</v>
          </cell>
          <cell r="E80">
            <v>40373</v>
          </cell>
          <cell r="F80" t="str">
            <v>CHECK</v>
          </cell>
        </row>
        <row r="81">
          <cell r="A81">
            <v>53180</v>
          </cell>
          <cell r="B81">
            <v>141.77000000000001</v>
          </cell>
          <cell r="C81">
            <v>0</v>
          </cell>
          <cell r="D81">
            <v>141.77000000000001</v>
          </cell>
          <cell r="E81">
            <v>40372</v>
          </cell>
          <cell r="F81" t="str">
            <v>CHECK</v>
          </cell>
        </row>
        <row r="82">
          <cell r="A82">
            <v>53181</v>
          </cell>
          <cell r="B82">
            <v>375.24</v>
          </cell>
          <cell r="C82">
            <v>0</v>
          </cell>
          <cell r="D82">
            <v>375.24</v>
          </cell>
          <cell r="E82">
            <v>40374</v>
          </cell>
          <cell r="F82" t="str">
            <v>CHECK</v>
          </cell>
        </row>
        <row r="83">
          <cell r="A83">
            <v>53182</v>
          </cell>
          <cell r="B83">
            <v>1000</v>
          </cell>
          <cell r="C83">
            <v>0</v>
          </cell>
          <cell r="D83">
            <v>1000</v>
          </cell>
          <cell r="E83">
            <v>40373</v>
          </cell>
          <cell r="F83" t="str">
            <v>CHECK</v>
          </cell>
        </row>
        <row r="84">
          <cell r="A84">
            <v>53183</v>
          </cell>
          <cell r="B84">
            <v>1719.12</v>
          </cell>
          <cell r="C84">
            <v>0</v>
          </cell>
          <cell r="D84">
            <v>1719.12</v>
          </cell>
          <cell r="E84">
            <v>40373</v>
          </cell>
          <cell r="F84" t="str">
            <v>CHECK</v>
          </cell>
        </row>
        <row r="85">
          <cell r="A85">
            <v>53184</v>
          </cell>
          <cell r="B85">
            <v>126.85</v>
          </cell>
          <cell r="C85">
            <v>0</v>
          </cell>
          <cell r="D85">
            <v>126.85</v>
          </cell>
          <cell r="E85">
            <v>40374</v>
          </cell>
          <cell r="F85" t="str">
            <v>CHECK</v>
          </cell>
        </row>
        <row r="86">
          <cell r="A86">
            <v>53185</v>
          </cell>
          <cell r="B86">
            <v>902.93</v>
          </cell>
          <cell r="C86">
            <v>0</v>
          </cell>
          <cell r="D86">
            <v>902.93</v>
          </cell>
          <cell r="E86">
            <v>40374</v>
          </cell>
          <cell r="F86" t="str">
            <v>CHECK</v>
          </cell>
        </row>
        <row r="87">
          <cell r="A87">
            <v>53186</v>
          </cell>
          <cell r="B87">
            <v>8839.89</v>
          </cell>
          <cell r="C87">
            <v>0</v>
          </cell>
          <cell r="D87">
            <v>8839.89</v>
          </cell>
          <cell r="E87">
            <v>40373</v>
          </cell>
          <cell r="F87" t="str">
            <v>CHECK</v>
          </cell>
        </row>
        <row r="88">
          <cell r="A88">
            <v>53187</v>
          </cell>
          <cell r="B88">
            <v>315.7</v>
          </cell>
          <cell r="C88">
            <v>0</v>
          </cell>
          <cell r="D88">
            <v>315.7</v>
          </cell>
          <cell r="E88">
            <v>40378</v>
          </cell>
          <cell r="F88" t="str">
            <v>CHECK</v>
          </cell>
        </row>
        <row r="89">
          <cell r="A89">
            <v>53188</v>
          </cell>
          <cell r="B89">
            <v>743.99</v>
          </cell>
          <cell r="C89">
            <v>0</v>
          </cell>
          <cell r="D89">
            <v>743.99</v>
          </cell>
          <cell r="E89">
            <v>40372</v>
          </cell>
          <cell r="F89" t="str">
            <v>CHECK</v>
          </cell>
        </row>
        <row r="90">
          <cell r="A90">
            <v>53189</v>
          </cell>
          <cell r="B90">
            <v>1028.1099999999999</v>
          </cell>
          <cell r="C90">
            <v>0</v>
          </cell>
          <cell r="D90">
            <v>1028.1099999999999</v>
          </cell>
          <cell r="E90">
            <v>40378</v>
          </cell>
          <cell r="F90" t="str">
            <v>CHECK</v>
          </cell>
        </row>
        <row r="91">
          <cell r="A91">
            <v>53190</v>
          </cell>
          <cell r="B91">
            <v>149.74</v>
          </cell>
          <cell r="C91">
            <v>0</v>
          </cell>
          <cell r="D91">
            <v>149.74</v>
          </cell>
          <cell r="E91">
            <v>40372</v>
          </cell>
          <cell r="F91" t="str">
            <v>CHECK</v>
          </cell>
        </row>
        <row r="92">
          <cell r="A92">
            <v>53191</v>
          </cell>
          <cell r="B92">
            <v>6786.28</v>
          </cell>
          <cell r="C92">
            <v>0</v>
          </cell>
          <cell r="D92">
            <v>6786.28</v>
          </cell>
          <cell r="E92">
            <v>40371</v>
          </cell>
          <cell r="F92" t="str">
            <v>CHECK</v>
          </cell>
        </row>
        <row r="93">
          <cell r="A93">
            <v>53192</v>
          </cell>
          <cell r="B93">
            <v>180</v>
          </cell>
          <cell r="C93">
            <v>0</v>
          </cell>
          <cell r="D93">
            <v>180</v>
          </cell>
          <cell r="E93">
            <v>40374</v>
          </cell>
          <cell r="F93" t="str">
            <v>CHECK</v>
          </cell>
        </row>
        <row r="94">
          <cell r="A94">
            <v>53193</v>
          </cell>
          <cell r="B94">
            <v>10000</v>
          </cell>
          <cell r="C94">
            <v>0</v>
          </cell>
          <cell r="D94">
            <v>10000</v>
          </cell>
          <cell r="E94">
            <v>40375</v>
          </cell>
          <cell r="F94" t="str">
            <v>CHECK</v>
          </cell>
        </row>
        <row r="95">
          <cell r="A95">
            <v>53194</v>
          </cell>
          <cell r="B95">
            <v>457.36</v>
          </cell>
          <cell r="C95">
            <v>0</v>
          </cell>
          <cell r="D95">
            <v>457.36</v>
          </cell>
          <cell r="E95">
            <v>40372</v>
          </cell>
          <cell r="F95" t="str">
            <v>CHECK</v>
          </cell>
        </row>
        <row r="96">
          <cell r="A96">
            <v>53195</v>
          </cell>
          <cell r="B96">
            <v>831</v>
          </cell>
          <cell r="C96">
            <v>0</v>
          </cell>
          <cell r="D96">
            <v>831</v>
          </cell>
          <cell r="E96">
            <v>40381</v>
          </cell>
          <cell r="F96" t="str">
            <v>CHECK</v>
          </cell>
        </row>
        <row r="97">
          <cell r="A97">
            <v>53196</v>
          </cell>
          <cell r="B97">
            <v>74.61</v>
          </cell>
          <cell r="C97">
            <v>0</v>
          </cell>
          <cell r="D97">
            <v>74.61</v>
          </cell>
          <cell r="E97">
            <v>40382</v>
          </cell>
          <cell r="F97" t="str">
            <v>CHECK</v>
          </cell>
        </row>
        <row r="98">
          <cell r="A98">
            <v>53197</v>
          </cell>
          <cell r="B98">
            <v>642.39</v>
          </cell>
          <cell r="C98">
            <v>0</v>
          </cell>
          <cell r="D98">
            <v>642.39</v>
          </cell>
          <cell r="E98">
            <v>40385</v>
          </cell>
          <cell r="F98" t="str">
            <v>CHECK</v>
          </cell>
        </row>
        <row r="99">
          <cell r="A99">
            <v>53198</v>
          </cell>
          <cell r="B99">
            <v>935</v>
          </cell>
          <cell r="C99">
            <v>0</v>
          </cell>
          <cell r="D99">
            <v>935</v>
          </cell>
          <cell r="E99">
            <v>40380</v>
          </cell>
          <cell r="F99" t="str">
            <v>CHECK</v>
          </cell>
        </row>
        <row r="100">
          <cell r="A100">
            <v>53199</v>
          </cell>
          <cell r="B100">
            <v>1500</v>
          </cell>
          <cell r="C100">
            <v>0</v>
          </cell>
          <cell r="D100">
            <v>1500</v>
          </cell>
          <cell r="E100">
            <v>40389</v>
          </cell>
          <cell r="F100" t="str">
            <v>CHECK</v>
          </cell>
        </row>
        <row r="101">
          <cell r="A101">
            <v>53200</v>
          </cell>
          <cell r="B101">
            <v>593.88</v>
          </cell>
          <cell r="C101">
            <v>0</v>
          </cell>
          <cell r="D101">
            <v>593.88</v>
          </cell>
          <cell r="E101">
            <v>40382</v>
          </cell>
          <cell r="F101" t="str">
            <v>CHECK</v>
          </cell>
        </row>
        <row r="102">
          <cell r="A102">
            <v>53201</v>
          </cell>
          <cell r="B102">
            <v>237.38</v>
          </cell>
          <cell r="C102">
            <v>0</v>
          </cell>
          <cell r="D102">
            <v>237.38</v>
          </cell>
          <cell r="E102">
            <v>40385</v>
          </cell>
          <cell r="F102" t="str">
            <v>CHECK</v>
          </cell>
        </row>
        <row r="103">
          <cell r="A103">
            <v>53202</v>
          </cell>
          <cell r="B103">
            <v>10000</v>
          </cell>
          <cell r="C103">
            <v>0</v>
          </cell>
          <cell r="D103">
            <v>10000</v>
          </cell>
          <cell r="E103">
            <v>40378</v>
          </cell>
          <cell r="F103" t="str">
            <v>CHECK</v>
          </cell>
        </row>
        <row r="104">
          <cell r="A104">
            <v>53203</v>
          </cell>
          <cell r="B104">
            <v>188.29</v>
          </cell>
          <cell r="C104">
            <v>0</v>
          </cell>
          <cell r="D104">
            <v>188.29</v>
          </cell>
          <cell r="E104">
            <v>40381</v>
          </cell>
          <cell r="F104" t="str">
            <v>CHECK</v>
          </cell>
        </row>
        <row r="105">
          <cell r="A105">
            <v>53204</v>
          </cell>
          <cell r="B105">
            <v>22837.52</v>
          </cell>
          <cell r="C105">
            <v>0</v>
          </cell>
          <cell r="D105">
            <v>22837.52</v>
          </cell>
          <cell r="E105">
            <v>40385</v>
          </cell>
          <cell r="F105" t="str">
            <v>CHECK</v>
          </cell>
        </row>
        <row r="106">
          <cell r="A106">
            <v>53205</v>
          </cell>
          <cell r="B106">
            <v>64.53</v>
          </cell>
          <cell r="C106">
            <v>0</v>
          </cell>
          <cell r="D106">
            <v>64.53</v>
          </cell>
          <cell r="E106">
            <v>40381</v>
          </cell>
          <cell r="F106" t="str">
            <v>CHECK</v>
          </cell>
        </row>
        <row r="107">
          <cell r="A107">
            <v>53206</v>
          </cell>
          <cell r="B107">
            <v>881.67</v>
          </cell>
          <cell r="C107">
            <v>0</v>
          </cell>
          <cell r="D107">
            <v>881.67</v>
          </cell>
          <cell r="E107">
            <v>40381</v>
          </cell>
          <cell r="F107" t="str">
            <v>CHECK</v>
          </cell>
        </row>
        <row r="108">
          <cell r="A108">
            <v>53207</v>
          </cell>
          <cell r="B108">
            <v>160.97999999999999</v>
          </cell>
          <cell r="C108">
            <v>0</v>
          </cell>
          <cell r="D108">
            <v>160.97999999999999</v>
          </cell>
          <cell r="E108">
            <v>40381</v>
          </cell>
          <cell r="F108" t="str">
            <v>CHECK</v>
          </cell>
        </row>
        <row r="109">
          <cell r="A109">
            <v>53208</v>
          </cell>
          <cell r="B109">
            <v>2849.37</v>
          </cell>
          <cell r="C109">
            <v>0</v>
          </cell>
          <cell r="D109">
            <v>2849.37</v>
          </cell>
          <cell r="E109">
            <v>40381</v>
          </cell>
          <cell r="F109" t="str">
            <v>CHECK</v>
          </cell>
        </row>
        <row r="110">
          <cell r="A110">
            <v>53210</v>
          </cell>
          <cell r="B110">
            <v>10312.08</v>
          </cell>
          <cell r="C110">
            <v>0</v>
          </cell>
          <cell r="D110">
            <v>10312.08</v>
          </cell>
          <cell r="E110">
            <v>40388</v>
          </cell>
          <cell r="F110" t="str">
            <v>CHECK</v>
          </cell>
        </row>
        <row r="111">
          <cell r="A111">
            <v>53211</v>
          </cell>
          <cell r="B111">
            <v>115.15</v>
          </cell>
          <cell r="C111">
            <v>0</v>
          </cell>
          <cell r="D111">
            <v>115.15</v>
          </cell>
          <cell r="E111">
            <v>40382</v>
          </cell>
          <cell r="F111" t="str">
            <v>CHECK</v>
          </cell>
        </row>
        <row r="112">
          <cell r="A112">
            <v>53212</v>
          </cell>
          <cell r="B112">
            <v>101</v>
          </cell>
          <cell r="C112">
            <v>0</v>
          </cell>
          <cell r="D112">
            <v>101</v>
          </cell>
          <cell r="E112">
            <v>40380</v>
          </cell>
          <cell r="F112" t="str">
            <v>CHECK</v>
          </cell>
        </row>
        <row r="113">
          <cell r="A113">
            <v>53214</v>
          </cell>
          <cell r="B113">
            <v>97.72</v>
          </cell>
          <cell r="C113">
            <v>0</v>
          </cell>
          <cell r="D113">
            <v>97.72</v>
          </cell>
          <cell r="E113">
            <v>40380</v>
          </cell>
          <cell r="F113" t="str">
            <v>CHECK</v>
          </cell>
        </row>
        <row r="114">
          <cell r="A114">
            <v>53215</v>
          </cell>
          <cell r="B114">
            <v>260</v>
          </cell>
          <cell r="C114">
            <v>0</v>
          </cell>
          <cell r="D114">
            <v>260</v>
          </cell>
          <cell r="E114">
            <v>40381</v>
          </cell>
          <cell r="F114" t="str">
            <v>CHECK</v>
          </cell>
        </row>
        <row r="115">
          <cell r="A115">
            <v>53216</v>
          </cell>
          <cell r="B115">
            <v>2041.61</v>
          </cell>
          <cell r="C115">
            <v>0</v>
          </cell>
          <cell r="D115">
            <v>2041.61</v>
          </cell>
          <cell r="E115">
            <v>40379</v>
          </cell>
          <cell r="F115" t="str">
            <v>CHECK</v>
          </cell>
        </row>
        <row r="116">
          <cell r="A116">
            <v>53217</v>
          </cell>
          <cell r="B116">
            <v>1389.41</v>
          </cell>
          <cell r="C116">
            <v>0</v>
          </cell>
          <cell r="D116">
            <v>1389.41</v>
          </cell>
          <cell r="E116">
            <v>40379</v>
          </cell>
          <cell r="F116" t="str">
            <v>CHECK</v>
          </cell>
        </row>
        <row r="117">
          <cell r="A117">
            <v>53218</v>
          </cell>
          <cell r="B117">
            <v>74.7</v>
          </cell>
          <cell r="C117">
            <v>0</v>
          </cell>
          <cell r="D117">
            <v>74.7</v>
          </cell>
          <cell r="E117">
            <v>40379</v>
          </cell>
          <cell r="F117" t="str">
            <v>CHECK</v>
          </cell>
        </row>
        <row r="118">
          <cell r="A118">
            <v>53220</v>
          </cell>
          <cell r="B118">
            <v>431</v>
          </cell>
          <cell r="C118">
            <v>0</v>
          </cell>
          <cell r="D118">
            <v>431</v>
          </cell>
          <cell r="E118">
            <v>40385</v>
          </cell>
          <cell r="F118" t="str">
            <v>CHECK</v>
          </cell>
        </row>
        <row r="119">
          <cell r="A119">
            <v>53221</v>
          </cell>
          <cell r="B119">
            <v>16128.06</v>
          </cell>
          <cell r="C119">
            <v>0</v>
          </cell>
          <cell r="D119">
            <v>16128.06</v>
          </cell>
          <cell r="E119">
            <v>40380</v>
          </cell>
          <cell r="F119" t="str">
            <v>CHECK</v>
          </cell>
        </row>
        <row r="120">
          <cell r="A120">
            <v>53222</v>
          </cell>
          <cell r="B120">
            <v>1620</v>
          </cell>
          <cell r="C120">
            <v>0</v>
          </cell>
          <cell r="D120">
            <v>1620</v>
          </cell>
          <cell r="E120">
            <v>40386</v>
          </cell>
          <cell r="F120" t="str">
            <v>CHECK</v>
          </cell>
        </row>
        <row r="121">
          <cell r="A121">
            <v>53223</v>
          </cell>
          <cell r="B121">
            <v>324</v>
          </cell>
          <cell r="C121">
            <v>0</v>
          </cell>
          <cell r="D121">
            <v>324</v>
          </cell>
          <cell r="E121">
            <v>40381</v>
          </cell>
          <cell r="F121" t="str">
            <v>CHECK</v>
          </cell>
        </row>
        <row r="122">
          <cell r="A122">
            <v>53224</v>
          </cell>
          <cell r="B122">
            <v>171.86</v>
          </cell>
          <cell r="C122">
            <v>0</v>
          </cell>
          <cell r="D122">
            <v>171.86</v>
          </cell>
          <cell r="E122">
            <v>40380</v>
          </cell>
          <cell r="F122" t="str">
            <v>CHECK</v>
          </cell>
        </row>
        <row r="123">
          <cell r="A123">
            <v>53225</v>
          </cell>
          <cell r="B123">
            <v>306.08</v>
          </cell>
          <cell r="C123">
            <v>0</v>
          </cell>
          <cell r="D123">
            <v>306.08</v>
          </cell>
          <cell r="E123">
            <v>40382</v>
          </cell>
          <cell r="F123" t="str">
            <v>CHECK</v>
          </cell>
        </row>
        <row r="124">
          <cell r="A124">
            <v>53226</v>
          </cell>
          <cell r="B124">
            <v>9309.73</v>
          </cell>
          <cell r="C124">
            <v>0</v>
          </cell>
          <cell r="D124">
            <v>9309.73</v>
          </cell>
          <cell r="E124">
            <v>40385</v>
          </cell>
          <cell r="F124" t="str">
            <v>CHECK</v>
          </cell>
        </row>
        <row r="125">
          <cell r="A125">
            <v>53227</v>
          </cell>
          <cell r="B125">
            <v>1317.66</v>
          </cell>
          <cell r="C125">
            <v>0</v>
          </cell>
          <cell r="D125">
            <v>1317.66</v>
          </cell>
          <cell r="E125">
            <v>40378</v>
          </cell>
          <cell r="F125" t="str">
            <v>CHECK</v>
          </cell>
        </row>
        <row r="126">
          <cell r="A126">
            <v>53228</v>
          </cell>
          <cell r="B126">
            <v>938.53</v>
          </cell>
          <cell r="C126">
            <v>0</v>
          </cell>
          <cell r="D126">
            <v>938.53</v>
          </cell>
          <cell r="E126">
            <v>40382</v>
          </cell>
          <cell r="F126" t="str">
            <v>CHECK</v>
          </cell>
        </row>
        <row r="127">
          <cell r="A127">
            <v>53229</v>
          </cell>
          <cell r="B127">
            <v>45.88</v>
          </cell>
          <cell r="C127">
            <v>0</v>
          </cell>
          <cell r="D127">
            <v>45.88</v>
          </cell>
          <cell r="E127">
            <v>40379</v>
          </cell>
          <cell r="F127" t="str">
            <v>CHECK</v>
          </cell>
        </row>
        <row r="128">
          <cell r="A128">
            <v>53230</v>
          </cell>
          <cell r="B128">
            <v>14.06</v>
          </cell>
          <cell r="C128">
            <v>0</v>
          </cell>
          <cell r="D128">
            <v>14.06</v>
          </cell>
          <cell r="E128">
            <v>40380</v>
          </cell>
          <cell r="F128" t="str">
            <v>CHECK</v>
          </cell>
        </row>
        <row r="129">
          <cell r="A129">
            <v>53231</v>
          </cell>
          <cell r="B129">
            <v>2500</v>
          </cell>
          <cell r="C129">
            <v>0</v>
          </cell>
          <cell r="D129">
            <v>2500</v>
          </cell>
          <cell r="E129">
            <v>40387</v>
          </cell>
          <cell r="F129" t="str">
            <v>CHECK</v>
          </cell>
        </row>
        <row r="130">
          <cell r="A130">
            <v>53232</v>
          </cell>
          <cell r="B130">
            <v>58.15</v>
          </cell>
          <cell r="C130">
            <v>0</v>
          </cell>
          <cell r="D130">
            <v>58.15</v>
          </cell>
          <cell r="E130">
            <v>40380</v>
          </cell>
          <cell r="F130" t="str">
            <v>CHECK</v>
          </cell>
        </row>
        <row r="131">
          <cell r="A131">
            <v>53233</v>
          </cell>
          <cell r="B131">
            <v>2500</v>
          </cell>
          <cell r="C131">
            <v>0</v>
          </cell>
          <cell r="D131">
            <v>2500</v>
          </cell>
          <cell r="E131">
            <v>40379</v>
          </cell>
          <cell r="F131" t="str">
            <v>CHECK</v>
          </cell>
        </row>
        <row r="132">
          <cell r="A132">
            <v>53234</v>
          </cell>
          <cell r="B132">
            <v>134.69999999999999</v>
          </cell>
          <cell r="C132">
            <v>0</v>
          </cell>
          <cell r="D132">
            <v>134.69999999999999</v>
          </cell>
          <cell r="E132">
            <v>40381</v>
          </cell>
          <cell r="F132" t="str">
            <v>CHECK</v>
          </cell>
        </row>
        <row r="133">
          <cell r="A133">
            <v>53235</v>
          </cell>
          <cell r="B133">
            <v>30.83</v>
          </cell>
          <cell r="C133">
            <v>0</v>
          </cell>
          <cell r="D133">
            <v>30.83</v>
          </cell>
          <cell r="E133">
            <v>40381</v>
          </cell>
          <cell r="F133" t="str">
            <v>CHECK</v>
          </cell>
        </row>
        <row r="134">
          <cell r="A134">
            <v>53236</v>
          </cell>
          <cell r="B134">
            <v>314.39999999999998</v>
          </cell>
          <cell r="C134">
            <v>0</v>
          </cell>
          <cell r="D134">
            <v>314.39999999999998</v>
          </cell>
          <cell r="E134">
            <v>40381</v>
          </cell>
          <cell r="F134" t="str">
            <v>CHECK</v>
          </cell>
        </row>
        <row r="135">
          <cell r="A135">
            <v>53237</v>
          </cell>
          <cell r="B135">
            <v>2325</v>
          </cell>
          <cell r="C135">
            <v>0</v>
          </cell>
          <cell r="D135">
            <v>2325</v>
          </cell>
          <cell r="E135">
            <v>40382</v>
          </cell>
          <cell r="F135" t="str">
            <v>CHECK</v>
          </cell>
        </row>
        <row r="136">
          <cell r="A136">
            <v>53239</v>
          </cell>
          <cell r="B136">
            <v>243.53</v>
          </cell>
          <cell r="C136">
            <v>0</v>
          </cell>
          <cell r="D136">
            <v>243.53</v>
          </cell>
          <cell r="E136">
            <v>40380</v>
          </cell>
          <cell r="F136" t="str">
            <v>CHECK</v>
          </cell>
        </row>
        <row r="137">
          <cell r="A137">
            <v>53240</v>
          </cell>
          <cell r="B137">
            <v>6758.34</v>
          </cell>
          <cell r="C137">
            <v>0</v>
          </cell>
          <cell r="D137">
            <v>6758.34</v>
          </cell>
          <cell r="E137">
            <v>40379</v>
          </cell>
          <cell r="F137" t="str">
            <v>CHECK</v>
          </cell>
        </row>
        <row r="138">
          <cell r="A138">
            <v>53241</v>
          </cell>
          <cell r="B138">
            <v>584.41999999999996</v>
          </cell>
          <cell r="C138">
            <v>0</v>
          </cell>
          <cell r="D138">
            <v>584.41999999999996</v>
          </cell>
          <cell r="E138">
            <v>40380</v>
          </cell>
          <cell r="F138" t="str">
            <v>CHECK</v>
          </cell>
        </row>
        <row r="139">
          <cell r="A139">
            <v>53242</v>
          </cell>
          <cell r="B139">
            <v>551.36</v>
          </cell>
          <cell r="C139">
            <v>0</v>
          </cell>
          <cell r="D139">
            <v>551.36</v>
          </cell>
          <cell r="E139">
            <v>40381</v>
          </cell>
          <cell r="F139" t="str">
            <v>CHECK</v>
          </cell>
        </row>
        <row r="140">
          <cell r="A140">
            <v>53243</v>
          </cell>
          <cell r="B140">
            <v>2000</v>
          </cell>
          <cell r="C140">
            <v>0</v>
          </cell>
          <cell r="D140">
            <v>2000</v>
          </cell>
          <cell r="E140">
            <v>40388</v>
          </cell>
          <cell r="F140" t="str">
            <v>CHECK</v>
          </cell>
        </row>
        <row r="141">
          <cell r="A141">
            <v>53244</v>
          </cell>
          <cell r="B141">
            <v>1680.03</v>
          </cell>
          <cell r="C141">
            <v>0</v>
          </cell>
          <cell r="D141">
            <v>1680.03</v>
          </cell>
          <cell r="E141">
            <v>40380</v>
          </cell>
          <cell r="F141" t="str">
            <v>CHECK</v>
          </cell>
        </row>
        <row r="142">
          <cell r="A142">
            <v>53247</v>
          </cell>
          <cell r="B142">
            <v>233.5</v>
          </cell>
          <cell r="C142">
            <v>0</v>
          </cell>
          <cell r="D142">
            <v>233.5</v>
          </cell>
          <cell r="E142">
            <v>40379</v>
          </cell>
          <cell r="F142" t="str">
            <v>CHECK</v>
          </cell>
        </row>
        <row r="143">
          <cell r="A143">
            <v>53250</v>
          </cell>
          <cell r="B143">
            <v>376.8</v>
          </cell>
          <cell r="C143">
            <v>0</v>
          </cell>
          <cell r="D143">
            <v>376.8</v>
          </cell>
          <cell r="E143">
            <v>40387</v>
          </cell>
          <cell r="F143" t="str">
            <v>CHECK</v>
          </cell>
        </row>
        <row r="144">
          <cell r="A144">
            <v>53252</v>
          </cell>
          <cell r="B144">
            <v>9.59</v>
          </cell>
          <cell r="C144">
            <v>0</v>
          </cell>
          <cell r="D144">
            <v>9.59</v>
          </cell>
          <cell r="E144">
            <v>40387</v>
          </cell>
          <cell r="F144" t="str">
            <v>CHECK</v>
          </cell>
        </row>
        <row r="145">
          <cell r="A145">
            <v>53253</v>
          </cell>
          <cell r="B145">
            <v>805.94</v>
          </cell>
          <cell r="C145">
            <v>0</v>
          </cell>
          <cell r="D145">
            <v>805.94</v>
          </cell>
          <cell r="E145">
            <v>40387</v>
          </cell>
          <cell r="F145" t="str">
            <v>CHECK</v>
          </cell>
        </row>
        <row r="146">
          <cell r="A146">
            <v>53254</v>
          </cell>
          <cell r="B146">
            <v>549.34</v>
          </cell>
          <cell r="C146">
            <v>0</v>
          </cell>
          <cell r="D146">
            <v>549.34</v>
          </cell>
          <cell r="E146">
            <v>40387</v>
          </cell>
          <cell r="F146" t="str">
            <v>CHECK</v>
          </cell>
        </row>
        <row r="147">
          <cell r="A147">
            <v>53255</v>
          </cell>
          <cell r="B147">
            <v>1611.26</v>
          </cell>
          <cell r="C147">
            <v>0</v>
          </cell>
          <cell r="D147">
            <v>1611.26</v>
          </cell>
          <cell r="E147">
            <v>40386</v>
          </cell>
          <cell r="F147" t="str">
            <v>CHECK</v>
          </cell>
        </row>
        <row r="148">
          <cell r="A148">
            <v>53256</v>
          </cell>
          <cell r="B148">
            <v>722.86</v>
          </cell>
          <cell r="C148">
            <v>0</v>
          </cell>
          <cell r="D148">
            <v>722.86</v>
          </cell>
          <cell r="E148">
            <v>40387</v>
          </cell>
          <cell r="F148" t="str">
            <v>CHECK</v>
          </cell>
        </row>
        <row r="149">
          <cell r="A149">
            <v>53258</v>
          </cell>
          <cell r="B149">
            <v>33.5</v>
          </cell>
          <cell r="C149">
            <v>0</v>
          </cell>
          <cell r="D149">
            <v>33.5</v>
          </cell>
          <cell r="E149">
            <v>40387</v>
          </cell>
          <cell r="F149" t="str">
            <v>CHECK</v>
          </cell>
        </row>
        <row r="150">
          <cell r="A150">
            <v>53259</v>
          </cell>
          <cell r="B150">
            <v>1519.95</v>
          </cell>
          <cell r="C150">
            <v>0</v>
          </cell>
          <cell r="D150">
            <v>1519.95</v>
          </cell>
          <cell r="E150">
            <v>40386</v>
          </cell>
          <cell r="F150" t="str">
            <v>CHECK</v>
          </cell>
        </row>
        <row r="151">
          <cell r="A151">
            <v>53261</v>
          </cell>
          <cell r="B151">
            <v>260.63</v>
          </cell>
          <cell r="C151">
            <v>0</v>
          </cell>
          <cell r="D151">
            <v>260.63</v>
          </cell>
          <cell r="E151">
            <v>40386</v>
          </cell>
          <cell r="F151" t="str">
            <v>CHECK</v>
          </cell>
        </row>
        <row r="152">
          <cell r="A152">
            <v>53262</v>
          </cell>
          <cell r="B152">
            <v>2035.82</v>
          </cell>
          <cell r="C152">
            <v>0</v>
          </cell>
          <cell r="D152">
            <v>2035.82</v>
          </cell>
          <cell r="E152">
            <v>40389</v>
          </cell>
          <cell r="F152" t="str">
            <v>CHECK</v>
          </cell>
        </row>
        <row r="153">
          <cell r="A153">
            <v>53263</v>
          </cell>
          <cell r="B153">
            <v>541.49</v>
          </cell>
          <cell r="C153">
            <v>0</v>
          </cell>
          <cell r="D153">
            <v>541.49</v>
          </cell>
          <cell r="E153">
            <v>40385</v>
          </cell>
          <cell r="F153" t="str">
            <v>CHECK</v>
          </cell>
        </row>
        <row r="154">
          <cell r="A154">
            <v>53265</v>
          </cell>
          <cell r="B154">
            <v>45.88</v>
          </cell>
          <cell r="C154">
            <v>0</v>
          </cell>
          <cell r="D154">
            <v>45.88</v>
          </cell>
          <cell r="E154">
            <v>40387</v>
          </cell>
          <cell r="F154" t="str">
            <v>CHECK</v>
          </cell>
        </row>
        <row r="155">
          <cell r="A155">
            <v>53266</v>
          </cell>
          <cell r="B155">
            <v>478.71</v>
          </cell>
          <cell r="C155">
            <v>0</v>
          </cell>
          <cell r="D155">
            <v>478.71</v>
          </cell>
          <cell r="E155">
            <v>40389</v>
          </cell>
          <cell r="F155" t="str">
            <v>CHECK</v>
          </cell>
        </row>
        <row r="156">
          <cell r="A156">
            <v>53267</v>
          </cell>
          <cell r="B156">
            <v>646.34</v>
          </cell>
          <cell r="C156">
            <v>0</v>
          </cell>
          <cell r="D156">
            <v>646.34</v>
          </cell>
          <cell r="E156">
            <v>40386</v>
          </cell>
          <cell r="F156" t="str">
            <v>CHECK</v>
          </cell>
        </row>
        <row r="157">
          <cell r="A157">
            <v>53269</v>
          </cell>
          <cell r="B157">
            <v>115.7</v>
          </cell>
          <cell r="C157">
            <v>0</v>
          </cell>
          <cell r="D157">
            <v>115.7</v>
          </cell>
          <cell r="E157">
            <v>40386</v>
          </cell>
          <cell r="F157" t="str">
            <v>CHECK</v>
          </cell>
        </row>
        <row r="158">
          <cell r="A158">
            <v>53270</v>
          </cell>
          <cell r="B158">
            <v>115.57</v>
          </cell>
          <cell r="C158">
            <v>0</v>
          </cell>
          <cell r="D158">
            <v>115.57</v>
          </cell>
          <cell r="E158">
            <v>40387</v>
          </cell>
          <cell r="F158" t="str">
            <v>CHECK</v>
          </cell>
        </row>
        <row r="159">
          <cell r="A159">
            <v>53271</v>
          </cell>
          <cell r="B159">
            <v>6230.7</v>
          </cell>
          <cell r="C159">
            <v>0</v>
          </cell>
          <cell r="D159">
            <v>6230.7</v>
          </cell>
          <cell r="E159">
            <v>40385</v>
          </cell>
          <cell r="F159" t="str">
            <v>CHECK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JE"/>
      <sheetName val="Recon"/>
      <sheetName val="12-10"/>
      <sheetName val="Pivot 2010-12"/>
      <sheetName val="outstanding item"/>
      <sheetName val="Pivot Table AR_GL"/>
      <sheetName val="AR GL"/>
      <sheetName val="Bank Adj"/>
      <sheetName val="Bank"/>
      <sheetName val="ACO CC Dec 12-31-2010"/>
      <sheetName val="Recon 201011"/>
      <sheetName val="11-10"/>
      <sheetName val="10-10"/>
      <sheetName val="9-10"/>
      <sheetName val="8-10"/>
      <sheetName val="7-10 "/>
      <sheetName val="6-10"/>
      <sheetName val="5-10"/>
      <sheetName val="4-10"/>
      <sheetName val="3-10"/>
      <sheetName val="2-10"/>
      <sheetName val="1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DC09F6-83FC-4A94-9C4D-196606B5412F}" name="Table3" displayName="Table3" ref="A32:I137" totalsRowShown="0" headerRowDxfId="21" dataDxfId="20">
  <tableColumns count="9">
    <tableColumn id="1" xr3:uid="{FCEFCFA8-E57D-4A08-B1E8-AE799975C586}" name="Campus" dataDxfId="19"/>
    <tableColumn id="2" xr3:uid="{5B64E187-FB11-4BF9-ACA4-8032CC260A09}" name="Grade" dataDxfId="18"/>
    <tableColumn id="4" xr3:uid="{BFDED2E1-D415-4922-BC37-83686314FD29}" name="FY2122" dataDxfId="17"/>
    <tableColumn id="5" xr3:uid="{6B4ABC27-2B1A-4B88-A091-BE2C14EB452B}" name="FY2223" dataDxfId="16"/>
    <tableColumn id="6" xr3:uid="{A701267C-DD6A-4297-8D19-6A6E0B06E23A}" name="FY2324" dataDxfId="15"/>
    <tableColumn id="7" xr3:uid="{65CF9F2D-8677-49B5-BEB1-18621B008CC3}" name="FY2425" dataDxfId="14"/>
    <tableColumn id="8" xr3:uid="{7C47B1EA-E9F0-4CB9-AFE3-2D3E7121EE7D}" name="FY2526" dataDxfId="13"/>
    <tableColumn id="9" xr3:uid="{A59194B1-0FE4-4711-A7AB-845497263534}" name="FY2627" dataDxfId="12"/>
    <tableColumn id="10" xr3:uid="{94F7BC73-C7FA-455B-B60E-E687554E480F}" name="FY2728" dataDxfId="11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594C09-C409-40A7-B171-BD6C33811DE5}" name="Table2" displayName="Table2" ref="A7:H16" totalsRowShown="0" headerRowDxfId="10" dataDxfId="9" tableBorderDxfId="8">
  <autoFilter ref="A7:H16" xr:uid="{5624D9FE-6466-4093-A78A-EC38B25C0BAA}"/>
  <tableColumns count="8">
    <tableColumn id="1" xr3:uid="{536391AB-8B4B-4DE0-80FA-9530295CA4B5}" name="SchoolName" dataDxfId="7"/>
    <tableColumn id="8" xr3:uid="{2629D58A-E3BA-4531-AA13-53944D42F681}" name="DOR" dataDxfId="6"/>
    <tableColumn id="2" xr3:uid="{6237EF8C-6A71-412C-9D31-CDFAA0189FDA}" name="GradeLevel" dataDxfId="5"/>
    <tableColumn id="3" xr3:uid="{156B89EA-1E22-40CE-BA06-6860407FA0B2}" name="RawADE" dataDxfId="4"/>
    <tableColumn id="4" xr3:uid="{DE456394-FCA4-4884-B689-FB3D629F691B}" name="RawADE2" dataDxfId="3"/>
    <tableColumn id="5" xr3:uid="{AB4DAC43-3F68-4666-9B01-662130B3AF9B}" name="RawADE3" dataDxfId="2"/>
    <tableColumn id="6" xr3:uid="{29200BAD-5023-4115-AA97-3426A772BDAC}" name="RawADE4" dataDxfId="1"/>
    <tableColumn id="7" xr3:uid="{94B82E16-15C4-4E73-8F38-A628C7F2DE3F}" name="Average" dataDxfId="0">
      <calculatedColumnFormula>AVERAGEIF(D8:G8,"&lt;&gt;0")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520EC-3AAA-4D75-B34B-8BAB806357D1}">
  <sheetPr codeName="Sheet1"/>
  <dimension ref="A1:F1"/>
  <sheetViews>
    <sheetView workbookViewId="0"/>
  </sheetViews>
  <sheetFormatPr defaultRowHeight="12.75" x14ac:dyDescent="0.2"/>
  <cols>
    <col min="1" max="1" width="10.28515625" bestFit="1" customWidth="1"/>
    <col min="2" max="2" width="6.42578125" bestFit="1" customWidth="1"/>
    <col min="3" max="3" width="3.140625" bestFit="1" customWidth="1"/>
    <col min="4" max="4" width="46.7109375" customWidth="1"/>
    <col min="5" max="5" width="11.85546875" bestFit="1" customWidth="1"/>
    <col min="6" max="6" width="15.5703125" bestFit="1" customWidth="1"/>
  </cols>
  <sheetData>
    <row r="1" spans="1:6" ht="15" x14ac:dyDescent="0.25">
      <c r="A1" s="1" t="s">
        <v>5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BB41-EF5B-4E71-85EC-CD5E5CB73082}">
  <sheetPr codeName="Sheet10">
    <pageSetUpPr fitToPage="1"/>
  </sheetPr>
  <dimension ref="A1:AK469"/>
  <sheetViews>
    <sheetView tabSelected="1" zoomScale="115" zoomScaleNormal="115" workbookViewId="0">
      <pane xSplit="9" ySplit="8" topLeftCell="O385" activePane="bottomRight" state="frozen"/>
      <selection activeCell="R1" sqref="R1:R1048576"/>
      <selection pane="topRight" activeCell="R1" sqref="R1:R1048576"/>
      <selection pane="bottomLeft" activeCell="R1" sqref="R1:R1048576"/>
      <selection pane="bottomRight" activeCell="O439" sqref="O439"/>
    </sheetView>
  </sheetViews>
  <sheetFormatPr defaultRowHeight="12.75" outlineLevelRow="1" x14ac:dyDescent="0.2"/>
  <cols>
    <col min="1" max="1" width="4" style="3" bestFit="1" customWidth="1"/>
    <col min="2" max="2" width="54.42578125" customWidth="1"/>
    <col min="3" max="3" width="4.42578125" style="898" customWidth="1"/>
    <col min="4" max="4" width="4.42578125" style="899" customWidth="1"/>
    <col min="5" max="5" width="5.85546875" style="898" customWidth="1"/>
    <col min="6" max="6" width="4.42578125" customWidth="1"/>
    <col min="7" max="7" width="5.42578125" customWidth="1"/>
    <col min="8" max="8" width="4.7109375" customWidth="1"/>
    <col min="9" max="9" width="3.28515625" bestFit="1" customWidth="1"/>
    <col min="10" max="10" width="13.28515625" hidden="1" customWidth="1"/>
    <col min="11" max="14" width="13.140625" hidden="1" customWidth="1"/>
    <col min="15" max="15" width="14.42578125" customWidth="1"/>
    <col min="16" max="16" width="13.140625" hidden="1" customWidth="1"/>
    <col min="17" max="17" width="13.5703125" customWidth="1"/>
    <col min="18" max="18" width="13.5703125" hidden="1" customWidth="1"/>
    <col min="19" max="20" width="13.5703125" customWidth="1"/>
    <col min="21" max="22" width="14.140625" customWidth="1"/>
    <col min="23" max="23" width="14.140625" hidden="1" customWidth="1"/>
    <col min="24" max="24" width="12.42578125" style="386" bestFit="1" customWidth="1"/>
    <col min="25" max="27" width="12.42578125" style="3" bestFit="1" customWidth="1"/>
    <col min="28" max="37" width="9.140625" style="3"/>
  </cols>
  <sheetData>
    <row r="1" spans="1:25" x14ac:dyDescent="0.2">
      <c r="B1" s="96" t="str">
        <f>'# of Students'!A1</f>
        <v>Beacon Academy of Nevada</v>
      </c>
      <c r="C1" s="826"/>
      <c r="D1" s="827"/>
      <c r="E1" s="826"/>
      <c r="F1" s="97"/>
      <c r="G1" s="97"/>
      <c r="H1" s="97"/>
      <c r="I1" s="9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</row>
    <row r="2" spans="1:25" x14ac:dyDescent="0.2">
      <c r="B2" s="96" t="s">
        <v>1004</v>
      </c>
      <c r="C2" s="828"/>
      <c r="D2" s="827"/>
      <c r="E2" s="828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5" x14ac:dyDescent="0.2">
      <c r="B3" s="96"/>
      <c r="C3" s="828"/>
      <c r="D3" s="827"/>
      <c r="E3" s="82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5" x14ac:dyDescent="0.2">
      <c r="B4" s="98"/>
      <c r="C4" s="828"/>
      <c r="D4" s="827"/>
      <c r="E4" s="828"/>
      <c r="F4" s="99"/>
      <c r="G4" s="99"/>
      <c r="I4" s="370" t="s">
        <v>805</v>
      </c>
      <c r="J4" s="449"/>
      <c r="K4" s="375">
        <f>PCFP!B5</f>
        <v>0</v>
      </c>
      <c r="L4" s="375">
        <v>0.12</v>
      </c>
      <c r="M4" s="375">
        <v>-2.5822755473173063E-2</v>
      </c>
      <c r="N4" s="528">
        <v>1.3338891204668612E-2</v>
      </c>
      <c r="O4" s="499">
        <f>PCFP!C5</f>
        <v>1.9591496456857024E-2</v>
      </c>
      <c r="P4" s="372"/>
      <c r="Q4" s="372">
        <f>PCFP!D5</f>
        <v>0</v>
      </c>
      <c r="R4" s="372"/>
      <c r="S4" s="372">
        <f>PCFP!D5</f>
        <v>0</v>
      </c>
      <c r="T4" s="372">
        <f>PCFP!E5</f>
        <v>0</v>
      </c>
      <c r="U4" s="372">
        <f>PCFP!F5</f>
        <v>0</v>
      </c>
      <c r="V4" s="372">
        <f>PCFP!G5</f>
        <v>0</v>
      </c>
      <c r="W4" s="372">
        <f>PCFP!H5</f>
        <v>0</v>
      </c>
    </row>
    <row r="5" spans="1:25" x14ac:dyDescent="0.2">
      <c r="B5" s="98"/>
      <c r="C5" s="828"/>
      <c r="D5" s="827"/>
      <c r="E5" s="828"/>
      <c r="F5" s="99"/>
      <c r="G5" s="99"/>
      <c r="I5" s="370" t="s">
        <v>1003</v>
      </c>
      <c r="J5" s="449"/>
      <c r="K5" s="529">
        <f>PCFP!B10</f>
        <v>7197</v>
      </c>
      <c r="L5" s="493">
        <v>6487.6900333160629</v>
      </c>
      <c r="M5" s="493">
        <v>7182</v>
      </c>
      <c r="N5" s="493">
        <v>7293</v>
      </c>
      <c r="O5" s="494">
        <f>PCFP!B10</f>
        <v>7197</v>
      </c>
      <c r="P5" s="372"/>
      <c r="Q5" s="492">
        <f>PCFP!C10</f>
        <v>7338</v>
      </c>
      <c r="R5" s="492"/>
      <c r="S5" s="492">
        <f>PCFP!D10</f>
        <v>7411.38</v>
      </c>
      <c r="T5" s="492">
        <f>PCFP!E10</f>
        <v>7485.4938000000002</v>
      </c>
      <c r="U5" s="492">
        <f>PCFP!F10</f>
        <v>7560.3487380000006</v>
      </c>
      <c r="V5" s="492">
        <f>PCFP!G10</f>
        <v>7635.9522253800005</v>
      </c>
      <c r="W5" s="492">
        <f>PCFP!H10</f>
        <v>7712.3117476338002</v>
      </c>
    </row>
    <row r="6" spans="1:25" x14ac:dyDescent="0.2">
      <c r="B6" s="100"/>
      <c r="C6" s="829"/>
      <c r="D6" s="830"/>
      <c r="E6" s="829"/>
      <c r="F6" s="100"/>
      <c r="G6" s="100"/>
      <c r="I6" s="112" t="s">
        <v>372</v>
      </c>
      <c r="J6" s="450"/>
      <c r="K6" s="490">
        <f>'2022 Budget &amp; CF'!AA6</f>
        <v>370</v>
      </c>
      <c r="L6" s="490">
        <v>585</v>
      </c>
      <c r="M6" s="490">
        <v>585</v>
      </c>
      <c r="N6" s="490">
        <v>335</v>
      </c>
      <c r="O6" s="498">
        <f>'# of Students'!C23</f>
        <v>370</v>
      </c>
      <c r="P6" s="371"/>
      <c r="Q6" s="371">
        <f>'# of Students'!D23</f>
        <v>585</v>
      </c>
      <c r="R6" s="371"/>
      <c r="S6" s="371">
        <f>'# of Students'!E23</f>
        <v>650</v>
      </c>
      <c r="T6" s="371">
        <f>'# of Students'!F23</f>
        <v>700</v>
      </c>
      <c r="U6" s="371">
        <f>'# of Students'!G23</f>
        <v>735</v>
      </c>
      <c r="V6" s="371">
        <f>'# of Students'!H23</f>
        <v>740</v>
      </c>
      <c r="W6" s="371">
        <f>'# of Students'!I23</f>
        <v>735</v>
      </c>
    </row>
    <row r="7" spans="1:25" x14ac:dyDescent="0.2">
      <c r="B7" s="100"/>
      <c r="C7" s="829"/>
      <c r="D7" s="830"/>
      <c r="E7" s="829"/>
      <c r="F7" s="100"/>
      <c r="G7" s="100"/>
      <c r="I7" s="112" t="s">
        <v>804</v>
      </c>
      <c r="J7" s="455">
        <v>44012</v>
      </c>
      <c r="K7" s="455">
        <v>44377</v>
      </c>
      <c r="L7" s="489">
        <v>44299</v>
      </c>
      <c r="M7" s="489">
        <v>44334</v>
      </c>
      <c r="N7" s="489">
        <v>44516</v>
      </c>
      <c r="O7" s="612" t="s">
        <v>153</v>
      </c>
      <c r="P7" s="289"/>
      <c r="Q7" s="289" t="s">
        <v>153</v>
      </c>
      <c r="R7" s="289"/>
      <c r="S7" s="289" t="s">
        <v>153</v>
      </c>
      <c r="T7" s="289" t="s">
        <v>153</v>
      </c>
      <c r="U7" s="289" t="s">
        <v>153</v>
      </c>
      <c r="V7" s="289" t="s">
        <v>153</v>
      </c>
      <c r="W7" s="289" t="s">
        <v>153</v>
      </c>
    </row>
    <row r="8" spans="1:25" ht="76.5" customHeight="1" x14ac:dyDescent="0.2">
      <c r="B8" s="685"/>
      <c r="C8" s="831" t="s">
        <v>117</v>
      </c>
      <c r="D8" s="832" t="s">
        <v>128</v>
      </c>
      <c r="E8" s="831" t="s">
        <v>129</v>
      </c>
      <c r="F8" s="831" t="s">
        <v>119</v>
      </c>
      <c r="G8" s="831" t="s">
        <v>120</v>
      </c>
      <c r="H8" s="831" t="s">
        <v>121</v>
      </c>
      <c r="I8" s="831" t="s">
        <v>373</v>
      </c>
      <c r="J8" s="703" t="s">
        <v>1112</v>
      </c>
      <c r="K8" s="703" t="s">
        <v>1111</v>
      </c>
      <c r="L8" s="703" t="s">
        <v>1001</v>
      </c>
      <c r="M8" s="703" t="s">
        <v>1102</v>
      </c>
      <c r="N8" s="703" t="s">
        <v>1102</v>
      </c>
      <c r="O8" s="497" t="s">
        <v>1002</v>
      </c>
      <c r="P8" s="290" t="s">
        <v>1104</v>
      </c>
      <c r="Q8" s="710" t="str">
        <f>'# of Students'!D6</f>
        <v>FY2223</v>
      </c>
      <c r="R8" s="290" t="s">
        <v>1305</v>
      </c>
      <c r="S8" s="710" t="str">
        <f>'# of Students'!E6</f>
        <v>FY2324</v>
      </c>
      <c r="T8" s="710" t="str">
        <f>'# of Students'!F6</f>
        <v>FY2425</v>
      </c>
      <c r="U8" s="710" t="str">
        <f>'# of Students'!G6</f>
        <v>FY2526</v>
      </c>
      <c r="V8" s="710" t="str">
        <f>'# of Students'!H6</f>
        <v>FY2627</v>
      </c>
      <c r="W8" s="710" t="str">
        <f>'# of Students'!I6</f>
        <v>FY2728</v>
      </c>
    </row>
    <row r="9" spans="1:25" ht="12.75" customHeight="1" outlineLevel="1" x14ac:dyDescent="0.2">
      <c r="A9" s="366" t="s">
        <v>563</v>
      </c>
      <c r="B9" s="82" t="str">
        <f>Revenues!B9</f>
        <v>Pupil Centered Funding Plan</v>
      </c>
      <c r="C9" s="833">
        <f>Revenues!C9</f>
        <v>100</v>
      </c>
      <c r="D9" s="834">
        <v>201</v>
      </c>
      <c r="E9" s="833">
        <f>Revenues!E9</f>
        <v>3110</v>
      </c>
      <c r="F9" s="107"/>
      <c r="G9" s="108"/>
      <c r="H9" s="275"/>
      <c r="I9" s="109"/>
      <c r="J9" s="115">
        <v>0</v>
      </c>
      <c r="K9" s="504">
        <v>2722809.6</v>
      </c>
      <c r="L9" s="546">
        <v>3795299</v>
      </c>
      <c r="M9" s="546">
        <v>4201470</v>
      </c>
      <c r="N9" s="546">
        <v>3047188</v>
      </c>
      <c r="O9" s="608">
        <f>'2022 Budget &amp; CF'!AA9</f>
        <v>3212754</v>
      </c>
      <c r="P9" s="301">
        <f>O9-N9</f>
        <v>165566</v>
      </c>
      <c r="Q9" s="367">
        <f>ROUND(Revenues!J9,0)</f>
        <v>4292730</v>
      </c>
      <c r="R9" s="367">
        <f>Q9-N9</f>
        <v>1245542</v>
      </c>
      <c r="S9" s="367">
        <f>ROUND(Revenues!K9,0)</f>
        <v>4817397</v>
      </c>
      <c r="T9" s="367">
        <f>ROUND(Revenues!L9,0)</f>
        <v>5239846</v>
      </c>
      <c r="U9" s="367">
        <f>ROUND(Revenues!M9,0)</f>
        <v>5556856</v>
      </c>
      <c r="V9" s="367">
        <f>ROUND(Revenues!N9,0)</f>
        <v>5650605</v>
      </c>
      <c r="W9" s="367">
        <f>ROUND(Revenues!O9,0)</f>
        <v>5668549</v>
      </c>
    </row>
    <row r="10" spans="1:25" ht="12.75" customHeight="1" outlineLevel="1" x14ac:dyDescent="0.2">
      <c r="A10" s="366" t="s">
        <v>497</v>
      </c>
      <c r="B10" s="82" t="str">
        <f>Revenues!B10</f>
        <v xml:space="preserve">SPED Funds from DSA                          </v>
      </c>
      <c r="C10" s="833">
        <f>Revenues!C10</f>
        <v>250</v>
      </c>
      <c r="D10" s="833">
        <v>205</v>
      </c>
      <c r="E10" s="833">
        <v>3270</v>
      </c>
      <c r="F10" s="107"/>
      <c r="G10" s="108"/>
      <c r="H10" s="275"/>
      <c r="I10" s="109"/>
      <c r="J10" s="115">
        <v>0</v>
      </c>
      <c r="K10" s="504">
        <v>281269.71999999997</v>
      </c>
      <c r="L10" s="546">
        <v>281270</v>
      </c>
      <c r="M10" s="546">
        <v>281270</v>
      </c>
      <c r="N10" s="546">
        <v>281270</v>
      </c>
      <c r="O10" s="608">
        <f>'2022 Budget &amp; CF'!AA10</f>
        <v>281270</v>
      </c>
      <c r="P10" s="301">
        <f t="shared" ref="P10:P18" si="0">O10-N10</f>
        <v>0</v>
      </c>
      <c r="Q10" s="367">
        <f>ROUND(Revenues!J10,0)</f>
        <v>281270</v>
      </c>
      <c r="R10" s="367">
        <f t="shared" ref="R10:R73" si="1">Q10-N10</f>
        <v>0</v>
      </c>
      <c r="S10" s="367">
        <f>ROUND(Revenues!K10,0)</f>
        <v>313986</v>
      </c>
      <c r="T10" s="367">
        <f>ROUND(Revenues!L10,0)</f>
        <v>349870</v>
      </c>
      <c r="U10" s="367">
        <f>ROUND(Revenues!M10,0)</f>
        <v>376783</v>
      </c>
      <c r="V10" s="367">
        <f>ROUND(Revenues!N10,0)</f>
        <v>418648</v>
      </c>
      <c r="W10" s="367">
        <f>ROUND(Revenues!O10,0)</f>
        <v>421638</v>
      </c>
      <c r="Y10" s="355"/>
    </row>
    <row r="11" spans="1:25" ht="12.75" customHeight="1" outlineLevel="1" x14ac:dyDescent="0.2">
      <c r="A11" s="366" t="s">
        <v>1154</v>
      </c>
      <c r="B11" s="82" t="s">
        <v>1108</v>
      </c>
      <c r="C11" s="833">
        <v>250</v>
      </c>
      <c r="D11" s="833">
        <v>210</v>
      </c>
      <c r="E11" s="833">
        <v>3115</v>
      </c>
      <c r="F11" s="107"/>
      <c r="G11" s="108"/>
      <c r="H11" s="275"/>
      <c r="I11" s="109"/>
      <c r="J11" s="115">
        <v>3477276.46</v>
      </c>
      <c r="K11" s="374"/>
      <c r="L11" s="374">
        <v>0</v>
      </c>
      <c r="M11" s="374">
        <v>0</v>
      </c>
      <c r="N11" s="374">
        <v>0</v>
      </c>
      <c r="O11" s="607">
        <f>'2022 Budget &amp; CF'!AA11</f>
        <v>11844</v>
      </c>
      <c r="P11" s="301">
        <f t="shared" ref="P11:P13" si="2">O11-N11</f>
        <v>11844</v>
      </c>
      <c r="Q11" s="367">
        <f>ROUND(Revenues!J11,0)</f>
        <v>11844</v>
      </c>
      <c r="R11" s="367">
        <f t="shared" si="1"/>
        <v>11844</v>
      </c>
      <c r="S11" s="367">
        <f>ROUND(Revenues!K11,0)</f>
        <v>11844</v>
      </c>
      <c r="T11" s="367">
        <f>ROUND(Revenues!L11,0)</f>
        <v>11844</v>
      </c>
      <c r="U11" s="367">
        <f>ROUND(Revenues!M11,0)</f>
        <v>11844</v>
      </c>
      <c r="V11" s="367">
        <f>ROUND(Revenues!N11,0)</f>
        <v>11844</v>
      </c>
      <c r="W11" s="367">
        <f>ROUND(Revenues!O11,0)</f>
        <v>11844</v>
      </c>
    </row>
    <row r="12" spans="1:25" ht="12.75" customHeight="1" outlineLevel="1" x14ac:dyDescent="0.2">
      <c r="A12" s="366" t="s">
        <v>577</v>
      </c>
      <c r="B12" s="82" t="s">
        <v>1105</v>
      </c>
      <c r="C12" s="833">
        <v>206</v>
      </c>
      <c r="D12" s="833">
        <v>211</v>
      </c>
      <c r="E12" s="833">
        <v>3254</v>
      </c>
      <c r="F12" s="107"/>
      <c r="G12" s="108"/>
      <c r="H12" s="275"/>
      <c r="I12" s="109"/>
      <c r="J12" s="115">
        <v>3477276.46</v>
      </c>
      <c r="K12" s="374"/>
      <c r="L12" s="374">
        <v>0</v>
      </c>
      <c r="M12" s="374">
        <v>0</v>
      </c>
      <c r="N12" s="374">
        <v>0</v>
      </c>
      <c r="O12" s="607">
        <f>'2022 Budget &amp; CF'!AA12</f>
        <v>44135</v>
      </c>
      <c r="P12" s="301">
        <f t="shared" si="2"/>
        <v>44135</v>
      </c>
      <c r="Q12" s="367">
        <f>ROUND(Revenues!J12,0)</f>
        <v>55965</v>
      </c>
      <c r="R12" s="367">
        <f t="shared" si="1"/>
        <v>55965</v>
      </c>
      <c r="S12" s="367">
        <f>ROUND(Revenues!K12,0)</f>
        <v>75717</v>
      </c>
      <c r="T12" s="367">
        <f>ROUND(Revenues!L12,0)</f>
        <v>80655</v>
      </c>
      <c r="U12" s="367">
        <f>ROUND(Revenues!M12,0)</f>
        <v>83947</v>
      </c>
      <c r="V12" s="367">
        <f>ROUND(Revenues!N12,0)</f>
        <v>85593</v>
      </c>
      <c r="W12" s="367">
        <f>ROUND(Revenues!O12,0)</f>
        <v>83947</v>
      </c>
    </row>
    <row r="13" spans="1:25" ht="12.75" customHeight="1" outlineLevel="1" x14ac:dyDescent="0.2">
      <c r="A13" s="366" t="s">
        <v>578</v>
      </c>
      <c r="B13" s="82" t="s">
        <v>1106</v>
      </c>
      <c r="C13" s="833">
        <v>208</v>
      </c>
      <c r="D13" s="833">
        <v>212</v>
      </c>
      <c r="E13" s="833">
        <v>3255</v>
      </c>
      <c r="F13" s="107"/>
      <c r="G13" s="108"/>
      <c r="H13" s="275"/>
      <c r="I13" s="109"/>
      <c r="J13" s="115">
        <v>3477276.46</v>
      </c>
      <c r="K13" s="374"/>
      <c r="L13" s="374">
        <v>0</v>
      </c>
      <c r="M13" s="374">
        <v>0</v>
      </c>
      <c r="N13" s="374">
        <v>0</v>
      </c>
      <c r="O13" s="607">
        <f>'2022 Budget &amp; CF'!AA13</f>
        <v>30350</v>
      </c>
      <c r="P13" s="301">
        <f t="shared" si="2"/>
        <v>30350</v>
      </c>
      <c r="Q13" s="367">
        <f>ROUND(Revenues!J13,0)</f>
        <v>37110</v>
      </c>
      <c r="R13" s="367">
        <f t="shared" si="1"/>
        <v>37110</v>
      </c>
      <c r="S13" s="367">
        <f>ROUND(Revenues!K13,0)</f>
        <v>47297</v>
      </c>
      <c r="T13" s="367">
        <f>ROUND(Revenues!L13,0)</f>
        <v>50936</v>
      </c>
      <c r="U13" s="367">
        <f>ROUND(Revenues!M13,0)</f>
        <v>53604</v>
      </c>
      <c r="V13" s="367">
        <f>ROUND(Revenues!N13,0)</f>
        <v>53846</v>
      </c>
      <c r="W13" s="367">
        <f>ROUND(Revenues!O13,0)</f>
        <v>53604</v>
      </c>
    </row>
    <row r="14" spans="1:25" ht="12.75" customHeight="1" outlineLevel="1" x14ac:dyDescent="0.2">
      <c r="A14" s="366" t="s">
        <v>579</v>
      </c>
      <c r="B14" s="82" t="str">
        <f>Revenues!B14</f>
        <v xml:space="preserve">New Nv Education Funding Plan SB178 (2017) </v>
      </c>
      <c r="C14" s="833">
        <f>Revenues!C14</f>
        <v>240</v>
      </c>
      <c r="D14" s="834">
        <v>280</v>
      </c>
      <c r="E14" s="833">
        <f>Revenues!E14</f>
        <v>3200</v>
      </c>
      <c r="F14" s="107"/>
      <c r="G14" s="108"/>
      <c r="H14" s="275"/>
      <c r="I14" s="109"/>
      <c r="J14" s="115">
        <v>0</v>
      </c>
      <c r="K14" s="374">
        <v>104400</v>
      </c>
      <c r="L14" s="374">
        <v>0</v>
      </c>
      <c r="M14" s="374">
        <v>0</v>
      </c>
      <c r="N14" s="374">
        <v>0</v>
      </c>
      <c r="O14" s="607">
        <f>'2022 Budget &amp; CF'!AA14</f>
        <v>0</v>
      </c>
      <c r="P14" s="301">
        <f t="shared" si="0"/>
        <v>0</v>
      </c>
      <c r="Q14" s="367">
        <f>ROUND(Revenues!J14,0)</f>
        <v>0</v>
      </c>
      <c r="R14" s="367">
        <f t="shared" si="1"/>
        <v>0</v>
      </c>
      <c r="S14" s="367">
        <f>ROUND(Revenues!K14,0)</f>
        <v>0</v>
      </c>
      <c r="T14" s="367">
        <f>ROUND(Revenues!L14,0)</f>
        <v>0</v>
      </c>
      <c r="U14" s="367">
        <f>ROUND(Revenues!M14,0)</f>
        <v>0</v>
      </c>
      <c r="V14" s="367">
        <f>ROUND(Revenues!N14,0)</f>
        <v>0</v>
      </c>
      <c r="W14" s="367">
        <f>ROUND(Revenues!O14,0)</f>
        <v>0</v>
      </c>
    </row>
    <row r="15" spans="1:25" ht="12.75" customHeight="1" outlineLevel="1" x14ac:dyDescent="0.2">
      <c r="A15" s="366" t="s">
        <v>1155</v>
      </c>
      <c r="B15" s="82" t="s">
        <v>469</v>
      </c>
      <c r="C15" s="833">
        <v>240</v>
      </c>
      <c r="D15" s="834">
        <v>289</v>
      </c>
      <c r="E15" s="833">
        <v>3200</v>
      </c>
      <c r="F15" s="107"/>
      <c r="G15" s="108"/>
      <c r="H15" s="275"/>
      <c r="I15" s="109"/>
      <c r="J15" s="115">
        <v>0</v>
      </c>
      <c r="K15" s="374">
        <v>58349.51</v>
      </c>
      <c r="L15" s="374">
        <v>0</v>
      </c>
      <c r="M15" s="374">
        <v>0</v>
      </c>
      <c r="N15" s="374">
        <v>0</v>
      </c>
      <c r="O15" s="609">
        <f>'2022 Budget &amp; CF'!AA15</f>
        <v>0</v>
      </c>
      <c r="P15" s="301">
        <f t="shared" si="0"/>
        <v>0</v>
      </c>
      <c r="Q15" s="367">
        <f>ROUND(Revenues!J15,0)</f>
        <v>0</v>
      </c>
      <c r="R15" s="367">
        <f t="shared" si="1"/>
        <v>0</v>
      </c>
      <c r="S15" s="367">
        <f>ROUND(Revenues!K15,0)</f>
        <v>0</v>
      </c>
      <c r="T15" s="367">
        <f>ROUND(Revenues!L15,0)</f>
        <v>0</v>
      </c>
      <c r="U15" s="367">
        <f>ROUND(Revenues!M15,0)</f>
        <v>0</v>
      </c>
      <c r="V15" s="367">
        <f>ROUND(Revenues!N15,0)</f>
        <v>0</v>
      </c>
      <c r="W15" s="367">
        <f>ROUND(Revenues!O15,0)</f>
        <v>0</v>
      </c>
    </row>
    <row r="16" spans="1:25" ht="12.75" customHeight="1" outlineLevel="1" x14ac:dyDescent="0.2">
      <c r="A16" s="366" t="s">
        <v>1156</v>
      </c>
      <c r="B16" s="82" t="str">
        <f>Revenues!B16</f>
        <v>Teacher Reimbursement Grant</v>
      </c>
      <c r="C16" s="833">
        <f>Revenues!C16</f>
        <v>240</v>
      </c>
      <c r="D16" s="833">
        <v>325</v>
      </c>
      <c r="E16" s="833">
        <f>Revenues!E16</f>
        <v>3200</v>
      </c>
      <c r="F16" s="107"/>
      <c r="G16" s="108"/>
      <c r="H16" s="275"/>
      <c r="I16" s="109"/>
      <c r="J16" s="115">
        <v>0</v>
      </c>
      <c r="K16" s="374">
        <v>335.85</v>
      </c>
      <c r="L16" s="374">
        <v>0</v>
      </c>
      <c r="M16" s="374">
        <v>0</v>
      </c>
      <c r="N16" s="374">
        <v>0</v>
      </c>
      <c r="O16" s="607">
        <f>'2022 Budget &amp; CF'!AA16</f>
        <v>0</v>
      </c>
      <c r="P16" s="301">
        <f t="shared" si="0"/>
        <v>0</v>
      </c>
      <c r="Q16" s="367">
        <f>ROUND(Revenues!J16,0)</f>
        <v>0</v>
      </c>
      <c r="R16" s="367">
        <f t="shared" si="1"/>
        <v>0</v>
      </c>
      <c r="S16" s="367">
        <f>ROUND(Revenues!K16,0)</f>
        <v>0</v>
      </c>
      <c r="T16" s="367">
        <f>ROUND(Revenues!L16,0)</f>
        <v>0</v>
      </c>
      <c r="U16" s="367">
        <f>ROUND(Revenues!M16,0)</f>
        <v>0</v>
      </c>
      <c r="V16" s="367">
        <f>ROUND(Revenues!N16,0)</f>
        <v>0</v>
      </c>
      <c r="W16" s="367">
        <f>ROUND(Revenues!O16,0)</f>
        <v>0</v>
      </c>
    </row>
    <row r="17" spans="1:27" ht="12.75" customHeight="1" outlineLevel="1" x14ac:dyDescent="0.2">
      <c r="A17" s="366" t="s">
        <v>574</v>
      </c>
      <c r="B17" s="82" t="s">
        <v>471</v>
      </c>
      <c r="C17" s="833">
        <v>240</v>
      </c>
      <c r="D17" s="833">
        <v>390</v>
      </c>
      <c r="E17" s="833">
        <v>3200</v>
      </c>
      <c r="F17" s="107"/>
      <c r="G17" s="108"/>
      <c r="H17" s="275"/>
      <c r="I17" s="109"/>
      <c r="J17" s="115">
        <v>3477276.46</v>
      </c>
      <c r="K17" s="374">
        <v>11761.9</v>
      </c>
      <c r="L17" s="374">
        <v>0</v>
      </c>
      <c r="M17" s="374">
        <v>0</v>
      </c>
      <c r="N17" s="374">
        <v>0</v>
      </c>
      <c r="O17" s="607">
        <f>'2022 Budget &amp; CF'!AA17</f>
        <v>0</v>
      </c>
      <c r="P17" s="301">
        <f t="shared" si="0"/>
        <v>0</v>
      </c>
      <c r="Q17" s="367">
        <f>ROUND(Revenues!J17,0)</f>
        <v>0</v>
      </c>
      <c r="R17" s="367">
        <f t="shared" si="1"/>
        <v>0</v>
      </c>
      <c r="S17" s="367">
        <f>ROUND(Revenues!K17,0)</f>
        <v>0</v>
      </c>
      <c r="T17" s="367">
        <f>ROUND(Revenues!L17,0)</f>
        <v>0</v>
      </c>
      <c r="U17" s="367">
        <f>ROUND(Revenues!M17,0)</f>
        <v>0</v>
      </c>
      <c r="V17" s="367">
        <f>ROUND(Revenues!N17,0)</f>
        <v>0</v>
      </c>
      <c r="W17" s="367">
        <f>ROUND(Revenues!O17,0)</f>
        <v>0</v>
      </c>
      <c r="X17" s="923">
        <f>+K14+K15+K16+K17</f>
        <v>174847.26</v>
      </c>
    </row>
    <row r="18" spans="1:27" ht="12.75" customHeight="1" x14ac:dyDescent="0.2">
      <c r="A18" s="366" t="s">
        <v>580</v>
      </c>
      <c r="B18" s="204" t="s">
        <v>138</v>
      </c>
      <c r="C18" s="835"/>
      <c r="D18" s="836"/>
      <c r="E18" s="835"/>
      <c r="F18" s="83"/>
      <c r="G18" s="85"/>
      <c r="H18" s="84"/>
      <c r="I18" s="110"/>
      <c r="J18" s="86">
        <f>SUM(J9:J17)</f>
        <v>13909105.84</v>
      </c>
      <c r="K18" s="86">
        <f>SUM(K9:K17)</f>
        <v>3178926.58</v>
      </c>
      <c r="L18" s="86">
        <v>4076569</v>
      </c>
      <c r="M18" s="86">
        <v>4482740</v>
      </c>
      <c r="N18" s="86">
        <v>3328458</v>
      </c>
      <c r="O18" s="86">
        <f>SUM(O9:O17)</f>
        <v>3580353</v>
      </c>
      <c r="P18" s="86">
        <f t="shared" si="0"/>
        <v>251895</v>
      </c>
      <c r="Q18" s="86">
        <f t="shared" ref="Q18:W18" si="3">SUM(Q9:Q17)</f>
        <v>4678919</v>
      </c>
      <c r="R18" s="86">
        <f t="shared" si="1"/>
        <v>1350461</v>
      </c>
      <c r="S18" s="86">
        <f t="shared" si="3"/>
        <v>5266241</v>
      </c>
      <c r="T18" s="86">
        <f t="shared" si="3"/>
        <v>5733151</v>
      </c>
      <c r="U18" s="86">
        <f t="shared" si="3"/>
        <v>6083034</v>
      </c>
      <c r="V18" s="86">
        <f t="shared" si="3"/>
        <v>6220536</v>
      </c>
      <c r="W18" s="86">
        <f t="shared" si="3"/>
        <v>6239582</v>
      </c>
      <c r="Y18" s="355"/>
      <c r="Z18" s="355"/>
      <c r="AA18" s="355"/>
    </row>
    <row r="19" spans="1:27" ht="12.75" customHeight="1" outlineLevel="1" x14ac:dyDescent="0.2">
      <c r="A19" s="366" t="s">
        <v>581</v>
      </c>
      <c r="B19" s="82" t="s">
        <v>376</v>
      </c>
      <c r="C19" s="837">
        <v>280</v>
      </c>
      <c r="D19" s="837">
        <v>340</v>
      </c>
      <c r="E19" s="837">
        <v>4500</v>
      </c>
      <c r="F19" s="107"/>
      <c r="G19" s="108"/>
      <c r="H19" s="275"/>
      <c r="I19" s="109"/>
      <c r="J19" s="119">
        <v>0</v>
      </c>
      <c r="K19" s="119">
        <v>57850.74</v>
      </c>
      <c r="L19" s="119">
        <v>0</v>
      </c>
      <c r="M19" s="119">
        <v>0</v>
      </c>
      <c r="N19" s="119">
        <v>0</v>
      </c>
      <c r="O19" s="609">
        <f>'2022 Budget &amp; CF'!AA19</f>
        <v>0</v>
      </c>
      <c r="P19" s="301">
        <f t="shared" ref="P19:P38" si="4">O19-N19</f>
        <v>0</v>
      </c>
      <c r="Q19" s="119">
        <f>ROUND(Revenues!J19,0)</f>
        <v>0</v>
      </c>
      <c r="R19" s="119">
        <f t="shared" si="1"/>
        <v>0</v>
      </c>
      <c r="S19" s="119">
        <f>ROUND(Revenues!K19,0)</f>
        <v>0</v>
      </c>
      <c r="T19" s="119">
        <f>ROUND(Revenues!L19,0)</f>
        <v>0</v>
      </c>
      <c r="U19" s="119">
        <f>ROUND(Revenues!M19,0)</f>
        <v>0</v>
      </c>
      <c r="V19" s="119">
        <f>ROUND(Revenues!N19,0)</f>
        <v>0</v>
      </c>
      <c r="W19" s="119">
        <f>ROUND(Revenues!O19,0)</f>
        <v>0</v>
      </c>
    </row>
    <row r="20" spans="1:27" ht="12.75" customHeight="1" outlineLevel="1" x14ac:dyDescent="0.2">
      <c r="A20" s="366" t="s">
        <v>582</v>
      </c>
      <c r="B20" s="82" t="str">
        <f>Revenues!B20</f>
        <v>Title I - School Improvement, 1003(a)</v>
      </c>
      <c r="C20" s="837">
        <f>Revenues!C20</f>
        <v>280</v>
      </c>
      <c r="D20" s="837">
        <v>624</v>
      </c>
      <c r="E20" s="837">
        <f>Revenues!E20</f>
        <v>4500</v>
      </c>
      <c r="F20" s="107"/>
      <c r="G20" s="108"/>
      <c r="H20" s="275"/>
      <c r="I20" s="109"/>
      <c r="J20" s="119">
        <v>0</v>
      </c>
      <c r="K20" s="119">
        <v>394422.57</v>
      </c>
      <c r="L20" s="119">
        <v>284434</v>
      </c>
      <c r="M20" s="119">
        <v>284434</v>
      </c>
      <c r="N20" s="119">
        <v>382156</v>
      </c>
      <c r="O20" s="609">
        <f>'2022 Budget &amp; CF'!AA20</f>
        <v>382156</v>
      </c>
      <c r="P20" s="301">
        <f t="shared" si="4"/>
        <v>0</v>
      </c>
      <c r="Q20" s="87">
        <f>ROUND(Revenues!J20,0)</f>
        <v>382156</v>
      </c>
      <c r="R20" s="87">
        <f t="shared" si="1"/>
        <v>0</v>
      </c>
      <c r="S20" s="87">
        <f>ROUND(Revenues!K20,0)</f>
        <v>382156</v>
      </c>
      <c r="T20" s="87">
        <f>ROUND(Revenues!L20,0)</f>
        <v>382156</v>
      </c>
      <c r="U20" s="87">
        <f>ROUND(Revenues!M20,0)</f>
        <v>382156</v>
      </c>
      <c r="V20" s="87">
        <f>ROUND(Revenues!N20,0)</f>
        <v>382156</v>
      </c>
      <c r="W20" s="87">
        <f>ROUND(Revenues!O20,0)</f>
        <v>382156</v>
      </c>
    </row>
    <row r="21" spans="1:27" ht="12.75" customHeight="1" outlineLevel="1" x14ac:dyDescent="0.2">
      <c r="A21" s="366" t="s">
        <v>583</v>
      </c>
      <c r="B21" s="82" t="str">
        <f>Revenues!B21</f>
        <v>IASA(ESEA) Title I-A Helping Disadvantaged Students Meet High Standards/School Imprvmnt</v>
      </c>
      <c r="C21" s="837">
        <f>Revenues!C21</f>
        <v>280</v>
      </c>
      <c r="D21" s="837">
        <v>633</v>
      </c>
      <c r="E21" s="837">
        <f>Revenues!E21</f>
        <v>4500</v>
      </c>
      <c r="F21" s="107"/>
      <c r="G21" s="108"/>
      <c r="H21" s="275"/>
      <c r="I21" s="109"/>
      <c r="J21" s="119">
        <v>0</v>
      </c>
      <c r="K21" s="119">
        <v>167404.95000000001</v>
      </c>
      <c r="L21" s="119">
        <v>128973</v>
      </c>
      <c r="M21" s="119">
        <v>101706</v>
      </c>
      <c r="N21" s="119">
        <v>101706</v>
      </c>
      <c r="O21" s="609">
        <f>'2022 Budget &amp; CF'!AA21</f>
        <v>101706</v>
      </c>
      <c r="P21" s="301">
        <f t="shared" si="4"/>
        <v>0</v>
      </c>
      <c r="Q21" s="87">
        <f>ROUND(Revenues!J21,0)</f>
        <v>101706</v>
      </c>
      <c r="R21" s="87">
        <f t="shared" si="1"/>
        <v>0</v>
      </c>
      <c r="S21" s="87">
        <f>ROUND(Revenues!K21,0)</f>
        <v>101706</v>
      </c>
      <c r="T21" s="87">
        <f>ROUND(Revenues!L21,0)</f>
        <v>101706</v>
      </c>
      <c r="U21" s="87">
        <f>ROUND(Revenues!M21,0)</f>
        <v>101706</v>
      </c>
      <c r="V21" s="87">
        <f>ROUND(Revenues!N21,0)</f>
        <v>101706</v>
      </c>
      <c r="W21" s="87">
        <f>ROUND(Revenues!O21,0)</f>
        <v>101706</v>
      </c>
    </row>
    <row r="22" spans="1:27" ht="12.75" customHeight="1" outlineLevel="1" x14ac:dyDescent="0.2">
      <c r="A22" s="366" t="s">
        <v>584</v>
      </c>
      <c r="B22" s="82" t="str">
        <f>Revenues!B22</f>
        <v xml:space="preserve">SPED- IDEA Part B                            </v>
      </c>
      <c r="C22" s="837">
        <f>Revenues!C22</f>
        <v>280</v>
      </c>
      <c r="D22" s="837">
        <v>639</v>
      </c>
      <c r="E22" s="837">
        <f>Revenues!E22</f>
        <v>4500</v>
      </c>
      <c r="F22" s="107"/>
      <c r="G22" s="108"/>
      <c r="H22" s="275"/>
      <c r="I22" s="109"/>
      <c r="J22" s="119">
        <v>0</v>
      </c>
      <c r="K22" s="504">
        <v>100991.7</v>
      </c>
      <c r="L22" s="504">
        <v>94288</v>
      </c>
      <c r="M22" s="504">
        <v>119918</v>
      </c>
      <c r="N22" s="504">
        <v>119918</v>
      </c>
      <c r="O22" s="610">
        <f>'2022 Budget &amp; CF'!AA22</f>
        <v>119918</v>
      </c>
      <c r="P22" s="301">
        <f t="shared" si="4"/>
        <v>0</v>
      </c>
      <c r="Q22" s="367">
        <f>ROUND(Revenues!J22,0)</f>
        <v>119918</v>
      </c>
      <c r="R22" s="367">
        <f t="shared" si="1"/>
        <v>0</v>
      </c>
      <c r="S22" s="367">
        <f>ROUND(Revenues!K22,0)</f>
        <v>132541</v>
      </c>
      <c r="T22" s="367">
        <f>ROUND(Revenues!L22,0)</f>
        <v>147688</v>
      </c>
      <c r="U22" s="367">
        <f>ROUND(Revenues!M22,0)</f>
        <v>159049</v>
      </c>
      <c r="V22" s="367">
        <f>ROUND(Revenues!N22,0)</f>
        <v>176721</v>
      </c>
      <c r="W22" s="367">
        <f>ROUND(Revenues!O22,0)</f>
        <v>177984</v>
      </c>
      <c r="Y22" s="355"/>
      <c r="Z22" s="355"/>
      <c r="AA22" s="355"/>
    </row>
    <row r="23" spans="1:27" ht="12.75" customHeight="1" outlineLevel="1" x14ac:dyDescent="0.2">
      <c r="A23" s="366" t="s">
        <v>575</v>
      </c>
      <c r="B23" s="82" t="s">
        <v>880</v>
      </c>
      <c r="C23" s="837">
        <v>280</v>
      </c>
      <c r="D23" s="837">
        <v>650</v>
      </c>
      <c r="E23" s="837">
        <v>4500</v>
      </c>
      <c r="F23" s="107"/>
      <c r="G23" s="108"/>
      <c r="H23" s="275"/>
      <c r="I23" s="109"/>
      <c r="J23" s="119"/>
      <c r="K23" s="504"/>
      <c r="L23" s="504">
        <v>0</v>
      </c>
      <c r="M23" s="504">
        <v>0</v>
      </c>
      <c r="N23" s="504">
        <v>0</v>
      </c>
      <c r="O23" s="610">
        <f>'2022 Budget &amp; CF'!AA23</f>
        <v>0</v>
      </c>
      <c r="P23" s="301">
        <f t="shared" si="4"/>
        <v>0</v>
      </c>
      <c r="Q23" s="367">
        <f>ROUND(Revenues!J23,0)</f>
        <v>0</v>
      </c>
      <c r="R23" s="367">
        <f t="shared" si="1"/>
        <v>0</v>
      </c>
      <c r="S23" s="367">
        <f>ROUND(Revenues!K23,0)</f>
        <v>0</v>
      </c>
      <c r="T23" s="367">
        <f>ROUND(Revenues!L23,0)</f>
        <v>0</v>
      </c>
      <c r="U23" s="367">
        <f>ROUND(Revenues!M23,0)</f>
        <v>0</v>
      </c>
      <c r="V23" s="367">
        <f>ROUND(Revenues!N23,0)</f>
        <v>0</v>
      </c>
      <c r="W23" s="367">
        <f>ROUND(Revenues!O23,0)</f>
        <v>0</v>
      </c>
    </row>
    <row r="24" spans="1:27" ht="12.75" customHeight="1" outlineLevel="1" x14ac:dyDescent="0.2">
      <c r="A24" s="366" t="s">
        <v>585</v>
      </c>
      <c r="B24" s="82" t="s">
        <v>379</v>
      </c>
      <c r="C24" s="837">
        <v>280</v>
      </c>
      <c r="D24" s="837">
        <v>658</v>
      </c>
      <c r="E24" s="837">
        <v>4500</v>
      </c>
      <c r="F24" s="107"/>
      <c r="G24" s="108"/>
      <c r="H24" s="275"/>
      <c r="I24" s="109"/>
      <c r="J24" s="119">
        <v>0</v>
      </c>
      <c r="K24" s="504">
        <v>6845.03</v>
      </c>
      <c r="L24" s="504">
        <v>0</v>
      </c>
      <c r="M24" s="504">
        <v>6683</v>
      </c>
      <c r="N24" s="504">
        <v>6683</v>
      </c>
      <c r="O24" s="610">
        <f>'2022 Budget &amp; CF'!AA24</f>
        <v>6683</v>
      </c>
      <c r="P24" s="301">
        <f t="shared" si="4"/>
        <v>0</v>
      </c>
      <c r="Q24" s="367">
        <f>ROUND(Revenues!J24,0)</f>
        <v>6683</v>
      </c>
      <c r="R24" s="367">
        <f t="shared" si="1"/>
        <v>0</v>
      </c>
      <c r="S24" s="367">
        <f>ROUND(Revenues!K24,0)</f>
        <v>6683</v>
      </c>
      <c r="T24" s="367">
        <f>ROUND(Revenues!L24,0)</f>
        <v>6683</v>
      </c>
      <c r="U24" s="367">
        <f>ROUND(Revenues!M24,0)</f>
        <v>6683</v>
      </c>
      <c r="V24" s="367">
        <f>ROUND(Revenues!N24,0)</f>
        <v>6683</v>
      </c>
      <c r="W24" s="367">
        <f>ROUND(Revenues!O24,0)</f>
        <v>6683</v>
      </c>
    </row>
    <row r="25" spans="1:27" ht="12.75" customHeight="1" outlineLevel="1" x14ac:dyDescent="0.2">
      <c r="A25" s="366" t="s">
        <v>586</v>
      </c>
      <c r="B25" s="82" t="s">
        <v>922</v>
      </c>
      <c r="C25" s="837">
        <v>280</v>
      </c>
      <c r="D25" s="837">
        <v>661</v>
      </c>
      <c r="E25" s="837">
        <v>4500</v>
      </c>
      <c r="F25" s="107"/>
      <c r="G25" s="108"/>
      <c r="H25" s="275"/>
      <c r="I25" s="109"/>
      <c r="J25" s="119"/>
      <c r="K25" s="504">
        <v>373261.55</v>
      </c>
      <c r="L25" s="504">
        <v>713339</v>
      </c>
      <c r="M25" s="504">
        <v>1155405</v>
      </c>
      <c r="N25" s="504">
        <v>1155405</v>
      </c>
      <c r="O25" s="610">
        <f>'2022 Budget &amp; CF'!AA25</f>
        <v>781732</v>
      </c>
      <c r="P25" s="301">
        <f t="shared" si="4"/>
        <v>-373673</v>
      </c>
      <c r="Q25" s="367">
        <f>ROUND(Revenues!J25,0)</f>
        <v>345006</v>
      </c>
      <c r="R25" s="367">
        <f t="shared" si="1"/>
        <v>-810399</v>
      </c>
      <c r="S25" s="504">
        <f>ROUND(Revenues!K25,0)</f>
        <v>0</v>
      </c>
      <c r="T25" s="504">
        <f>ROUND(Revenues!L25,0)</f>
        <v>0</v>
      </c>
      <c r="U25" s="504">
        <f>ROUND(Revenues!M25,0)</f>
        <v>0</v>
      </c>
      <c r="V25" s="504">
        <f>ROUND(Revenues!N25,0)</f>
        <v>0</v>
      </c>
      <c r="W25" s="504">
        <f>ROUND(Revenues!O25,0)</f>
        <v>0</v>
      </c>
    </row>
    <row r="26" spans="1:27" ht="12.75" customHeight="1" outlineLevel="1" x14ac:dyDescent="0.2">
      <c r="A26" s="366" t="s">
        <v>587</v>
      </c>
      <c r="B26" s="82" t="s">
        <v>1041</v>
      </c>
      <c r="C26" s="837">
        <v>280</v>
      </c>
      <c r="D26" s="837">
        <v>698</v>
      </c>
      <c r="E26" s="837">
        <v>4500</v>
      </c>
      <c r="F26" s="107"/>
      <c r="G26" s="108"/>
      <c r="H26" s="275"/>
      <c r="I26" s="109"/>
      <c r="J26" s="119"/>
      <c r="K26" s="504">
        <v>500</v>
      </c>
      <c r="L26" s="504"/>
      <c r="M26" s="504"/>
      <c r="N26" s="504">
        <v>9280</v>
      </c>
      <c r="O26" s="610">
        <f>'2022 Budget &amp; CF'!AA26</f>
        <v>9280</v>
      </c>
      <c r="P26" s="301">
        <f t="shared" si="4"/>
        <v>0</v>
      </c>
      <c r="Q26" s="367">
        <f>ROUND(Revenues!J26,0)</f>
        <v>0</v>
      </c>
      <c r="R26" s="367">
        <f t="shared" si="1"/>
        <v>-9280</v>
      </c>
      <c r="S26" s="367">
        <f>ROUND(Revenues!K26,0)</f>
        <v>0</v>
      </c>
      <c r="T26" s="367">
        <f>ROUND(Revenues!L26,0)</f>
        <v>0</v>
      </c>
      <c r="U26" s="367">
        <f>ROUND(Revenues!M26,0)</f>
        <v>0</v>
      </c>
      <c r="V26" s="367">
        <f>ROUND(Revenues!N26,0)</f>
        <v>0</v>
      </c>
      <c r="W26" s="367">
        <f>ROUND(Revenues!O26,0)</f>
        <v>0</v>
      </c>
    </row>
    <row r="27" spans="1:27" ht="12.75" customHeight="1" outlineLevel="1" x14ac:dyDescent="0.2">
      <c r="A27" s="366" t="s">
        <v>588</v>
      </c>
      <c r="B27" s="82" t="str">
        <f>Revenues!B27</f>
        <v>Title II</v>
      </c>
      <c r="C27" s="837">
        <f>Revenues!C27</f>
        <v>280</v>
      </c>
      <c r="D27" s="837">
        <v>709</v>
      </c>
      <c r="E27" s="837">
        <f>Revenues!E27</f>
        <v>4500</v>
      </c>
      <c r="F27" s="107"/>
      <c r="G27" s="108"/>
      <c r="H27" s="275"/>
      <c r="I27" s="109"/>
      <c r="J27" s="119">
        <v>0</v>
      </c>
      <c r="K27" s="119">
        <v>16499.38</v>
      </c>
      <c r="L27" s="119">
        <v>0</v>
      </c>
      <c r="M27" s="119">
        <v>27650</v>
      </c>
      <c r="N27" s="119">
        <v>27650</v>
      </c>
      <c r="O27" s="609">
        <f>'2022 Budget &amp; CF'!AA27</f>
        <v>27650</v>
      </c>
      <c r="P27" s="301">
        <f t="shared" si="4"/>
        <v>0</v>
      </c>
      <c r="Q27" s="87">
        <f>ROUND(Revenues!J27,0)</f>
        <v>27650</v>
      </c>
      <c r="R27" s="87">
        <f t="shared" si="1"/>
        <v>0</v>
      </c>
      <c r="S27" s="87">
        <f>ROUND(Revenues!K27,0)</f>
        <v>27650</v>
      </c>
      <c r="T27" s="87">
        <f>ROUND(Revenues!L27,0)</f>
        <v>27650</v>
      </c>
      <c r="U27" s="87">
        <f>ROUND(Revenues!M27,0)</f>
        <v>27650</v>
      </c>
      <c r="V27" s="87">
        <f>ROUND(Revenues!N27,0)</f>
        <v>27650</v>
      </c>
      <c r="W27" s="87">
        <f>ROUND(Revenues!O27,0)</f>
        <v>27650</v>
      </c>
    </row>
    <row r="28" spans="1:27" ht="12.75" customHeight="1" outlineLevel="1" x14ac:dyDescent="0.2">
      <c r="A28" s="366" t="s">
        <v>589</v>
      </c>
      <c r="B28" s="82" t="s">
        <v>377</v>
      </c>
      <c r="C28" s="837">
        <v>280</v>
      </c>
      <c r="D28" s="837">
        <v>715</v>
      </c>
      <c r="E28" s="837">
        <v>4500</v>
      </c>
      <c r="F28" s="107"/>
      <c r="G28" s="108"/>
      <c r="H28" s="275"/>
      <c r="I28" s="109"/>
      <c r="J28" s="119">
        <v>0</v>
      </c>
      <c r="K28" s="504">
        <v>19761.150000000001</v>
      </c>
      <c r="L28" s="504">
        <v>0</v>
      </c>
      <c r="M28" s="504">
        <v>11644</v>
      </c>
      <c r="N28" s="504">
        <v>11644</v>
      </c>
      <c r="O28" s="610">
        <f>'2022 Budget &amp; CF'!AA28</f>
        <v>11644</v>
      </c>
      <c r="P28" s="301">
        <f t="shared" si="4"/>
        <v>0</v>
      </c>
      <c r="Q28" s="367">
        <f>ROUND(Revenues!J28,0)</f>
        <v>11644</v>
      </c>
      <c r="R28" s="367">
        <f t="shared" si="1"/>
        <v>0</v>
      </c>
      <c r="S28" s="367">
        <f>ROUND(Revenues!K28,0)</f>
        <v>11644</v>
      </c>
      <c r="T28" s="367">
        <f>ROUND(Revenues!L28,0)</f>
        <v>11644</v>
      </c>
      <c r="U28" s="367">
        <f>ROUND(Revenues!M28,0)</f>
        <v>11644</v>
      </c>
      <c r="V28" s="367">
        <f>ROUND(Revenues!N28,0)</f>
        <v>11644</v>
      </c>
      <c r="W28" s="367">
        <f>ROUND(Revenues!O28,0)</f>
        <v>11644</v>
      </c>
    </row>
    <row r="29" spans="1:27" ht="12.75" customHeight="1" outlineLevel="1" x14ac:dyDescent="0.2">
      <c r="A29" s="366" t="s">
        <v>590</v>
      </c>
      <c r="B29" s="82"/>
      <c r="C29" s="837">
        <v>280</v>
      </c>
      <c r="D29" s="837">
        <v>729</v>
      </c>
      <c r="E29" s="837">
        <v>4500</v>
      </c>
      <c r="F29" s="107"/>
      <c r="G29" s="108"/>
      <c r="H29" s="275"/>
      <c r="I29" s="109"/>
      <c r="J29" s="119"/>
      <c r="K29" s="504">
        <v>2000</v>
      </c>
      <c r="L29" s="504">
        <v>0</v>
      </c>
      <c r="M29" s="504">
        <v>0</v>
      </c>
      <c r="N29" s="504">
        <v>0</v>
      </c>
      <c r="O29" s="609">
        <f>'2022 Budget &amp; CF'!AA29</f>
        <v>0</v>
      </c>
      <c r="P29" s="301">
        <f t="shared" si="4"/>
        <v>0</v>
      </c>
      <c r="Q29" s="119">
        <f>ROUND(Revenues!J29,0)</f>
        <v>0</v>
      </c>
      <c r="R29" s="119">
        <f t="shared" si="1"/>
        <v>0</v>
      </c>
      <c r="S29" s="119">
        <f>ROUND(Revenues!K29,0)</f>
        <v>0</v>
      </c>
      <c r="T29" s="119">
        <f>ROUND(Revenues!L29,0)</f>
        <v>0</v>
      </c>
      <c r="U29" s="119">
        <f>ROUND(Revenues!M29,0)</f>
        <v>0</v>
      </c>
      <c r="V29" s="119">
        <f>ROUND(Revenues!N29,0)</f>
        <v>0</v>
      </c>
      <c r="W29" s="119">
        <f>ROUND(Revenues!O29,0)</f>
        <v>0</v>
      </c>
    </row>
    <row r="30" spans="1:27" ht="12.75" customHeight="1" outlineLevel="1" x14ac:dyDescent="0.2">
      <c r="A30" s="366" t="s">
        <v>591</v>
      </c>
      <c r="B30" s="82" t="s">
        <v>378</v>
      </c>
      <c r="C30" s="837">
        <v>280</v>
      </c>
      <c r="D30" s="837">
        <v>740</v>
      </c>
      <c r="E30" s="837">
        <v>4500</v>
      </c>
      <c r="F30" s="107"/>
      <c r="G30" s="108"/>
      <c r="H30" s="275"/>
      <c r="I30" s="109"/>
      <c r="J30" s="119">
        <v>0</v>
      </c>
      <c r="K30" s="119"/>
      <c r="L30" s="119">
        <v>0</v>
      </c>
      <c r="M30" s="119">
        <v>157512</v>
      </c>
      <c r="N30" s="119">
        <v>0</v>
      </c>
      <c r="O30" s="609">
        <f>'2022 Budget &amp; CF'!AA30</f>
        <v>0</v>
      </c>
      <c r="P30" s="301">
        <f t="shared" si="4"/>
        <v>0</v>
      </c>
      <c r="Q30" s="119">
        <f>ROUND(Revenues!J30,0)</f>
        <v>0</v>
      </c>
      <c r="R30" s="119">
        <f t="shared" si="1"/>
        <v>0</v>
      </c>
      <c r="S30" s="119">
        <f>ROUND(Revenues!K30,0)</f>
        <v>0</v>
      </c>
      <c r="T30" s="119">
        <f>ROUND(Revenues!L30,0)</f>
        <v>0</v>
      </c>
      <c r="U30" s="119">
        <f>ROUND(Revenues!M30,0)</f>
        <v>0</v>
      </c>
      <c r="V30" s="119">
        <f>ROUND(Revenues!N30,0)</f>
        <v>0</v>
      </c>
      <c r="W30" s="119">
        <f>ROUND(Revenues!O30,0)</f>
        <v>0</v>
      </c>
    </row>
    <row r="31" spans="1:27" ht="12.75" customHeight="1" outlineLevel="1" x14ac:dyDescent="0.2">
      <c r="A31" s="366" t="s">
        <v>592</v>
      </c>
      <c r="B31" s="82" t="s">
        <v>998</v>
      </c>
      <c r="C31" s="837">
        <v>280</v>
      </c>
      <c r="D31" s="837">
        <v>741</v>
      </c>
      <c r="E31" s="837">
        <v>4500</v>
      </c>
      <c r="F31" s="107"/>
      <c r="G31" s="108"/>
      <c r="H31" s="275"/>
      <c r="I31" s="109"/>
      <c r="J31" s="119"/>
      <c r="K31" s="119"/>
      <c r="L31" s="119"/>
      <c r="M31" s="119"/>
      <c r="N31" s="119">
        <v>157512</v>
      </c>
      <c r="O31" s="609">
        <f>'2022 Budget &amp; CF'!AA31</f>
        <v>157512</v>
      </c>
      <c r="P31" s="301">
        <f t="shared" si="4"/>
        <v>0</v>
      </c>
      <c r="Q31" s="119">
        <f>ROUND(Revenues!J31,0)</f>
        <v>0</v>
      </c>
      <c r="R31" s="119">
        <f t="shared" si="1"/>
        <v>-157512</v>
      </c>
      <c r="S31" s="119">
        <f>ROUND(Revenues!K31,0)</f>
        <v>0</v>
      </c>
      <c r="T31" s="119">
        <f>ROUND(Revenues!L31,0)</f>
        <v>0</v>
      </c>
      <c r="U31" s="119">
        <f>ROUND(Revenues!M31,0)</f>
        <v>0</v>
      </c>
      <c r="V31" s="119">
        <f>ROUND(Revenues!N31,0)</f>
        <v>0</v>
      </c>
      <c r="W31" s="119">
        <f>ROUND(Revenues!O31,0)</f>
        <v>0</v>
      </c>
    </row>
    <row r="32" spans="1:27" ht="12.75" customHeight="1" outlineLevel="1" x14ac:dyDescent="0.2">
      <c r="A32" s="366" t="s">
        <v>571</v>
      </c>
      <c r="B32" s="82" t="s">
        <v>1034</v>
      </c>
      <c r="C32" s="837">
        <v>280</v>
      </c>
      <c r="D32" s="837">
        <v>742</v>
      </c>
      <c r="E32" s="837">
        <v>4500</v>
      </c>
      <c r="F32" s="107"/>
      <c r="G32" s="108"/>
      <c r="H32" s="275"/>
      <c r="I32" s="109"/>
      <c r="J32" s="119"/>
      <c r="K32" s="119"/>
      <c r="L32" s="119"/>
      <c r="M32" s="119"/>
      <c r="N32" s="119">
        <v>0</v>
      </c>
      <c r="O32" s="609">
        <f>'2022 Budget &amp; CF'!AA32</f>
        <v>0</v>
      </c>
      <c r="P32" s="301">
        <f t="shared" si="4"/>
        <v>0</v>
      </c>
      <c r="Q32" s="481">
        <f>ROUND(Revenues!J32,0)</f>
        <v>267546</v>
      </c>
      <c r="R32" s="481">
        <f t="shared" si="1"/>
        <v>267546</v>
      </c>
      <c r="S32" s="119">
        <f>ROUND(Revenues!K32,0)</f>
        <v>0</v>
      </c>
      <c r="T32" s="119">
        <f>ROUND(Revenues!L32,0)</f>
        <v>0</v>
      </c>
      <c r="U32" s="119">
        <f>ROUND(Revenues!M32,0)</f>
        <v>0</v>
      </c>
      <c r="V32" s="119">
        <f>ROUND(Revenues!N32,0)</f>
        <v>0</v>
      </c>
      <c r="W32" s="119">
        <f>ROUND(Revenues!O32,0)</f>
        <v>0</v>
      </c>
    </row>
    <row r="33" spans="1:27" ht="12.75" customHeight="1" outlineLevel="1" x14ac:dyDescent="0.2">
      <c r="A33" s="366" t="s">
        <v>566</v>
      </c>
      <c r="B33" s="82" t="s">
        <v>1027</v>
      </c>
      <c r="C33" s="837">
        <v>280</v>
      </c>
      <c r="D33" s="837">
        <v>744</v>
      </c>
      <c r="E33" s="837">
        <v>4500</v>
      </c>
      <c r="F33" s="107"/>
      <c r="G33" s="108"/>
      <c r="H33" s="275"/>
      <c r="I33" s="109"/>
      <c r="J33" s="119"/>
      <c r="K33" s="119">
        <v>5957.96</v>
      </c>
      <c r="L33" s="119"/>
      <c r="M33" s="119"/>
      <c r="N33" s="119">
        <v>0</v>
      </c>
      <c r="O33" s="609">
        <f>'2022 Budget &amp; CF'!AA33</f>
        <v>5688</v>
      </c>
      <c r="P33" s="301">
        <f t="shared" si="4"/>
        <v>5688</v>
      </c>
      <c r="Q33" s="119">
        <f>ROUND(Revenues!J33,0)</f>
        <v>0</v>
      </c>
      <c r="R33" s="119">
        <f t="shared" si="1"/>
        <v>0</v>
      </c>
      <c r="S33" s="119">
        <f>ROUND(Revenues!K33,0)</f>
        <v>0</v>
      </c>
      <c r="T33" s="119">
        <f>ROUND(Revenues!L33,0)</f>
        <v>0</v>
      </c>
      <c r="U33" s="119">
        <f>ROUND(Revenues!M33,0)</f>
        <v>0</v>
      </c>
      <c r="V33" s="119">
        <f>ROUND(Revenues!N33,0)</f>
        <v>0</v>
      </c>
      <c r="W33" s="119">
        <f>ROUND(Revenues!O33,0)</f>
        <v>0</v>
      </c>
    </row>
    <row r="34" spans="1:27" ht="12.75" customHeight="1" outlineLevel="1" x14ac:dyDescent="0.2">
      <c r="A34" s="366" t="s">
        <v>593</v>
      </c>
      <c r="B34" s="82" t="s">
        <v>1028</v>
      </c>
      <c r="C34" s="837">
        <v>280</v>
      </c>
      <c r="D34" s="837">
        <v>745</v>
      </c>
      <c r="E34" s="837">
        <v>4500</v>
      </c>
      <c r="F34" s="107"/>
      <c r="G34" s="108"/>
      <c r="H34" s="275"/>
      <c r="I34" s="109"/>
      <c r="J34" s="119"/>
      <c r="K34" s="119">
        <v>30415.91</v>
      </c>
      <c r="L34" s="119"/>
      <c r="M34" s="119"/>
      <c r="N34" s="119">
        <v>10970</v>
      </c>
      <c r="O34" s="609">
        <f>'2022 Budget &amp; CF'!AA34</f>
        <v>10970</v>
      </c>
      <c r="P34" s="301">
        <f t="shared" si="4"/>
        <v>0</v>
      </c>
      <c r="Q34" s="119">
        <f>ROUND(Revenues!J34,0)</f>
        <v>0</v>
      </c>
      <c r="R34" s="119">
        <f t="shared" si="1"/>
        <v>-10970</v>
      </c>
      <c r="S34" s="119">
        <f>ROUND(Revenues!K34,0)</f>
        <v>0</v>
      </c>
      <c r="T34" s="119">
        <f>ROUND(Revenues!L34,0)</f>
        <v>0</v>
      </c>
      <c r="U34" s="119">
        <f>ROUND(Revenues!M34,0)</f>
        <v>0</v>
      </c>
      <c r="V34" s="119">
        <f>ROUND(Revenues!N34,0)</f>
        <v>0</v>
      </c>
      <c r="W34" s="119">
        <f>ROUND(Revenues!O34,0)</f>
        <v>0</v>
      </c>
    </row>
    <row r="35" spans="1:27" ht="12.75" customHeight="1" outlineLevel="1" x14ac:dyDescent="0.2">
      <c r="A35" s="366" t="s">
        <v>594</v>
      </c>
      <c r="B35" s="82" t="s">
        <v>1029</v>
      </c>
      <c r="C35" s="837">
        <v>280</v>
      </c>
      <c r="D35" s="837">
        <v>746</v>
      </c>
      <c r="E35" s="837">
        <v>4500</v>
      </c>
      <c r="F35" s="107"/>
      <c r="G35" s="108"/>
      <c r="H35" s="275"/>
      <c r="I35" s="109"/>
      <c r="J35" s="119"/>
      <c r="K35" s="119">
        <v>10232.26</v>
      </c>
      <c r="L35" s="119"/>
      <c r="M35" s="119"/>
      <c r="N35" s="119">
        <v>2368</v>
      </c>
      <c r="O35" s="609">
        <f>'2022 Budget &amp; CF'!AA35</f>
        <v>2368</v>
      </c>
      <c r="P35" s="301">
        <f t="shared" si="4"/>
        <v>0</v>
      </c>
      <c r="Q35" s="119">
        <f>ROUND(Revenues!J35,0)</f>
        <v>0</v>
      </c>
      <c r="R35" s="119">
        <f t="shared" si="1"/>
        <v>-2368</v>
      </c>
      <c r="S35" s="119">
        <f>ROUND(Revenues!K35,0)</f>
        <v>0</v>
      </c>
      <c r="T35" s="119">
        <f>ROUND(Revenues!L35,0)</f>
        <v>0</v>
      </c>
      <c r="U35" s="119">
        <f>ROUND(Revenues!M35,0)</f>
        <v>0</v>
      </c>
      <c r="V35" s="119">
        <f>ROUND(Revenues!N35,0)</f>
        <v>0</v>
      </c>
      <c r="W35" s="119">
        <f>ROUND(Revenues!O35,0)</f>
        <v>0</v>
      </c>
    </row>
    <row r="36" spans="1:27" ht="12.75" customHeight="1" outlineLevel="1" x14ac:dyDescent="0.2">
      <c r="A36" s="366" t="s">
        <v>595</v>
      </c>
      <c r="B36" s="82" t="s">
        <v>893</v>
      </c>
      <c r="C36" s="837">
        <v>280</v>
      </c>
      <c r="D36" s="837">
        <v>749</v>
      </c>
      <c r="E36" s="837">
        <v>4500</v>
      </c>
      <c r="F36" s="107"/>
      <c r="G36" s="108"/>
      <c r="H36" s="275"/>
      <c r="I36" s="109"/>
      <c r="J36" s="119"/>
      <c r="K36" s="119"/>
      <c r="L36" s="119">
        <v>0</v>
      </c>
      <c r="M36" s="119">
        <v>6491</v>
      </c>
      <c r="N36" s="119">
        <v>91</v>
      </c>
      <c r="O36" s="609">
        <f>'2022 Budget &amp; CF'!AA36</f>
        <v>91</v>
      </c>
      <c r="P36" s="301">
        <f t="shared" si="4"/>
        <v>0</v>
      </c>
      <c r="Q36" s="119">
        <f>ROUND(Revenues!J36,0)</f>
        <v>0</v>
      </c>
      <c r="R36" s="119">
        <f t="shared" si="1"/>
        <v>-91</v>
      </c>
      <c r="S36" s="119">
        <f>ROUND(Revenues!K36,0)</f>
        <v>0</v>
      </c>
      <c r="T36" s="119">
        <f>ROUND(Revenues!L36,0)</f>
        <v>0</v>
      </c>
      <c r="U36" s="119">
        <f>ROUND(Revenues!M36,0)</f>
        <v>0</v>
      </c>
      <c r="V36" s="119">
        <f>ROUND(Revenues!N36,0)</f>
        <v>0</v>
      </c>
      <c r="W36" s="119">
        <f>ROUND(Revenues!O36,0)</f>
        <v>0</v>
      </c>
    </row>
    <row r="37" spans="1:27" ht="12.75" customHeight="1" outlineLevel="1" x14ac:dyDescent="0.2">
      <c r="A37" s="366" t="s">
        <v>576</v>
      </c>
      <c r="B37" s="82" t="s">
        <v>516</v>
      </c>
      <c r="C37" s="837">
        <v>280</v>
      </c>
      <c r="D37" s="837" t="s">
        <v>145</v>
      </c>
      <c r="E37" s="837">
        <v>4703</v>
      </c>
      <c r="F37" s="107"/>
      <c r="G37" s="108"/>
      <c r="H37" s="275"/>
      <c r="I37" s="109"/>
      <c r="J37" s="119">
        <v>685737.19</v>
      </c>
      <c r="K37" s="119">
        <v>2416</v>
      </c>
      <c r="L37" s="119">
        <v>5798</v>
      </c>
      <c r="M37" s="119">
        <v>4831.9999999999991</v>
      </c>
      <c r="N37" s="119">
        <v>4832</v>
      </c>
      <c r="O37" s="609">
        <f>'2022 Budget &amp; CF'!AA37</f>
        <v>4832</v>
      </c>
      <c r="P37" s="301">
        <f t="shared" si="4"/>
        <v>0</v>
      </c>
      <c r="Q37" s="87">
        <f>ROUND(Revenues!J37,0)</f>
        <v>4832</v>
      </c>
      <c r="R37" s="87">
        <f t="shared" si="1"/>
        <v>0</v>
      </c>
      <c r="S37" s="87">
        <f>ROUND(Revenues!K37,0)</f>
        <v>4832</v>
      </c>
      <c r="T37" s="87">
        <f>ROUND(Revenues!L37,0)</f>
        <v>4832</v>
      </c>
      <c r="U37" s="87">
        <f>ROUND(Revenues!M37,0)</f>
        <v>4832</v>
      </c>
      <c r="V37" s="87">
        <f>ROUND(Revenues!N37,0)</f>
        <v>4832</v>
      </c>
      <c r="W37" s="87">
        <f>ROUND(Revenues!O37,0)</f>
        <v>4832</v>
      </c>
    </row>
    <row r="38" spans="1:27" ht="12.75" customHeight="1" x14ac:dyDescent="0.2">
      <c r="A38" s="366" t="s">
        <v>1157</v>
      </c>
      <c r="B38" s="205" t="s">
        <v>143</v>
      </c>
      <c r="C38" s="838"/>
      <c r="D38" s="838"/>
      <c r="E38" s="838"/>
      <c r="F38" s="614"/>
      <c r="G38" s="615"/>
      <c r="H38" s="273"/>
      <c r="I38" s="274"/>
      <c r="J38" s="86">
        <f>SUM(J19:J37)</f>
        <v>685737.19</v>
      </c>
      <c r="K38" s="86">
        <f>SUM(K19:K37)</f>
        <v>1188559.1999999997</v>
      </c>
      <c r="L38" s="86">
        <v>1226832</v>
      </c>
      <c r="M38" s="86">
        <v>1876274.5500000003</v>
      </c>
      <c r="N38" s="86">
        <v>1990215</v>
      </c>
      <c r="O38" s="86">
        <f>SUM(O19:O37)</f>
        <v>1622230</v>
      </c>
      <c r="P38" s="86">
        <f t="shared" si="4"/>
        <v>-367985</v>
      </c>
      <c r="Q38" s="86">
        <f t="shared" ref="Q38:W38" si="5">SUM(Q19:Q37)</f>
        <v>1267141</v>
      </c>
      <c r="R38" s="86">
        <f t="shared" si="1"/>
        <v>-723074</v>
      </c>
      <c r="S38" s="86">
        <f t="shared" si="5"/>
        <v>667212</v>
      </c>
      <c r="T38" s="86">
        <f t="shared" si="5"/>
        <v>682359</v>
      </c>
      <c r="U38" s="86">
        <f t="shared" si="5"/>
        <v>693720</v>
      </c>
      <c r="V38" s="86">
        <f t="shared" si="5"/>
        <v>711392</v>
      </c>
      <c r="W38" s="86">
        <f t="shared" si="5"/>
        <v>712655</v>
      </c>
      <c r="Y38" s="355"/>
      <c r="Z38" s="355"/>
      <c r="AA38" s="355"/>
    </row>
    <row r="39" spans="1:27" ht="12.75" customHeight="1" outlineLevel="1" x14ac:dyDescent="0.2">
      <c r="A39" s="366" t="s">
        <v>596</v>
      </c>
      <c r="B39" s="82" t="s">
        <v>1203</v>
      </c>
      <c r="C39" s="837">
        <v>100</v>
      </c>
      <c r="D39" s="839" t="s">
        <v>145</v>
      </c>
      <c r="E39" s="840" t="s">
        <v>1202</v>
      </c>
      <c r="F39" s="107"/>
      <c r="G39" s="108"/>
      <c r="H39" s="275"/>
      <c r="I39" s="353" t="s">
        <v>497</v>
      </c>
      <c r="J39" s="115"/>
      <c r="K39" s="115">
        <v>0</v>
      </c>
      <c r="L39" s="115"/>
      <c r="M39" s="115"/>
      <c r="N39" s="115"/>
      <c r="O39" s="606">
        <f>'2022 Budget &amp; CF'!AA39</f>
        <v>2576</v>
      </c>
      <c r="P39" s="301"/>
      <c r="Q39" s="12"/>
      <c r="R39" s="12">
        <f t="shared" si="1"/>
        <v>0</v>
      </c>
      <c r="S39" s="12"/>
      <c r="T39" s="12"/>
      <c r="U39" s="12"/>
      <c r="V39" s="12"/>
      <c r="W39" s="12"/>
    </row>
    <row r="40" spans="1:27" ht="12.75" customHeight="1" outlineLevel="1" x14ac:dyDescent="0.2">
      <c r="A40" s="366" t="s">
        <v>1158</v>
      </c>
      <c r="B40" s="82" t="str">
        <f>Revenues!B40</f>
        <v xml:space="preserve">Interest Income                                   </v>
      </c>
      <c r="C40" s="837">
        <f>Revenues!C40</f>
        <v>100</v>
      </c>
      <c r="D40" s="839" t="s">
        <v>145</v>
      </c>
      <c r="E40" s="840">
        <f>Revenues!E40</f>
        <v>1510</v>
      </c>
      <c r="F40" s="107"/>
      <c r="G40" s="108"/>
      <c r="H40" s="275"/>
      <c r="I40" s="109"/>
      <c r="J40" s="115">
        <v>0</v>
      </c>
      <c r="K40" s="115">
        <v>3887.51</v>
      </c>
      <c r="L40" s="115">
        <v>0</v>
      </c>
      <c r="M40" s="115">
        <v>0</v>
      </c>
      <c r="N40" s="115">
        <v>0</v>
      </c>
      <c r="O40" s="606">
        <f>'2022 Budget &amp; CF'!AA40</f>
        <v>0</v>
      </c>
      <c r="P40" s="301">
        <f>O40-N40</f>
        <v>0</v>
      </c>
      <c r="Q40" s="12">
        <f>ROUND(Revenues!J40,0)</f>
        <v>0</v>
      </c>
      <c r="R40" s="12">
        <f t="shared" si="1"/>
        <v>0</v>
      </c>
      <c r="S40" s="12">
        <f>ROUND(Revenues!K40,0)</f>
        <v>0</v>
      </c>
      <c r="T40" s="12">
        <f>ROUND(Revenues!L40,0)</f>
        <v>0</v>
      </c>
      <c r="U40" s="12">
        <f>ROUND(Revenues!M40,0)</f>
        <v>0</v>
      </c>
      <c r="V40" s="12">
        <f>ROUND(Revenues!N40,0)</f>
        <v>0</v>
      </c>
      <c r="W40" s="12">
        <f>ROUND(Revenues!O40,0)</f>
        <v>0</v>
      </c>
    </row>
    <row r="41" spans="1:27" ht="12.75" customHeight="1" outlineLevel="1" x14ac:dyDescent="0.2">
      <c r="A41" s="366" t="s">
        <v>1159</v>
      </c>
      <c r="B41" s="82" t="s">
        <v>1040</v>
      </c>
      <c r="C41" s="837">
        <v>300</v>
      </c>
      <c r="D41" s="839" t="s">
        <v>145</v>
      </c>
      <c r="E41" s="840">
        <v>1510</v>
      </c>
      <c r="F41" s="107"/>
      <c r="G41" s="108"/>
      <c r="H41" s="275"/>
      <c r="I41" s="109"/>
      <c r="J41" s="115"/>
      <c r="K41" s="115">
        <v>6.61</v>
      </c>
      <c r="L41" s="115"/>
      <c r="M41" s="115"/>
      <c r="N41" s="115">
        <v>0</v>
      </c>
      <c r="O41" s="606">
        <f>'2022 Budget &amp; CF'!AA41</f>
        <v>0</v>
      </c>
      <c r="P41" s="301">
        <f t="shared" ref="P41:P53" si="6">O41-N41</f>
        <v>0</v>
      </c>
      <c r="Q41" s="12">
        <f>ROUND(Revenues!J41,0)</f>
        <v>0</v>
      </c>
      <c r="R41" s="12">
        <f t="shared" si="1"/>
        <v>0</v>
      </c>
      <c r="S41" s="12">
        <f>ROUND(Revenues!K41,0)</f>
        <v>0</v>
      </c>
      <c r="T41" s="12">
        <f>ROUND(Revenues!L41,0)</f>
        <v>0</v>
      </c>
      <c r="U41" s="12">
        <f>ROUND(Revenues!M41,0)</f>
        <v>0</v>
      </c>
      <c r="V41" s="12">
        <f>ROUND(Revenues!N41,0)</f>
        <v>0</v>
      </c>
      <c r="W41" s="12">
        <f>ROUND(Revenues!O41,0)</f>
        <v>0</v>
      </c>
    </row>
    <row r="42" spans="1:27" ht="12.75" customHeight="1" outlineLevel="1" x14ac:dyDescent="0.2">
      <c r="A42" s="366" t="s">
        <v>597</v>
      </c>
      <c r="B42" s="82" t="s">
        <v>1037</v>
      </c>
      <c r="C42" s="837">
        <v>100</v>
      </c>
      <c r="D42" s="841" t="s">
        <v>145</v>
      </c>
      <c r="E42" s="840" t="s">
        <v>1036</v>
      </c>
      <c r="F42" s="107"/>
      <c r="G42" s="108"/>
      <c r="H42" s="275"/>
      <c r="I42" s="109"/>
      <c r="J42" s="115"/>
      <c r="K42" s="115">
        <v>26417.8</v>
      </c>
      <c r="L42" s="115"/>
      <c r="M42" s="115"/>
      <c r="N42" s="115">
        <v>0</v>
      </c>
      <c r="O42" s="606">
        <f>'2022 Budget &amp; CF'!AA42</f>
        <v>0</v>
      </c>
      <c r="P42" s="301">
        <f t="shared" si="6"/>
        <v>0</v>
      </c>
      <c r="Q42" s="12">
        <f>ROUND(Revenues!J42,0)</f>
        <v>0</v>
      </c>
      <c r="R42" s="12">
        <f t="shared" si="1"/>
        <v>0</v>
      </c>
      <c r="S42" s="12">
        <f>ROUND(Revenues!K42,0)</f>
        <v>0</v>
      </c>
      <c r="T42" s="12">
        <f>ROUND(Revenues!L42,0)</f>
        <v>0</v>
      </c>
      <c r="U42" s="12">
        <f>ROUND(Revenues!M42,0)</f>
        <v>0</v>
      </c>
      <c r="V42" s="12">
        <f>ROUND(Revenues!N42,0)</f>
        <v>0</v>
      </c>
      <c r="W42" s="12">
        <f>ROUND(Revenues!O42,0)</f>
        <v>0</v>
      </c>
    </row>
    <row r="43" spans="1:27" ht="12.75" customHeight="1" outlineLevel="1" x14ac:dyDescent="0.2">
      <c r="A43" s="366" t="s">
        <v>598</v>
      </c>
      <c r="B43" s="82" t="s">
        <v>1039</v>
      </c>
      <c r="C43" s="837">
        <v>100</v>
      </c>
      <c r="D43" s="841" t="s">
        <v>145</v>
      </c>
      <c r="E43" s="840" t="s">
        <v>1038</v>
      </c>
      <c r="F43" s="107"/>
      <c r="G43" s="108"/>
      <c r="H43" s="275"/>
      <c r="I43" s="109"/>
      <c r="J43" s="115"/>
      <c r="K43" s="115">
        <v>109561.63</v>
      </c>
      <c r="L43" s="115"/>
      <c r="M43" s="115"/>
      <c r="N43" s="115">
        <v>0</v>
      </c>
      <c r="O43" s="606">
        <f>'2022 Budget &amp; CF'!AA43</f>
        <v>0</v>
      </c>
      <c r="P43" s="301">
        <f t="shared" si="6"/>
        <v>0</v>
      </c>
      <c r="Q43" s="12">
        <f>ROUND(Revenues!J43,0)</f>
        <v>0</v>
      </c>
      <c r="R43" s="12">
        <f t="shared" si="1"/>
        <v>0</v>
      </c>
      <c r="S43" s="12">
        <f>ROUND(Revenues!K43,0)</f>
        <v>0</v>
      </c>
      <c r="T43" s="12">
        <f>ROUND(Revenues!L43,0)</f>
        <v>0</v>
      </c>
      <c r="U43" s="12">
        <f>ROUND(Revenues!M43,0)</f>
        <v>0</v>
      </c>
      <c r="V43" s="12">
        <f>ROUND(Revenues!N43,0)</f>
        <v>0</v>
      </c>
      <c r="W43" s="12">
        <f>ROUND(Revenues!O43,0)</f>
        <v>0</v>
      </c>
      <c r="X43" s="923"/>
    </row>
    <row r="44" spans="1:27" ht="12.75" customHeight="1" outlineLevel="1" x14ac:dyDescent="0.2">
      <c r="A44" s="366" t="s">
        <v>599</v>
      </c>
      <c r="B44" s="82" t="str">
        <f>Revenues!B44</f>
        <v>Other Fees</v>
      </c>
      <c r="C44" s="837">
        <f>Revenues!C44</f>
        <v>100</v>
      </c>
      <c r="D44" s="841" t="s">
        <v>145</v>
      </c>
      <c r="E44" s="840">
        <f>Revenues!E44</f>
        <v>1740</v>
      </c>
      <c r="F44" s="107"/>
      <c r="G44" s="108"/>
      <c r="H44" s="275"/>
      <c r="I44" s="109"/>
      <c r="J44" s="115">
        <v>0</v>
      </c>
      <c r="K44" s="115">
        <v>418.33000000000004</v>
      </c>
      <c r="L44" s="115">
        <v>0</v>
      </c>
      <c r="M44" s="115">
        <v>0</v>
      </c>
      <c r="N44" s="115">
        <v>0</v>
      </c>
      <c r="O44" s="606">
        <f>'2022 Budget &amp; CF'!AA44</f>
        <v>0</v>
      </c>
      <c r="P44" s="301">
        <f t="shared" si="6"/>
        <v>0</v>
      </c>
      <c r="Q44" s="12">
        <f>ROUND(Revenues!J44,0)</f>
        <v>0</v>
      </c>
      <c r="R44" s="12">
        <f t="shared" si="1"/>
        <v>0</v>
      </c>
      <c r="S44" s="12">
        <f>ROUND(Revenues!K44,0)</f>
        <v>0</v>
      </c>
      <c r="T44" s="12">
        <f>ROUND(Revenues!L44,0)</f>
        <v>0</v>
      </c>
      <c r="U44" s="12">
        <f>ROUND(Revenues!M44,0)</f>
        <v>0</v>
      </c>
      <c r="V44" s="12">
        <f>ROUND(Revenues!N44,0)</f>
        <v>0</v>
      </c>
      <c r="W44" s="12">
        <f>ROUND(Revenues!O44,0)</f>
        <v>0</v>
      </c>
    </row>
    <row r="45" spans="1:27" ht="12.75" customHeight="1" outlineLevel="1" x14ac:dyDescent="0.2">
      <c r="A45" s="366" t="s">
        <v>600</v>
      </c>
      <c r="B45" s="88" t="str">
        <f>Revenues!B45</f>
        <v xml:space="preserve">OTHER ACTIVITY FEES </v>
      </c>
      <c r="C45" s="837">
        <f>Revenues!C45</f>
        <v>100</v>
      </c>
      <c r="D45" s="839" t="s">
        <v>145</v>
      </c>
      <c r="E45" s="837">
        <f>Revenues!E45</f>
        <v>1790</v>
      </c>
      <c r="F45" s="107"/>
      <c r="G45" s="108"/>
      <c r="H45" s="275"/>
      <c r="I45" s="109"/>
      <c r="J45" s="115">
        <v>0</v>
      </c>
      <c r="K45" s="115">
        <v>1643.25</v>
      </c>
      <c r="L45" s="115">
        <v>500</v>
      </c>
      <c r="M45" s="115">
        <v>500</v>
      </c>
      <c r="N45" s="115">
        <v>500</v>
      </c>
      <c r="O45" s="606">
        <f>'2022 Budget &amp; CF'!AA45</f>
        <v>500</v>
      </c>
      <c r="P45" s="301">
        <f t="shared" si="6"/>
        <v>0</v>
      </c>
      <c r="Q45" s="12">
        <f>ROUND(Revenues!J45,0)</f>
        <v>500</v>
      </c>
      <c r="R45" s="12">
        <f t="shared" si="1"/>
        <v>0</v>
      </c>
      <c r="S45" s="12">
        <f>ROUND(Revenues!K45,0)</f>
        <v>500</v>
      </c>
      <c r="T45" s="12">
        <f>ROUND(Revenues!L45,0)</f>
        <v>500</v>
      </c>
      <c r="U45" s="12">
        <f>ROUND(Revenues!M45,0)</f>
        <v>500</v>
      </c>
      <c r="V45" s="12">
        <f>ROUND(Revenues!N45,0)</f>
        <v>500</v>
      </c>
      <c r="W45" s="12">
        <f>ROUND(Revenues!O45,0)</f>
        <v>500</v>
      </c>
    </row>
    <row r="46" spans="1:27" ht="12.75" customHeight="1" outlineLevel="1" x14ac:dyDescent="0.2">
      <c r="A46" s="366" t="s">
        <v>601</v>
      </c>
      <c r="B46" s="88" t="s">
        <v>381</v>
      </c>
      <c r="C46" s="837">
        <v>279</v>
      </c>
      <c r="D46" s="839" t="s">
        <v>145</v>
      </c>
      <c r="E46" s="837">
        <v>1790</v>
      </c>
      <c r="F46" s="107"/>
      <c r="G46" s="108"/>
      <c r="H46" s="275"/>
      <c r="I46" s="109"/>
      <c r="J46" s="115">
        <v>22216.39</v>
      </c>
      <c r="K46" s="932">
        <v>1974.94</v>
      </c>
      <c r="L46" s="115">
        <v>8400</v>
      </c>
      <c r="M46" s="115">
        <v>2393.2700000000004</v>
      </c>
      <c r="N46" s="115">
        <v>2393</v>
      </c>
      <c r="O46" s="932">
        <f>'2022 Budget &amp; CF'!AA46</f>
        <v>2393</v>
      </c>
      <c r="P46" s="301">
        <f t="shared" si="6"/>
        <v>0</v>
      </c>
      <c r="Q46" s="932">
        <f>ROUND(Revenues!J46,0)</f>
        <v>2393</v>
      </c>
      <c r="R46" s="12">
        <f t="shared" si="1"/>
        <v>0</v>
      </c>
      <c r="S46" s="12">
        <f>ROUND(Revenues!K46,0)</f>
        <v>2393</v>
      </c>
      <c r="T46" s="12">
        <f>ROUND(Revenues!L46,0)</f>
        <v>2393</v>
      </c>
      <c r="U46" s="12">
        <f>ROUND(Revenues!M46,0)</f>
        <v>2393</v>
      </c>
      <c r="V46" s="12">
        <f>ROUND(Revenues!N46,0)</f>
        <v>2393</v>
      </c>
      <c r="W46" s="12">
        <f>ROUND(Revenues!O46,0)</f>
        <v>2393</v>
      </c>
      <c r="X46" s="923"/>
    </row>
    <row r="47" spans="1:27" ht="12.75" customHeight="1" outlineLevel="1" x14ac:dyDescent="0.2">
      <c r="A47" s="366" t="s">
        <v>572</v>
      </c>
      <c r="B47" s="88" t="s">
        <v>380</v>
      </c>
      <c r="C47" s="837">
        <v>100</v>
      </c>
      <c r="D47" s="839" t="s">
        <v>145</v>
      </c>
      <c r="E47" s="837">
        <v>1900</v>
      </c>
      <c r="F47" s="107"/>
      <c r="G47" s="108"/>
      <c r="H47" s="275"/>
      <c r="I47" s="109"/>
      <c r="J47" s="115">
        <v>0</v>
      </c>
      <c r="K47" s="115">
        <v>-3090.84</v>
      </c>
      <c r="L47" s="115">
        <v>200</v>
      </c>
      <c r="M47" s="115">
        <v>0</v>
      </c>
      <c r="N47" s="115">
        <v>0</v>
      </c>
      <c r="O47" s="606">
        <f>'2022 Budget &amp; CF'!AA47</f>
        <v>1708</v>
      </c>
      <c r="P47" s="301">
        <f t="shared" si="6"/>
        <v>1708</v>
      </c>
      <c r="Q47" s="12">
        <f>ROUND(Revenues!J47,0)</f>
        <v>0</v>
      </c>
      <c r="R47" s="12">
        <f t="shared" si="1"/>
        <v>0</v>
      </c>
      <c r="S47" s="12">
        <f>ROUND(Revenues!K47,0)</f>
        <v>0</v>
      </c>
      <c r="T47" s="12">
        <f>ROUND(Revenues!L47,0)</f>
        <v>0</v>
      </c>
      <c r="U47" s="12">
        <f>ROUND(Revenues!M47,0)</f>
        <v>0</v>
      </c>
      <c r="V47" s="12">
        <f>ROUND(Revenues!N47,0)</f>
        <v>0</v>
      </c>
      <c r="W47" s="12">
        <f>ROUND(Revenues!O47,0)</f>
        <v>0</v>
      </c>
    </row>
    <row r="48" spans="1:27" ht="12.75" customHeight="1" outlineLevel="1" x14ac:dyDescent="0.2">
      <c r="A48" s="366" t="s">
        <v>570</v>
      </c>
      <c r="B48" s="82" t="str">
        <f>Revenues!B48</f>
        <v xml:space="preserve">GIFTS &amp; DONATIONS FROM LOCAL COMMUNITY            </v>
      </c>
      <c r="C48" s="837">
        <f>Revenues!C48</f>
        <v>260</v>
      </c>
      <c r="D48" s="839" t="s">
        <v>145</v>
      </c>
      <c r="E48" s="837">
        <f>Revenues!E48</f>
        <v>1920</v>
      </c>
      <c r="F48" s="107"/>
      <c r="G48" s="108"/>
      <c r="H48" s="275"/>
      <c r="I48" s="109"/>
      <c r="J48" s="115">
        <v>0</v>
      </c>
      <c r="K48" s="115">
        <v>2500</v>
      </c>
      <c r="L48" s="115">
        <v>0</v>
      </c>
      <c r="M48" s="115">
        <v>0</v>
      </c>
      <c r="N48" s="115">
        <v>0</v>
      </c>
      <c r="O48" s="606">
        <f>'2022 Budget &amp; CF'!AA48</f>
        <v>0</v>
      </c>
      <c r="P48" s="301">
        <f t="shared" si="6"/>
        <v>0</v>
      </c>
      <c r="Q48" s="12">
        <f>ROUND(Revenues!J48,0)</f>
        <v>0</v>
      </c>
      <c r="R48" s="12">
        <f t="shared" si="1"/>
        <v>0</v>
      </c>
      <c r="S48" s="12">
        <f>ROUND(Revenues!K48,0)</f>
        <v>0</v>
      </c>
      <c r="T48" s="12">
        <f>ROUND(Revenues!L48,0)</f>
        <v>0</v>
      </c>
      <c r="U48" s="12">
        <f>ROUND(Revenues!M48,0)</f>
        <v>0</v>
      </c>
      <c r="V48" s="12">
        <f>ROUND(Revenues!N48,0)</f>
        <v>0</v>
      </c>
      <c r="W48" s="12">
        <f>ROUND(Revenues!O48,0)</f>
        <v>0</v>
      </c>
    </row>
    <row r="49" spans="1:25" ht="12.75" customHeight="1" outlineLevel="1" x14ac:dyDescent="0.2">
      <c r="A49" s="366" t="s">
        <v>602</v>
      </c>
      <c r="B49" s="88" t="str">
        <f>Revenues!B49</f>
        <v>Refund of Prior Year's Expenses</v>
      </c>
      <c r="C49" s="837">
        <f>Revenues!C49</f>
        <v>100</v>
      </c>
      <c r="D49" s="839" t="s">
        <v>145</v>
      </c>
      <c r="E49" s="837">
        <f>Revenues!E49</f>
        <v>1980</v>
      </c>
      <c r="F49" s="107"/>
      <c r="G49" s="108"/>
      <c r="H49" s="275"/>
      <c r="I49" s="109"/>
      <c r="J49" s="115">
        <v>0</v>
      </c>
      <c r="K49" s="115">
        <v>3593.07</v>
      </c>
      <c r="L49" s="115">
        <v>0</v>
      </c>
      <c r="M49" s="115">
        <v>0</v>
      </c>
      <c r="N49" s="115">
        <v>0</v>
      </c>
      <c r="O49" s="606">
        <f>'2022 Budget &amp; CF'!AA49</f>
        <v>2692</v>
      </c>
      <c r="P49" s="301">
        <f t="shared" si="6"/>
        <v>2692</v>
      </c>
      <c r="Q49" s="12">
        <f>ROUND(Revenues!J49,0)</f>
        <v>0</v>
      </c>
      <c r="R49" s="12">
        <f t="shared" si="1"/>
        <v>0</v>
      </c>
      <c r="S49" s="12">
        <f>ROUND(Revenues!K49,0)</f>
        <v>0</v>
      </c>
      <c r="T49" s="12">
        <f>ROUND(Revenues!L49,0)</f>
        <v>0</v>
      </c>
      <c r="U49" s="12">
        <f>ROUND(Revenues!M49,0)</f>
        <v>0</v>
      </c>
      <c r="V49" s="12">
        <f>ROUND(Revenues!N49,0)</f>
        <v>0</v>
      </c>
      <c r="W49" s="12">
        <f>ROUND(Revenues!O49,0)</f>
        <v>0</v>
      </c>
    </row>
    <row r="50" spans="1:25" ht="12.75" customHeight="1" outlineLevel="1" x14ac:dyDescent="0.2">
      <c r="A50" s="366" t="s">
        <v>603</v>
      </c>
      <c r="B50" s="88" t="str">
        <f>Revenues!B50</f>
        <v>Transfers from Gen Fund to SPED FUND</v>
      </c>
      <c r="C50" s="837">
        <v>250</v>
      </c>
      <c r="D50" s="839" t="s">
        <v>132</v>
      </c>
      <c r="E50" s="837">
        <v>5200</v>
      </c>
      <c r="F50" s="107"/>
      <c r="G50" s="108"/>
      <c r="H50" s="275"/>
      <c r="I50" s="109"/>
      <c r="J50" s="115"/>
      <c r="K50" s="115">
        <v>143359.67999999999</v>
      </c>
      <c r="L50" s="115"/>
      <c r="M50" s="115"/>
      <c r="N50" s="115">
        <v>0</v>
      </c>
      <c r="O50" s="606">
        <f>'2022 Budget &amp; CF'!AA50</f>
        <v>0</v>
      </c>
      <c r="P50" s="301">
        <f t="shared" si="6"/>
        <v>0</v>
      </c>
      <c r="Q50" s="12">
        <f>ROUND(Revenues!J50,0)</f>
        <v>0</v>
      </c>
      <c r="R50" s="12">
        <f t="shared" si="1"/>
        <v>0</v>
      </c>
      <c r="S50" s="12">
        <f>ROUND(Revenues!K50,0)</f>
        <v>0</v>
      </c>
      <c r="T50" s="12">
        <f>ROUND(Revenues!L50,0)</f>
        <v>0</v>
      </c>
      <c r="U50" s="12">
        <f>ROUND(Revenues!M50,0)</f>
        <v>0</v>
      </c>
      <c r="V50" s="12">
        <f>ROUND(Revenues!N50,0)</f>
        <v>0</v>
      </c>
      <c r="W50" s="12">
        <f>ROUND(Revenues!O50,0)</f>
        <v>0</v>
      </c>
    </row>
    <row r="51" spans="1:25" ht="12.75" customHeight="1" outlineLevel="1" x14ac:dyDescent="0.2">
      <c r="A51" s="366" t="s">
        <v>604</v>
      </c>
      <c r="B51" s="88" t="str">
        <f>Revenues!B51</f>
        <v>Capital Projects Transfer In</v>
      </c>
      <c r="C51" s="837">
        <v>300</v>
      </c>
      <c r="D51" s="841" t="s">
        <v>145</v>
      </c>
      <c r="E51" s="837">
        <v>5200</v>
      </c>
      <c r="F51" s="107"/>
      <c r="G51" s="108"/>
      <c r="H51" s="275"/>
      <c r="I51" s="109"/>
      <c r="J51" s="115"/>
      <c r="K51" s="115">
        <v>0</v>
      </c>
      <c r="L51" s="115">
        <v>0</v>
      </c>
      <c r="M51" s="115">
        <v>0</v>
      </c>
      <c r="N51" s="115">
        <v>0</v>
      </c>
      <c r="O51" s="606">
        <f>'2022 Budget &amp; CF'!AA51</f>
        <v>1559311</v>
      </c>
      <c r="P51" s="301">
        <f t="shared" si="6"/>
        <v>1559311</v>
      </c>
      <c r="Q51" s="12">
        <f>ROUND(Revenues!J51,0)</f>
        <v>0</v>
      </c>
      <c r="R51" s="12">
        <f t="shared" si="1"/>
        <v>0</v>
      </c>
      <c r="S51" s="12">
        <f>ROUND(Revenues!K51,0)</f>
        <v>0</v>
      </c>
      <c r="T51" s="12">
        <f>ROUND(Revenues!L51,0)</f>
        <v>0</v>
      </c>
      <c r="U51" s="12">
        <f>ROUND(Revenues!M51,0)</f>
        <v>0</v>
      </c>
      <c r="V51" s="12">
        <f>ROUND(Revenues!N51,0)</f>
        <v>0</v>
      </c>
      <c r="W51" s="12">
        <f>ROUND(Revenues!O51,0)</f>
        <v>0</v>
      </c>
    </row>
    <row r="52" spans="1:25" ht="12.75" customHeight="1" x14ac:dyDescent="0.2">
      <c r="A52" s="366" t="s">
        <v>605</v>
      </c>
      <c r="B52" s="205" t="s">
        <v>149</v>
      </c>
      <c r="C52" s="842"/>
      <c r="D52" s="842"/>
      <c r="E52" s="842"/>
      <c r="F52" s="89"/>
      <c r="G52" s="89"/>
      <c r="H52" s="89"/>
      <c r="I52" s="89"/>
      <c r="J52" s="86">
        <f>SUM(J39:J51)</f>
        <v>22216.39</v>
      </c>
      <c r="K52" s="86">
        <f>SUM(K39:K51)</f>
        <v>290271.98</v>
      </c>
      <c r="L52" s="86">
        <v>9100</v>
      </c>
      <c r="M52" s="86">
        <v>2893.2700000000004</v>
      </c>
      <c r="N52" s="86">
        <v>2893</v>
      </c>
      <c r="O52" s="86">
        <f>SUM(O39:O51)</f>
        <v>1569180</v>
      </c>
      <c r="P52" s="86">
        <f t="shared" si="6"/>
        <v>1566287</v>
      </c>
      <c r="Q52" s="86">
        <f t="shared" ref="Q52:W52" si="7">SUM(Q39:Q51)</f>
        <v>2893</v>
      </c>
      <c r="R52" s="86">
        <f t="shared" si="1"/>
        <v>0</v>
      </c>
      <c r="S52" s="86">
        <f t="shared" si="7"/>
        <v>2893</v>
      </c>
      <c r="T52" s="86">
        <f t="shared" si="7"/>
        <v>2893</v>
      </c>
      <c r="U52" s="86">
        <f t="shared" si="7"/>
        <v>2893</v>
      </c>
      <c r="V52" s="86">
        <f t="shared" si="7"/>
        <v>2893</v>
      </c>
      <c r="W52" s="86">
        <f t="shared" si="7"/>
        <v>2893</v>
      </c>
      <c r="Y52" s="355"/>
    </row>
    <row r="53" spans="1:25" ht="12.75" customHeight="1" thickBot="1" x14ac:dyDescent="0.25">
      <c r="A53" s="366" t="s">
        <v>606</v>
      </c>
      <c r="B53" s="206" t="s">
        <v>150</v>
      </c>
      <c r="C53" s="843"/>
      <c r="D53" s="843"/>
      <c r="E53" s="843"/>
      <c r="F53" s="105"/>
      <c r="G53" s="105"/>
      <c r="H53" s="105"/>
      <c r="I53" s="105"/>
      <c r="J53" s="91">
        <f>SUM(J52,J38,J18)</f>
        <v>14617059.42</v>
      </c>
      <c r="K53" s="91">
        <f>SUM(K52,K38,K18)</f>
        <v>4657757.76</v>
      </c>
      <c r="L53" s="91">
        <v>5312501</v>
      </c>
      <c r="M53" s="91">
        <v>6361907.8200000003</v>
      </c>
      <c r="N53" s="91">
        <f>SUM(N52,N38,N18)</f>
        <v>5321566</v>
      </c>
      <c r="O53" s="91">
        <f>SUM(O52,O38,O18)</f>
        <v>6771763</v>
      </c>
      <c r="P53" s="91">
        <f t="shared" si="6"/>
        <v>1450197</v>
      </c>
      <c r="Q53" s="91">
        <f t="shared" ref="Q53:W53" si="8">SUM(Q52,Q38,Q18)</f>
        <v>5948953</v>
      </c>
      <c r="R53" s="91">
        <f t="shared" si="1"/>
        <v>627387</v>
      </c>
      <c r="S53" s="91">
        <f t="shared" si="8"/>
        <v>5936346</v>
      </c>
      <c r="T53" s="91">
        <f t="shared" si="8"/>
        <v>6418403</v>
      </c>
      <c r="U53" s="91">
        <f t="shared" si="8"/>
        <v>6779647</v>
      </c>
      <c r="V53" s="91">
        <f t="shared" si="8"/>
        <v>6934821</v>
      </c>
      <c r="W53" s="91">
        <f t="shared" si="8"/>
        <v>6955130</v>
      </c>
    </row>
    <row r="54" spans="1:25" ht="13.5" outlineLevel="1" thickTop="1" x14ac:dyDescent="0.2">
      <c r="A54" s="366" t="s">
        <v>607</v>
      </c>
      <c r="B54" s="82" t="s">
        <v>160</v>
      </c>
      <c r="C54" s="844"/>
      <c r="D54" s="845"/>
      <c r="E54" s="845"/>
      <c r="F54" s="158"/>
      <c r="G54" s="158"/>
      <c r="H54" s="103" t="s">
        <v>161</v>
      </c>
      <c r="I54" s="103"/>
      <c r="J54" s="115">
        <v>0</v>
      </c>
      <c r="K54" s="115"/>
      <c r="L54" s="115"/>
      <c r="M54" s="115"/>
      <c r="N54" s="115"/>
      <c r="O54" s="606"/>
      <c r="P54" s="12">
        <f>O54-N54</f>
        <v>0</v>
      </c>
      <c r="Q54" s="12"/>
      <c r="R54" s="12">
        <f t="shared" si="1"/>
        <v>0</v>
      </c>
      <c r="S54" s="12"/>
      <c r="T54" s="12"/>
      <c r="U54" s="12"/>
      <c r="V54" s="12"/>
      <c r="W54" s="12"/>
    </row>
    <row r="55" spans="1:25" outlineLevel="1" x14ac:dyDescent="0.2">
      <c r="A55" s="366" t="s">
        <v>608</v>
      </c>
      <c r="B55" s="82"/>
      <c r="C55" s="839">
        <v>100</v>
      </c>
      <c r="D55" s="841" t="s">
        <v>145</v>
      </c>
      <c r="E55" s="841"/>
      <c r="F55" s="102">
        <v>100</v>
      </c>
      <c r="G55" s="102">
        <v>1000</v>
      </c>
      <c r="H55" s="104" t="s">
        <v>161</v>
      </c>
      <c r="I55" s="104"/>
      <c r="J55" s="115"/>
      <c r="K55" s="115">
        <v>116384.66</v>
      </c>
      <c r="L55" s="115">
        <v>502937</v>
      </c>
      <c r="M55" s="115">
        <v>503068</v>
      </c>
      <c r="N55" s="115">
        <v>326360</v>
      </c>
      <c r="O55" s="932">
        <f>ROUND(SUMIFS('Employee Detail FY22'!$AA:$AA,'Employee Detail FY22'!$B:$B,$C55,'Employee Detail FY22'!$C:$C,$D55,'Employee Detail FY22'!$E:$E,$F55,'Employee Detail FY22'!$F:$F,$G55,'Employee Detail FY22'!$G:$G,$H55),0)</f>
        <v>326360</v>
      </c>
      <c r="P55" s="12">
        <f t="shared" ref="P55:P68" si="9">O55-N55</f>
        <v>0</v>
      </c>
      <c r="Q55" s="932">
        <f>ROUND(SUMIFS('Employee Detail FY23'!$AA:$AA,'Employee Detail FY23'!$B:$B,$C55,'Employee Detail FY23'!$C:$C,$D55,'Employee Detail FY23'!$E:$E,$F55,'Employee Detail FY23'!$F:$F,$G55,'Employee Detail FY23'!$G:$G,$H55),0)</f>
        <v>372361</v>
      </c>
      <c r="R55" s="12">
        <f t="shared" si="1"/>
        <v>46001</v>
      </c>
      <c r="S55" s="12">
        <f>ROUND(SUMIFS('Employee Detail FY24'!$AA:$AA,'Employee Detail FY24'!$B:$B,$C55,'Employee Detail FY24'!$C:$C,$D55,'Employee Detail FY24'!$E:$E,$F55,'Employee Detail FY24'!$F:$F,$G55,'Employee Detail FY24'!$G:$G,$H55),0)</f>
        <v>501702</v>
      </c>
      <c r="T55" s="12">
        <f>ROUND(SUMIFS('Employee Detail FY25'!$AA:$AA,'Employee Detail FY25'!$B:$B,$C55,'Employee Detail FY25'!$C:$C,$D55,'Employee Detail FY25'!$E:$E,$F55,'Employee Detail FY25'!$F:$F,$G55,'Employee Detail FY25'!$G:$G,$H55),0)</f>
        <v>614001</v>
      </c>
      <c r="U55" s="12">
        <f>ROUND(SUMIFS('Employee Detail FY26'!$AA:$AA,'Employee Detail FY26'!$B:$B,$C55,'Employee Detail FY26'!$C:$C,$D55,'Employee Detail FY26'!$E:$E,$F55,'Employee Detail FY26'!$F:$F,$G55,'Employee Detail FY26'!$G:$G,$H55),0)</f>
        <v>731700</v>
      </c>
      <c r="V55" s="12">
        <f>ROUND(SUMIFS('Employee Detail FY27'!$AA:$AA,'Employee Detail FY27'!$B:$B,$C55,'Employee Detail FY27'!$C:$C,$D55,'Employee Detail FY27'!$E:$E,$F55,'Employee Detail FY27'!$F:$F,$G55,'Employee Detail FY27'!$G:$G,$H55),0)</f>
        <v>751300</v>
      </c>
      <c r="W55" s="12">
        <f>ROUND(SUMIFS('Employee Detail FY28'!$AA:$AA,'Employee Detail FY28'!$B:$B,$C55,'Employee Detail FY28'!$C:$C,$D55,'Employee Detail FY28'!$E:$E,$F55,'Employee Detail FY28'!$F:$F,$G55,'Employee Detail FY28'!$G:$G,$H55),0)</f>
        <v>770899</v>
      </c>
    </row>
    <row r="56" spans="1:25" outlineLevel="1" x14ac:dyDescent="0.2">
      <c r="A56" s="366" t="s">
        <v>609</v>
      </c>
      <c r="B56" s="382" t="s">
        <v>812</v>
      </c>
      <c r="C56" s="839">
        <v>100</v>
      </c>
      <c r="D56" s="841" t="s">
        <v>145</v>
      </c>
      <c r="E56" s="841"/>
      <c r="F56" s="102" t="s">
        <v>689</v>
      </c>
      <c r="G56" s="102">
        <v>1000</v>
      </c>
      <c r="H56" s="104" t="s">
        <v>161</v>
      </c>
      <c r="I56" s="104"/>
      <c r="J56" s="115"/>
      <c r="K56" s="115">
        <v>22468.5</v>
      </c>
      <c r="L56" s="115">
        <v>0</v>
      </c>
      <c r="M56" s="115">
        <v>0</v>
      </c>
      <c r="N56" s="115">
        <v>0</v>
      </c>
      <c r="O56" s="932">
        <f>ROUND(SUMIFS('Employee Detail FY22'!$AA:$AA,'Employee Detail FY22'!$B:$B,$C56,'Employee Detail FY22'!$C:$C,$D56,'Employee Detail FY22'!$E:$E,$F56,'Employee Detail FY22'!$F:$F,$G56,'Employee Detail FY22'!$G:$G,$H56),0)</f>
        <v>0</v>
      </c>
      <c r="P56" s="12">
        <f t="shared" si="9"/>
        <v>0</v>
      </c>
      <c r="Q56" s="932">
        <f>ROUND(SUMIFS('Employee Detail FY23'!$AA:$AA,'Employee Detail FY23'!$B:$B,$C56,'Employee Detail FY23'!$C:$C,$D56,'Employee Detail FY23'!$E:$E,$F56,'Employee Detail FY23'!$F:$F,$G56,'Employee Detail FY23'!$G:$G,$H56),0)</f>
        <v>0</v>
      </c>
      <c r="R56" s="12">
        <f t="shared" si="1"/>
        <v>0</v>
      </c>
      <c r="S56" s="12">
        <f>ROUND(SUMIFS('Employee Detail FY24'!$AA:$AA,'Employee Detail FY24'!$B:$B,$C56,'Employee Detail FY24'!$C:$C,$D56,'Employee Detail FY24'!$E:$E,$F56,'Employee Detail FY24'!$F:$F,$G56,'Employee Detail FY24'!$G:$G,$H56),0)</f>
        <v>0</v>
      </c>
      <c r="T56" s="12">
        <f>ROUND(SUMIFS('Employee Detail FY25'!$AA:$AA,'Employee Detail FY25'!$B:$B,$C56,'Employee Detail FY25'!$C:$C,$D56,'Employee Detail FY25'!$E:$E,$F56,'Employee Detail FY25'!$F:$F,$G56,'Employee Detail FY25'!$G:$G,$H56),0)</f>
        <v>0</v>
      </c>
      <c r="U56" s="12">
        <f>ROUND(SUMIFS('Employee Detail FY26'!$AA:$AA,'Employee Detail FY26'!$B:$B,$C56,'Employee Detail FY26'!$C:$C,$D56,'Employee Detail FY26'!$E:$E,$F56,'Employee Detail FY26'!$F:$F,$G56,'Employee Detail FY26'!$G:$G,$H56),0)</f>
        <v>0</v>
      </c>
      <c r="V56" s="12">
        <f>ROUND(SUMIFS('Employee Detail FY27'!$AA:$AA,'Employee Detail FY27'!$B:$B,$C56,'Employee Detail FY27'!$C:$C,$D56,'Employee Detail FY27'!$E:$E,$F56,'Employee Detail FY27'!$F:$F,$G56,'Employee Detail FY27'!$G:$G,$H56),0)</f>
        <v>0</v>
      </c>
      <c r="W56" s="12">
        <f>ROUND(SUMIFS('Employee Detail FY28'!$AA:$AA,'Employee Detail FY28'!$B:$B,$C56,'Employee Detail FY28'!$C:$C,$D56,'Employee Detail FY28'!$E:$E,$F56,'Employee Detail FY28'!$F:$F,$G56,'Employee Detail FY28'!$G:$G,$H56),0)</f>
        <v>0</v>
      </c>
    </row>
    <row r="57" spans="1:25" outlineLevel="1" x14ac:dyDescent="0.2">
      <c r="A57" s="366" t="s">
        <v>610</v>
      </c>
      <c r="B57" s="82"/>
      <c r="C57" s="839" t="s">
        <v>468</v>
      </c>
      <c r="D57" s="841" t="s">
        <v>145</v>
      </c>
      <c r="E57" s="841"/>
      <c r="F57" s="102" t="s">
        <v>468</v>
      </c>
      <c r="G57" s="102" t="s">
        <v>534</v>
      </c>
      <c r="H57" s="104" t="s">
        <v>161</v>
      </c>
      <c r="I57" s="104"/>
      <c r="J57" s="115"/>
      <c r="K57" s="115">
        <v>17667.419999999998</v>
      </c>
      <c r="L57" s="115">
        <v>0</v>
      </c>
      <c r="M57" s="115">
        <v>0</v>
      </c>
      <c r="N57" s="115">
        <v>0</v>
      </c>
      <c r="O57" s="932">
        <f>ROUND(SUMIFS('Employee Detail FY22'!$AA:$AA,'Employee Detail FY22'!$B:$B,$C57,'Employee Detail FY22'!$C:$C,$D57,'Employee Detail FY22'!$E:$E,$F57,'Employee Detail FY22'!$F:$F,$G57,'Employee Detail FY22'!$G:$G,$H57),0)</f>
        <v>0</v>
      </c>
      <c r="P57" s="12">
        <f t="shared" si="9"/>
        <v>0</v>
      </c>
      <c r="Q57" s="932">
        <f>ROUND(SUMIFS('Employee Detail FY23'!$AA:$AA,'Employee Detail FY23'!$B:$B,$C57,'Employee Detail FY23'!$C:$C,$D57,'Employee Detail FY23'!$E:$E,$F57,'Employee Detail FY23'!$F:$F,$G57,'Employee Detail FY23'!$G:$G,$H57),0)</f>
        <v>0</v>
      </c>
      <c r="R57" s="12">
        <f t="shared" si="1"/>
        <v>0</v>
      </c>
      <c r="S57" s="12">
        <f>ROUND(SUMIFS('Employee Detail FY24'!$AA:$AA,'Employee Detail FY24'!$B:$B,$C57,'Employee Detail FY24'!$C:$C,$D57,'Employee Detail FY24'!$E:$E,$F57,'Employee Detail FY24'!$F:$F,$G57,'Employee Detail FY24'!$G:$G,$H57),0)</f>
        <v>0</v>
      </c>
      <c r="T57" s="12">
        <f>ROUND(SUMIFS('Employee Detail FY25'!$AA:$AA,'Employee Detail FY25'!$B:$B,$C57,'Employee Detail FY25'!$C:$C,$D57,'Employee Detail FY25'!$E:$E,$F57,'Employee Detail FY25'!$F:$F,$G57,'Employee Detail FY25'!$G:$G,$H57),0)</f>
        <v>0</v>
      </c>
      <c r="U57" s="12">
        <f>ROUND(SUMIFS('Employee Detail FY26'!$AA:$AA,'Employee Detail FY26'!$B:$B,$C57,'Employee Detail FY26'!$C:$C,$D57,'Employee Detail FY26'!$E:$E,$F57,'Employee Detail FY26'!$F:$F,$G57,'Employee Detail FY26'!$G:$G,$H57),0)</f>
        <v>0</v>
      </c>
      <c r="V57" s="12">
        <f>ROUND(SUMIFS('Employee Detail FY27'!$AA:$AA,'Employee Detail FY27'!$B:$B,$C57,'Employee Detail FY27'!$C:$C,$D57,'Employee Detail FY27'!$E:$E,$F57,'Employee Detail FY27'!$F:$F,$G57,'Employee Detail FY27'!$G:$G,$H57),0)</f>
        <v>0</v>
      </c>
      <c r="W57" s="12">
        <f>ROUND(SUMIFS('Employee Detail FY28'!$AA:$AA,'Employee Detail FY28'!$B:$B,$C57,'Employee Detail FY28'!$C:$C,$D57,'Employee Detail FY28'!$E:$E,$F57,'Employee Detail FY28'!$F:$F,$G57,'Employee Detail FY28'!$G:$G,$H57),0)</f>
        <v>0</v>
      </c>
    </row>
    <row r="58" spans="1:25" outlineLevel="1" x14ac:dyDescent="0.2">
      <c r="A58" s="366" t="s">
        <v>611</v>
      </c>
      <c r="B58" s="82"/>
      <c r="C58" s="839" t="s">
        <v>462</v>
      </c>
      <c r="D58" s="841" t="s">
        <v>145</v>
      </c>
      <c r="E58" s="841"/>
      <c r="F58" s="102" t="s">
        <v>463</v>
      </c>
      <c r="G58" s="102" t="s">
        <v>461</v>
      </c>
      <c r="H58" s="104" t="s">
        <v>161</v>
      </c>
      <c r="I58" s="104"/>
      <c r="J58" s="115"/>
      <c r="K58" s="115">
        <v>192530.43</v>
      </c>
      <c r="L58" s="115">
        <v>291180</v>
      </c>
      <c r="M58" s="115">
        <v>231674</v>
      </c>
      <c r="N58" s="115">
        <v>233366</v>
      </c>
      <c r="O58" s="932">
        <f>ROUND(SUMIFS('Employee Detail FY22'!$AA:$AA,'Employee Detail FY22'!$B:$B,$C58,'Employee Detail FY22'!$C:$C,$D58,'Employee Detail FY22'!$E:$E,$F58,'Employee Detail FY22'!$F:$F,$G58,'Employee Detail FY22'!$G:$G,$H58),0)</f>
        <v>187866</v>
      </c>
      <c r="P58" s="12">
        <f t="shared" si="9"/>
        <v>-45500</v>
      </c>
      <c r="Q58" s="932">
        <f>ROUND(SUMIFS('Employee Detail FY23'!$AA:$AA,'Employee Detail FY23'!$B:$B,$C58,'Employee Detail FY23'!$C:$C,$D58,'Employee Detail FY23'!$E:$E,$F58,'Employee Detail FY23'!$F:$F,$G58,'Employee Detail FY23'!$G:$G,$H58),0)</f>
        <v>169950</v>
      </c>
      <c r="R58" s="12">
        <f t="shared" si="1"/>
        <v>-63416</v>
      </c>
      <c r="S58" s="12">
        <f>ROUND(SUMIFS('Employee Detail FY24'!$AA:$AA,'Employee Detail FY24'!$B:$B,$C58,'Employee Detail FY24'!$C:$C,$D58,'Employee Detail FY24'!$E:$E,$F58,'Employee Detail FY24'!$F:$F,$G58,'Employee Detail FY24'!$G:$G,$H58),0)</f>
        <v>270830</v>
      </c>
      <c r="T58" s="12">
        <f>ROUND(SUMIFS('Employee Detail FY25'!$AA:$AA,'Employee Detail FY25'!$B:$B,$C58,'Employee Detail FY25'!$C:$C,$D58,'Employee Detail FY25'!$E:$E,$F58,'Employee Detail FY25'!$F:$F,$G58,'Employee Detail FY25'!$G:$G,$H58),0)</f>
        <v>398395</v>
      </c>
      <c r="U58" s="12">
        <f>ROUND(SUMIFS('Employee Detail FY26'!$AA:$AA,'Employee Detail FY26'!$B:$B,$C58,'Employee Detail FY26'!$C:$C,$D58,'Employee Detail FY26'!$E:$E,$F58,'Employee Detail FY26'!$F:$F,$G58,'Employee Detail FY26'!$G:$G,$H58),0)</f>
        <v>459760</v>
      </c>
      <c r="V58" s="12">
        <f>ROUND(SUMIFS('Employee Detail FY27'!$AA:$AA,'Employee Detail FY27'!$B:$B,$C58,'Employee Detail FY27'!$C:$C,$D58,'Employee Detail FY27'!$E:$E,$F58,'Employee Detail FY27'!$F:$F,$G58,'Employee Detail FY27'!$G:$G,$H58),0)</f>
        <v>523825</v>
      </c>
      <c r="W58" s="12">
        <f>ROUND(SUMIFS('Employee Detail FY28'!$AA:$AA,'Employee Detail FY28'!$B:$B,$C58,'Employee Detail FY28'!$C:$C,$D58,'Employee Detail FY28'!$E:$E,$F58,'Employee Detail FY28'!$F:$F,$G58,'Employee Detail FY28'!$G:$G,$H58),0)</f>
        <v>537490</v>
      </c>
    </row>
    <row r="59" spans="1:25" outlineLevel="1" x14ac:dyDescent="0.2">
      <c r="A59" s="366" t="s">
        <v>567</v>
      </c>
      <c r="B59" s="82"/>
      <c r="C59" s="839" t="s">
        <v>462</v>
      </c>
      <c r="D59" s="841" t="s">
        <v>132</v>
      </c>
      <c r="E59" s="841"/>
      <c r="F59" s="102" t="s">
        <v>473</v>
      </c>
      <c r="G59" s="102" t="s">
        <v>461</v>
      </c>
      <c r="H59" s="104" t="s">
        <v>161</v>
      </c>
      <c r="I59" s="104"/>
      <c r="J59" s="115"/>
      <c r="K59" s="115">
        <v>7740</v>
      </c>
      <c r="L59" s="115"/>
      <c r="M59" s="115"/>
      <c r="N59" s="115">
        <v>0</v>
      </c>
      <c r="O59" s="932">
        <f>ROUND(SUMIFS('Employee Detail FY22'!$AA:$AA,'Employee Detail FY22'!$B:$B,$C59,'Employee Detail FY22'!$C:$C,$D59,'Employee Detail FY22'!$E:$E,$F59,'Employee Detail FY22'!$F:$F,$G59,'Employee Detail FY22'!$G:$G,$H59),0)</f>
        <v>0</v>
      </c>
      <c r="P59" s="12">
        <f t="shared" si="9"/>
        <v>0</v>
      </c>
      <c r="Q59" s="932">
        <f>ROUND(SUMIFS('Employee Detail FY23'!$AA:$AA,'Employee Detail FY23'!$B:$B,$C59,'Employee Detail FY23'!$C:$C,$D59,'Employee Detail FY23'!$E:$E,$F59,'Employee Detail FY23'!$F:$F,$G59,'Employee Detail FY23'!$G:$G,$H59),0)</f>
        <v>0</v>
      </c>
      <c r="R59" s="12">
        <f t="shared" si="1"/>
        <v>0</v>
      </c>
      <c r="S59" s="12">
        <f>ROUND(SUMIFS('Employee Detail FY24'!$AA:$AA,'Employee Detail FY24'!$B:$B,$C59,'Employee Detail FY24'!$C:$C,$D59,'Employee Detail FY24'!$E:$E,$F59,'Employee Detail FY24'!$F:$F,$G59,'Employee Detail FY24'!$G:$G,$H59),0)</f>
        <v>0</v>
      </c>
      <c r="T59" s="12">
        <f>ROUND(SUMIFS('Employee Detail FY25'!$AA:$AA,'Employee Detail FY25'!$B:$B,$C59,'Employee Detail FY25'!$C:$C,$D59,'Employee Detail FY25'!$E:$E,$F59,'Employee Detail FY25'!$F:$F,$G59,'Employee Detail FY25'!$G:$G,$H59),0)</f>
        <v>0</v>
      </c>
      <c r="U59" s="12">
        <f>ROUND(SUMIFS('Employee Detail FY26'!$AA:$AA,'Employee Detail FY26'!$B:$B,$C59,'Employee Detail FY26'!$C:$C,$D59,'Employee Detail FY26'!$E:$E,$F59,'Employee Detail FY26'!$F:$F,$G59,'Employee Detail FY26'!$G:$G,$H59),0)</f>
        <v>0</v>
      </c>
      <c r="V59" s="12">
        <f>ROUND(SUMIFS('Employee Detail FY27'!$AA:$AA,'Employee Detail FY27'!$B:$B,$C59,'Employee Detail FY27'!$C:$C,$D59,'Employee Detail FY27'!$E:$E,$F59,'Employee Detail FY27'!$F:$F,$G59,'Employee Detail FY27'!$G:$G,$H59),0)</f>
        <v>0</v>
      </c>
      <c r="W59" s="12">
        <f>ROUND(SUMIFS('Employee Detail FY28'!$AA:$AA,'Employee Detail FY28'!$B:$B,$C59,'Employee Detail FY28'!$C:$C,$D59,'Employee Detail FY28'!$E:$E,$F59,'Employee Detail FY28'!$F:$F,$G59,'Employee Detail FY28'!$G:$G,$H59),0)</f>
        <v>0</v>
      </c>
    </row>
    <row r="60" spans="1:25" outlineLevel="1" x14ac:dyDescent="0.2">
      <c r="A60" s="366" t="s">
        <v>612</v>
      </c>
      <c r="B60" s="82"/>
      <c r="C60" s="839" t="s">
        <v>135</v>
      </c>
      <c r="D60" s="837">
        <v>624</v>
      </c>
      <c r="E60" s="841"/>
      <c r="F60" s="102" t="s">
        <v>532</v>
      </c>
      <c r="G60" s="101">
        <v>1000</v>
      </c>
      <c r="H60" s="103" t="s">
        <v>161</v>
      </c>
      <c r="I60" s="103"/>
      <c r="J60" s="115">
        <v>0</v>
      </c>
      <c r="K60" s="115">
        <v>34902</v>
      </c>
      <c r="L60" s="115">
        <v>0</v>
      </c>
      <c r="M60" s="115">
        <v>0</v>
      </c>
      <c r="N60" s="115">
        <v>0</v>
      </c>
      <c r="O60" s="932">
        <f>ROUND(SUMIFS('Employee Detail FY22'!$AA:$AA,'Employee Detail FY22'!$B:$B,$C60,'Employee Detail FY22'!$C:$C,$D60,'Employee Detail FY22'!$E:$E,$F60,'Employee Detail FY22'!$F:$F,$G60,'Employee Detail FY22'!$G:$G,$H60),0)</f>
        <v>0</v>
      </c>
      <c r="P60" s="12">
        <f t="shared" si="9"/>
        <v>0</v>
      </c>
      <c r="Q60" s="932">
        <f>ROUND(SUMIFS('Employee Detail FY23'!$AA:$AA,'Employee Detail FY23'!$B:$B,$C60,'Employee Detail FY23'!$C:$C,$D60,'Employee Detail FY23'!$E:$E,$F60,'Employee Detail FY23'!$F:$F,$G60,'Employee Detail FY23'!$G:$G,$H60),0)</f>
        <v>0</v>
      </c>
      <c r="R60" s="12">
        <f t="shared" si="1"/>
        <v>0</v>
      </c>
      <c r="S60" s="12">
        <f>ROUND(SUMIFS('Employee Detail FY24'!$AA:$AA,'Employee Detail FY24'!$B:$B,$C60,'Employee Detail FY24'!$C:$C,$D60,'Employee Detail FY24'!$E:$E,$F60,'Employee Detail FY24'!$F:$F,$G60,'Employee Detail FY24'!$G:$G,$H60),0)</f>
        <v>0</v>
      </c>
      <c r="T60" s="12">
        <f>ROUND(SUMIFS('Employee Detail FY25'!$AA:$AA,'Employee Detail FY25'!$B:$B,$C60,'Employee Detail FY25'!$C:$C,$D60,'Employee Detail FY25'!$E:$E,$F60,'Employee Detail FY25'!$F:$F,$G60,'Employee Detail FY25'!$G:$G,$H60),0)</f>
        <v>0</v>
      </c>
      <c r="U60" s="12">
        <f>ROUND(SUMIFS('Employee Detail FY26'!$AA:$AA,'Employee Detail FY26'!$B:$B,$C60,'Employee Detail FY26'!$C:$C,$D60,'Employee Detail FY26'!$E:$E,$F60,'Employee Detail FY26'!$F:$F,$G60,'Employee Detail FY26'!$G:$G,$H60),0)</f>
        <v>0</v>
      </c>
      <c r="V60" s="12">
        <f>ROUND(SUMIFS('Employee Detail FY27'!$AA:$AA,'Employee Detail FY27'!$B:$B,$C60,'Employee Detail FY27'!$C:$C,$D60,'Employee Detail FY27'!$E:$E,$F60,'Employee Detail FY27'!$F:$F,$G60,'Employee Detail FY27'!$G:$G,$H60),0)</f>
        <v>0</v>
      </c>
      <c r="W60" s="12">
        <f>ROUND(SUMIFS('Employee Detail FY28'!$AA:$AA,'Employee Detail FY28'!$B:$B,$C60,'Employee Detail FY28'!$C:$C,$D60,'Employee Detail FY28'!$E:$E,$F60,'Employee Detail FY28'!$F:$F,$G60,'Employee Detail FY28'!$G:$G,$H60),0)</f>
        <v>0</v>
      </c>
    </row>
    <row r="61" spans="1:25" outlineLevel="1" x14ac:dyDescent="0.2">
      <c r="A61" s="366" t="s">
        <v>568</v>
      </c>
      <c r="B61" s="82"/>
      <c r="C61" s="839" t="s">
        <v>135</v>
      </c>
      <c r="D61" s="837">
        <v>624</v>
      </c>
      <c r="E61" s="841"/>
      <c r="F61" s="102" t="s">
        <v>532</v>
      </c>
      <c r="G61" s="102" t="s">
        <v>534</v>
      </c>
      <c r="H61" s="104" t="s">
        <v>161</v>
      </c>
      <c r="I61" s="104"/>
      <c r="J61" s="115"/>
      <c r="K61" s="115">
        <v>58290.48</v>
      </c>
      <c r="L61" s="115">
        <v>64411</v>
      </c>
      <c r="M61" s="115">
        <v>64411</v>
      </c>
      <c r="N61" s="115">
        <v>64411</v>
      </c>
      <c r="O61" s="932">
        <f>ROUND(SUMIFS('Employee Detail FY22'!$AA:$AA,'Employee Detail FY22'!$B:$B,$C61,'Employee Detail FY22'!$C:$C,$D61,'Employee Detail FY22'!$E:$E,$F61,'Employee Detail FY22'!$F:$F,$G61,'Employee Detail FY22'!$G:$G,$H61),0)</f>
        <v>64411</v>
      </c>
      <c r="P61" s="12">
        <f t="shared" si="9"/>
        <v>0</v>
      </c>
      <c r="Q61" s="932">
        <f>ROUND(SUMIFS('Employee Detail FY23'!$AA:$AA,'Employee Detail FY23'!$B:$B,$C61,'Employee Detail FY23'!$C:$C,$D61,'Employee Detail FY23'!$E:$E,$F61,'Employee Detail FY23'!$F:$F,$G61,'Employee Detail FY23'!$G:$G,$H61),0)</f>
        <v>65042</v>
      </c>
      <c r="R61" s="12">
        <f t="shared" si="1"/>
        <v>631</v>
      </c>
      <c r="S61" s="12">
        <f>ROUND(SUMIFS('Employee Detail FY24'!$AA:$AA,'Employee Detail FY24'!$B:$B,$C61,'Employee Detail FY24'!$C:$C,$D61,'Employee Detail FY24'!$E:$E,$F61,'Employee Detail FY24'!$F:$F,$G61,'Employee Detail FY24'!$G:$G,$H61),0)</f>
        <v>66937</v>
      </c>
      <c r="T61" s="12">
        <f>ROUND(SUMIFS('Employee Detail FY25'!$AA:$AA,'Employee Detail FY25'!$B:$B,$C61,'Employee Detail FY25'!$C:$C,$D61,'Employee Detail FY25'!$E:$E,$F61,'Employee Detail FY25'!$F:$F,$G61,'Employee Detail FY25'!$G:$G,$H61),0)</f>
        <v>68831</v>
      </c>
      <c r="U61" s="12">
        <f>ROUND(SUMIFS('Employee Detail FY26'!$AA:$AA,'Employee Detail FY26'!$B:$B,$C61,'Employee Detail FY26'!$C:$C,$D61,'Employee Detail FY26'!$E:$E,$F61,'Employee Detail FY26'!$F:$F,$G61,'Employee Detail FY26'!$G:$G,$H61),0)</f>
        <v>70726</v>
      </c>
      <c r="V61" s="12">
        <f>ROUND(SUMIFS('Employee Detail FY27'!$AA:$AA,'Employee Detail FY27'!$B:$B,$C61,'Employee Detail FY27'!$C:$C,$D61,'Employee Detail FY27'!$E:$E,$F61,'Employee Detail FY27'!$F:$F,$G61,'Employee Detail FY27'!$G:$G,$H61),0)</f>
        <v>72620</v>
      </c>
      <c r="W61" s="12">
        <f>ROUND(SUMIFS('Employee Detail FY28'!$AA:$AA,'Employee Detail FY28'!$B:$B,$C61,'Employee Detail FY28'!$C:$C,$D61,'Employee Detail FY28'!$E:$E,$F61,'Employee Detail FY28'!$F:$F,$G61,'Employee Detail FY28'!$G:$G,$H61),0)</f>
        <v>74515</v>
      </c>
    </row>
    <row r="62" spans="1:25" outlineLevel="1" x14ac:dyDescent="0.2">
      <c r="A62" s="366" t="s">
        <v>613</v>
      </c>
      <c r="B62" s="82"/>
      <c r="C62" s="839" t="s">
        <v>135</v>
      </c>
      <c r="D62" s="837">
        <v>633</v>
      </c>
      <c r="E62" s="841"/>
      <c r="F62" s="102" t="s">
        <v>532</v>
      </c>
      <c r="G62" s="102" t="s">
        <v>461</v>
      </c>
      <c r="H62" s="104" t="s">
        <v>161</v>
      </c>
      <c r="I62" s="104"/>
      <c r="J62" s="115"/>
      <c r="K62" s="115">
        <v>60805.85</v>
      </c>
      <c r="L62" s="115">
        <v>55000</v>
      </c>
      <c r="M62" s="115">
        <v>55000</v>
      </c>
      <c r="N62" s="115">
        <v>0</v>
      </c>
      <c r="O62" s="932">
        <f>ROUND(SUMIFS('Employee Detail FY22'!$AA:$AA,'Employee Detail FY22'!$B:$B,$C62,'Employee Detail FY22'!$C:$C,$D62,'Employee Detail FY22'!$E:$E,$F62,'Employee Detail FY22'!$F:$F,$G62,'Employee Detail FY22'!$G:$G,$H62),0)</f>
        <v>0</v>
      </c>
      <c r="P62" s="12">
        <f t="shared" si="9"/>
        <v>0</v>
      </c>
      <c r="Q62" s="932">
        <f>ROUND(SUMIFS('Employee Detail FY23'!$AA:$AA,'Employee Detail FY23'!$B:$B,$C62,'Employee Detail FY23'!$C:$C,$D62,'Employee Detail FY23'!$E:$E,$F62,'Employee Detail FY23'!$F:$F,$G62,'Employee Detail FY23'!$G:$G,$H62),0)</f>
        <v>0</v>
      </c>
      <c r="R62" s="12">
        <f t="shared" si="1"/>
        <v>0</v>
      </c>
      <c r="S62" s="12">
        <f>ROUND(SUMIFS('Employee Detail FY24'!$AA:$AA,'Employee Detail FY24'!$B:$B,$C62,'Employee Detail FY24'!$C:$C,$D62,'Employee Detail FY24'!$E:$E,$F62,'Employee Detail FY24'!$F:$F,$G62,'Employee Detail FY24'!$G:$G,$H62),0)</f>
        <v>0</v>
      </c>
      <c r="T62" s="12">
        <f>ROUND(SUMIFS('Employee Detail FY25'!$AA:$AA,'Employee Detail FY25'!$B:$B,$C62,'Employee Detail FY25'!$C:$C,$D62,'Employee Detail FY25'!$E:$E,$F62,'Employee Detail FY25'!$F:$F,$G62,'Employee Detail FY25'!$G:$G,$H62),0)</f>
        <v>0</v>
      </c>
      <c r="U62" s="12">
        <f>ROUND(SUMIFS('Employee Detail FY26'!$AA:$AA,'Employee Detail FY26'!$B:$B,$C62,'Employee Detail FY26'!$C:$C,$D62,'Employee Detail FY26'!$E:$E,$F62,'Employee Detail FY26'!$F:$F,$G62,'Employee Detail FY26'!$G:$G,$H62),0)</f>
        <v>0</v>
      </c>
      <c r="V62" s="12">
        <f>ROUND(SUMIFS('Employee Detail FY27'!$AA:$AA,'Employee Detail FY27'!$B:$B,$C62,'Employee Detail FY27'!$C:$C,$D62,'Employee Detail FY27'!$E:$E,$F62,'Employee Detail FY27'!$F:$F,$G62,'Employee Detail FY27'!$G:$G,$H62),0)</f>
        <v>0</v>
      </c>
      <c r="W62" s="12">
        <f>ROUND(SUMIFS('Employee Detail FY28'!$AA:$AA,'Employee Detail FY28'!$B:$B,$C62,'Employee Detail FY28'!$C:$C,$D62,'Employee Detail FY28'!$E:$E,$F62,'Employee Detail FY28'!$F:$F,$G62,'Employee Detail FY28'!$G:$G,$H62),0)</f>
        <v>0</v>
      </c>
    </row>
    <row r="63" spans="1:25" outlineLevel="1" x14ac:dyDescent="0.2">
      <c r="A63" s="366" t="s">
        <v>614</v>
      </c>
      <c r="B63" s="82"/>
      <c r="C63" s="839" t="s">
        <v>135</v>
      </c>
      <c r="D63" s="837">
        <v>633</v>
      </c>
      <c r="E63" s="841"/>
      <c r="F63" s="102" t="s">
        <v>532</v>
      </c>
      <c r="G63" s="102" t="s">
        <v>534</v>
      </c>
      <c r="H63" s="104" t="s">
        <v>161</v>
      </c>
      <c r="I63" s="104"/>
      <c r="J63" s="115"/>
      <c r="K63" s="115">
        <v>64411</v>
      </c>
      <c r="L63" s="115">
        <v>65699</v>
      </c>
      <c r="M63" s="115">
        <v>65699</v>
      </c>
      <c r="N63" s="115">
        <v>75789</v>
      </c>
      <c r="O63" s="932">
        <f>ROUND(SUMIFS('Employee Detail FY22'!$AA:$AA,'Employee Detail FY22'!$B:$B,$C63,'Employee Detail FY22'!$C:$C,$D63,'Employee Detail FY22'!$E:$E,$F63,'Employee Detail FY22'!$F:$F,$G63,'Employee Detail FY22'!$G:$G,$H63),0)</f>
        <v>75789</v>
      </c>
      <c r="P63" s="12">
        <f t="shared" si="9"/>
        <v>0</v>
      </c>
      <c r="Q63" s="932">
        <f>ROUND(SUMIFS('Employee Detail FY23'!$AA:$AA,'Employee Detail FY23'!$B:$B,$C63,'Employee Detail FY23'!$C:$C,$D63,'Employee Detail FY23'!$E:$E,$F63,'Employee Detail FY23'!$F:$F,$G63,'Employee Detail FY23'!$G:$G,$H63),0)</f>
        <v>76533</v>
      </c>
      <c r="R63" s="12">
        <f t="shared" si="1"/>
        <v>744</v>
      </c>
      <c r="S63" s="12">
        <f>ROUND(SUMIFS('Employee Detail FY24'!$AA:$AA,'Employee Detail FY24'!$B:$B,$C63,'Employee Detail FY24'!$C:$C,$D63,'Employee Detail FY24'!$E:$E,$F63,'Employee Detail FY24'!$F:$F,$G63,'Employee Detail FY24'!$G:$G,$H63),0)</f>
        <v>78762</v>
      </c>
      <c r="T63" s="12">
        <f>ROUND(SUMIFS('Employee Detail FY25'!$AA:$AA,'Employee Detail FY25'!$B:$B,$C63,'Employee Detail FY25'!$C:$C,$D63,'Employee Detail FY25'!$E:$E,$F63,'Employee Detail FY25'!$F:$F,$G63,'Employee Detail FY25'!$G:$G,$H63),0)</f>
        <v>80991</v>
      </c>
      <c r="U63" s="12">
        <f>ROUND(SUMIFS('Employee Detail FY26'!$AA:$AA,'Employee Detail FY26'!$B:$B,$C63,'Employee Detail FY26'!$C:$C,$D63,'Employee Detail FY26'!$E:$E,$F63,'Employee Detail FY26'!$F:$F,$G63,'Employee Detail FY26'!$G:$G,$H63),0)</f>
        <v>83220</v>
      </c>
      <c r="V63" s="12">
        <f>ROUND(SUMIFS('Employee Detail FY27'!$AA:$AA,'Employee Detail FY27'!$B:$B,$C63,'Employee Detail FY27'!$C:$C,$D63,'Employee Detail FY27'!$E:$E,$F63,'Employee Detail FY27'!$F:$F,$G63,'Employee Detail FY27'!$G:$G,$H63),0)</f>
        <v>85449</v>
      </c>
      <c r="W63" s="12">
        <f>ROUND(SUMIFS('Employee Detail FY28'!$AA:$AA,'Employee Detail FY28'!$B:$B,$C63,'Employee Detail FY28'!$C:$C,$D63,'Employee Detail FY28'!$E:$E,$F63,'Employee Detail FY28'!$F:$F,$G63,'Employee Detail FY28'!$G:$G,$H63),0)</f>
        <v>87678</v>
      </c>
    </row>
    <row r="64" spans="1:25" outlineLevel="1" x14ac:dyDescent="0.2">
      <c r="A64" s="366" t="s">
        <v>615</v>
      </c>
      <c r="B64" s="82"/>
      <c r="C64" s="839" t="s">
        <v>135</v>
      </c>
      <c r="D64" s="837">
        <v>639</v>
      </c>
      <c r="E64" s="841"/>
      <c r="F64" s="102" t="s">
        <v>463</v>
      </c>
      <c r="G64" s="102" t="s">
        <v>461</v>
      </c>
      <c r="H64" s="104" t="s">
        <v>161</v>
      </c>
      <c r="I64" s="104"/>
      <c r="J64" s="115"/>
      <c r="K64" s="115">
        <v>47961.919999999998</v>
      </c>
      <c r="L64" s="115">
        <v>50788</v>
      </c>
      <c r="M64" s="115">
        <v>110294</v>
      </c>
      <c r="N64" s="115">
        <v>110294</v>
      </c>
      <c r="O64" s="932">
        <f>ROUND(SUMIFS('Employee Detail FY22'!$AA:$AA,'Employee Detail FY22'!$B:$B,$C64,'Employee Detail FY22'!$C:$C,$D64,'Employee Detail FY22'!$E:$E,$F64,'Employee Detail FY22'!$F:$F,$G64,'Employee Detail FY22'!$G:$G,$H64),0)</f>
        <v>110294</v>
      </c>
      <c r="P64" s="12">
        <f t="shared" si="9"/>
        <v>0</v>
      </c>
      <c r="Q64" s="932">
        <f>ROUND(SUMIFS('Employee Detail FY23'!$AA:$AA,'Employee Detail FY23'!$B:$B,$C64,'Employee Detail FY23'!$C:$C,$D64,'Employee Detail FY23'!$E:$E,$F64,'Employee Detail FY23'!$F:$F,$G64,'Employee Detail FY23'!$G:$G,$H64),0)</f>
        <v>111375</v>
      </c>
      <c r="R64" s="12">
        <f t="shared" si="1"/>
        <v>1081</v>
      </c>
      <c r="S64" s="12">
        <f>ROUND(SUMIFS('Employee Detail FY24'!$AA:$AA,'Employee Detail FY24'!$B:$B,$C64,'Employee Detail FY24'!$C:$C,$D64,'Employee Detail FY24'!$E:$E,$F64,'Employee Detail FY24'!$F:$F,$G64,'Employee Detail FY24'!$G:$G,$H64),0)</f>
        <v>114619</v>
      </c>
      <c r="T64" s="12">
        <f>ROUND(SUMIFS('Employee Detail FY25'!$AA:$AA,'Employee Detail FY25'!$B:$B,$C64,'Employee Detail FY25'!$C:$C,$D64,'Employee Detail FY25'!$E:$E,$F64,'Employee Detail FY25'!$F:$F,$G64,'Employee Detail FY25'!$G:$G,$H64),0)</f>
        <v>117863</v>
      </c>
      <c r="U64" s="12">
        <f>ROUND(SUMIFS('Employee Detail FY26'!$AA:$AA,'Employee Detail FY26'!$B:$B,$C64,'Employee Detail FY26'!$C:$C,$D64,'Employee Detail FY26'!$E:$E,$F64,'Employee Detail FY26'!$F:$F,$G64,'Employee Detail FY26'!$G:$G,$H64),0)</f>
        <v>121107</v>
      </c>
      <c r="V64" s="12">
        <f>ROUND(SUMIFS('Employee Detail FY27'!$AA:$AA,'Employee Detail FY27'!$B:$B,$C64,'Employee Detail FY27'!$C:$C,$D64,'Employee Detail FY27'!$E:$E,$F64,'Employee Detail FY27'!$F:$F,$G64,'Employee Detail FY27'!$G:$G,$H64),0)</f>
        <v>124351</v>
      </c>
      <c r="W64" s="12">
        <f>ROUND(SUMIFS('Employee Detail FY28'!$AA:$AA,'Employee Detail FY28'!$B:$B,$C64,'Employee Detail FY28'!$C:$C,$D64,'Employee Detail FY28'!$E:$E,$F64,'Employee Detail FY28'!$F:$F,$G64,'Employee Detail FY28'!$G:$G,$H64),0)</f>
        <v>127595</v>
      </c>
    </row>
    <row r="65" spans="1:23" outlineLevel="1" x14ac:dyDescent="0.2">
      <c r="A65" s="366" t="s">
        <v>616</v>
      </c>
      <c r="B65" s="382" t="s">
        <v>811</v>
      </c>
      <c r="C65" s="839" t="s">
        <v>135</v>
      </c>
      <c r="D65" s="837">
        <v>639</v>
      </c>
      <c r="E65" s="841"/>
      <c r="F65" s="102" t="s">
        <v>473</v>
      </c>
      <c r="G65" s="102" t="s">
        <v>461</v>
      </c>
      <c r="H65" s="104" t="s">
        <v>161</v>
      </c>
      <c r="I65" s="104"/>
      <c r="J65" s="115"/>
      <c r="K65" s="115">
        <v>0</v>
      </c>
      <c r="L65" s="115">
        <v>0</v>
      </c>
      <c r="M65" s="115">
        <v>0</v>
      </c>
      <c r="N65" s="115">
        <v>0</v>
      </c>
      <c r="O65" s="932">
        <f>ROUND(SUMIFS('Employee Detail FY22'!$AA:$AA,'Employee Detail FY22'!$B:$B,$C65,'Employee Detail FY22'!$C:$C,$D65,'Employee Detail FY22'!$E:$E,$F65,'Employee Detail FY22'!$F:$F,$G65,'Employee Detail FY22'!$G:$G,$H65),0)</f>
        <v>0</v>
      </c>
      <c r="P65" s="12">
        <f t="shared" si="9"/>
        <v>0</v>
      </c>
      <c r="Q65" s="932">
        <f>ROUND(SUMIFS('Employee Detail FY23'!$AA:$AA,'Employee Detail FY23'!$B:$B,$C65,'Employee Detail FY23'!$C:$C,$D65,'Employee Detail FY23'!$E:$E,$F65,'Employee Detail FY23'!$F:$F,$G65,'Employee Detail FY23'!$G:$G,$H65),0)</f>
        <v>0</v>
      </c>
      <c r="R65" s="12">
        <f t="shared" si="1"/>
        <v>0</v>
      </c>
      <c r="S65" s="12">
        <f>ROUND(SUMIFS('Employee Detail FY24'!$AA:$AA,'Employee Detail FY24'!$B:$B,$C65,'Employee Detail FY24'!$C:$C,$D65,'Employee Detail FY24'!$E:$E,$F65,'Employee Detail FY24'!$F:$F,$G65,'Employee Detail FY24'!$G:$G,$H65),0)</f>
        <v>0</v>
      </c>
      <c r="T65" s="12">
        <f>ROUND(SUMIFS('Employee Detail FY25'!$AA:$AA,'Employee Detail FY25'!$B:$B,$C65,'Employee Detail FY25'!$C:$C,$D65,'Employee Detail FY25'!$E:$E,$F65,'Employee Detail FY25'!$F:$F,$G65,'Employee Detail FY25'!$G:$G,$H65),0)</f>
        <v>0</v>
      </c>
      <c r="U65" s="12">
        <f>ROUND(SUMIFS('Employee Detail FY26'!$AA:$AA,'Employee Detail FY26'!$B:$B,$C65,'Employee Detail FY26'!$C:$C,$D65,'Employee Detail FY26'!$E:$E,$F65,'Employee Detail FY26'!$F:$F,$G65,'Employee Detail FY26'!$G:$G,$H65),0)</f>
        <v>0</v>
      </c>
      <c r="V65" s="12">
        <f>ROUND(SUMIFS('Employee Detail FY27'!$AA:$AA,'Employee Detail FY27'!$B:$B,$C65,'Employee Detail FY27'!$C:$C,$D65,'Employee Detail FY27'!$E:$E,$F65,'Employee Detail FY27'!$F:$F,$G65,'Employee Detail FY27'!$G:$G,$H65),0)</f>
        <v>0</v>
      </c>
      <c r="W65" s="12">
        <f>ROUND(SUMIFS('Employee Detail FY28'!$AA:$AA,'Employee Detail FY28'!$B:$B,$C65,'Employee Detail FY28'!$C:$C,$D65,'Employee Detail FY28'!$E:$E,$F65,'Employee Detail FY28'!$F:$F,$G65,'Employee Detail FY28'!$G:$G,$H65),0)</f>
        <v>0</v>
      </c>
    </row>
    <row r="66" spans="1:23" outlineLevel="1" x14ac:dyDescent="0.2">
      <c r="A66" s="366" t="s">
        <v>573</v>
      </c>
      <c r="B66" s="82"/>
      <c r="C66" s="837">
        <v>280</v>
      </c>
      <c r="D66" s="841" t="s">
        <v>864</v>
      </c>
      <c r="E66" s="841"/>
      <c r="F66" s="101">
        <v>420</v>
      </c>
      <c r="G66" s="101">
        <v>2210</v>
      </c>
      <c r="H66" s="103" t="s">
        <v>161</v>
      </c>
      <c r="I66" s="103"/>
      <c r="J66" s="115"/>
      <c r="K66" s="115">
        <v>4500</v>
      </c>
      <c r="L66" s="115">
        <v>0</v>
      </c>
      <c r="M66" s="115">
        <v>0</v>
      </c>
      <c r="N66" s="115">
        <v>0</v>
      </c>
      <c r="O66" s="932">
        <f>ROUND(SUMIFS('Employee Detail FY22'!$AA:$AA,'Employee Detail FY22'!$B:$B,$C66,'Employee Detail FY22'!$C:$C,$D66,'Employee Detail FY22'!$E:$E,$F66,'Employee Detail FY22'!$F:$F,$G66,'Employee Detail FY22'!$G:$G,$H66),0)</f>
        <v>0</v>
      </c>
      <c r="P66" s="12">
        <f t="shared" si="9"/>
        <v>0</v>
      </c>
      <c r="Q66" s="932">
        <f>ROUND(SUMIFS('Employee Detail FY23'!$AA:$AA,'Employee Detail FY23'!$B:$B,$C66,'Employee Detail FY23'!$C:$C,$D66,'Employee Detail FY23'!$E:$E,$F66,'Employee Detail FY23'!$F:$F,$G66,'Employee Detail FY23'!$G:$G,$H66),0)</f>
        <v>0</v>
      </c>
      <c r="R66" s="12">
        <f t="shared" si="1"/>
        <v>0</v>
      </c>
      <c r="S66" s="12">
        <f>ROUND(SUMIFS('Employee Detail FY24'!$AA:$AA,'Employee Detail FY24'!$B:$B,$C66,'Employee Detail FY24'!$C:$C,$D66,'Employee Detail FY24'!$E:$E,$F66,'Employee Detail FY24'!$F:$F,$G66,'Employee Detail FY24'!$G:$G,$H66),0)</f>
        <v>0</v>
      </c>
      <c r="T66" s="12">
        <f>ROUND(SUMIFS('Employee Detail FY25'!$AA:$AA,'Employee Detail FY25'!$B:$B,$C66,'Employee Detail FY25'!$C:$C,$D66,'Employee Detail FY25'!$E:$E,$F66,'Employee Detail FY25'!$F:$F,$G66,'Employee Detail FY25'!$G:$G,$H66),0)</f>
        <v>0</v>
      </c>
      <c r="U66" s="12">
        <f>ROUND(SUMIFS('Employee Detail FY26'!$AA:$AA,'Employee Detail FY26'!$B:$B,$C66,'Employee Detail FY26'!$C:$C,$D66,'Employee Detail FY26'!$E:$E,$F66,'Employee Detail FY26'!$F:$F,$G66,'Employee Detail FY26'!$G:$G,$H66),0)</f>
        <v>0</v>
      </c>
      <c r="V66" s="12">
        <f>ROUND(SUMIFS('Employee Detail FY27'!$AA:$AA,'Employee Detail FY27'!$B:$B,$C66,'Employee Detail FY27'!$C:$C,$D66,'Employee Detail FY27'!$E:$E,$F66,'Employee Detail FY27'!$F:$F,$G66,'Employee Detail FY27'!$G:$G,$H66),0)</f>
        <v>0</v>
      </c>
      <c r="W66" s="12">
        <f>ROUND(SUMIFS('Employee Detail FY28'!$AA:$AA,'Employee Detail FY28'!$B:$B,$C66,'Employee Detail FY28'!$C:$C,$D66,'Employee Detail FY28'!$E:$E,$F66,'Employee Detail FY28'!$F:$F,$G66,'Employee Detail FY28'!$G:$G,$H66),0)</f>
        <v>0</v>
      </c>
    </row>
    <row r="67" spans="1:23" outlineLevel="1" x14ac:dyDescent="0.2">
      <c r="A67" s="366" t="s">
        <v>617</v>
      </c>
      <c r="B67" s="82"/>
      <c r="C67" s="839" t="s">
        <v>135</v>
      </c>
      <c r="D67" s="837">
        <v>661</v>
      </c>
      <c r="E67" s="841"/>
      <c r="F67" s="102" t="s">
        <v>468</v>
      </c>
      <c r="G67" s="101">
        <v>1000</v>
      </c>
      <c r="H67" s="103" t="s">
        <v>161</v>
      </c>
      <c r="I67" s="103"/>
      <c r="J67" s="115">
        <v>0</v>
      </c>
      <c r="K67" s="115">
        <v>0</v>
      </c>
      <c r="L67" s="115">
        <v>0</v>
      </c>
      <c r="M67" s="115">
        <v>0</v>
      </c>
      <c r="N67" s="115">
        <v>62174</v>
      </c>
      <c r="O67" s="932">
        <f>ROUND(SUMIFS('Employee Detail FY22'!$AA:$AA,'Employee Detail FY22'!$B:$B,$C67,'Employee Detail FY22'!$C:$C,$D67,'Employee Detail FY22'!$E:$E,$F67,'Employee Detail FY22'!$F:$F,$G67,'Employee Detail FY22'!$G:$G,$H67),0)</f>
        <v>62174</v>
      </c>
      <c r="P67" s="12">
        <f t="shared" si="9"/>
        <v>0</v>
      </c>
      <c r="Q67" s="932">
        <f>ROUND(SUMIFS('Employee Detail FY23'!$AA:$AA,'Employee Detail FY23'!$B:$B,$C67,'Employee Detail FY23'!$C:$C,$D67,'Employee Detail FY23'!$E:$E,$F67,'Employee Detail FY23'!$F:$F,$G67,'Employee Detail FY23'!$G:$G,$H67),0)</f>
        <v>68792</v>
      </c>
      <c r="R67" s="12">
        <f t="shared" si="1"/>
        <v>6618</v>
      </c>
      <c r="S67" s="115">
        <f>ROUND(SUMIFS('Employee Detail FY24'!$AA:$AA,'Employee Detail FY24'!$B:$B,$C67,'Employee Detail FY24'!$C:$C,$D67,'Employee Detail FY24'!$E:$E,$F67,'Employee Detail FY24'!$F:$F,$G67,'Employee Detail FY24'!$G:$G,$H67),0)</f>
        <v>0</v>
      </c>
      <c r="T67" s="115">
        <f>ROUND(SUMIFS('Employee Detail FY25'!$AA:$AA,'Employee Detail FY25'!$B:$B,$C67,'Employee Detail FY25'!$C:$C,$D67,'Employee Detail FY25'!$E:$E,$F67,'Employee Detail FY25'!$F:$F,$G67,'Employee Detail FY25'!$G:$G,$H67),0)</f>
        <v>0</v>
      </c>
      <c r="U67" s="115">
        <f>ROUND(SUMIFS('Employee Detail FY26'!$AA:$AA,'Employee Detail FY26'!$B:$B,$C67,'Employee Detail FY26'!$C:$C,$D67,'Employee Detail FY26'!$E:$E,$F67,'Employee Detail FY26'!$F:$F,$G67,'Employee Detail FY26'!$G:$G,$H67),0)</f>
        <v>0</v>
      </c>
      <c r="V67" s="115">
        <f>ROUND(SUMIFS('Employee Detail FY27'!$AA:$AA,'Employee Detail FY27'!$B:$B,$C67,'Employee Detail FY27'!$C:$C,$D67,'Employee Detail FY27'!$E:$E,$F67,'Employee Detail FY27'!$F:$F,$G67,'Employee Detail FY27'!$G:$G,$H67),0)</f>
        <v>0</v>
      </c>
      <c r="W67" s="115">
        <f>ROUND(SUMIFS('Employee Detail FY28'!$AA:$AA,'Employee Detail FY28'!$B:$B,$C67,'Employee Detail FY28'!$C:$C,$D67,'Employee Detail FY28'!$E:$E,$F67,'Employee Detail FY28'!$F:$F,$G67,'Employee Detail FY28'!$G:$G,$H67),0)</f>
        <v>0</v>
      </c>
    </row>
    <row r="68" spans="1:23" outlineLevel="1" x14ac:dyDescent="0.2">
      <c r="A68" s="366" t="s">
        <v>618</v>
      </c>
      <c r="B68" s="82"/>
      <c r="C68" s="837">
        <v>280</v>
      </c>
      <c r="D68" s="841">
        <v>709</v>
      </c>
      <c r="E68" s="841"/>
      <c r="F68" s="101">
        <v>100</v>
      </c>
      <c r="G68" s="101">
        <v>1000</v>
      </c>
      <c r="H68" s="103" t="s">
        <v>161</v>
      </c>
      <c r="I68" s="103"/>
      <c r="J68" s="115">
        <v>0</v>
      </c>
      <c r="K68" s="115">
        <v>0</v>
      </c>
      <c r="L68" s="115">
        <v>0</v>
      </c>
      <c r="M68" s="115">
        <v>23456</v>
      </c>
      <c r="N68" s="115">
        <v>0</v>
      </c>
      <c r="O68" s="932">
        <f>ROUND(SUMIFS('Employee Detail FY22'!$AA:$AA,'Employee Detail FY22'!$B:$B,$C68,'Employee Detail FY22'!$C:$C,$D68,'Employee Detail FY22'!$E:$E,$F68,'Employee Detail FY22'!$F:$F,$G68,'Employee Detail FY22'!$G:$G,$H68),0)</f>
        <v>0</v>
      </c>
      <c r="P68" s="12">
        <f t="shared" si="9"/>
        <v>0</v>
      </c>
      <c r="Q68" s="932">
        <f>ROUND(SUMIFS('Employee Detail FY23'!$AA:$AA,'Employee Detail FY23'!$B:$B,$C68,'Employee Detail FY23'!$C:$C,$D68,'Employee Detail FY23'!$E:$E,$F68,'Employee Detail FY23'!$F:$F,$G68,'Employee Detail FY23'!$G:$G,$H68),0)</f>
        <v>0</v>
      </c>
      <c r="R68" s="12">
        <f t="shared" si="1"/>
        <v>0</v>
      </c>
      <c r="S68" s="12">
        <f>ROUND(SUMIFS('Employee Detail FY24'!$AA:$AA,'Employee Detail FY24'!$B:$B,$C68,'Employee Detail FY24'!$C:$C,$D68,'Employee Detail FY24'!$E:$E,$F68,'Employee Detail FY24'!$F:$F,$G68,'Employee Detail FY24'!$G:$G,$H68),0)</f>
        <v>0</v>
      </c>
      <c r="T68" s="12">
        <f>ROUND(SUMIFS('Employee Detail FY25'!$AA:$AA,'Employee Detail FY25'!$B:$B,$C68,'Employee Detail FY25'!$C:$C,$D68,'Employee Detail FY25'!$E:$E,$F68,'Employee Detail FY25'!$F:$F,$G68,'Employee Detail FY25'!$G:$G,$H68),0)</f>
        <v>0</v>
      </c>
      <c r="U68" s="12">
        <f>ROUND(SUMIFS('Employee Detail FY26'!$AA:$AA,'Employee Detail FY26'!$B:$B,$C68,'Employee Detail FY26'!$C:$C,$D68,'Employee Detail FY26'!$E:$E,$F68,'Employee Detail FY26'!$F:$F,$G68,'Employee Detail FY26'!$G:$G,$H68),0)</f>
        <v>0</v>
      </c>
      <c r="V68" s="12">
        <f>ROUND(SUMIFS('Employee Detail FY27'!$AA:$AA,'Employee Detail FY27'!$B:$B,$C68,'Employee Detail FY27'!$C:$C,$D68,'Employee Detail FY27'!$E:$E,$F68,'Employee Detail FY27'!$F:$F,$G68,'Employee Detail FY27'!$G:$G,$H68),0)</f>
        <v>0</v>
      </c>
      <c r="W68" s="12">
        <f>ROUND(SUMIFS('Employee Detail FY28'!$AA:$AA,'Employee Detail FY28'!$B:$B,$C68,'Employee Detail FY28'!$C:$C,$D68,'Employee Detail FY28'!$E:$E,$F68,'Employee Detail FY28'!$F:$F,$G68,'Employee Detail FY28'!$G:$G,$H68),0)</f>
        <v>0</v>
      </c>
    </row>
    <row r="69" spans="1:23" outlineLevel="1" x14ac:dyDescent="0.2">
      <c r="A69" s="366" t="s">
        <v>619</v>
      </c>
      <c r="B69" s="82"/>
      <c r="C69" s="839"/>
      <c r="D69" s="837"/>
      <c r="E69" s="841"/>
      <c r="F69" s="102"/>
      <c r="G69" s="102"/>
      <c r="H69" s="104"/>
      <c r="I69" s="104"/>
      <c r="J69" s="115"/>
      <c r="K69" s="12"/>
      <c r="L69" s="115"/>
      <c r="M69" s="115"/>
      <c r="N69" s="115">
        <v>0</v>
      </c>
      <c r="O69" s="12">
        <f>ROUND(SUMIFS('Employee Detail FY22'!$AA:$AA,'Employee Detail FY22'!$B:$B,$C69,'Employee Detail FY22'!$C:$C,$D69,'Employee Detail FY22'!$E:$E,$F69,'Employee Detail FY22'!$F:$F,$G69,'Employee Detail FY22'!$G:$G,$H69),0)</f>
        <v>0</v>
      </c>
      <c r="P69" s="12">
        <f t="shared" ref="P69" si="10">O69-M69</f>
        <v>0</v>
      </c>
      <c r="Q69" s="12">
        <f>ROUND(SUMIFS('Employee Detail FY23'!$AA:$AA,'Employee Detail FY23'!$B:$B,$C69,'Employee Detail FY23'!$C:$C,$D69,'Employee Detail FY23'!$E:$E,$F69,'Employee Detail FY23'!$F:$F,$G69,'Employee Detail FY23'!$G:$G,$H69),0)</f>
        <v>0</v>
      </c>
      <c r="R69" s="12">
        <f t="shared" si="1"/>
        <v>0</v>
      </c>
      <c r="S69" s="12">
        <f>ROUND(SUMIFS('Employee Detail FY24'!$AA:$AA,'Employee Detail FY24'!$B:$B,$C69,'Employee Detail FY24'!$C:$C,$D69,'Employee Detail FY24'!$E:$E,$F69,'Employee Detail FY24'!$F:$F,$G69,'Employee Detail FY24'!$G:$G,$H69),0)</f>
        <v>0</v>
      </c>
      <c r="T69" s="12">
        <f>ROUND(SUMIFS('Employee Detail FY25'!$AA:$AA,'Employee Detail FY25'!$B:$B,$C69,'Employee Detail FY25'!$C:$C,$D69,'Employee Detail FY25'!$E:$E,$F69,'Employee Detail FY25'!$F:$F,$G69,'Employee Detail FY25'!$G:$G,$H69),0)</f>
        <v>0</v>
      </c>
      <c r="U69" s="12">
        <f>ROUND(SUMIFS('Employee Detail FY26'!$AA:$AA,'Employee Detail FY26'!$B:$B,$C69,'Employee Detail FY26'!$C:$C,$D69,'Employee Detail FY26'!$E:$E,$F69,'Employee Detail FY26'!$F:$F,$G69,'Employee Detail FY26'!$G:$G,$H69),0)</f>
        <v>0</v>
      </c>
      <c r="V69" s="12">
        <f>ROUND(SUMIFS('Employee Detail FY27'!$AA:$AA,'Employee Detail FY27'!$B:$B,$C69,'Employee Detail FY27'!$C:$C,$D69,'Employee Detail FY27'!$E:$E,$F69,'Employee Detail FY27'!$F:$F,$G69,'Employee Detail FY27'!$G:$G,$H69),0)</f>
        <v>0</v>
      </c>
      <c r="W69" s="12">
        <f>ROUND(SUMIFS('Employee Detail FY28'!$AA:$AA,'Employee Detail FY28'!$B:$B,$C69,'Employee Detail FY28'!$C:$C,$D69,'Employee Detail FY28'!$E:$E,$F69,'Employee Detail FY28'!$F:$F,$G69,'Employee Detail FY28'!$G:$G,$H69),0)</f>
        <v>0</v>
      </c>
    </row>
    <row r="70" spans="1:23" outlineLevel="1" x14ac:dyDescent="0.2">
      <c r="A70" s="366" t="s">
        <v>620</v>
      </c>
      <c r="B70" s="82" t="s">
        <v>1044</v>
      </c>
      <c r="C70" s="839" t="s">
        <v>468</v>
      </c>
      <c r="D70" s="837" t="s">
        <v>145</v>
      </c>
      <c r="E70" s="841"/>
      <c r="F70" s="102" t="s">
        <v>468</v>
      </c>
      <c r="G70" s="102" t="s">
        <v>461</v>
      </c>
      <c r="H70" s="104" t="s">
        <v>1043</v>
      </c>
      <c r="I70" s="104"/>
      <c r="J70" s="115"/>
      <c r="K70" s="115">
        <v>0</v>
      </c>
      <c r="L70" s="115"/>
      <c r="M70" s="115"/>
      <c r="N70" s="115">
        <v>0</v>
      </c>
      <c r="O70" s="932">
        <f>ROUND(SUMIFS('Employee Detail FY22'!$AA:$AA,'Employee Detail FY22'!$B:$B,$C70,'Employee Detail FY22'!$C:$C,$D70,'Employee Detail FY22'!$E:$E,$F70,'Employee Detail FY22'!$F:$F,$G70,'Employee Detail FY22'!$G:$G,$H70),0)</f>
        <v>0</v>
      </c>
      <c r="P70" s="12">
        <f t="shared" ref="P70" si="11">O70-N70</f>
        <v>0</v>
      </c>
      <c r="Q70" s="932">
        <f>ROUND(SUMIFS('Employee Detail FY23'!$AA:$AA,'Employee Detail FY23'!$B:$B,$C70,'Employee Detail FY23'!$C:$C,$D70,'Employee Detail FY23'!$E:$E,$F70,'Employee Detail FY23'!$F:$F,$G70,'Employee Detail FY23'!$G:$G,$H70),0)</f>
        <v>0</v>
      </c>
      <c r="R70" s="12">
        <f t="shared" si="1"/>
        <v>0</v>
      </c>
      <c r="S70" s="12">
        <f>ROUND(SUMIFS('Employee Detail FY24'!$AA:$AA,'Employee Detail FY24'!$B:$B,$C70,'Employee Detail FY24'!$C:$C,$D70,'Employee Detail FY24'!$E:$E,$F70,'Employee Detail FY24'!$F:$F,$G70,'Employee Detail FY24'!$G:$G,$H70),0)</f>
        <v>0</v>
      </c>
      <c r="T70" s="12">
        <f>ROUND(SUMIFS('Employee Detail FY25'!$AA:$AA,'Employee Detail FY25'!$B:$B,$C70,'Employee Detail FY25'!$C:$C,$D70,'Employee Detail FY25'!$E:$E,$F70,'Employee Detail FY25'!$F:$F,$G70,'Employee Detail FY25'!$G:$G,$H70),0)</f>
        <v>0</v>
      </c>
      <c r="U70" s="12">
        <f>ROUND(SUMIFS('Employee Detail FY26'!$AA:$AA,'Employee Detail FY26'!$B:$B,$C70,'Employee Detail FY26'!$C:$C,$D70,'Employee Detail FY26'!$E:$E,$F70,'Employee Detail FY26'!$F:$F,$G70,'Employee Detail FY26'!$G:$G,$H70),0)</f>
        <v>0</v>
      </c>
      <c r="V70" s="12">
        <f>ROUND(SUMIFS('Employee Detail FY27'!$AA:$AA,'Employee Detail FY27'!$B:$B,$C70,'Employee Detail FY27'!$C:$C,$D70,'Employee Detail FY27'!$E:$E,$F70,'Employee Detail FY27'!$F:$F,$G70,'Employee Detail FY27'!$G:$G,$H70),0)</f>
        <v>0</v>
      </c>
      <c r="W70" s="12">
        <f>ROUND(SUMIFS('Employee Detail FY28'!$AA:$AA,'Employee Detail FY28'!$B:$B,$C70,'Employee Detail FY28'!$C:$C,$D70,'Employee Detail FY28'!$E:$E,$F70,'Employee Detail FY28'!$F:$F,$G70,'Employee Detail FY28'!$G:$G,$H70),0)</f>
        <v>0</v>
      </c>
    </row>
    <row r="71" spans="1:23" outlineLevel="1" x14ac:dyDescent="0.2">
      <c r="A71" s="366" t="s">
        <v>621</v>
      </c>
      <c r="B71" s="82" t="s">
        <v>1044</v>
      </c>
      <c r="C71" s="837">
        <v>100</v>
      </c>
      <c r="D71" s="841" t="s">
        <v>145</v>
      </c>
      <c r="E71" s="841"/>
      <c r="F71" s="101">
        <v>100</v>
      </c>
      <c r="G71" s="102" t="s">
        <v>534</v>
      </c>
      <c r="H71" s="104" t="s">
        <v>1043</v>
      </c>
      <c r="I71" s="104"/>
      <c r="J71" s="115"/>
      <c r="K71" s="115">
        <v>2000</v>
      </c>
      <c r="L71" s="115"/>
      <c r="M71" s="115"/>
      <c r="N71" s="115">
        <v>0</v>
      </c>
      <c r="O71" s="932">
        <f>ROUND(SUMIFS('Employee Detail FY22'!$AA:$AA,'Employee Detail FY22'!$B:$B,$C71,'Employee Detail FY22'!$C:$C,$D71,'Employee Detail FY22'!$E:$E,$F71,'Employee Detail FY22'!$F:$F,$G71,'Employee Detail FY22'!$G:$G,$H71),0)</f>
        <v>0</v>
      </c>
      <c r="P71" s="12">
        <f t="shared" ref="P71:P83" si="12">O71-N71</f>
        <v>0</v>
      </c>
      <c r="Q71" s="932">
        <f>ROUND(SUMIFS('Employee Detail FY23'!$AA:$AA,'Employee Detail FY23'!$B:$B,$C71,'Employee Detail FY23'!$C:$C,$D71,'Employee Detail FY23'!$E:$E,$F71,'Employee Detail FY23'!$F:$F,$G71,'Employee Detail FY23'!$G:$G,$H71),0)</f>
        <v>0</v>
      </c>
      <c r="R71" s="12">
        <f t="shared" si="1"/>
        <v>0</v>
      </c>
      <c r="S71" s="12">
        <f>ROUND(SUMIFS('Employee Detail FY24'!$AA:$AA,'Employee Detail FY24'!$B:$B,$C71,'Employee Detail FY24'!$C:$C,$D71,'Employee Detail FY24'!$E:$E,$F71,'Employee Detail FY24'!$F:$F,$G71,'Employee Detail FY24'!$G:$G,$H71),0)</f>
        <v>0</v>
      </c>
      <c r="T71" s="12">
        <f>ROUND(SUMIFS('Employee Detail FY25'!$AA:$AA,'Employee Detail FY25'!$B:$B,$C71,'Employee Detail FY25'!$C:$C,$D71,'Employee Detail FY25'!$E:$E,$F71,'Employee Detail FY25'!$F:$F,$G71,'Employee Detail FY25'!$G:$G,$H71),0)</f>
        <v>0</v>
      </c>
      <c r="U71" s="12">
        <f>ROUND(SUMIFS('Employee Detail FY26'!$AA:$AA,'Employee Detail FY26'!$B:$B,$C71,'Employee Detail FY26'!$C:$C,$D71,'Employee Detail FY26'!$E:$E,$F71,'Employee Detail FY26'!$F:$F,$G71,'Employee Detail FY26'!$G:$G,$H71),0)</f>
        <v>0</v>
      </c>
      <c r="V71" s="12">
        <f>ROUND(SUMIFS('Employee Detail FY27'!$AA:$AA,'Employee Detail FY27'!$B:$B,$C71,'Employee Detail FY27'!$C:$C,$D71,'Employee Detail FY27'!$E:$E,$F71,'Employee Detail FY27'!$F:$F,$G71,'Employee Detail FY27'!$G:$G,$H71),0)</f>
        <v>0</v>
      </c>
      <c r="W71" s="12">
        <f>ROUND(SUMIFS('Employee Detail FY28'!$AA:$AA,'Employee Detail FY28'!$B:$B,$C71,'Employee Detail FY28'!$C:$C,$D71,'Employee Detail FY28'!$E:$E,$F71,'Employee Detail FY28'!$F:$F,$G71,'Employee Detail FY28'!$G:$G,$H71),0)</f>
        <v>0</v>
      </c>
    </row>
    <row r="72" spans="1:23" outlineLevel="1" x14ac:dyDescent="0.2">
      <c r="A72" s="366" t="s">
        <v>622</v>
      </c>
      <c r="B72" s="82" t="s">
        <v>1044</v>
      </c>
      <c r="C72" s="839" t="s">
        <v>462</v>
      </c>
      <c r="D72" s="837" t="s">
        <v>145</v>
      </c>
      <c r="E72" s="841"/>
      <c r="F72" s="102" t="s">
        <v>463</v>
      </c>
      <c r="G72" s="102" t="s">
        <v>461</v>
      </c>
      <c r="H72" s="104" t="s">
        <v>1043</v>
      </c>
      <c r="I72" s="104"/>
      <c r="J72" s="115"/>
      <c r="K72" s="115">
        <v>500</v>
      </c>
      <c r="L72" s="115"/>
      <c r="M72" s="115"/>
      <c r="N72" s="115">
        <v>0</v>
      </c>
      <c r="O72" s="932">
        <f>ROUND(SUMIFS('Employee Detail FY22'!$AA:$AA,'Employee Detail FY22'!$B:$B,$C72,'Employee Detail FY22'!$C:$C,$D72,'Employee Detail FY22'!$E:$E,$F72,'Employee Detail FY22'!$F:$F,$G72,'Employee Detail FY22'!$G:$G,$H72),0)</f>
        <v>0</v>
      </c>
      <c r="P72" s="12">
        <f t="shared" si="12"/>
        <v>0</v>
      </c>
      <c r="Q72" s="932">
        <f>ROUND(SUMIFS('Employee Detail FY23'!$AA:$AA,'Employee Detail FY23'!$B:$B,$C72,'Employee Detail FY23'!$C:$C,$D72,'Employee Detail FY23'!$E:$E,$F72,'Employee Detail FY23'!$F:$F,$G72,'Employee Detail FY23'!$G:$G,$H72),0)</f>
        <v>0</v>
      </c>
      <c r="R72" s="12">
        <f t="shared" si="1"/>
        <v>0</v>
      </c>
      <c r="S72" s="12">
        <f>ROUND(SUMIFS('Employee Detail FY24'!$AA:$AA,'Employee Detail FY24'!$B:$B,$C72,'Employee Detail FY24'!$C:$C,$D72,'Employee Detail FY24'!$E:$E,$F72,'Employee Detail FY24'!$F:$F,$G72,'Employee Detail FY24'!$G:$G,$H72),0)</f>
        <v>0</v>
      </c>
      <c r="T72" s="12">
        <f>ROUND(SUMIFS('Employee Detail FY25'!$AA:$AA,'Employee Detail FY25'!$B:$B,$C72,'Employee Detail FY25'!$C:$C,$D72,'Employee Detail FY25'!$E:$E,$F72,'Employee Detail FY25'!$F:$F,$G72,'Employee Detail FY25'!$G:$G,$H72),0)</f>
        <v>0</v>
      </c>
      <c r="U72" s="12">
        <f>ROUND(SUMIFS('Employee Detail FY26'!$AA:$AA,'Employee Detail FY26'!$B:$B,$C72,'Employee Detail FY26'!$C:$C,$D72,'Employee Detail FY26'!$E:$E,$F72,'Employee Detail FY26'!$F:$F,$G72,'Employee Detail FY26'!$G:$G,$H72),0)</f>
        <v>0</v>
      </c>
      <c r="V72" s="12">
        <f>ROUND(SUMIFS('Employee Detail FY27'!$AA:$AA,'Employee Detail FY27'!$B:$B,$C72,'Employee Detail FY27'!$C:$C,$D72,'Employee Detail FY27'!$E:$E,$F72,'Employee Detail FY27'!$F:$F,$G72,'Employee Detail FY27'!$G:$G,$H72),0)</f>
        <v>0</v>
      </c>
      <c r="W72" s="12">
        <f>ROUND(SUMIFS('Employee Detail FY28'!$AA:$AA,'Employee Detail FY28'!$B:$B,$C72,'Employee Detail FY28'!$C:$C,$D72,'Employee Detail FY28'!$E:$E,$F72,'Employee Detail FY28'!$F:$F,$G72,'Employee Detail FY28'!$G:$G,$H72),0)</f>
        <v>0</v>
      </c>
    </row>
    <row r="73" spans="1:23" outlineLevel="1" x14ac:dyDescent="0.2">
      <c r="A73" s="366" t="s">
        <v>623</v>
      </c>
      <c r="B73" s="82" t="s">
        <v>1044</v>
      </c>
      <c r="C73" s="839" t="s">
        <v>135</v>
      </c>
      <c r="D73" s="837" t="s">
        <v>242</v>
      </c>
      <c r="E73" s="841"/>
      <c r="F73" s="102" t="s">
        <v>532</v>
      </c>
      <c r="G73" s="102" t="s">
        <v>461</v>
      </c>
      <c r="H73" s="104" t="s">
        <v>1043</v>
      </c>
      <c r="I73" s="104"/>
      <c r="J73" s="115"/>
      <c r="K73" s="115">
        <v>24000</v>
      </c>
      <c r="L73" s="115"/>
      <c r="M73" s="115"/>
      <c r="N73" s="115">
        <v>6000</v>
      </c>
      <c r="O73" s="932">
        <f>ROUND(SUMIFS('Employee Detail FY22'!$AA:$AA,'Employee Detail FY22'!$B:$B,$C73,'Employee Detail FY22'!$C:$C,$D73,'Employee Detail FY22'!$E:$E,$F73,'Employee Detail FY22'!$F:$F,$G73,'Employee Detail FY22'!$G:$G,$H73),0)</f>
        <v>6000</v>
      </c>
      <c r="P73" s="12">
        <f t="shared" si="12"/>
        <v>0</v>
      </c>
      <c r="Q73" s="932">
        <f>ROUND(SUMIFS('Employee Detail FY23'!$AA:$AA,'Employee Detail FY23'!$B:$B,$C73,'Employee Detail FY23'!$C:$C,$D73,'Employee Detail FY23'!$E:$E,$F73,'Employee Detail FY23'!$F:$F,$G73,'Employee Detail FY23'!$G:$G,$H73),0)</f>
        <v>0</v>
      </c>
      <c r="R73" s="12">
        <f t="shared" si="1"/>
        <v>-6000</v>
      </c>
      <c r="S73" s="12">
        <f>ROUND(SUMIFS('Employee Detail FY24'!$AA:$AA,'Employee Detail FY24'!$B:$B,$C73,'Employee Detail FY24'!$C:$C,$D73,'Employee Detail FY24'!$E:$E,$F73,'Employee Detail FY24'!$F:$F,$G73,'Employee Detail FY24'!$G:$G,$H73),0)</f>
        <v>0</v>
      </c>
      <c r="T73" s="12">
        <f>ROUND(SUMIFS('Employee Detail FY25'!$AA:$AA,'Employee Detail FY25'!$B:$B,$C73,'Employee Detail FY25'!$C:$C,$D73,'Employee Detail FY25'!$E:$E,$F73,'Employee Detail FY25'!$F:$F,$G73,'Employee Detail FY25'!$G:$G,$H73),0)</f>
        <v>0</v>
      </c>
      <c r="U73" s="12">
        <f>ROUND(SUMIFS('Employee Detail FY26'!$AA:$AA,'Employee Detail FY26'!$B:$B,$C73,'Employee Detail FY26'!$C:$C,$D73,'Employee Detail FY26'!$E:$E,$F73,'Employee Detail FY26'!$F:$F,$G73,'Employee Detail FY26'!$G:$G,$H73),0)</f>
        <v>0</v>
      </c>
      <c r="V73" s="12">
        <f>ROUND(SUMIFS('Employee Detail FY27'!$AA:$AA,'Employee Detail FY27'!$B:$B,$C73,'Employee Detail FY27'!$C:$C,$D73,'Employee Detail FY27'!$E:$E,$F73,'Employee Detail FY27'!$F:$F,$G73,'Employee Detail FY27'!$G:$G,$H73),0)</f>
        <v>0</v>
      </c>
      <c r="W73" s="12">
        <f>ROUND(SUMIFS('Employee Detail FY28'!$AA:$AA,'Employee Detail FY28'!$B:$B,$C73,'Employee Detail FY28'!$C:$C,$D73,'Employee Detail FY28'!$E:$E,$F73,'Employee Detail FY28'!$F:$F,$G73,'Employee Detail FY28'!$G:$G,$H73),0)</f>
        <v>0</v>
      </c>
    </row>
    <row r="74" spans="1:23" outlineLevel="1" x14ac:dyDescent="0.2">
      <c r="A74" s="366" t="s">
        <v>624</v>
      </c>
      <c r="B74" s="82" t="s">
        <v>1044</v>
      </c>
      <c r="C74" s="839" t="s">
        <v>135</v>
      </c>
      <c r="D74" s="837" t="s">
        <v>242</v>
      </c>
      <c r="E74" s="841"/>
      <c r="F74" s="102" t="s">
        <v>532</v>
      </c>
      <c r="G74" s="102" t="s">
        <v>534</v>
      </c>
      <c r="H74" s="104" t="s">
        <v>1043</v>
      </c>
      <c r="I74" s="104"/>
      <c r="J74" s="115"/>
      <c r="K74" s="115">
        <v>6750</v>
      </c>
      <c r="L74" s="115"/>
      <c r="M74" s="115"/>
      <c r="N74" s="115">
        <v>0</v>
      </c>
      <c r="O74" s="932">
        <f>ROUND(SUMIFS('Employee Detail FY22'!$AA:$AA,'Employee Detail FY22'!$B:$B,$C74,'Employee Detail FY22'!$C:$C,$D74,'Employee Detail FY22'!$E:$E,$F74,'Employee Detail FY22'!$F:$F,$G74,'Employee Detail FY22'!$G:$G,$H74),0)</f>
        <v>0</v>
      </c>
      <c r="P74" s="12">
        <f t="shared" si="12"/>
        <v>0</v>
      </c>
      <c r="Q74" s="932">
        <f>ROUND(SUMIFS('Employee Detail FY23'!$AA:$AA,'Employee Detail FY23'!$B:$B,$C74,'Employee Detail FY23'!$C:$C,$D74,'Employee Detail FY23'!$E:$E,$F74,'Employee Detail FY23'!$F:$F,$G74,'Employee Detail FY23'!$G:$G,$H74),0)</f>
        <v>0</v>
      </c>
      <c r="R74" s="12">
        <f t="shared" ref="R74:R137" si="13">Q74-N74</f>
        <v>0</v>
      </c>
      <c r="S74" s="12">
        <f>ROUND(SUMIFS('Employee Detail FY24'!$AA:$AA,'Employee Detail FY24'!$B:$B,$C74,'Employee Detail FY24'!$C:$C,$D74,'Employee Detail FY24'!$E:$E,$F74,'Employee Detail FY24'!$F:$F,$G74,'Employee Detail FY24'!$G:$G,$H74),0)</f>
        <v>0</v>
      </c>
      <c r="T74" s="12">
        <f>ROUND(SUMIFS('Employee Detail FY25'!$AA:$AA,'Employee Detail FY25'!$B:$B,$C74,'Employee Detail FY25'!$C:$C,$D74,'Employee Detail FY25'!$E:$E,$F74,'Employee Detail FY25'!$F:$F,$G74,'Employee Detail FY25'!$G:$G,$H74),0)</f>
        <v>0</v>
      </c>
      <c r="U74" s="12">
        <f>ROUND(SUMIFS('Employee Detail FY26'!$AA:$AA,'Employee Detail FY26'!$B:$B,$C74,'Employee Detail FY26'!$C:$C,$D74,'Employee Detail FY26'!$E:$E,$F74,'Employee Detail FY26'!$F:$F,$G74,'Employee Detail FY26'!$G:$G,$H74),0)</f>
        <v>0</v>
      </c>
      <c r="V74" s="12">
        <f>ROUND(SUMIFS('Employee Detail FY27'!$AA:$AA,'Employee Detail FY27'!$B:$B,$C74,'Employee Detail FY27'!$C:$C,$D74,'Employee Detail FY27'!$E:$E,$F74,'Employee Detail FY27'!$F:$F,$G74,'Employee Detail FY27'!$G:$G,$H74),0)</f>
        <v>0</v>
      </c>
      <c r="W74" s="12">
        <f>ROUND(SUMIFS('Employee Detail FY28'!$AA:$AA,'Employee Detail FY28'!$B:$B,$C74,'Employee Detail FY28'!$C:$C,$D74,'Employee Detail FY28'!$E:$E,$F74,'Employee Detail FY28'!$F:$F,$G74,'Employee Detail FY28'!$G:$G,$H74),0)</f>
        <v>0</v>
      </c>
    </row>
    <row r="75" spans="1:23" outlineLevel="1" x14ac:dyDescent="0.2">
      <c r="A75" s="366" t="s">
        <v>625</v>
      </c>
      <c r="B75" s="82" t="s">
        <v>1044</v>
      </c>
      <c r="C75" s="839" t="s">
        <v>135</v>
      </c>
      <c r="D75" s="837" t="s">
        <v>864</v>
      </c>
      <c r="E75" s="841"/>
      <c r="F75" s="102" t="s">
        <v>557</v>
      </c>
      <c r="G75" s="102" t="s">
        <v>534</v>
      </c>
      <c r="H75" s="104" t="s">
        <v>1043</v>
      </c>
      <c r="I75" s="104"/>
      <c r="J75" s="115"/>
      <c r="K75" s="115">
        <v>0</v>
      </c>
      <c r="L75" s="115"/>
      <c r="M75" s="115"/>
      <c r="N75" s="115">
        <v>0</v>
      </c>
      <c r="O75" s="932">
        <f>ROUND(SUMIFS('Employee Detail FY22'!$AA:$AA,'Employee Detail FY22'!$B:$B,$C75,'Employee Detail FY22'!$C:$C,$D75,'Employee Detail FY22'!$E:$E,$F75,'Employee Detail FY22'!$F:$F,$G75,'Employee Detail FY22'!$G:$G,$H75),0)</f>
        <v>0</v>
      </c>
      <c r="P75" s="12">
        <f t="shared" si="12"/>
        <v>0</v>
      </c>
      <c r="Q75" s="932">
        <f>ROUND(SUMIFS('Employee Detail FY23'!$AA:$AA,'Employee Detail FY23'!$B:$B,$C75,'Employee Detail FY23'!$C:$C,$D75,'Employee Detail FY23'!$E:$E,$F75,'Employee Detail FY23'!$F:$F,$G75,'Employee Detail FY23'!$G:$G,$H75),0)</f>
        <v>0</v>
      </c>
      <c r="R75" s="12">
        <f t="shared" si="13"/>
        <v>0</v>
      </c>
      <c r="S75" s="12">
        <f>ROUND(SUMIFS('Employee Detail FY24'!$AA:$AA,'Employee Detail FY24'!$B:$B,$C75,'Employee Detail FY24'!$C:$C,$D75,'Employee Detail FY24'!$E:$E,$F75,'Employee Detail FY24'!$F:$F,$G75,'Employee Detail FY24'!$G:$G,$H75),0)</f>
        <v>0</v>
      </c>
      <c r="T75" s="12">
        <f>ROUND(SUMIFS('Employee Detail FY25'!$AA:$AA,'Employee Detail FY25'!$B:$B,$C75,'Employee Detail FY25'!$C:$C,$D75,'Employee Detail FY25'!$E:$E,$F75,'Employee Detail FY25'!$F:$F,$G75,'Employee Detail FY25'!$G:$G,$H75),0)</f>
        <v>0</v>
      </c>
      <c r="U75" s="12">
        <f>ROUND(SUMIFS('Employee Detail FY26'!$AA:$AA,'Employee Detail FY26'!$B:$B,$C75,'Employee Detail FY26'!$C:$C,$D75,'Employee Detail FY26'!$E:$E,$F75,'Employee Detail FY26'!$F:$F,$G75,'Employee Detail FY26'!$G:$G,$H75),0)</f>
        <v>0</v>
      </c>
      <c r="V75" s="12">
        <f>ROUND(SUMIFS('Employee Detail FY27'!$AA:$AA,'Employee Detail FY27'!$B:$B,$C75,'Employee Detail FY27'!$C:$C,$D75,'Employee Detail FY27'!$E:$E,$F75,'Employee Detail FY27'!$F:$F,$G75,'Employee Detail FY27'!$G:$G,$H75),0)</f>
        <v>0</v>
      </c>
      <c r="W75" s="12">
        <f>ROUND(SUMIFS('Employee Detail FY28'!$AA:$AA,'Employee Detail FY28'!$B:$B,$C75,'Employee Detail FY28'!$C:$C,$D75,'Employee Detail FY28'!$E:$E,$F75,'Employee Detail FY28'!$F:$F,$G75,'Employee Detail FY28'!$G:$G,$H75),0)</f>
        <v>0</v>
      </c>
    </row>
    <row r="76" spans="1:23" outlineLevel="1" x14ac:dyDescent="0.2">
      <c r="A76" s="366" t="s">
        <v>626</v>
      </c>
      <c r="B76" s="82" t="s">
        <v>1044</v>
      </c>
      <c r="C76" s="839" t="s">
        <v>135</v>
      </c>
      <c r="D76" s="837" t="s">
        <v>923</v>
      </c>
      <c r="E76" s="841"/>
      <c r="F76" s="102" t="s">
        <v>468</v>
      </c>
      <c r="G76" s="102" t="s">
        <v>461</v>
      </c>
      <c r="H76" s="104" t="s">
        <v>1043</v>
      </c>
      <c r="I76" s="104"/>
      <c r="J76" s="115"/>
      <c r="K76" s="115">
        <v>13500</v>
      </c>
      <c r="L76" s="115"/>
      <c r="M76" s="115"/>
      <c r="N76" s="115">
        <v>80400</v>
      </c>
      <c r="O76" s="932">
        <f>ROUND(SUMIFS('Employee Detail FY22'!$AA:$AA,'Employee Detail FY22'!$B:$B,$C76,'Employee Detail FY22'!$C:$C,$D76,'Employee Detail FY22'!$E:$E,$F76,'Employee Detail FY22'!$F:$F,$G76,'Employee Detail FY22'!$G:$G,$H76),0)</f>
        <v>66900</v>
      </c>
      <c r="P76" s="12">
        <f t="shared" si="12"/>
        <v>-13500</v>
      </c>
      <c r="Q76" s="932">
        <f>ROUND(SUMIFS('Employee Detail FY23'!$AA:$AA,'Employee Detail FY23'!$B:$B,$C76,'Employee Detail FY23'!$C:$C,$D76,'Employee Detail FY23'!$E:$E,$F76,'Employee Detail FY23'!$F:$F,$G76,'Employee Detail FY23'!$G:$G,$H76),0)</f>
        <v>0</v>
      </c>
      <c r="R76" s="12">
        <f t="shared" si="13"/>
        <v>-80400</v>
      </c>
      <c r="S76" s="115">
        <f>ROUND(SUMIFS('Employee Detail FY24'!$AA:$AA,'Employee Detail FY24'!$B:$B,$C76,'Employee Detail FY24'!$C:$C,$D76,'Employee Detail FY24'!$E:$E,$F76,'Employee Detail FY24'!$F:$F,$G76,'Employee Detail FY24'!$G:$G,$H76),0)</f>
        <v>0</v>
      </c>
      <c r="T76" s="115">
        <f>ROUND(SUMIFS('Employee Detail FY25'!$AA:$AA,'Employee Detail FY25'!$B:$B,$C76,'Employee Detail FY25'!$C:$C,$D76,'Employee Detail FY25'!$E:$E,$F76,'Employee Detail FY25'!$F:$F,$G76,'Employee Detail FY25'!$G:$G,$H76),0)</f>
        <v>0</v>
      </c>
      <c r="U76" s="115">
        <f>ROUND(SUMIFS('Employee Detail FY26'!$AA:$AA,'Employee Detail FY26'!$B:$B,$C76,'Employee Detail FY26'!$C:$C,$D76,'Employee Detail FY26'!$E:$E,$F76,'Employee Detail FY26'!$F:$F,$G76,'Employee Detail FY26'!$G:$G,$H76),0)</f>
        <v>0</v>
      </c>
      <c r="V76" s="115">
        <f>ROUND(SUMIFS('Employee Detail FY27'!$AA:$AA,'Employee Detail FY27'!$B:$B,$C76,'Employee Detail FY27'!$C:$C,$D76,'Employee Detail FY27'!$E:$E,$F76,'Employee Detail FY27'!$F:$F,$G76,'Employee Detail FY27'!$G:$G,$H76),0)</f>
        <v>0</v>
      </c>
      <c r="W76" s="115">
        <f>ROUND(SUMIFS('Employee Detail FY28'!$AA:$AA,'Employee Detail FY28'!$B:$B,$C76,'Employee Detail FY28'!$C:$C,$D76,'Employee Detail FY28'!$E:$E,$F76,'Employee Detail FY28'!$F:$F,$G76,'Employee Detail FY28'!$G:$G,$H76),0)</f>
        <v>0</v>
      </c>
    </row>
    <row r="77" spans="1:23" outlineLevel="1" x14ac:dyDescent="0.2">
      <c r="A77" s="366" t="s">
        <v>627</v>
      </c>
      <c r="B77" s="82" t="s">
        <v>1044</v>
      </c>
      <c r="C77" s="839" t="s">
        <v>135</v>
      </c>
      <c r="D77" s="837" t="s">
        <v>249</v>
      </c>
      <c r="E77" s="841"/>
      <c r="F77" s="102" t="s">
        <v>468</v>
      </c>
      <c r="G77" s="102" t="s">
        <v>461</v>
      </c>
      <c r="H77" s="104" t="s">
        <v>1043</v>
      </c>
      <c r="I77" s="104"/>
      <c r="J77" s="115"/>
      <c r="K77" s="115">
        <v>6562.5</v>
      </c>
      <c r="L77" s="115"/>
      <c r="M77" s="115"/>
      <c r="N77" s="115">
        <v>24051</v>
      </c>
      <c r="O77" s="932">
        <f>ROUND(SUMIFS('Employee Detail FY22'!$AA:$AA,'Employee Detail FY22'!$B:$B,$C77,'Employee Detail FY22'!$C:$C,$D77,'Employee Detail FY22'!$E:$E,$F77,'Employee Detail FY22'!$F:$F,$G77,'Employee Detail FY22'!$G:$G,$H77),0)</f>
        <v>24051</v>
      </c>
      <c r="P77" s="12">
        <f t="shared" si="12"/>
        <v>0</v>
      </c>
      <c r="Q77" s="932">
        <f>ROUND(SUMIFS('Employee Detail FY23'!$AA:$AA,'Employee Detail FY23'!$B:$B,$C77,'Employee Detail FY23'!$C:$C,$D77,'Employee Detail FY23'!$E:$E,$F77,'Employee Detail FY23'!$F:$F,$G77,'Employee Detail FY23'!$G:$G,$H77),0)</f>
        <v>24051</v>
      </c>
      <c r="R77" s="12">
        <f t="shared" si="13"/>
        <v>0</v>
      </c>
      <c r="S77" s="12">
        <f>ROUND(SUMIFS('Employee Detail FY24'!$AA:$AA,'Employee Detail FY24'!$B:$B,$C77,'Employee Detail FY24'!$C:$C,$D77,'Employee Detail FY24'!$E:$E,$F77,'Employee Detail FY24'!$F:$F,$G77,'Employee Detail FY24'!$G:$G,$H77),0)</f>
        <v>0</v>
      </c>
      <c r="T77" s="12">
        <f>ROUND(SUMIFS('Employee Detail FY25'!$AA:$AA,'Employee Detail FY25'!$B:$B,$C77,'Employee Detail FY25'!$C:$C,$D77,'Employee Detail FY25'!$E:$E,$F77,'Employee Detail FY25'!$F:$F,$G77,'Employee Detail FY25'!$G:$G,$H77),0)</f>
        <v>0</v>
      </c>
      <c r="U77" s="12">
        <f>ROUND(SUMIFS('Employee Detail FY26'!$AA:$AA,'Employee Detail FY26'!$B:$B,$C77,'Employee Detail FY26'!$C:$C,$D77,'Employee Detail FY26'!$E:$E,$F77,'Employee Detail FY26'!$F:$F,$G77,'Employee Detail FY26'!$G:$G,$H77),0)</f>
        <v>0</v>
      </c>
      <c r="V77" s="12">
        <f>ROUND(SUMIFS('Employee Detail FY27'!$AA:$AA,'Employee Detail FY27'!$B:$B,$C77,'Employee Detail FY27'!$C:$C,$D77,'Employee Detail FY27'!$E:$E,$F77,'Employee Detail FY27'!$F:$F,$G77,'Employee Detail FY27'!$G:$G,$H77),0)</f>
        <v>0</v>
      </c>
      <c r="W77" s="12">
        <f>ROUND(SUMIFS('Employee Detail FY28'!$AA:$AA,'Employee Detail FY28'!$B:$B,$C77,'Employee Detail FY28'!$C:$C,$D77,'Employee Detail FY28'!$E:$E,$F77,'Employee Detail FY28'!$F:$F,$G77,'Employee Detail FY28'!$G:$G,$H77),0)</f>
        <v>0</v>
      </c>
    </row>
    <row r="78" spans="1:23" outlineLevel="1" x14ac:dyDescent="0.2">
      <c r="A78" s="366" t="s">
        <v>628</v>
      </c>
      <c r="B78" s="82" t="s">
        <v>1044</v>
      </c>
      <c r="C78" s="839" t="s">
        <v>135</v>
      </c>
      <c r="D78" s="837" t="s">
        <v>249</v>
      </c>
      <c r="E78" s="841"/>
      <c r="F78" s="102" t="s">
        <v>468</v>
      </c>
      <c r="G78" s="102" t="s">
        <v>534</v>
      </c>
      <c r="H78" s="104" t="s">
        <v>1043</v>
      </c>
      <c r="I78" s="104"/>
      <c r="J78" s="115"/>
      <c r="K78" s="115">
        <v>1875</v>
      </c>
      <c r="L78" s="115"/>
      <c r="M78" s="115"/>
      <c r="N78" s="115">
        <v>0</v>
      </c>
      <c r="O78" s="932">
        <f>ROUND(SUMIFS('Employee Detail FY22'!$AA:$AA,'Employee Detail FY22'!$B:$B,$C78,'Employee Detail FY22'!$C:$C,$D78,'Employee Detail FY22'!$E:$E,$F78,'Employee Detail FY22'!$F:$F,$G78,'Employee Detail FY22'!$G:$G,$H78),0)</f>
        <v>0</v>
      </c>
      <c r="P78" s="12">
        <f t="shared" si="12"/>
        <v>0</v>
      </c>
      <c r="Q78" s="932">
        <f>ROUND(SUMIFS('Employee Detail FY23'!$AA:$AA,'Employee Detail FY23'!$B:$B,$C78,'Employee Detail FY23'!$C:$C,$D78,'Employee Detail FY23'!$E:$E,$F78,'Employee Detail FY23'!$F:$F,$G78,'Employee Detail FY23'!$G:$G,$H78),0)</f>
        <v>0</v>
      </c>
      <c r="R78" s="12">
        <f t="shared" si="13"/>
        <v>0</v>
      </c>
      <c r="S78" s="12">
        <f>ROUND(SUMIFS('Employee Detail FY24'!$AA:$AA,'Employee Detail FY24'!$B:$B,$C78,'Employee Detail FY24'!$C:$C,$D78,'Employee Detail FY24'!$E:$E,$F78,'Employee Detail FY24'!$F:$F,$G78,'Employee Detail FY24'!$G:$G,$H78),0)</f>
        <v>0</v>
      </c>
      <c r="T78" s="12">
        <f>ROUND(SUMIFS('Employee Detail FY25'!$AA:$AA,'Employee Detail FY25'!$B:$B,$C78,'Employee Detail FY25'!$C:$C,$D78,'Employee Detail FY25'!$E:$E,$F78,'Employee Detail FY25'!$F:$F,$G78,'Employee Detail FY25'!$G:$G,$H78),0)</f>
        <v>0</v>
      </c>
      <c r="U78" s="12">
        <f>ROUND(SUMIFS('Employee Detail FY26'!$AA:$AA,'Employee Detail FY26'!$B:$B,$C78,'Employee Detail FY26'!$C:$C,$D78,'Employee Detail FY26'!$E:$E,$F78,'Employee Detail FY26'!$F:$F,$G78,'Employee Detail FY26'!$G:$G,$H78),0)</f>
        <v>0</v>
      </c>
      <c r="V78" s="12">
        <f>ROUND(SUMIFS('Employee Detail FY27'!$AA:$AA,'Employee Detail FY27'!$B:$B,$C78,'Employee Detail FY27'!$C:$C,$D78,'Employee Detail FY27'!$E:$E,$F78,'Employee Detail FY27'!$F:$F,$G78,'Employee Detail FY27'!$G:$G,$H78),0)</f>
        <v>0</v>
      </c>
      <c r="W78" s="12">
        <f>ROUND(SUMIFS('Employee Detail FY28'!$AA:$AA,'Employee Detail FY28'!$B:$B,$C78,'Employee Detail FY28'!$C:$C,$D78,'Employee Detail FY28'!$E:$E,$F78,'Employee Detail FY28'!$F:$F,$G78,'Employee Detail FY28'!$G:$G,$H78),0)</f>
        <v>0</v>
      </c>
    </row>
    <row r="79" spans="1:23" outlineLevel="1" x14ac:dyDescent="0.2">
      <c r="A79" s="366" t="s">
        <v>629</v>
      </c>
      <c r="B79" s="82" t="s">
        <v>1044</v>
      </c>
      <c r="C79" s="839" t="s">
        <v>468</v>
      </c>
      <c r="D79" s="837" t="s">
        <v>145</v>
      </c>
      <c r="E79" s="841"/>
      <c r="F79" s="102" t="s">
        <v>689</v>
      </c>
      <c r="G79" s="102" t="s">
        <v>461</v>
      </c>
      <c r="H79" s="104" t="s">
        <v>1063</v>
      </c>
      <c r="I79" s="104"/>
      <c r="J79" s="115"/>
      <c r="K79" s="115">
        <v>0</v>
      </c>
      <c r="L79" s="115"/>
      <c r="M79" s="115"/>
      <c r="N79" s="115">
        <v>0</v>
      </c>
      <c r="O79" s="932">
        <f>ROUND(SUMIFS('Employee Detail FY22'!$AA:$AA,'Employee Detail FY22'!$B:$B,$C79,'Employee Detail FY22'!$C:$C,$D79,'Employee Detail FY22'!$E:$E,$F79,'Employee Detail FY22'!$F:$F,$G79,'Employee Detail FY22'!$G:$G,$H79),0)</f>
        <v>0</v>
      </c>
      <c r="P79" s="12">
        <f t="shared" ref="P79:P82" si="14">O79-N79</f>
        <v>0</v>
      </c>
      <c r="Q79" s="932">
        <f>ROUND(SUMIFS('Employee Detail FY23'!$AA:$AA,'Employee Detail FY23'!$B:$B,$C79,'Employee Detail FY23'!$C:$C,$D79,'Employee Detail FY23'!$E:$E,$F79,'Employee Detail FY23'!$F:$F,$G79,'Employee Detail FY23'!$G:$G,$H79),0)</f>
        <v>0</v>
      </c>
      <c r="R79" s="12">
        <f t="shared" si="13"/>
        <v>0</v>
      </c>
      <c r="S79" s="12">
        <f>ROUND(SUMIFS('Employee Detail FY24'!$AA:$AA,'Employee Detail FY24'!$B:$B,$C79,'Employee Detail FY24'!$C:$C,$D79,'Employee Detail FY24'!$E:$E,$F79,'Employee Detail FY24'!$F:$F,$G79,'Employee Detail FY24'!$G:$G,$H79),0)</f>
        <v>0</v>
      </c>
      <c r="T79" s="12">
        <f>ROUND(SUMIFS('Employee Detail FY25'!$AA:$AA,'Employee Detail FY25'!$B:$B,$C79,'Employee Detail FY25'!$C:$C,$D79,'Employee Detail FY25'!$E:$E,$F79,'Employee Detail FY25'!$F:$F,$G79,'Employee Detail FY25'!$G:$G,$H79),0)</f>
        <v>0</v>
      </c>
      <c r="U79" s="12">
        <f>ROUND(SUMIFS('Employee Detail FY26'!$AA:$AA,'Employee Detail FY26'!$B:$B,$C79,'Employee Detail FY26'!$C:$C,$D79,'Employee Detail FY26'!$E:$E,$F79,'Employee Detail FY26'!$F:$F,$G79,'Employee Detail FY26'!$G:$G,$H79),0)</f>
        <v>0</v>
      </c>
      <c r="V79" s="12">
        <f>ROUND(SUMIFS('Employee Detail FY27'!$AA:$AA,'Employee Detail FY27'!$B:$B,$C79,'Employee Detail FY27'!$C:$C,$D79,'Employee Detail FY27'!$E:$E,$F79,'Employee Detail FY27'!$F:$F,$G79,'Employee Detail FY27'!$G:$G,$H79),0)</f>
        <v>0</v>
      </c>
      <c r="W79" s="12">
        <f>ROUND(SUMIFS('Employee Detail FY28'!$AA:$AA,'Employee Detail FY28'!$B:$B,$C79,'Employee Detail FY28'!$C:$C,$D79,'Employee Detail FY28'!$E:$E,$F79,'Employee Detail FY28'!$F:$F,$G79,'Employee Detail FY28'!$G:$G,$H79),0)</f>
        <v>0</v>
      </c>
    </row>
    <row r="80" spans="1:23" outlineLevel="1" x14ac:dyDescent="0.2">
      <c r="A80" s="366" t="s">
        <v>630</v>
      </c>
      <c r="B80" s="82" t="s">
        <v>1044</v>
      </c>
      <c r="C80" s="839" t="s">
        <v>135</v>
      </c>
      <c r="D80" s="837" t="s">
        <v>923</v>
      </c>
      <c r="E80" s="841"/>
      <c r="F80" s="102" t="s">
        <v>468</v>
      </c>
      <c r="G80" s="102" t="s">
        <v>461</v>
      </c>
      <c r="H80" s="104" t="s">
        <v>1063</v>
      </c>
      <c r="I80" s="104"/>
      <c r="J80" s="115"/>
      <c r="K80" s="115">
        <v>0</v>
      </c>
      <c r="L80" s="115"/>
      <c r="M80" s="115"/>
      <c r="N80" s="115">
        <v>0</v>
      </c>
      <c r="O80" s="932">
        <f>ROUND(SUMIFS('Employee Detail FY22'!$AA:$AA,'Employee Detail FY22'!$B:$B,$C80,'Employee Detail FY22'!$C:$C,$D80,'Employee Detail FY22'!$E:$E,$F80,'Employee Detail FY22'!$F:$F,$G80,'Employee Detail FY22'!$G:$G,$H80),0)</f>
        <v>0</v>
      </c>
      <c r="P80" s="12">
        <f t="shared" si="14"/>
        <v>0</v>
      </c>
      <c r="Q80" s="932">
        <f>ROUND(SUMIFS('Employee Detail FY23'!$AA:$AA,'Employee Detail FY23'!$B:$B,$C80,'Employee Detail FY23'!$C:$C,$D80,'Employee Detail FY23'!$E:$E,$F80,'Employee Detail FY23'!$F:$F,$G80,'Employee Detail FY23'!$G:$G,$H80),0)</f>
        <v>0</v>
      </c>
      <c r="R80" s="12">
        <f t="shared" si="13"/>
        <v>0</v>
      </c>
      <c r="S80" s="115">
        <f>ROUND(SUMIFS('Employee Detail FY24'!$AA:$AA,'Employee Detail FY24'!$B:$B,$C80,'Employee Detail FY24'!$C:$C,$D80,'Employee Detail FY24'!$E:$E,$F80,'Employee Detail FY24'!$F:$F,$G80,'Employee Detail FY24'!$G:$G,$H80),0)</f>
        <v>0</v>
      </c>
      <c r="T80" s="115">
        <f>ROUND(SUMIFS('Employee Detail FY25'!$AA:$AA,'Employee Detail FY25'!$B:$B,$C80,'Employee Detail FY25'!$C:$C,$D80,'Employee Detail FY25'!$E:$E,$F80,'Employee Detail FY25'!$F:$F,$G80,'Employee Detail FY25'!$G:$G,$H80),0)</f>
        <v>0</v>
      </c>
      <c r="U80" s="115">
        <f>ROUND(SUMIFS('Employee Detail FY26'!$AA:$AA,'Employee Detail FY26'!$B:$B,$C80,'Employee Detail FY26'!$C:$C,$D80,'Employee Detail FY26'!$E:$E,$F80,'Employee Detail FY26'!$F:$F,$G80,'Employee Detail FY26'!$G:$G,$H80),0)</f>
        <v>0</v>
      </c>
      <c r="V80" s="115">
        <f>ROUND(SUMIFS('Employee Detail FY27'!$AA:$AA,'Employee Detail FY27'!$B:$B,$C80,'Employee Detail FY27'!$C:$C,$D80,'Employee Detail FY27'!$E:$E,$F80,'Employee Detail FY27'!$F:$F,$G80,'Employee Detail FY27'!$G:$G,$H80),0)</f>
        <v>0</v>
      </c>
      <c r="W80" s="115">
        <f>ROUND(SUMIFS('Employee Detail FY28'!$AA:$AA,'Employee Detail FY28'!$B:$B,$C80,'Employee Detail FY28'!$C:$C,$D80,'Employee Detail FY28'!$E:$E,$F80,'Employee Detail FY28'!$F:$F,$G80,'Employee Detail FY28'!$G:$G,$H80),0)</f>
        <v>0</v>
      </c>
    </row>
    <row r="81" spans="1:23" outlineLevel="1" x14ac:dyDescent="0.2">
      <c r="A81" s="366" t="s">
        <v>1160</v>
      </c>
      <c r="B81" s="82" t="s">
        <v>1044</v>
      </c>
      <c r="C81" s="839" t="s">
        <v>135</v>
      </c>
      <c r="D81" s="837" t="s">
        <v>923</v>
      </c>
      <c r="E81" s="841"/>
      <c r="F81" s="102" t="s">
        <v>468</v>
      </c>
      <c r="G81" s="102" t="s">
        <v>534</v>
      </c>
      <c r="H81" s="104" t="s">
        <v>1063</v>
      </c>
      <c r="I81" s="104"/>
      <c r="J81" s="115"/>
      <c r="K81" s="115">
        <v>0</v>
      </c>
      <c r="L81" s="115"/>
      <c r="M81" s="115"/>
      <c r="N81" s="115">
        <v>0</v>
      </c>
      <c r="O81" s="932">
        <f>ROUND(SUMIFS('Employee Detail FY22'!$AA:$AA,'Employee Detail FY22'!$B:$B,$C81,'Employee Detail FY22'!$C:$C,$D81,'Employee Detail FY22'!$E:$E,$F81,'Employee Detail FY22'!$F:$F,$G81,'Employee Detail FY22'!$G:$G,$H81),0)</f>
        <v>0</v>
      </c>
      <c r="P81" s="12">
        <f t="shared" si="14"/>
        <v>0</v>
      </c>
      <c r="Q81" s="932">
        <f>ROUND(SUMIFS('Employee Detail FY23'!$AA:$AA,'Employee Detail FY23'!$B:$B,$C81,'Employee Detail FY23'!$C:$C,$D81,'Employee Detail FY23'!$E:$E,$F81,'Employee Detail FY23'!$F:$F,$G81,'Employee Detail FY23'!$G:$G,$H81),0)</f>
        <v>0</v>
      </c>
      <c r="R81" s="12">
        <f t="shared" si="13"/>
        <v>0</v>
      </c>
      <c r="S81" s="115">
        <f>ROUND(SUMIFS('Employee Detail FY24'!$AA:$AA,'Employee Detail FY24'!$B:$B,$C81,'Employee Detail FY24'!$C:$C,$D81,'Employee Detail FY24'!$E:$E,$F81,'Employee Detail FY24'!$F:$F,$G81,'Employee Detail FY24'!$G:$G,$H81),0)</f>
        <v>0</v>
      </c>
      <c r="T81" s="115">
        <f>ROUND(SUMIFS('Employee Detail FY25'!$AA:$AA,'Employee Detail FY25'!$B:$B,$C81,'Employee Detail FY25'!$C:$C,$D81,'Employee Detail FY25'!$E:$E,$F81,'Employee Detail FY25'!$F:$F,$G81,'Employee Detail FY25'!$G:$G,$H81),0)</f>
        <v>0</v>
      </c>
      <c r="U81" s="115">
        <f>ROUND(SUMIFS('Employee Detail FY26'!$AA:$AA,'Employee Detail FY26'!$B:$B,$C81,'Employee Detail FY26'!$C:$C,$D81,'Employee Detail FY26'!$E:$E,$F81,'Employee Detail FY26'!$F:$F,$G81,'Employee Detail FY26'!$G:$G,$H81),0)</f>
        <v>0</v>
      </c>
      <c r="V81" s="115">
        <f>ROUND(SUMIFS('Employee Detail FY27'!$AA:$AA,'Employee Detail FY27'!$B:$B,$C81,'Employee Detail FY27'!$C:$C,$D81,'Employee Detail FY27'!$E:$E,$F81,'Employee Detail FY27'!$F:$F,$G81,'Employee Detail FY27'!$G:$G,$H81),0)</f>
        <v>0</v>
      </c>
      <c r="W81" s="115">
        <f>ROUND(SUMIFS('Employee Detail FY28'!$AA:$AA,'Employee Detail FY28'!$B:$B,$C81,'Employee Detail FY28'!$C:$C,$D81,'Employee Detail FY28'!$E:$E,$F81,'Employee Detail FY28'!$F:$F,$G81,'Employee Detail FY28'!$G:$G,$H81),0)</f>
        <v>0</v>
      </c>
    </row>
    <row r="82" spans="1:23" outlineLevel="1" x14ac:dyDescent="0.2">
      <c r="A82" s="366" t="s">
        <v>631</v>
      </c>
      <c r="B82" s="82" t="s">
        <v>1044</v>
      </c>
      <c r="C82" s="839" t="s">
        <v>135</v>
      </c>
      <c r="D82" s="837" t="s">
        <v>1042</v>
      </c>
      <c r="E82" s="841"/>
      <c r="F82" s="102" t="s">
        <v>532</v>
      </c>
      <c r="G82" s="102" t="s">
        <v>461</v>
      </c>
      <c r="H82" s="104" t="s">
        <v>1063</v>
      </c>
      <c r="I82" s="104"/>
      <c r="J82" s="115"/>
      <c r="K82" s="115">
        <v>0</v>
      </c>
      <c r="L82" s="115"/>
      <c r="M82" s="115"/>
      <c r="N82" s="115">
        <v>0</v>
      </c>
      <c r="O82" s="932">
        <f>ROUND(SUMIFS('Employee Detail FY22'!$AA:$AA,'Employee Detail FY22'!$B:$B,$C82,'Employee Detail FY22'!$C:$C,$D82,'Employee Detail FY22'!$E:$E,$F82,'Employee Detail FY22'!$F:$F,$G82,'Employee Detail FY22'!$G:$G,$H82),0)</f>
        <v>0</v>
      </c>
      <c r="P82" s="12">
        <f t="shared" si="14"/>
        <v>0</v>
      </c>
      <c r="Q82" s="932">
        <f>ROUND(SUMIFS('Employee Detail FY23'!$AA:$AA,'Employee Detail FY23'!$B:$B,$C82,'Employee Detail FY23'!$C:$C,$D82,'Employee Detail FY23'!$E:$E,$F82,'Employee Detail FY23'!$F:$F,$G82,'Employee Detail FY23'!$G:$G,$H82),0)</f>
        <v>0</v>
      </c>
      <c r="R82" s="12">
        <f t="shared" si="13"/>
        <v>0</v>
      </c>
      <c r="S82" s="12">
        <f>ROUND(SUMIFS('Employee Detail FY24'!$AA:$AA,'Employee Detail FY24'!$B:$B,$C82,'Employee Detail FY24'!$C:$C,$D82,'Employee Detail FY24'!$E:$E,$F82,'Employee Detail FY24'!$F:$F,$G82,'Employee Detail FY24'!$G:$G,$H82),0)</f>
        <v>0</v>
      </c>
      <c r="T82" s="12">
        <f>ROUND(SUMIFS('Employee Detail FY25'!$AA:$AA,'Employee Detail FY25'!$B:$B,$C82,'Employee Detail FY25'!$C:$C,$D82,'Employee Detail FY25'!$E:$E,$F82,'Employee Detail FY25'!$F:$F,$G82,'Employee Detail FY25'!$G:$G,$H82),0)</f>
        <v>0</v>
      </c>
      <c r="U82" s="12">
        <f>ROUND(SUMIFS('Employee Detail FY26'!$AA:$AA,'Employee Detail FY26'!$B:$B,$C82,'Employee Detail FY26'!$C:$C,$D82,'Employee Detail FY26'!$E:$E,$F82,'Employee Detail FY26'!$F:$F,$G82,'Employee Detail FY26'!$G:$G,$H82),0)</f>
        <v>0</v>
      </c>
      <c r="V82" s="12">
        <f>ROUND(SUMIFS('Employee Detail FY27'!$AA:$AA,'Employee Detail FY27'!$B:$B,$C82,'Employee Detail FY27'!$C:$C,$D82,'Employee Detail FY27'!$E:$E,$F82,'Employee Detail FY27'!$F:$F,$G82,'Employee Detail FY27'!$G:$G,$H82),0)</f>
        <v>0</v>
      </c>
      <c r="W82" s="12">
        <f>ROUND(SUMIFS('Employee Detail FY28'!$AA:$AA,'Employee Detail FY28'!$B:$B,$C82,'Employee Detail FY28'!$C:$C,$D82,'Employee Detail FY28'!$E:$E,$F82,'Employee Detail FY28'!$F:$F,$G82,'Employee Detail FY28'!$G:$G,$H82),0)</f>
        <v>0</v>
      </c>
    </row>
    <row r="83" spans="1:23" outlineLevel="1" x14ac:dyDescent="0.2">
      <c r="A83" s="366" t="s">
        <v>632</v>
      </c>
      <c r="B83" s="82" t="s">
        <v>1044</v>
      </c>
      <c r="C83" s="837">
        <v>280</v>
      </c>
      <c r="D83" s="841" t="s">
        <v>247</v>
      </c>
      <c r="E83" s="841"/>
      <c r="F83" s="101">
        <v>240</v>
      </c>
      <c r="G83" s="101">
        <v>1000</v>
      </c>
      <c r="H83" s="103" t="s">
        <v>1063</v>
      </c>
      <c r="I83" s="103"/>
      <c r="J83" s="115">
        <v>0</v>
      </c>
      <c r="K83" s="115">
        <v>3500</v>
      </c>
      <c r="L83" s="115">
        <v>0</v>
      </c>
      <c r="M83" s="115">
        <v>0</v>
      </c>
      <c r="N83" s="115">
        <v>0</v>
      </c>
      <c r="O83" s="932">
        <f>ROUND(SUMIFS('Employee Detail FY22'!$AA:$AA,'Employee Detail FY22'!$B:$B,$C83,'Employee Detail FY22'!$C:$C,$D83,'Employee Detail FY22'!$E:$E,$F83,'Employee Detail FY22'!$F:$F,$G83,'Employee Detail FY22'!$G:$G,$H83),0)</f>
        <v>0</v>
      </c>
      <c r="P83" s="12">
        <f t="shared" si="12"/>
        <v>0</v>
      </c>
      <c r="Q83" s="932">
        <f>ROUND(SUMIFS('Employee Detail FY23'!$AA:$AA,'Employee Detail FY23'!$B:$B,$C83,'Employee Detail FY23'!$C:$C,$D83,'Employee Detail FY23'!$E:$E,$F83,'Employee Detail FY23'!$F:$F,$G83,'Employee Detail FY23'!$G:$G,$H83),0)</f>
        <v>0</v>
      </c>
      <c r="R83" s="12">
        <f t="shared" si="13"/>
        <v>0</v>
      </c>
      <c r="S83" s="12">
        <f>ROUND(SUMIFS('Employee Detail FY24'!$AA:$AA,'Employee Detail FY24'!$B:$B,$C83,'Employee Detail FY24'!$C:$C,$D83,'Employee Detail FY24'!$E:$E,$F83,'Employee Detail FY24'!$F:$F,$G83,'Employee Detail FY24'!$G:$G,$H83),0)</f>
        <v>0</v>
      </c>
      <c r="T83" s="12">
        <f>ROUND(SUMIFS('Employee Detail FY25'!$AA:$AA,'Employee Detail FY25'!$B:$B,$C83,'Employee Detail FY25'!$C:$C,$D83,'Employee Detail FY25'!$E:$E,$F83,'Employee Detail FY25'!$F:$F,$G83,'Employee Detail FY25'!$G:$G,$H83),0)</f>
        <v>0</v>
      </c>
      <c r="U83" s="12">
        <f>ROUND(SUMIFS('Employee Detail FY26'!$AA:$AA,'Employee Detail FY26'!$B:$B,$C83,'Employee Detail FY26'!$C:$C,$D83,'Employee Detail FY26'!$E:$E,$F83,'Employee Detail FY26'!$F:$F,$G83,'Employee Detail FY26'!$G:$G,$H83),0)</f>
        <v>0</v>
      </c>
      <c r="V83" s="12">
        <f>ROUND(SUMIFS('Employee Detail FY27'!$AA:$AA,'Employee Detail FY27'!$B:$B,$C83,'Employee Detail FY27'!$C:$C,$D83,'Employee Detail FY27'!$E:$E,$F83,'Employee Detail FY27'!$F:$F,$G83,'Employee Detail FY27'!$G:$G,$H83),0)</f>
        <v>0</v>
      </c>
      <c r="W83" s="12">
        <f>ROUND(SUMIFS('Employee Detail FY28'!$AA:$AA,'Employee Detail FY28'!$B:$B,$C83,'Employee Detail FY28'!$C:$C,$D83,'Employee Detail FY28'!$E:$E,$F83,'Employee Detail FY28'!$F:$F,$G83,'Employee Detail FY28'!$G:$G,$H83),0)</f>
        <v>0</v>
      </c>
    </row>
    <row r="84" spans="1:23" outlineLevel="1" x14ac:dyDescent="0.2">
      <c r="A84" s="366" t="s">
        <v>633</v>
      </c>
      <c r="B84" s="82"/>
      <c r="C84" s="839"/>
      <c r="D84" s="837"/>
      <c r="E84" s="841"/>
      <c r="F84" s="102"/>
      <c r="G84" s="102"/>
      <c r="H84" s="104"/>
      <c r="I84" s="104"/>
      <c r="J84" s="115"/>
      <c r="K84" s="12"/>
      <c r="L84" s="115"/>
      <c r="M84" s="115"/>
      <c r="N84" s="115"/>
      <c r="O84" s="12">
        <f>ROUND(SUMIFS('Employee Detail FY22'!$AA:$AA,'Employee Detail FY22'!$B:$B,$C84,'Employee Detail FY22'!$C:$C,$D84,'Employee Detail FY22'!$E:$E,$F84,'Employee Detail FY22'!$F:$F,$G84,'Employee Detail FY22'!$G:$G,$H84),0)</f>
        <v>0</v>
      </c>
      <c r="P84" s="12">
        <f t="shared" ref="P84:P139" si="15">O84-M84</f>
        <v>0</v>
      </c>
      <c r="Q84" s="12">
        <f>ROUND(SUMIFS('Employee Detail FY23'!$AA:$AA,'Employee Detail FY23'!$B:$B,$C84,'Employee Detail FY23'!$C:$C,$D84,'Employee Detail FY23'!$E:$E,$F84,'Employee Detail FY23'!$F:$F,$G84,'Employee Detail FY23'!$G:$G,$H84),0)</f>
        <v>0</v>
      </c>
      <c r="R84" s="12">
        <f t="shared" si="13"/>
        <v>0</v>
      </c>
      <c r="S84" s="12">
        <f>ROUND(SUMIFS('Employee Detail FY24'!$AA:$AA,'Employee Detail FY24'!$B:$B,$C84,'Employee Detail FY24'!$C:$C,$D84,'Employee Detail FY24'!$E:$E,$F84,'Employee Detail FY24'!$F:$F,$G84,'Employee Detail FY24'!$G:$G,$H84),0)</f>
        <v>0</v>
      </c>
      <c r="T84" s="12">
        <f>ROUND(SUMIFS('Employee Detail FY25'!$AA:$AA,'Employee Detail FY25'!$B:$B,$C84,'Employee Detail FY25'!$C:$C,$D84,'Employee Detail FY25'!$E:$E,$F84,'Employee Detail FY25'!$F:$F,$G84,'Employee Detail FY25'!$G:$G,$H84),0)</f>
        <v>0</v>
      </c>
      <c r="U84" s="12">
        <f>ROUND(SUMIFS('Employee Detail FY26'!$AA:$AA,'Employee Detail FY26'!$B:$B,$C84,'Employee Detail FY26'!$C:$C,$D84,'Employee Detail FY26'!$E:$E,$F84,'Employee Detail FY26'!$F:$F,$G84,'Employee Detail FY26'!$G:$G,$H84),0)</f>
        <v>0</v>
      </c>
      <c r="V84" s="12">
        <f>ROUND(SUMIFS('Employee Detail FY27'!$AA:$AA,'Employee Detail FY27'!$B:$B,$C84,'Employee Detail FY27'!$C:$C,$D84,'Employee Detail FY27'!$E:$E,$F84,'Employee Detail FY27'!$F:$F,$G84,'Employee Detail FY27'!$G:$G,$H84),0)</f>
        <v>0</v>
      </c>
      <c r="W84" s="12">
        <f>ROUND(SUMIFS('Employee Detail FY28'!$AA:$AA,'Employee Detail FY28'!$B:$B,$C84,'Employee Detail FY28'!$C:$C,$D84,'Employee Detail FY28'!$E:$E,$F84,'Employee Detail FY28'!$F:$F,$G84,'Employee Detail FY28'!$G:$G,$H84),0)</f>
        <v>0</v>
      </c>
    </row>
    <row r="85" spans="1:23" outlineLevel="1" x14ac:dyDescent="0.2">
      <c r="A85" s="366" t="s">
        <v>634</v>
      </c>
      <c r="B85" s="82" t="s">
        <v>162</v>
      </c>
      <c r="C85" s="837">
        <v>100</v>
      </c>
      <c r="D85" s="841" t="s">
        <v>145</v>
      </c>
      <c r="E85" s="841"/>
      <c r="F85" s="101">
        <v>100</v>
      </c>
      <c r="G85" s="101">
        <v>1000</v>
      </c>
      <c r="H85" s="103" t="s">
        <v>163</v>
      </c>
      <c r="I85" s="103"/>
      <c r="J85" s="115">
        <v>0</v>
      </c>
      <c r="K85" s="115">
        <v>431.25</v>
      </c>
      <c r="L85" s="115">
        <v>0</v>
      </c>
      <c r="M85" s="115">
        <v>0</v>
      </c>
      <c r="N85" s="115">
        <v>0</v>
      </c>
      <c r="O85" s="932">
        <f>ROUND(SUMIFS('Employee Detail FY22'!$AA:$AA,'Employee Detail FY22'!$B:$B,$C85,'Employee Detail FY22'!$C:$C,$D85,'Employee Detail FY22'!$E:$E,$F85,'Employee Detail FY22'!$F:$F,$G85,'Employee Detail FY22'!$G:$G,$H85),0)</f>
        <v>0</v>
      </c>
      <c r="P85" s="12">
        <f>O85-N85</f>
        <v>0</v>
      </c>
      <c r="Q85" s="932">
        <f>ROUND(SUMIFS('Employee Detail FY23'!$AA:$AA,'Employee Detail FY23'!$B:$B,$C85,'Employee Detail FY23'!$C:$C,$D85,'Employee Detail FY23'!$E:$E,$F85,'Employee Detail FY23'!$F:$F,$G85,'Employee Detail FY23'!$G:$G,$H85),0)</f>
        <v>0</v>
      </c>
      <c r="R85" s="12">
        <f t="shared" si="13"/>
        <v>0</v>
      </c>
      <c r="S85" s="12">
        <f>ROUND(SUMIFS('Employee Detail FY24'!$AA:$AA,'Employee Detail FY24'!$B:$B,$C85,'Employee Detail FY24'!$C:$C,$D85,'Employee Detail FY24'!$E:$E,$F85,'Employee Detail FY24'!$F:$F,$G85,'Employee Detail FY24'!$G:$G,$H85),0)</f>
        <v>0</v>
      </c>
      <c r="T85" s="12">
        <f>ROUND(SUMIFS('Employee Detail FY25'!$AA:$AA,'Employee Detail FY25'!$B:$B,$C85,'Employee Detail FY25'!$C:$C,$D85,'Employee Detail FY25'!$E:$E,$F85,'Employee Detail FY25'!$F:$F,$G85,'Employee Detail FY25'!$G:$G,$H85),0)</f>
        <v>0</v>
      </c>
      <c r="U85" s="12">
        <f>ROUND(SUMIFS('Employee Detail FY26'!$AA:$AA,'Employee Detail FY26'!$B:$B,$C85,'Employee Detail FY26'!$C:$C,$D85,'Employee Detail FY26'!$E:$E,$F85,'Employee Detail FY26'!$F:$F,$G85,'Employee Detail FY26'!$G:$G,$H85),0)</f>
        <v>0</v>
      </c>
      <c r="V85" s="12">
        <f>ROUND(SUMIFS('Employee Detail FY27'!$AA:$AA,'Employee Detail FY27'!$B:$B,$C85,'Employee Detail FY27'!$C:$C,$D85,'Employee Detail FY27'!$E:$E,$F85,'Employee Detail FY27'!$F:$F,$G85,'Employee Detail FY27'!$G:$G,$H85),0)</f>
        <v>0</v>
      </c>
      <c r="W85" s="12">
        <f>ROUND(SUMIFS('Employee Detail FY28'!$AA:$AA,'Employee Detail FY28'!$B:$B,$C85,'Employee Detail FY28'!$C:$C,$D85,'Employee Detail FY28'!$E:$E,$F85,'Employee Detail FY28'!$F:$F,$G85,'Employee Detail FY28'!$G:$G,$H85),0)</f>
        <v>0</v>
      </c>
    </row>
    <row r="86" spans="1:23" outlineLevel="1" x14ac:dyDescent="0.2">
      <c r="A86" s="366" t="s">
        <v>635</v>
      </c>
      <c r="B86" s="82"/>
      <c r="C86" s="837"/>
      <c r="D86" s="841"/>
      <c r="E86" s="841"/>
      <c r="F86" s="101"/>
      <c r="G86" s="101"/>
      <c r="H86" s="103"/>
      <c r="I86" s="103"/>
      <c r="J86" s="115"/>
      <c r="K86" s="12"/>
      <c r="L86" s="115"/>
      <c r="M86" s="115"/>
      <c r="N86" s="115">
        <v>0</v>
      </c>
      <c r="O86" s="12">
        <f>ROUND(SUMIFS('Employee Detail FY22'!$AA:$AA,'Employee Detail FY22'!$B:$B,$C86,'Employee Detail FY22'!$C:$C,$D86,'Employee Detail FY22'!$E:$E,$F86,'Employee Detail FY22'!$F:$F,$G86,'Employee Detail FY22'!$G:$G,$H86),0)</f>
        <v>0</v>
      </c>
      <c r="P86" s="12">
        <f t="shared" si="15"/>
        <v>0</v>
      </c>
      <c r="Q86" s="12">
        <f>ROUND(SUMIFS('Employee Detail FY23'!$AA:$AA,'Employee Detail FY23'!$B:$B,$C86,'Employee Detail FY23'!$C:$C,$D86,'Employee Detail FY23'!$E:$E,$F86,'Employee Detail FY23'!$F:$F,$G86,'Employee Detail FY23'!$G:$G,$H86),0)</f>
        <v>0</v>
      </c>
      <c r="R86" s="12">
        <f t="shared" si="13"/>
        <v>0</v>
      </c>
      <c r="S86" s="12">
        <f>ROUND(SUMIFS('Employee Detail FY24'!$AA:$AA,'Employee Detail FY24'!$B:$B,$C86,'Employee Detail FY24'!$C:$C,$D86,'Employee Detail FY24'!$E:$E,$F86,'Employee Detail FY24'!$F:$F,$G86,'Employee Detail FY24'!$G:$G,$H86),0)</f>
        <v>0</v>
      </c>
      <c r="T86" s="12">
        <f>ROUND(SUMIFS('Employee Detail FY25'!$AA:$AA,'Employee Detail FY25'!$B:$B,$C86,'Employee Detail FY25'!$C:$C,$D86,'Employee Detail FY25'!$E:$E,$F86,'Employee Detail FY25'!$F:$F,$G86,'Employee Detail FY25'!$G:$G,$H86),0)</f>
        <v>0</v>
      </c>
      <c r="U86" s="12">
        <f>ROUND(SUMIFS('Employee Detail FY26'!$AA:$AA,'Employee Detail FY26'!$B:$B,$C86,'Employee Detail FY26'!$C:$C,$D86,'Employee Detail FY26'!$E:$E,$F86,'Employee Detail FY26'!$F:$F,$G86,'Employee Detail FY26'!$G:$G,$H86),0)</f>
        <v>0</v>
      </c>
      <c r="V86" s="12">
        <f>ROUND(SUMIFS('Employee Detail FY27'!$AA:$AA,'Employee Detail FY27'!$B:$B,$C86,'Employee Detail FY27'!$C:$C,$D86,'Employee Detail FY27'!$E:$E,$F86,'Employee Detail FY27'!$F:$F,$G86,'Employee Detail FY27'!$G:$G,$H86),0)</f>
        <v>0</v>
      </c>
      <c r="W86" s="12">
        <f>ROUND(SUMIFS('Employee Detail FY28'!$AA:$AA,'Employee Detail FY28'!$B:$B,$C86,'Employee Detail FY28'!$C:$C,$D86,'Employee Detail FY28'!$E:$E,$F86,'Employee Detail FY28'!$F:$F,$G86,'Employee Detail FY28'!$G:$G,$H86),0)</f>
        <v>0</v>
      </c>
    </row>
    <row r="87" spans="1:23" outlineLevel="1" x14ac:dyDescent="0.2">
      <c r="A87" s="366" t="s">
        <v>636</v>
      </c>
      <c r="B87" s="82" t="s">
        <v>164</v>
      </c>
      <c r="C87" s="837">
        <v>100</v>
      </c>
      <c r="D87" s="841" t="s">
        <v>145</v>
      </c>
      <c r="E87" s="841"/>
      <c r="F87" s="101">
        <v>100</v>
      </c>
      <c r="G87" s="101">
        <v>2320</v>
      </c>
      <c r="H87" s="103" t="s">
        <v>165</v>
      </c>
      <c r="I87" s="103"/>
      <c r="J87" s="115">
        <v>0</v>
      </c>
      <c r="K87" s="115">
        <v>258000.08</v>
      </c>
      <c r="L87" s="115">
        <v>265740</v>
      </c>
      <c r="M87" s="115">
        <v>258000</v>
      </c>
      <c r="N87" s="115">
        <v>265740</v>
      </c>
      <c r="O87" s="932">
        <f>ROUND(SUMIFS('Employee Detail FY22'!$AA:$AA,'Employee Detail FY22'!$B:$B,$C87,'Employee Detail FY22'!$C:$C,$D87,'Employee Detail FY22'!$E:$E,$F87,'Employee Detail FY22'!$F:$F,$G87,'Employee Detail FY22'!$G:$G,$H87),0)</f>
        <v>265740</v>
      </c>
      <c r="P87" s="12">
        <f t="shared" ref="P87:P89" si="16">O87-N87</f>
        <v>0</v>
      </c>
      <c r="Q87" s="932">
        <f>ROUND(SUMIFS('Employee Detail FY23'!$AA:$AA,'Employee Detail FY23'!$B:$B,$C87,'Employee Detail FY23'!$C:$C,$D87,'Employee Detail FY23'!$E:$E,$F87,'Employee Detail FY23'!$F:$F,$G87,'Employee Detail FY23'!$G:$G,$H87),0)</f>
        <v>265740</v>
      </c>
      <c r="R87" s="12">
        <f t="shared" si="13"/>
        <v>0</v>
      </c>
      <c r="S87" s="12">
        <f>ROUND(SUMIFS('Employee Detail FY24'!$AA:$AA,'Employee Detail FY24'!$B:$B,$C87,'Employee Detail FY24'!$C:$C,$D87,'Employee Detail FY24'!$E:$E,$F87,'Employee Detail FY24'!$F:$F,$G87,'Employee Detail FY24'!$G:$G,$H87),0)</f>
        <v>273480</v>
      </c>
      <c r="T87" s="12">
        <f>ROUND(SUMIFS('Employee Detail FY25'!$AA:$AA,'Employee Detail FY25'!$B:$B,$C87,'Employee Detail FY25'!$C:$C,$D87,'Employee Detail FY25'!$E:$E,$F87,'Employee Detail FY25'!$F:$F,$G87,'Employee Detail FY25'!$G:$G,$H87),0)</f>
        <v>281220</v>
      </c>
      <c r="U87" s="12">
        <f>ROUND(SUMIFS('Employee Detail FY26'!$AA:$AA,'Employee Detail FY26'!$B:$B,$C87,'Employee Detail FY26'!$C:$C,$D87,'Employee Detail FY26'!$E:$E,$F87,'Employee Detail FY26'!$F:$F,$G87,'Employee Detail FY26'!$G:$G,$H87),0)</f>
        <v>262760</v>
      </c>
      <c r="V87" s="12">
        <f>ROUND(SUMIFS('Employee Detail FY27'!$AA:$AA,'Employee Detail FY27'!$B:$B,$C87,'Employee Detail FY27'!$C:$C,$D87,'Employee Detail FY27'!$E:$E,$F87,'Employee Detail FY27'!$F:$F,$G87,'Employee Detail FY27'!$G:$G,$H87),0)</f>
        <v>270200</v>
      </c>
      <c r="W87" s="12">
        <f>ROUND(SUMIFS('Employee Detail FY28'!$AA:$AA,'Employee Detail FY28'!$B:$B,$C87,'Employee Detail FY28'!$C:$C,$D87,'Employee Detail FY28'!$E:$E,$F87,'Employee Detail FY28'!$F:$F,$G87,'Employee Detail FY28'!$G:$G,$H87),0)</f>
        <v>277640</v>
      </c>
    </row>
    <row r="88" spans="1:23" outlineLevel="1" x14ac:dyDescent="0.2">
      <c r="A88" s="366" t="s">
        <v>564</v>
      </c>
      <c r="B88" s="82"/>
      <c r="C88" s="839" t="s">
        <v>468</v>
      </c>
      <c r="D88" s="840" t="s">
        <v>145</v>
      </c>
      <c r="E88" s="841"/>
      <c r="F88" s="102" t="s">
        <v>468</v>
      </c>
      <c r="G88" s="101">
        <v>2410</v>
      </c>
      <c r="H88" s="103" t="s">
        <v>165</v>
      </c>
      <c r="I88" s="103"/>
      <c r="J88" s="115"/>
      <c r="K88" s="115">
        <v>4602</v>
      </c>
      <c r="L88" s="115">
        <v>84500</v>
      </c>
      <c r="M88" s="115">
        <v>84500</v>
      </c>
      <c r="N88" s="115">
        <v>0</v>
      </c>
      <c r="O88" s="932">
        <f>ROUND(SUMIFS('Employee Detail FY22'!$AA:$AA,'Employee Detail FY22'!$B:$B,$C88,'Employee Detail FY22'!$C:$C,$D88,'Employee Detail FY22'!$E:$E,$F88,'Employee Detail FY22'!$F:$F,$G88,'Employee Detail FY22'!$G:$G,$H88),0)</f>
        <v>0</v>
      </c>
      <c r="P88" s="12">
        <f t="shared" si="16"/>
        <v>0</v>
      </c>
      <c r="Q88" s="932">
        <f>ROUND(SUMIFS('Employee Detail FY23'!$AA:$AA,'Employee Detail FY23'!$B:$B,$C88,'Employee Detail FY23'!$C:$C,$D88,'Employee Detail FY23'!$E:$E,$F88,'Employee Detail FY23'!$F:$F,$G88,'Employee Detail FY23'!$G:$G,$H88),0)</f>
        <v>0</v>
      </c>
      <c r="R88" s="12">
        <f t="shared" si="13"/>
        <v>0</v>
      </c>
      <c r="S88" s="12">
        <f>ROUND(SUMIFS('Employee Detail FY24'!$AA:$AA,'Employee Detail FY24'!$B:$B,$C88,'Employee Detail FY24'!$C:$C,$D88,'Employee Detail FY24'!$E:$E,$F88,'Employee Detail FY24'!$F:$F,$G88,'Employee Detail FY24'!$G:$G,$H88),0)</f>
        <v>0</v>
      </c>
      <c r="T88" s="12">
        <f>ROUND(SUMIFS('Employee Detail FY25'!$AA:$AA,'Employee Detail FY25'!$B:$B,$C88,'Employee Detail FY25'!$C:$C,$D88,'Employee Detail FY25'!$E:$E,$F88,'Employee Detail FY25'!$F:$F,$G88,'Employee Detail FY25'!$G:$G,$H88),0)</f>
        <v>0</v>
      </c>
      <c r="U88" s="12">
        <f>ROUND(SUMIFS('Employee Detail FY26'!$AA:$AA,'Employee Detail FY26'!$B:$B,$C88,'Employee Detail FY26'!$C:$C,$D88,'Employee Detail FY26'!$E:$E,$F88,'Employee Detail FY26'!$F:$F,$G88,'Employee Detail FY26'!$G:$G,$H88),0)</f>
        <v>0</v>
      </c>
      <c r="V88" s="12">
        <f>ROUND(SUMIFS('Employee Detail FY27'!$AA:$AA,'Employee Detail FY27'!$B:$B,$C88,'Employee Detail FY27'!$C:$C,$D88,'Employee Detail FY27'!$E:$E,$F88,'Employee Detail FY27'!$F:$F,$G88,'Employee Detail FY27'!$G:$G,$H88),0)</f>
        <v>0</v>
      </c>
      <c r="W88" s="12">
        <f>ROUND(SUMIFS('Employee Detail FY28'!$AA:$AA,'Employee Detail FY28'!$B:$B,$C88,'Employee Detail FY28'!$C:$C,$D88,'Employee Detail FY28'!$E:$E,$F88,'Employee Detail FY28'!$F:$F,$G88,'Employee Detail FY28'!$G:$G,$H88),0)</f>
        <v>0</v>
      </c>
    </row>
    <row r="89" spans="1:23" outlineLevel="1" x14ac:dyDescent="0.2">
      <c r="A89" s="366" t="s">
        <v>637</v>
      </c>
      <c r="B89" s="82"/>
      <c r="C89" s="839" t="s">
        <v>135</v>
      </c>
      <c r="D89" s="840" t="s">
        <v>242</v>
      </c>
      <c r="E89" s="841"/>
      <c r="F89" s="102" t="s">
        <v>532</v>
      </c>
      <c r="G89" s="101">
        <v>2410</v>
      </c>
      <c r="H89" s="103" t="s">
        <v>165</v>
      </c>
      <c r="I89" s="103"/>
      <c r="J89" s="115"/>
      <c r="K89" s="115">
        <v>0</v>
      </c>
      <c r="L89" s="115">
        <v>84500</v>
      </c>
      <c r="M89" s="115">
        <v>84500</v>
      </c>
      <c r="N89" s="115">
        <v>84500</v>
      </c>
      <c r="O89" s="932">
        <f>ROUND(SUMIFS('Employee Detail FY22'!$AA:$AA,'Employee Detail FY22'!$B:$B,$C89,'Employee Detail FY22'!$C:$C,$D89,'Employee Detail FY22'!$E:$E,$F89,'Employee Detail FY22'!$F:$F,$G89,'Employee Detail FY22'!$G:$G,$H89),0)</f>
        <v>84500</v>
      </c>
      <c r="P89" s="12">
        <f t="shared" si="16"/>
        <v>0</v>
      </c>
      <c r="Q89" s="932">
        <f>ROUND(SUMIFS('Employee Detail FY23'!$AA:$AA,'Employee Detail FY23'!$B:$B,$C89,'Employee Detail FY23'!$C:$C,$D89,'Employee Detail FY23'!$E:$E,$F89,'Employee Detail FY23'!$F:$F,$G89,'Employee Detail FY23'!$G:$G,$H89),0)</f>
        <v>91670</v>
      </c>
      <c r="R89" s="12">
        <f t="shared" si="13"/>
        <v>7170</v>
      </c>
      <c r="S89" s="12">
        <f>ROUND(SUMIFS('Employee Detail FY24'!$AA:$AA,'Employee Detail FY24'!$B:$B,$C89,'Employee Detail FY24'!$C:$C,$D89,'Employee Detail FY24'!$E:$E,$F89,'Employee Detail FY24'!$F:$F,$G89,'Employee Detail FY24'!$G:$G,$H89),0)</f>
        <v>94340</v>
      </c>
      <c r="T89" s="12">
        <f>ROUND(SUMIFS('Employee Detail FY25'!$AA:$AA,'Employee Detail FY25'!$B:$B,$C89,'Employee Detail FY25'!$C:$C,$D89,'Employee Detail FY25'!$E:$E,$F89,'Employee Detail FY25'!$F:$F,$G89,'Employee Detail FY25'!$G:$G,$H89),0)</f>
        <v>97010</v>
      </c>
      <c r="U89" s="12">
        <f>ROUND(SUMIFS('Employee Detail FY26'!$AA:$AA,'Employee Detail FY26'!$B:$B,$C89,'Employee Detail FY26'!$C:$C,$D89,'Employee Detail FY26'!$E:$E,$F89,'Employee Detail FY26'!$F:$F,$G89,'Employee Detail FY26'!$G:$G,$H89),0)</f>
        <v>99680</v>
      </c>
      <c r="V89" s="12">
        <f>ROUND(SUMIFS('Employee Detail FY27'!$AA:$AA,'Employee Detail FY27'!$B:$B,$C89,'Employee Detail FY27'!$C:$C,$D89,'Employee Detail FY27'!$E:$E,$F89,'Employee Detail FY27'!$F:$F,$G89,'Employee Detail FY27'!$G:$G,$H89),0)</f>
        <v>102350</v>
      </c>
      <c r="W89" s="12">
        <f>ROUND(SUMIFS('Employee Detail FY28'!$AA:$AA,'Employee Detail FY28'!$B:$B,$C89,'Employee Detail FY28'!$C:$C,$D89,'Employee Detail FY28'!$E:$E,$F89,'Employee Detail FY28'!$F:$F,$G89,'Employee Detail FY28'!$G:$G,$H89),0)</f>
        <v>105020</v>
      </c>
    </row>
    <row r="90" spans="1:23" outlineLevel="1" x14ac:dyDescent="0.2">
      <c r="A90" s="366" t="s">
        <v>638</v>
      </c>
      <c r="B90" s="82"/>
      <c r="C90" s="839"/>
      <c r="D90" s="840"/>
      <c r="E90" s="841"/>
      <c r="F90" s="102"/>
      <c r="G90" s="101"/>
      <c r="H90" s="103"/>
      <c r="I90" s="103"/>
      <c r="J90" s="115"/>
      <c r="K90" s="12"/>
      <c r="L90" s="115"/>
      <c r="M90" s="115"/>
      <c r="N90" s="115"/>
      <c r="O90" s="12">
        <f>ROUND(SUMIFS('Employee Detail FY22'!$AA:$AA,'Employee Detail FY22'!$B:$B,$C90,'Employee Detail FY22'!$C:$C,$D90,'Employee Detail FY22'!$E:$E,$F90,'Employee Detail FY22'!$F:$F,$G90,'Employee Detail FY22'!$G:$G,$H90),0)</f>
        <v>0</v>
      </c>
      <c r="P90" s="12">
        <f t="shared" si="15"/>
        <v>0</v>
      </c>
      <c r="Q90" s="12">
        <f>ROUND(SUMIFS('Employee Detail FY23'!$AA:$AA,'Employee Detail FY23'!$B:$B,$C90,'Employee Detail FY23'!$C:$C,$D90,'Employee Detail FY23'!$E:$E,$F90,'Employee Detail FY23'!$F:$F,$G90,'Employee Detail FY23'!$G:$G,$H90),0)</f>
        <v>0</v>
      </c>
      <c r="R90" s="12">
        <f t="shared" si="13"/>
        <v>0</v>
      </c>
      <c r="S90" s="12">
        <f>ROUND(SUMIFS('Employee Detail FY24'!$AA:$AA,'Employee Detail FY24'!$B:$B,$C90,'Employee Detail FY24'!$C:$C,$D90,'Employee Detail FY24'!$E:$E,$F90,'Employee Detail FY24'!$F:$F,$G90,'Employee Detail FY24'!$G:$G,$H90),0)</f>
        <v>0</v>
      </c>
      <c r="T90" s="12">
        <f>ROUND(SUMIFS('Employee Detail FY25'!$AA:$AA,'Employee Detail FY25'!$B:$B,$C90,'Employee Detail FY25'!$C:$C,$D90,'Employee Detail FY25'!$E:$E,$F90,'Employee Detail FY25'!$F:$F,$G90,'Employee Detail FY25'!$G:$G,$H90),0)</f>
        <v>0</v>
      </c>
      <c r="U90" s="12">
        <f>ROUND(SUMIFS('Employee Detail FY26'!$AA:$AA,'Employee Detail FY26'!$B:$B,$C90,'Employee Detail FY26'!$C:$C,$D90,'Employee Detail FY26'!$E:$E,$F90,'Employee Detail FY26'!$F:$F,$G90,'Employee Detail FY26'!$G:$G,$H90),0)</f>
        <v>0</v>
      </c>
      <c r="V90" s="12">
        <f>ROUND(SUMIFS('Employee Detail FY27'!$AA:$AA,'Employee Detail FY27'!$B:$B,$C90,'Employee Detail FY27'!$C:$C,$D90,'Employee Detail FY27'!$E:$E,$F90,'Employee Detail FY27'!$F:$F,$G90,'Employee Detail FY27'!$G:$G,$H90),0)</f>
        <v>0</v>
      </c>
      <c r="W90" s="12">
        <f>ROUND(SUMIFS('Employee Detail FY28'!$AA:$AA,'Employee Detail FY28'!$B:$B,$C90,'Employee Detail FY28'!$C:$C,$D90,'Employee Detail FY28'!$E:$E,$F90,'Employee Detail FY28'!$F:$F,$G90,'Employee Detail FY28'!$G:$G,$H90),0)</f>
        <v>0</v>
      </c>
    </row>
    <row r="91" spans="1:23" outlineLevel="1" x14ac:dyDescent="0.2">
      <c r="A91" s="366" t="s">
        <v>639</v>
      </c>
      <c r="B91" s="82" t="s">
        <v>1047</v>
      </c>
      <c r="C91" s="839" t="s">
        <v>135</v>
      </c>
      <c r="D91" s="840" t="s">
        <v>242</v>
      </c>
      <c r="E91" s="841"/>
      <c r="F91" s="102" t="s">
        <v>532</v>
      </c>
      <c r="G91" s="101" t="s">
        <v>464</v>
      </c>
      <c r="H91" s="103" t="s">
        <v>1045</v>
      </c>
      <c r="I91" s="103"/>
      <c r="J91" s="115"/>
      <c r="K91" s="115">
        <v>5525</v>
      </c>
      <c r="L91" s="115"/>
      <c r="M91" s="115"/>
      <c r="N91" s="115">
        <v>0</v>
      </c>
      <c r="O91" s="932">
        <f>ROUND(SUMIFS('Employee Detail FY22'!$AA:$AA,'Employee Detail FY22'!$B:$B,$C91,'Employee Detail FY22'!$C:$C,$D91,'Employee Detail FY22'!$E:$E,$F91,'Employee Detail FY22'!$F:$F,$G91,'Employee Detail FY22'!$G:$G,$H91),0)</f>
        <v>0</v>
      </c>
      <c r="P91" s="12">
        <f t="shared" ref="P91:P94" si="17">O91-N91</f>
        <v>0</v>
      </c>
      <c r="Q91" s="932">
        <f>ROUND(SUMIFS('Employee Detail FY23'!$AA:$AA,'Employee Detail FY23'!$B:$B,$C91,'Employee Detail FY23'!$C:$C,$D91,'Employee Detail FY23'!$E:$E,$F91,'Employee Detail FY23'!$F:$F,$G91,'Employee Detail FY23'!$G:$G,$H91),0)</f>
        <v>0</v>
      </c>
      <c r="R91" s="12">
        <f t="shared" si="13"/>
        <v>0</v>
      </c>
      <c r="S91" s="12">
        <f>ROUND(SUMIFS('Employee Detail FY24'!$AA:$AA,'Employee Detail FY24'!$B:$B,$C91,'Employee Detail FY24'!$C:$C,$D91,'Employee Detail FY24'!$E:$E,$F91,'Employee Detail FY24'!$F:$F,$G91,'Employee Detail FY24'!$G:$G,$H91),0)</f>
        <v>0</v>
      </c>
      <c r="T91" s="12">
        <f>ROUND(SUMIFS('Employee Detail FY25'!$AA:$AA,'Employee Detail FY25'!$B:$B,$C91,'Employee Detail FY25'!$C:$C,$D91,'Employee Detail FY25'!$E:$E,$F91,'Employee Detail FY25'!$F:$F,$G91,'Employee Detail FY25'!$G:$G,$H91),0)</f>
        <v>0</v>
      </c>
      <c r="U91" s="12">
        <f>ROUND(SUMIFS('Employee Detail FY26'!$AA:$AA,'Employee Detail FY26'!$B:$B,$C91,'Employee Detail FY26'!$C:$C,$D91,'Employee Detail FY26'!$E:$E,$F91,'Employee Detail FY26'!$F:$F,$G91,'Employee Detail FY26'!$G:$G,$H91),0)</f>
        <v>0</v>
      </c>
      <c r="V91" s="12">
        <f>ROUND(SUMIFS('Employee Detail FY27'!$AA:$AA,'Employee Detail FY27'!$B:$B,$C91,'Employee Detail FY27'!$C:$C,$D91,'Employee Detail FY27'!$E:$E,$F91,'Employee Detail FY27'!$F:$F,$G91,'Employee Detail FY27'!$G:$G,$H91),0)</f>
        <v>0</v>
      </c>
      <c r="W91" s="12">
        <f>ROUND(SUMIFS('Employee Detail FY28'!$AA:$AA,'Employee Detail FY28'!$B:$B,$C91,'Employee Detail FY28'!$C:$C,$D91,'Employee Detail FY28'!$E:$E,$F91,'Employee Detail FY28'!$F:$F,$G91,'Employee Detail FY28'!$G:$G,$H91),0)</f>
        <v>0</v>
      </c>
    </row>
    <row r="92" spans="1:23" outlineLevel="1" x14ac:dyDescent="0.2">
      <c r="A92" s="366" t="s">
        <v>640</v>
      </c>
      <c r="B92" s="82" t="s">
        <v>1047</v>
      </c>
      <c r="C92" s="839" t="s">
        <v>135</v>
      </c>
      <c r="D92" s="840" t="s">
        <v>249</v>
      </c>
      <c r="E92" s="841"/>
      <c r="F92" s="102" t="s">
        <v>468</v>
      </c>
      <c r="G92" s="101" t="s">
        <v>464</v>
      </c>
      <c r="H92" s="103" t="s">
        <v>1045</v>
      </c>
      <c r="I92" s="103"/>
      <c r="J92" s="115"/>
      <c r="K92" s="115">
        <v>1875</v>
      </c>
      <c r="L92" s="115"/>
      <c r="M92" s="115"/>
      <c r="N92" s="115">
        <v>0</v>
      </c>
      <c r="O92" s="932">
        <f>ROUND(SUMIFS('Employee Detail FY22'!$AA:$AA,'Employee Detail FY22'!$B:$B,$C92,'Employee Detail FY22'!$C:$C,$D92,'Employee Detail FY22'!$E:$E,$F92,'Employee Detail FY22'!$F:$F,$G92,'Employee Detail FY22'!$G:$G,$H92),0)</f>
        <v>0</v>
      </c>
      <c r="P92" s="12">
        <f t="shared" ref="P92" si="18">O92-N92</f>
        <v>0</v>
      </c>
      <c r="Q92" s="932">
        <f>ROUND(SUMIFS('Employee Detail FY23'!$AA:$AA,'Employee Detail FY23'!$B:$B,$C92,'Employee Detail FY23'!$C:$C,$D92,'Employee Detail FY23'!$E:$E,$F92,'Employee Detail FY23'!$F:$F,$G92,'Employee Detail FY23'!$G:$G,$H92),0)</f>
        <v>0</v>
      </c>
      <c r="R92" s="12">
        <f t="shared" si="13"/>
        <v>0</v>
      </c>
      <c r="S92" s="12">
        <f>ROUND(SUMIFS('Employee Detail FY24'!$AA:$AA,'Employee Detail FY24'!$B:$B,$C92,'Employee Detail FY24'!$C:$C,$D92,'Employee Detail FY24'!$E:$E,$F92,'Employee Detail FY24'!$F:$F,$G92,'Employee Detail FY24'!$G:$G,$H92),0)</f>
        <v>0</v>
      </c>
      <c r="T92" s="12">
        <f>ROUND(SUMIFS('Employee Detail FY25'!$AA:$AA,'Employee Detail FY25'!$B:$B,$C92,'Employee Detail FY25'!$C:$C,$D92,'Employee Detail FY25'!$E:$E,$F92,'Employee Detail FY25'!$F:$F,$G92,'Employee Detail FY25'!$G:$G,$H92),0)</f>
        <v>0</v>
      </c>
      <c r="U92" s="12">
        <f>ROUND(SUMIFS('Employee Detail FY26'!$AA:$AA,'Employee Detail FY26'!$B:$B,$C92,'Employee Detail FY26'!$C:$C,$D92,'Employee Detail FY26'!$E:$E,$F92,'Employee Detail FY26'!$F:$F,$G92,'Employee Detail FY26'!$G:$G,$H92),0)</f>
        <v>0</v>
      </c>
      <c r="V92" s="12">
        <f>ROUND(SUMIFS('Employee Detail FY27'!$AA:$AA,'Employee Detail FY27'!$B:$B,$C92,'Employee Detail FY27'!$C:$C,$D92,'Employee Detail FY27'!$E:$E,$F92,'Employee Detail FY27'!$F:$F,$G92,'Employee Detail FY27'!$G:$G,$H92),0)</f>
        <v>0</v>
      </c>
      <c r="W92" s="12">
        <f>ROUND(SUMIFS('Employee Detail FY28'!$AA:$AA,'Employee Detail FY28'!$B:$B,$C92,'Employee Detail FY28'!$C:$C,$D92,'Employee Detail FY28'!$E:$E,$F92,'Employee Detail FY28'!$F:$F,$G92,'Employee Detail FY28'!$G:$G,$H92),0)</f>
        <v>0</v>
      </c>
    </row>
    <row r="93" spans="1:23" outlineLevel="1" x14ac:dyDescent="0.2">
      <c r="A93" s="366" t="s">
        <v>641</v>
      </c>
      <c r="B93" s="82" t="s">
        <v>1047</v>
      </c>
      <c r="C93" s="839" t="s">
        <v>135</v>
      </c>
      <c r="D93" s="840" t="s">
        <v>242</v>
      </c>
      <c r="E93" s="841"/>
      <c r="F93" s="102" t="s">
        <v>532</v>
      </c>
      <c r="G93" s="101">
        <v>2410</v>
      </c>
      <c r="H93" s="103" t="s">
        <v>1045</v>
      </c>
      <c r="I93" s="103"/>
      <c r="J93" s="115"/>
      <c r="K93" s="115">
        <v>0</v>
      </c>
      <c r="L93" s="115"/>
      <c r="M93" s="115"/>
      <c r="N93" s="115">
        <v>1700</v>
      </c>
      <c r="O93" s="932">
        <f>ROUND(SUMIFS('Employee Detail FY22'!$AA:$AA,'Employee Detail FY22'!$B:$B,$C93,'Employee Detail FY22'!$C:$C,$D93,'Employee Detail FY22'!$E:$E,$F93,'Employee Detail FY22'!$F:$F,$G93,'Employee Detail FY22'!$G:$G,$H93),0)</f>
        <v>1700</v>
      </c>
      <c r="P93" s="12">
        <f t="shared" si="17"/>
        <v>0</v>
      </c>
      <c r="Q93" s="932">
        <f>ROUND(SUMIFS('Employee Detail FY23'!$AA:$AA,'Employee Detail FY23'!$B:$B,$C93,'Employee Detail FY23'!$C:$C,$D93,'Employee Detail FY23'!$E:$E,$F93,'Employee Detail FY23'!$F:$F,$G93,'Employee Detail FY23'!$G:$G,$H93),0)</f>
        <v>0</v>
      </c>
      <c r="R93" s="12">
        <f t="shared" si="13"/>
        <v>-1700</v>
      </c>
      <c r="S93" s="12">
        <f>ROUND(SUMIFS('Employee Detail FY24'!$AA:$AA,'Employee Detail FY24'!$B:$B,$C93,'Employee Detail FY24'!$C:$C,$D93,'Employee Detail FY24'!$E:$E,$F93,'Employee Detail FY24'!$F:$F,$G93,'Employee Detail FY24'!$G:$G,$H93),0)</f>
        <v>0</v>
      </c>
      <c r="T93" s="12">
        <f>ROUND(SUMIFS('Employee Detail FY25'!$AA:$AA,'Employee Detail FY25'!$B:$B,$C93,'Employee Detail FY25'!$C:$C,$D93,'Employee Detail FY25'!$E:$E,$F93,'Employee Detail FY25'!$F:$F,$G93,'Employee Detail FY25'!$G:$G,$H93),0)</f>
        <v>0</v>
      </c>
      <c r="U93" s="12">
        <f>ROUND(SUMIFS('Employee Detail FY26'!$AA:$AA,'Employee Detail FY26'!$B:$B,$C93,'Employee Detail FY26'!$C:$C,$D93,'Employee Detail FY26'!$E:$E,$F93,'Employee Detail FY26'!$F:$F,$G93,'Employee Detail FY26'!$G:$G,$H93),0)</f>
        <v>0</v>
      </c>
      <c r="V93" s="12">
        <f>ROUND(SUMIFS('Employee Detail FY27'!$AA:$AA,'Employee Detail FY27'!$B:$B,$C93,'Employee Detail FY27'!$C:$C,$D93,'Employee Detail FY27'!$E:$E,$F93,'Employee Detail FY27'!$F:$F,$G93,'Employee Detail FY27'!$G:$G,$H93),0)</f>
        <v>0</v>
      </c>
      <c r="W93" s="12">
        <f>ROUND(SUMIFS('Employee Detail FY28'!$AA:$AA,'Employee Detail FY28'!$B:$B,$C93,'Employee Detail FY28'!$C:$C,$D93,'Employee Detail FY28'!$E:$E,$F93,'Employee Detail FY28'!$F:$F,$G93,'Employee Detail FY28'!$G:$G,$H93),0)</f>
        <v>0</v>
      </c>
    </row>
    <row r="94" spans="1:23" outlineLevel="1" x14ac:dyDescent="0.2">
      <c r="A94" s="366" t="s">
        <v>642</v>
      </c>
      <c r="B94" s="82" t="s">
        <v>1047</v>
      </c>
      <c r="C94" s="839" t="s">
        <v>135</v>
      </c>
      <c r="D94" s="840" t="s">
        <v>249</v>
      </c>
      <c r="E94" s="841"/>
      <c r="F94" s="102" t="s">
        <v>468</v>
      </c>
      <c r="G94" s="101" t="s">
        <v>460</v>
      </c>
      <c r="H94" s="103" t="s">
        <v>1045</v>
      </c>
      <c r="I94" s="103"/>
      <c r="J94" s="115"/>
      <c r="K94" s="115">
        <v>0</v>
      </c>
      <c r="L94" s="115"/>
      <c r="M94" s="115"/>
      <c r="N94" s="115">
        <v>0</v>
      </c>
      <c r="O94" s="932">
        <f>ROUND(SUMIFS('Employee Detail FY22'!$AA:$AA,'Employee Detail FY22'!$B:$B,$C94,'Employee Detail FY22'!$C:$C,$D94,'Employee Detail FY22'!$E:$E,$F94,'Employee Detail FY22'!$F:$F,$G94,'Employee Detail FY22'!$G:$G,$H94),0)</f>
        <v>0</v>
      </c>
      <c r="P94" s="12">
        <f t="shared" si="17"/>
        <v>0</v>
      </c>
      <c r="Q94" s="932">
        <f>ROUND(SUMIFS('Employee Detail FY23'!$AA:$AA,'Employee Detail FY23'!$B:$B,$C94,'Employee Detail FY23'!$C:$C,$D94,'Employee Detail FY23'!$E:$E,$F94,'Employee Detail FY23'!$F:$F,$G94,'Employee Detail FY23'!$G:$G,$H94),0)</f>
        <v>0</v>
      </c>
      <c r="R94" s="12">
        <f t="shared" si="13"/>
        <v>0</v>
      </c>
      <c r="S94" s="12">
        <f>ROUND(SUMIFS('Employee Detail FY24'!$AA:$AA,'Employee Detail FY24'!$B:$B,$C94,'Employee Detail FY24'!$C:$C,$D94,'Employee Detail FY24'!$E:$E,$F94,'Employee Detail FY24'!$F:$F,$G94,'Employee Detail FY24'!$G:$G,$H94),0)</f>
        <v>0</v>
      </c>
      <c r="T94" s="12">
        <f>ROUND(SUMIFS('Employee Detail FY25'!$AA:$AA,'Employee Detail FY25'!$B:$B,$C94,'Employee Detail FY25'!$C:$C,$D94,'Employee Detail FY25'!$E:$E,$F94,'Employee Detail FY25'!$F:$F,$G94,'Employee Detail FY25'!$G:$G,$H94),0)</f>
        <v>0</v>
      </c>
      <c r="U94" s="12">
        <f>ROUND(SUMIFS('Employee Detail FY26'!$AA:$AA,'Employee Detail FY26'!$B:$B,$C94,'Employee Detail FY26'!$C:$C,$D94,'Employee Detail FY26'!$E:$E,$F94,'Employee Detail FY26'!$F:$F,$G94,'Employee Detail FY26'!$G:$G,$H94),0)</f>
        <v>0</v>
      </c>
      <c r="V94" s="12">
        <f>ROUND(SUMIFS('Employee Detail FY27'!$AA:$AA,'Employee Detail FY27'!$B:$B,$C94,'Employee Detail FY27'!$C:$C,$D94,'Employee Detail FY27'!$E:$E,$F94,'Employee Detail FY27'!$F:$F,$G94,'Employee Detail FY27'!$G:$G,$H94),0)</f>
        <v>0</v>
      </c>
      <c r="W94" s="12">
        <f>ROUND(SUMIFS('Employee Detail FY28'!$AA:$AA,'Employee Detail FY28'!$B:$B,$C94,'Employee Detail FY28'!$C:$C,$D94,'Employee Detail FY28'!$E:$E,$F94,'Employee Detail FY28'!$F:$F,$G94,'Employee Detail FY28'!$G:$G,$H94),0)</f>
        <v>0</v>
      </c>
    </row>
    <row r="95" spans="1:23" outlineLevel="1" x14ac:dyDescent="0.2">
      <c r="A95" s="366" t="s">
        <v>643</v>
      </c>
      <c r="B95" s="82"/>
      <c r="C95" s="839"/>
      <c r="D95" s="840"/>
      <c r="E95" s="841"/>
      <c r="F95" s="102"/>
      <c r="G95" s="101"/>
      <c r="H95" s="103"/>
      <c r="I95" s="103"/>
      <c r="J95" s="115"/>
      <c r="K95" s="12">
        <v>0</v>
      </c>
      <c r="L95" s="115"/>
      <c r="M95" s="115"/>
      <c r="N95" s="115">
        <v>0</v>
      </c>
      <c r="O95" s="12">
        <f>ROUND(SUMIFS('Employee Detail FY22'!$AA:$AA,'Employee Detail FY22'!$B:$B,$C95,'Employee Detail FY22'!$C:$C,$D95,'Employee Detail FY22'!$E:$E,$F95,'Employee Detail FY22'!$F:$F,$G95,'Employee Detail FY22'!$G:$G,$H95),0)</f>
        <v>0</v>
      </c>
      <c r="P95" s="12">
        <f t="shared" si="15"/>
        <v>0</v>
      </c>
      <c r="Q95" s="12">
        <f>ROUND(SUMIFS('Employee Detail FY23'!$AA:$AA,'Employee Detail FY23'!$B:$B,$C95,'Employee Detail FY23'!$C:$C,$D95,'Employee Detail FY23'!$E:$E,$F95,'Employee Detail FY23'!$F:$F,$G95,'Employee Detail FY23'!$G:$G,$H95),0)</f>
        <v>0</v>
      </c>
      <c r="R95" s="12">
        <f t="shared" si="13"/>
        <v>0</v>
      </c>
      <c r="S95" s="12">
        <f>ROUND(SUMIFS('Employee Detail FY24'!$AA:$AA,'Employee Detail FY24'!$B:$B,$C95,'Employee Detail FY24'!$C:$C,$D95,'Employee Detail FY24'!$E:$E,$F95,'Employee Detail FY24'!$F:$F,$G95,'Employee Detail FY24'!$G:$G,$H95),0)</f>
        <v>0</v>
      </c>
      <c r="T95" s="12">
        <f>ROUND(SUMIFS('Employee Detail FY25'!$AA:$AA,'Employee Detail FY25'!$B:$B,$C95,'Employee Detail FY25'!$C:$C,$D95,'Employee Detail FY25'!$E:$E,$F95,'Employee Detail FY25'!$F:$F,$G95,'Employee Detail FY25'!$G:$G,$H95),0)</f>
        <v>0</v>
      </c>
      <c r="U95" s="12">
        <f>ROUND(SUMIFS('Employee Detail FY26'!$AA:$AA,'Employee Detail FY26'!$B:$B,$C95,'Employee Detail FY26'!$C:$C,$D95,'Employee Detail FY26'!$E:$E,$F95,'Employee Detail FY26'!$F:$F,$G95,'Employee Detail FY26'!$G:$G,$H95),0)</f>
        <v>0</v>
      </c>
      <c r="V95" s="12">
        <f>ROUND(SUMIFS('Employee Detail FY27'!$AA:$AA,'Employee Detail FY27'!$B:$B,$C95,'Employee Detail FY27'!$C:$C,$D95,'Employee Detail FY27'!$E:$E,$F95,'Employee Detail FY27'!$F:$F,$G95,'Employee Detail FY27'!$G:$G,$H95),0)</f>
        <v>0</v>
      </c>
      <c r="W95" s="12">
        <f>ROUND(SUMIFS('Employee Detail FY28'!$AA:$AA,'Employee Detail FY28'!$B:$B,$C95,'Employee Detail FY28'!$C:$C,$D95,'Employee Detail FY28'!$E:$E,$F95,'Employee Detail FY28'!$F:$F,$G95,'Employee Detail FY28'!$G:$G,$H95),0)</f>
        <v>0</v>
      </c>
    </row>
    <row r="96" spans="1:23" outlineLevel="1" x14ac:dyDescent="0.2">
      <c r="A96" s="366" t="s">
        <v>644</v>
      </c>
      <c r="B96" s="82" t="s">
        <v>166</v>
      </c>
      <c r="C96" s="837"/>
      <c r="D96" s="841"/>
      <c r="E96" s="841"/>
      <c r="F96" s="101"/>
      <c r="G96" s="101"/>
      <c r="H96" s="103" t="s">
        <v>167</v>
      </c>
      <c r="I96" s="103"/>
      <c r="J96" s="115">
        <v>0</v>
      </c>
      <c r="K96" s="115">
        <v>0</v>
      </c>
      <c r="L96" s="115">
        <v>0</v>
      </c>
      <c r="M96" s="115">
        <v>0</v>
      </c>
      <c r="N96" s="115">
        <v>0</v>
      </c>
      <c r="O96" s="606">
        <f>ROUND(SUMIFS('Employee Detail FY22'!$AA:$AA,'Employee Detail FY22'!$B:$B,$C96,'Employee Detail FY22'!$C:$C,$D96,'Employee Detail FY22'!$E:$E,$F96,'Employee Detail FY22'!$F:$F,$G96,'Employee Detail FY22'!$G:$G,$H96),0)</f>
        <v>0</v>
      </c>
      <c r="P96" s="12">
        <f t="shared" ref="P96:P110" si="19">O96-N96</f>
        <v>0</v>
      </c>
      <c r="Q96" s="12">
        <f>ROUND(SUMIFS('Employee Detail FY23'!$AA:$AA,'Employee Detail FY23'!$B:$B,$C96,'Employee Detail FY23'!$C:$C,$D96,'Employee Detail FY23'!$E:$E,$F96,'Employee Detail FY23'!$F:$F,$G96,'Employee Detail FY23'!$G:$G,$H96),0)</f>
        <v>0</v>
      </c>
      <c r="R96" s="12">
        <f t="shared" si="13"/>
        <v>0</v>
      </c>
      <c r="S96" s="12">
        <f>ROUND(SUMIFS('Employee Detail FY24'!$AA:$AA,'Employee Detail FY24'!$B:$B,$C96,'Employee Detail FY24'!$C:$C,$D96,'Employee Detail FY24'!$E:$E,$F96,'Employee Detail FY24'!$F:$F,$G96,'Employee Detail FY24'!$G:$G,$H96),0)</f>
        <v>0</v>
      </c>
      <c r="T96" s="12">
        <f>ROUND(SUMIFS('Employee Detail FY25'!$AA:$AA,'Employee Detail FY25'!$B:$B,$C96,'Employee Detail FY25'!$C:$C,$D96,'Employee Detail FY25'!$E:$E,$F96,'Employee Detail FY25'!$F:$F,$G96,'Employee Detail FY25'!$G:$G,$H96),0)</f>
        <v>0</v>
      </c>
      <c r="U96" s="12">
        <f>ROUND(SUMIFS('Employee Detail FY26'!$AA:$AA,'Employee Detail FY26'!$B:$B,$C96,'Employee Detail FY26'!$C:$C,$D96,'Employee Detail FY26'!$E:$E,$F96,'Employee Detail FY26'!$F:$F,$G96,'Employee Detail FY26'!$G:$G,$H96),0)</f>
        <v>0</v>
      </c>
      <c r="V96" s="12">
        <f>ROUND(SUMIFS('Employee Detail FY27'!$AA:$AA,'Employee Detail FY27'!$B:$B,$C96,'Employee Detail FY27'!$C:$C,$D96,'Employee Detail FY27'!$E:$E,$F96,'Employee Detail FY27'!$F:$F,$G96,'Employee Detail FY27'!$G:$G,$H96),0)</f>
        <v>0</v>
      </c>
      <c r="W96" s="12">
        <f>ROUND(SUMIFS('Employee Detail FY28'!$AA:$AA,'Employee Detail FY28'!$B:$B,$C96,'Employee Detail FY28'!$C:$C,$D96,'Employee Detail FY28'!$E:$E,$F96,'Employee Detail FY28'!$F:$F,$G96,'Employee Detail FY28'!$G:$G,$H96),0)</f>
        <v>0</v>
      </c>
    </row>
    <row r="97" spans="1:23" outlineLevel="1" x14ac:dyDescent="0.2">
      <c r="A97" s="366" t="s">
        <v>565</v>
      </c>
      <c r="B97" s="82"/>
      <c r="C97" s="839">
        <v>100</v>
      </c>
      <c r="D97" s="841" t="s">
        <v>145</v>
      </c>
      <c r="E97" s="841"/>
      <c r="F97" s="102">
        <v>100</v>
      </c>
      <c r="G97" s="102">
        <v>2110</v>
      </c>
      <c r="H97" s="104" t="s">
        <v>167</v>
      </c>
      <c r="I97" s="104"/>
      <c r="J97" s="115"/>
      <c r="K97" s="115">
        <v>33595.279999999999</v>
      </c>
      <c r="L97" s="115">
        <v>288369</v>
      </c>
      <c r="M97" s="115">
        <v>176806</v>
      </c>
      <c r="N97" s="115">
        <v>100046</v>
      </c>
      <c r="O97" s="932">
        <f>ROUND(SUMIFS('Employee Detail FY22'!$AA:$AA,'Employee Detail FY22'!$B:$B,$C97,'Employee Detail FY22'!$C:$C,$D97,'Employee Detail FY22'!$E:$E,$F97,'Employee Detail FY22'!$F:$F,$G97,'Employee Detail FY22'!$G:$G,$H97),0)</f>
        <v>100046</v>
      </c>
      <c r="P97" s="12">
        <f t="shared" si="19"/>
        <v>0</v>
      </c>
      <c r="Q97" s="932">
        <f>ROUND(SUMIFS('Employee Detail FY23'!$AA:$AA,'Employee Detail FY23'!$B:$B,$C97,'Employee Detail FY23'!$C:$C,$D97,'Employee Detail FY23'!$E:$E,$F97,'Employee Detail FY23'!$F:$F,$G97,'Employee Detail FY23'!$G:$G,$H97),0)</f>
        <v>117662</v>
      </c>
      <c r="R97" s="12">
        <f t="shared" si="13"/>
        <v>17616</v>
      </c>
      <c r="S97" s="12">
        <f>ROUND(SUMIFS('Employee Detail FY24'!$AA:$AA,'Employee Detail FY24'!$B:$B,$C97,'Employee Detail FY24'!$C:$C,$D97,'Employee Detail FY24'!$E:$E,$F97,'Employee Detail FY24'!$F:$F,$G97,'Employee Detail FY24'!$G:$G,$H97),0)</f>
        <v>191650</v>
      </c>
      <c r="T97" s="12">
        <f>ROUND(SUMIFS('Employee Detail FY25'!$AA:$AA,'Employee Detail FY25'!$B:$B,$C97,'Employee Detail FY25'!$C:$C,$D97,'Employee Detail FY25'!$E:$E,$F97,'Employee Detail FY25'!$F:$F,$G97,'Employee Detail FY25'!$G:$G,$H97),0)</f>
        <v>197074</v>
      </c>
      <c r="U97" s="12">
        <f>ROUND(SUMIFS('Employee Detail FY26'!$AA:$AA,'Employee Detail FY26'!$B:$B,$C97,'Employee Detail FY26'!$C:$C,$D97,'Employee Detail FY26'!$E:$E,$F97,'Employee Detail FY26'!$F:$F,$G97,'Employee Detail FY26'!$G:$G,$H97),0)</f>
        <v>202498</v>
      </c>
      <c r="V97" s="12">
        <f>ROUND(SUMIFS('Employee Detail FY27'!$AA:$AA,'Employee Detail FY27'!$B:$B,$C97,'Employee Detail FY27'!$C:$C,$D97,'Employee Detail FY27'!$E:$E,$F97,'Employee Detail FY27'!$F:$F,$G97,'Employee Detail FY27'!$G:$G,$H97),0)</f>
        <v>207922</v>
      </c>
      <c r="W97" s="12">
        <f>ROUND(SUMIFS('Employee Detail FY28'!$AA:$AA,'Employee Detail FY28'!$B:$B,$C97,'Employee Detail FY28'!$C:$C,$D97,'Employee Detail FY28'!$E:$E,$F97,'Employee Detail FY28'!$F:$F,$G97,'Employee Detail FY28'!$G:$G,$H97),0)</f>
        <v>213346</v>
      </c>
    </row>
    <row r="98" spans="1:23" outlineLevel="1" x14ac:dyDescent="0.2">
      <c r="A98" s="366" t="s">
        <v>569</v>
      </c>
      <c r="B98" s="82"/>
      <c r="C98" s="839" t="s">
        <v>473</v>
      </c>
      <c r="D98" s="841" t="s">
        <v>135</v>
      </c>
      <c r="E98" s="841"/>
      <c r="F98" s="102" t="s">
        <v>557</v>
      </c>
      <c r="G98" s="102">
        <v>2110</v>
      </c>
      <c r="H98" s="104" t="s">
        <v>167</v>
      </c>
      <c r="I98" s="104"/>
      <c r="J98" s="115"/>
      <c r="K98" s="115">
        <v>87094.97</v>
      </c>
      <c r="L98" s="115"/>
      <c r="M98" s="115"/>
      <c r="N98" s="115">
        <v>0</v>
      </c>
      <c r="O98" s="932">
        <f>ROUND(SUMIFS('Employee Detail FY22'!$AA:$AA,'Employee Detail FY22'!$B:$B,$C98,'Employee Detail FY22'!$C:$C,$D98,'Employee Detail FY22'!$E:$E,$F98,'Employee Detail FY22'!$F:$F,$G98,'Employee Detail FY22'!$G:$G,$H98),0)</f>
        <v>0</v>
      </c>
      <c r="P98" s="12">
        <f t="shared" si="19"/>
        <v>0</v>
      </c>
      <c r="Q98" s="932">
        <f>ROUND(SUMIFS('Employee Detail FY23'!$AA:$AA,'Employee Detail FY23'!$B:$B,$C98,'Employee Detail FY23'!$C:$C,$D98,'Employee Detail FY23'!$E:$E,$F98,'Employee Detail FY23'!$F:$F,$G98,'Employee Detail FY23'!$G:$G,$H98),0)</f>
        <v>0</v>
      </c>
      <c r="R98" s="115">
        <f t="shared" si="13"/>
        <v>0</v>
      </c>
      <c r="S98" s="115">
        <f>ROUND(SUMIFS('Employee Detail FY24'!$AA:$AA,'Employee Detail FY24'!$B:$B,$C98,'Employee Detail FY24'!$C:$C,$D98,'Employee Detail FY24'!$E:$E,$F98,'Employee Detail FY24'!$F:$F,$G98,'Employee Detail FY24'!$G:$G,$H98),0)</f>
        <v>0</v>
      </c>
      <c r="T98" s="115">
        <f>ROUND(SUMIFS('Employee Detail FY25'!$AA:$AA,'Employee Detail FY25'!$B:$B,$C98,'Employee Detail FY25'!$C:$C,$D98,'Employee Detail FY25'!$E:$E,$F98,'Employee Detail FY25'!$F:$F,$G98,'Employee Detail FY25'!$G:$G,$H98),0)</f>
        <v>0</v>
      </c>
      <c r="U98" s="115">
        <f>ROUND(SUMIFS('Employee Detail FY26'!$AA:$AA,'Employee Detail FY26'!$B:$B,$C98,'Employee Detail FY26'!$C:$C,$D98,'Employee Detail FY26'!$E:$E,$F98,'Employee Detail FY26'!$F:$F,$G98,'Employee Detail FY26'!$G:$G,$H98),0)</f>
        <v>0</v>
      </c>
      <c r="V98" s="115">
        <f>ROUND(SUMIFS('Employee Detail FY27'!$AA:$AA,'Employee Detail FY27'!$B:$B,$C98,'Employee Detail FY27'!$C:$C,$D98,'Employee Detail FY27'!$E:$E,$F98,'Employee Detail FY27'!$F:$F,$G98,'Employee Detail FY27'!$G:$G,$H98),0)</f>
        <v>0</v>
      </c>
      <c r="W98" s="115">
        <f>ROUND(SUMIFS('Employee Detail FY28'!$AA:$AA,'Employee Detail FY28'!$B:$B,$C98,'Employee Detail FY28'!$C:$C,$D98,'Employee Detail FY28'!$E:$E,$F98,'Employee Detail FY28'!$F:$F,$G98,'Employee Detail FY28'!$G:$G,$H98),0)</f>
        <v>0</v>
      </c>
    </row>
    <row r="99" spans="1:23" outlineLevel="1" x14ac:dyDescent="0.2">
      <c r="A99" s="366" t="s">
        <v>645</v>
      </c>
      <c r="B99" s="82"/>
      <c r="C99" s="839" t="s">
        <v>135</v>
      </c>
      <c r="D99" s="837">
        <v>624</v>
      </c>
      <c r="E99" s="841"/>
      <c r="F99" s="102" t="s">
        <v>532</v>
      </c>
      <c r="G99" s="102">
        <v>2110</v>
      </c>
      <c r="H99" s="103" t="s">
        <v>167</v>
      </c>
      <c r="I99" s="103"/>
      <c r="J99" s="115">
        <v>0</v>
      </c>
      <c r="K99" s="115">
        <v>0</v>
      </c>
      <c r="L99" s="115">
        <v>0</v>
      </c>
      <c r="M99" s="115">
        <v>0</v>
      </c>
      <c r="N99" s="115">
        <v>0</v>
      </c>
      <c r="O99" s="932">
        <f>ROUND(SUMIFS('Employee Detail FY22'!$AA:$AA,'Employee Detail FY22'!$B:$B,$C99,'Employee Detail FY22'!$C:$C,$D99,'Employee Detail FY22'!$E:$E,$F99,'Employee Detail FY22'!$F:$F,$G99,'Employee Detail FY22'!$G:$G,$H99),0)</f>
        <v>0</v>
      </c>
      <c r="P99" s="12">
        <f t="shared" si="19"/>
        <v>0</v>
      </c>
      <c r="Q99" s="932">
        <f>ROUND(SUMIFS('Employee Detail FY23'!$AA:$AA,'Employee Detail FY23'!$B:$B,$C99,'Employee Detail FY23'!$C:$C,$D99,'Employee Detail FY23'!$E:$E,$F99,'Employee Detail FY23'!$F:$F,$G99,'Employee Detail FY23'!$G:$G,$H99),0)</f>
        <v>0</v>
      </c>
      <c r="R99" s="12">
        <f t="shared" si="13"/>
        <v>0</v>
      </c>
      <c r="S99" s="12">
        <f>ROUND(SUMIFS('Employee Detail FY24'!$AA:$AA,'Employee Detail FY24'!$B:$B,$C99,'Employee Detail FY24'!$C:$C,$D99,'Employee Detail FY24'!$E:$E,$F99,'Employee Detail FY24'!$F:$F,$G99,'Employee Detail FY24'!$G:$G,$H99),0)</f>
        <v>0</v>
      </c>
      <c r="T99" s="12">
        <f>ROUND(SUMIFS('Employee Detail FY25'!$AA:$AA,'Employee Detail FY25'!$B:$B,$C99,'Employee Detail FY25'!$C:$C,$D99,'Employee Detail FY25'!$E:$E,$F99,'Employee Detail FY25'!$F:$F,$G99,'Employee Detail FY25'!$G:$G,$H99),0)</f>
        <v>0</v>
      </c>
      <c r="U99" s="12">
        <f>ROUND(SUMIFS('Employee Detail FY26'!$AA:$AA,'Employee Detail FY26'!$B:$B,$C99,'Employee Detail FY26'!$C:$C,$D99,'Employee Detail FY26'!$E:$E,$F99,'Employee Detail FY26'!$F:$F,$G99,'Employee Detail FY26'!$G:$G,$H99),0)</f>
        <v>0</v>
      </c>
      <c r="V99" s="12">
        <f>ROUND(SUMIFS('Employee Detail FY27'!$AA:$AA,'Employee Detail FY27'!$B:$B,$C99,'Employee Detail FY27'!$C:$C,$D99,'Employee Detail FY27'!$E:$E,$F99,'Employee Detail FY27'!$F:$F,$G99,'Employee Detail FY27'!$G:$G,$H99),0)</f>
        <v>0</v>
      </c>
      <c r="W99" s="12">
        <f>ROUND(SUMIFS('Employee Detail FY28'!$AA:$AA,'Employee Detail FY28'!$B:$B,$C99,'Employee Detail FY28'!$C:$C,$D99,'Employee Detail FY28'!$E:$E,$F99,'Employee Detail FY28'!$F:$F,$G99,'Employee Detail FY28'!$G:$G,$H99),0)</f>
        <v>0</v>
      </c>
    </row>
    <row r="100" spans="1:23" outlineLevel="1" x14ac:dyDescent="0.2">
      <c r="A100" s="366" t="s">
        <v>646</v>
      </c>
      <c r="B100" s="82"/>
      <c r="C100" s="837">
        <v>280</v>
      </c>
      <c r="D100" s="841">
        <v>715</v>
      </c>
      <c r="E100" s="841"/>
      <c r="F100" s="101">
        <v>430</v>
      </c>
      <c r="G100" s="101">
        <v>2110</v>
      </c>
      <c r="H100" s="103" t="s">
        <v>167</v>
      </c>
      <c r="I100" s="103"/>
      <c r="J100" s="115">
        <v>0</v>
      </c>
      <c r="K100" s="115">
        <v>16824.189999999999</v>
      </c>
      <c r="L100" s="115">
        <v>0</v>
      </c>
      <c r="M100" s="115">
        <v>0</v>
      </c>
      <c r="N100" s="115">
        <v>0</v>
      </c>
      <c r="O100" s="932">
        <f>ROUND(SUMIFS('Employee Detail FY22'!$AA:$AA,'Employee Detail FY22'!$B:$B,$C100,'Employee Detail FY22'!$C:$C,$D100,'Employee Detail FY22'!$E:$E,$F100,'Employee Detail FY22'!$F:$F,$G100,'Employee Detail FY22'!$G:$G,$H100),0)</f>
        <v>0</v>
      </c>
      <c r="P100" s="12">
        <f t="shared" si="19"/>
        <v>0</v>
      </c>
      <c r="Q100" s="932">
        <f>ROUND(SUMIFS('Employee Detail FY23'!$AA:$AA,'Employee Detail FY23'!$B:$B,$C100,'Employee Detail FY23'!$C:$C,$D100,'Employee Detail FY23'!$E:$E,$F100,'Employee Detail FY23'!$F:$F,$G100,'Employee Detail FY23'!$G:$G,$H100),0)</f>
        <v>0</v>
      </c>
      <c r="R100" s="12">
        <f t="shared" si="13"/>
        <v>0</v>
      </c>
      <c r="S100" s="12">
        <f>ROUND(SUMIFS('Employee Detail FY24'!$AA:$AA,'Employee Detail FY24'!$B:$B,$C100,'Employee Detail FY24'!$C:$C,$D100,'Employee Detail FY24'!$E:$E,$F100,'Employee Detail FY24'!$F:$F,$G100,'Employee Detail FY24'!$G:$G,$H100),0)</f>
        <v>0</v>
      </c>
      <c r="T100" s="12">
        <f>ROUND(SUMIFS('Employee Detail FY25'!$AA:$AA,'Employee Detail FY25'!$B:$B,$C100,'Employee Detail FY25'!$C:$C,$D100,'Employee Detail FY25'!$E:$E,$F100,'Employee Detail FY25'!$F:$F,$G100,'Employee Detail FY25'!$G:$G,$H100),0)</f>
        <v>0</v>
      </c>
      <c r="U100" s="12">
        <f>ROUND(SUMIFS('Employee Detail FY26'!$AA:$AA,'Employee Detail FY26'!$B:$B,$C100,'Employee Detail FY26'!$C:$C,$D100,'Employee Detail FY26'!$E:$E,$F100,'Employee Detail FY26'!$F:$F,$G100,'Employee Detail FY26'!$G:$G,$H100),0)</f>
        <v>0</v>
      </c>
      <c r="V100" s="12">
        <f>ROUND(SUMIFS('Employee Detail FY27'!$AA:$AA,'Employee Detail FY27'!$B:$B,$C100,'Employee Detail FY27'!$C:$C,$D100,'Employee Detail FY27'!$E:$E,$F100,'Employee Detail FY27'!$F:$F,$G100,'Employee Detail FY27'!$G:$G,$H100),0)</f>
        <v>0</v>
      </c>
      <c r="W100" s="12">
        <f>ROUND(SUMIFS('Employee Detail FY28'!$AA:$AA,'Employee Detail FY28'!$B:$B,$C100,'Employee Detail FY28'!$C:$C,$D100,'Employee Detail FY28'!$E:$E,$F100,'Employee Detail FY28'!$F:$F,$G100,'Employee Detail FY28'!$G:$G,$H100),0)</f>
        <v>0</v>
      </c>
    </row>
    <row r="101" spans="1:23" outlineLevel="1" x14ac:dyDescent="0.2">
      <c r="A101" s="366" t="s">
        <v>647</v>
      </c>
      <c r="B101" s="82"/>
      <c r="C101" s="837">
        <v>280</v>
      </c>
      <c r="D101" s="841" t="s">
        <v>923</v>
      </c>
      <c r="E101" s="841"/>
      <c r="F101" s="101">
        <v>100</v>
      </c>
      <c r="G101" s="101">
        <v>2110</v>
      </c>
      <c r="H101" s="103" t="s">
        <v>167</v>
      </c>
      <c r="I101" s="103"/>
      <c r="J101" s="115">
        <v>0</v>
      </c>
      <c r="K101" s="115">
        <v>0</v>
      </c>
      <c r="L101" s="115">
        <v>0</v>
      </c>
      <c r="M101" s="115">
        <v>0</v>
      </c>
      <c r="N101" s="115">
        <v>58200</v>
      </c>
      <c r="O101" s="932">
        <f>ROUND(SUMIFS('Employee Detail FY22'!$AA:$AA,'Employee Detail FY22'!$B:$B,$C101,'Employee Detail FY22'!$C:$C,$D101,'Employee Detail FY22'!$E:$E,$F101,'Employee Detail FY22'!$F:$F,$G101,'Employee Detail FY22'!$G:$G,$H101),0)</f>
        <v>58200</v>
      </c>
      <c r="P101" s="12">
        <f t="shared" si="19"/>
        <v>0</v>
      </c>
      <c r="Q101" s="932">
        <f>ROUND(SUMIFS('Employee Detail FY23'!$AA:$AA,'Employee Detail FY23'!$B:$B,$C101,'Employee Detail FY23'!$C:$C,$D101,'Employee Detail FY23'!$E:$E,$F101,'Employee Detail FY23'!$F:$F,$G101,'Employee Detail FY23'!$G:$G,$H101),0)</f>
        <v>68564</v>
      </c>
      <c r="R101" s="12">
        <f t="shared" si="13"/>
        <v>10364</v>
      </c>
      <c r="S101" s="115">
        <f>ROUND(SUMIFS('Employee Detail FY24'!$AA:$AA,'Employee Detail FY24'!$B:$B,$C101,'Employee Detail FY24'!$C:$C,$D101,'Employee Detail FY24'!$E:$E,$F101,'Employee Detail FY24'!$F:$F,$G101,'Employee Detail FY24'!$G:$G,$H101),0)</f>
        <v>0</v>
      </c>
      <c r="T101" s="115">
        <f>ROUND(SUMIFS('Employee Detail FY25'!$AA:$AA,'Employee Detail FY25'!$B:$B,$C101,'Employee Detail FY25'!$C:$C,$D101,'Employee Detail FY25'!$E:$E,$F101,'Employee Detail FY25'!$F:$F,$G101,'Employee Detail FY25'!$G:$G,$H101),0)</f>
        <v>0</v>
      </c>
      <c r="U101" s="115">
        <f>ROUND(SUMIFS('Employee Detail FY26'!$AA:$AA,'Employee Detail FY26'!$B:$B,$C101,'Employee Detail FY26'!$C:$C,$D101,'Employee Detail FY26'!$E:$E,$F101,'Employee Detail FY26'!$F:$F,$G101,'Employee Detail FY26'!$G:$G,$H101),0)</f>
        <v>0</v>
      </c>
      <c r="V101" s="115">
        <f>ROUND(SUMIFS('Employee Detail FY27'!$AA:$AA,'Employee Detail FY27'!$B:$B,$C101,'Employee Detail FY27'!$C:$C,$D101,'Employee Detail FY27'!$E:$E,$F101,'Employee Detail FY27'!$F:$F,$G101,'Employee Detail FY27'!$G:$G,$H101),0)</f>
        <v>0</v>
      </c>
      <c r="W101" s="115">
        <f>ROUND(SUMIFS('Employee Detail FY28'!$AA:$AA,'Employee Detail FY28'!$B:$B,$C101,'Employee Detail FY28'!$C:$C,$D101,'Employee Detail FY28'!$E:$E,$F101,'Employee Detail FY28'!$F:$F,$G101,'Employee Detail FY28'!$G:$G,$H101),0)</f>
        <v>0</v>
      </c>
    </row>
    <row r="102" spans="1:23" outlineLevel="1" x14ac:dyDescent="0.2">
      <c r="A102" s="366" t="s">
        <v>648</v>
      </c>
      <c r="B102" s="82"/>
      <c r="C102" s="837">
        <v>280</v>
      </c>
      <c r="D102" s="841" t="s">
        <v>552</v>
      </c>
      <c r="E102" s="841"/>
      <c r="F102" s="101">
        <v>100</v>
      </c>
      <c r="G102" s="101">
        <v>2110</v>
      </c>
      <c r="H102" s="103" t="s">
        <v>167</v>
      </c>
      <c r="I102" s="103"/>
      <c r="J102" s="115"/>
      <c r="K102" s="115">
        <v>0</v>
      </c>
      <c r="L102" s="115">
        <v>0</v>
      </c>
      <c r="M102" s="115">
        <v>110000</v>
      </c>
      <c r="N102" s="115">
        <v>0</v>
      </c>
      <c r="O102" s="932">
        <f>ROUND(SUMIFS('Employee Detail FY22'!$AA:$AA,'Employee Detail FY22'!$B:$B,$C102,'Employee Detail FY22'!$C:$C,$D102,'Employee Detail FY22'!$E:$E,$F102,'Employee Detail FY22'!$F:$F,$G102,'Employee Detail FY22'!$G:$G,$H102),0)</f>
        <v>0</v>
      </c>
      <c r="P102" s="12">
        <f t="shared" si="19"/>
        <v>0</v>
      </c>
      <c r="Q102" s="932">
        <f>ROUND(SUMIFS('Employee Detail FY23'!$AA:$AA,'Employee Detail FY23'!$B:$B,$C102,'Employee Detail FY23'!$C:$C,$D102,'Employee Detail FY23'!$E:$E,$F102,'Employee Detail FY23'!$F:$F,$G102,'Employee Detail FY23'!$G:$G,$H102),0)</f>
        <v>0</v>
      </c>
      <c r="R102" s="115">
        <f t="shared" si="13"/>
        <v>0</v>
      </c>
      <c r="S102" s="115">
        <f>ROUND(SUMIFS('Employee Detail FY24'!$AA:$AA,'Employee Detail FY24'!$B:$B,$C102,'Employee Detail FY24'!$C:$C,$D102,'Employee Detail FY24'!$E:$E,$F102,'Employee Detail FY24'!$F:$F,$G102,'Employee Detail FY24'!$G:$G,$H102),0)</f>
        <v>0</v>
      </c>
      <c r="T102" s="115">
        <f>ROUND(SUMIFS('Employee Detail FY25'!$AA:$AA,'Employee Detail FY25'!$B:$B,$C102,'Employee Detail FY25'!$C:$C,$D102,'Employee Detail FY25'!$E:$E,$F102,'Employee Detail FY25'!$F:$F,$G102,'Employee Detail FY25'!$G:$G,$H102),0)</f>
        <v>0</v>
      </c>
      <c r="U102" s="115">
        <f>ROUND(SUMIFS('Employee Detail FY26'!$AA:$AA,'Employee Detail FY26'!$B:$B,$C102,'Employee Detail FY26'!$C:$C,$D102,'Employee Detail FY26'!$E:$E,$F102,'Employee Detail FY26'!$F:$F,$G102,'Employee Detail FY26'!$G:$G,$H102),0)</f>
        <v>0</v>
      </c>
      <c r="V102" s="115">
        <f>ROUND(SUMIFS('Employee Detail FY27'!$AA:$AA,'Employee Detail FY27'!$B:$B,$C102,'Employee Detail FY27'!$C:$C,$D102,'Employee Detail FY27'!$E:$E,$F102,'Employee Detail FY27'!$F:$F,$G102,'Employee Detail FY27'!$G:$G,$H102),0)</f>
        <v>0</v>
      </c>
      <c r="W102" s="115">
        <f>ROUND(SUMIFS('Employee Detail FY28'!$AA:$AA,'Employee Detail FY28'!$B:$B,$C102,'Employee Detail FY28'!$C:$C,$D102,'Employee Detail FY28'!$E:$E,$F102,'Employee Detail FY28'!$F:$F,$G102,'Employee Detail FY28'!$G:$G,$H102),0)</f>
        <v>0</v>
      </c>
    </row>
    <row r="103" spans="1:23" outlineLevel="1" x14ac:dyDescent="0.2">
      <c r="A103" s="366" t="s">
        <v>649</v>
      </c>
      <c r="B103" s="82"/>
      <c r="C103" s="839" t="s">
        <v>135</v>
      </c>
      <c r="D103" s="837">
        <v>741</v>
      </c>
      <c r="E103" s="841"/>
      <c r="F103" s="102" t="s">
        <v>468</v>
      </c>
      <c r="G103" s="102">
        <v>2110</v>
      </c>
      <c r="H103" s="103" t="s">
        <v>167</v>
      </c>
      <c r="I103" s="103"/>
      <c r="J103" s="115">
        <v>0</v>
      </c>
      <c r="K103" s="115">
        <v>0</v>
      </c>
      <c r="L103" s="115">
        <v>0</v>
      </c>
      <c r="M103" s="115">
        <v>0</v>
      </c>
      <c r="N103" s="115">
        <v>138625</v>
      </c>
      <c r="O103" s="932">
        <f>ROUND(SUMIFS('Employee Detail FY22'!$AA:$AA,'Employee Detail FY22'!$B:$B,$C103,'Employee Detail FY22'!$C:$C,$D103,'Employee Detail FY22'!$E:$E,$F103,'Employee Detail FY22'!$F:$F,$G103,'Employee Detail FY22'!$G:$G,$H103),0)</f>
        <v>138625</v>
      </c>
      <c r="P103" s="12">
        <f>O103-N103</f>
        <v>0</v>
      </c>
      <c r="Q103" s="932">
        <f>ROUND(SUMIFS('Employee Detail FY23'!$AA:$AA,'Employee Detail FY23'!$B:$B,$C103,'Employee Detail FY23'!$C:$C,$D103,'Employee Detail FY23'!$E:$E,$F103,'Employee Detail FY23'!$F:$F,$G103,'Employee Detail FY23'!$G:$G,$H103),0)</f>
        <v>112782</v>
      </c>
      <c r="R103" s="12">
        <f t="shared" si="13"/>
        <v>-25843</v>
      </c>
      <c r="S103" s="12">
        <f>ROUND(SUMIFS('Employee Detail FY24'!$AA:$AA,'Employee Detail FY24'!$B:$B,$C103,'Employee Detail FY24'!$C:$C,$D103,'Employee Detail FY24'!$E:$E,$F103,'Employee Detail FY24'!$F:$F,$G103,'Employee Detail FY24'!$G:$G,$H103),0)</f>
        <v>116067</v>
      </c>
      <c r="T103" s="12">
        <f>ROUND(SUMIFS('Employee Detail FY25'!$AA:$AA,'Employee Detail FY25'!$B:$B,$C103,'Employee Detail FY25'!$C:$C,$D103,'Employee Detail FY25'!$E:$E,$F103,'Employee Detail FY25'!$F:$F,$G103,'Employee Detail FY25'!$G:$G,$H103),0)</f>
        <v>119352</v>
      </c>
      <c r="U103" s="12">
        <f>ROUND(SUMIFS('Employee Detail FY26'!$AA:$AA,'Employee Detail FY26'!$B:$B,$C103,'Employee Detail FY26'!$C:$C,$D103,'Employee Detail FY26'!$E:$E,$F103,'Employee Detail FY26'!$F:$F,$G103,'Employee Detail FY26'!$G:$G,$H103),0)</f>
        <v>122637</v>
      </c>
      <c r="V103" s="12">
        <f>ROUND(SUMIFS('Employee Detail FY27'!$AA:$AA,'Employee Detail FY27'!$B:$B,$C103,'Employee Detail FY27'!$C:$C,$D103,'Employee Detail FY27'!$E:$E,$F103,'Employee Detail FY27'!$F:$F,$G103,'Employee Detail FY27'!$G:$G,$H103),0)</f>
        <v>125922</v>
      </c>
      <c r="W103" s="12">
        <f>ROUND(SUMIFS('Employee Detail FY28'!$AA:$AA,'Employee Detail FY28'!$B:$B,$C103,'Employee Detail FY28'!$C:$C,$D103,'Employee Detail FY28'!$E:$E,$F103,'Employee Detail FY28'!$F:$F,$G103,'Employee Detail FY28'!$G:$G,$H103),0)</f>
        <v>129207</v>
      </c>
    </row>
    <row r="104" spans="1:23" outlineLevel="1" x14ac:dyDescent="0.2">
      <c r="A104" s="366" t="s">
        <v>650</v>
      </c>
      <c r="B104" s="82"/>
      <c r="C104" s="839">
        <v>100</v>
      </c>
      <c r="D104" s="841" t="s">
        <v>145</v>
      </c>
      <c r="E104" s="841"/>
      <c r="F104" s="102">
        <v>100</v>
      </c>
      <c r="G104" s="102" t="s">
        <v>556</v>
      </c>
      <c r="H104" s="104" t="s">
        <v>167</v>
      </c>
      <c r="I104" s="104"/>
      <c r="J104" s="115"/>
      <c r="K104" s="115">
        <v>69470.679999999993</v>
      </c>
      <c r="L104" s="115">
        <v>73130</v>
      </c>
      <c r="M104" s="115">
        <v>73313</v>
      </c>
      <c r="N104" s="115">
        <v>73313</v>
      </c>
      <c r="O104" s="932">
        <f>ROUND(SUMIFS('Employee Detail FY22'!$AA:$AA,'Employee Detail FY22'!$B:$B,$C104,'Employee Detail FY22'!$C:$C,$D104,'Employee Detail FY22'!$E:$E,$F104,'Employee Detail FY22'!$F:$F,$G104,'Employee Detail FY22'!$G:$G,$H104),0)</f>
        <v>73313</v>
      </c>
      <c r="P104" s="12">
        <f t="shared" si="19"/>
        <v>0</v>
      </c>
      <c r="Q104" s="932">
        <f>ROUND(SUMIFS('Employee Detail FY23'!$AA:$AA,'Employee Detail FY23'!$B:$B,$C104,'Employee Detail FY23'!$C:$C,$D104,'Employee Detail FY23'!$E:$E,$F104,'Employee Detail FY23'!$F:$F,$G104,'Employee Detail FY23'!$G:$G,$H104),0)</f>
        <v>148096</v>
      </c>
      <c r="R104" s="12">
        <f t="shared" si="13"/>
        <v>74783</v>
      </c>
      <c r="S104" s="12">
        <f>ROUND(SUMIFS('Employee Detail FY24'!$AA:$AA,'Employee Detail FY24'!$B:$B,$C104,'Employee Detail FY24'!$C:$C,$D104,'Employee Detail FY24'!$E:$E,$F104,'Employee Detail FY24'!$F:$F,$G104,'Employee Detail FY24'!$G:$G,$H104),0)</f>
        <v>189510</v>
      </c>
      <c r="T104" s="12">
        <f>ROUND(SUMIFS('Employee Detail FY25'!$AA:$AA,'Employee Detail FY25'!$B:$B,$C104,'Employee Detail FY25'!$C:$C,$D104,'Employee Detail FY25'!$E:$E,$F104,'Employee Detail FY25'!$F:$F,$G104,'Employee Detail FY25'!$G:$G,$H104),0)</f>
        <v>194873</v>
      </c>
      <c r="U104" s="12">
        <f>ROUND(SUMIFS('Employee Detail FY26'!$AA:$AA,'Employee Detail FY26'!$B:$B,$C104,'Employee Detail FY26'!$C:$C,$D104,'Employee Detail FY26'!$E:$E,$F104,'Employee Detail FY26'!$F:$F,$G104,'Employee Detail FY26'!$G:$G,$H104),0)</f>
        <v>200237</v>
      </c>
      <c r="V104" s="12">
        <f>ROUND(SUMIFS('Employee Detail FY27'!$AA:$AA,'Employee Detail FY27'!$B:$B,$C104,'Employee Detail FY27'!$C:$C,$D104,'Employee Detail FY27'!$E:$E,$F104,'Employee Detail FY27'!$F:$F,$G104,'Employee Detail FY27'!$G:$G,$H104),0)</f>
        <v>205600</v>
      </c>
      <c r="W104" s="12">
        <f>ROUND(SUMIFS('Employee Detail FY28'!$AA:$AA,'Employee Detail FY28'!$B:$B,$C104,'Employee Detail FY28'!$C:$C,$D104,'Employee Detail FY28'!$E:$E,$F104,'Employee Detail FY28'!$F:$F,$G104,'Employee Detail FY28'!$G:$G,$H104),0)</f>
        <v>210964</v>
      </c>
    </row>
    <row r="105" spans="1:23" outlineLevel="1" x14ac:dyDescent="0.2">
      <c r="A105" s="366" t="s">
        <v>651</v>
      </c>
      <c r="B105" s="82"/>
      <c r="C105" s="839" t="s">
        <v>135</v>
      </c>
      <c r="D105" s="837">
        <v>624</v>
      </c>
      <c r="E105" s="841"/>
      <c r="F105" s="102" t="s">
        <v>532</v>
      </c>
      <c r="G105" s="102" t="s">
        <v>556</v>
      </c>
      <c r="H105" s="103" t="s">
        <v>167</v>
      </c>
      <c r="I105" s="103"/>
      <c r="J105" s="115">
        <v>0</v>
      </c>
      <c r="K105" s="115">
        <v>0</v>
      </c>
      <c r="L105" s="115">
        <v>0</v>
      </c>
      <c r="M105" s="115">
        <v>0</v>
      </c>
      <c r="N105" s="115">
        <v>0</v>
      </c>
      <c r="O105" s="932">
        <f>ROUND(SUMIFS('Employee Detail FY22'!$AA:$AA,'Employee Detail FY22'!$B:$B,$C105,'Employee Detail FY22'!$C:$C,$D105,'Employee Detail FY22'!$E:$E,$F105,'Employee Detail FY22'!$F:$F,$G105,'Employee Detail FY22'!$G:$G,$H105),0)</f>
        <v>0</v>
      </c>
      <c r="P105" s="12">
        <f t="shared" si="19"/>
        <v>0</v>
      </c>
      <c r="Q105" s="932">
        <f>ROUND(SUMIFS('Employee Detail FY23'!$AA:$AA,'Employee Detail FY23'!$B:$B,$C105,'Employee Detail FY23'!$C:$C,$D105,'Employee Detail FY23'!$E:$E,$F105,'Employee Detail FY23'!$F:$F,$G105,'Employee Detail FY23'!$G:$G,$H105),0)</f>
        <v>0</v>
      </c>
      <c r="R105" s="12">
        <f t="shared" si="13"/>
        <v>0</v>
      </c>
      <c r="S105" s="12">
        <f>ROUND(SUMIFS('Employee Detail FY24'!$AA:$AA,'Employee Detail FY24'!$B:$B,$C105,'Employee Detail FY24'!$C:$C,$D105,'Employee Detail FY24'!$E:$E,$F105,'Employee Detail FY24'!$F:$F,$G105,'Employee Detail FY24'!$G:$G,$H105),0)</f>
        <v>0</v>
      </c>
      <c r="T105" s="12">
        <f>ROUND(SUMIFS('Employee Detail FY25'!$AA:$AA,'Employee Detail FY25'!$B:$B,$C105,'Employee Detail FY25'!$C:$C,$D105,'Employee Detail FY25'!$E:$E,$F105,'Employee Detail FY25'!$F:$F,$G105,'Employee Detail FY25'!$G:$G,$H105),0)</f>
        <v>0</v>
      </c>
      <c r="U105" s="12">
        <f>ROUND(SUMIFS('Employee Detail FY26'!$AA:$AA,'Employee Detail FY26'!$B:$B,$C105,'Employee Detail FY26'!$C:$C,$D105,'Employee Detail FY26'!$E:$E,$F105,'Employee Detail FY26'!$F:$F,$G105,'Employee Detail FY26'!$G:$G,$H105),0)</f>
        <v>0</v>
      </c>
      <c r="V105" s="12">
        <f>ROUND(SUMIFS('Employee Detail FY27'!$AA:$AA,'Employee Detail FY27'!$B:$B,$C105,'Employee Detail FY27'!$C:$C,$D105,'Employee Detail FY27'!$E:$E,$F105,'Employee Detail FY27'!$F:$F,$G105,'Employee Detail FY27'!$G:$G,$H105),0)</f>
        <v>0</v>
      </c>
      <c r="W105" s="12">
        <f>ROUND(SUMIFS('Employee Detail FY28'!$AA:$AA,'Employee Detail FY28'!$B:$B,$C105,'Employee Detail FY28'!$C:$C,$D105,'Employee Detail FY28'!$E:$E,$F105,'Employee Detail FY28'!$F:$F,$G105,'Employee Detail FY28'!$G:$G,$H105),0)</f>
        <v>0</v>
      </c>
    </row>
    <row r="106" spans="1:23" outlineLevel="1" x14ac:dyDescent="0.2">
      <c r="A106" s="366" t="s">
        <v>652</v>
      </c>
      <c r="B106" s="82"/>
      <c r="C106" s="839" t="s">
        <v>462</v>
      </c>
      <c r="D106" s="841">
        <v>205</v>
      </c>
      <c r="E106" s="841"/>
      <c r="F106" s="102" t="s">
        <v>463</v>
      </c>
      <c r="G106" s="102" t="s">
        <v>484</v>
      </c>
      <c r="H106" s="104" t="s">
        <v>167</v>
      </c>
      <c r="I106" s="104"/>
      <c r="J106" s="115"/>
      <c r="K106" s="115">
        <v>21273.75</v>
      </c>
      <c r="L106" s="115">
        <v>35235</v>
      </c>
      <c r="M106" s="115">
        <v>35235</v>
      </c>
      <c r="N106" s="115">
        <v>23580</v>
      </c>
      <c r="O106" s="932">
        <f>ROUND(SUMIFS('Employee Detail FY22'!$AA:$AA,'Employee Detail FY22'!$B:$B,$C106,'Employee Detail FY22'!$C:$C,$D106,'Employee Detail FY22'!$E:$E,$F106,'Employee Detail FY22'!$F:$F,$G106,'Employee Detail FY22'!$G:$G,$H106),0)</f>
        <v>23580</v>
      </c>
      <c r="P106" s="12">
        <f t="shared" si="19"/>
        <v>0</v>
      </c>
      <c r="Q106" s="932">
        <f>ROUND(SUMIFS('Employee Detail FY23'!$AA:$AA,'Employee Detail FY23'!$B:$B,$C106,'Employee Detail FY23'!$C:$C,$D106,'Employee Detail FY23'!$E:$E,$F106,'Employee Detail FY23'!$F:$F,$G106,'Employee Detail FY23'!$G:$G,$H106),0)</f>
        <v>24287</v>
      </c>
      <c r="R106" s="12">
        <f t="shared" si="13"/>
        <v>707</v>
      </c>
      <c r="S106" s="12">
        <f>ROUND(SUMIFS('Employee Detail FY24'!$AA:$AA,'Employee Detail FY24'!$B:$B,$C106,'Employee Detail FY24'!$C:$C,$D106,'Employee Detail FY24'!$E:$E,$F106,'Employee Detail FY24'!$F:$F,$G106,'Employee Detail FY24'!$G:$G,$H106),0)</f>
        <v>24995</v>
      </c>
      <c r="T106" s="12">
        <f>ROUND(SUMIFS('Employee Detail FY25'!$AA:$AA,'Employee Detail FY25'!$B:$B,$C106,'Employee Detail FY25'!$C:$C,$D106,'Employee Detail FY25'!$E:$E,$F106,'Employee Detail FY25'!$F:$F,$G106,'Employee Detail FY25'!$G:$G,$H106),0)</f>
        <v>25702</v>
      </c>
      <c r="U106" s="12">
        <f>ROUND(SUMIFS('Employee Detail FY26'!$AA:$AA,'Employee Detail FY26'!$B:$B,$C106,'Employee Detail FY26'!$C:$C,$D106,'Employee Detail FY26'!$E:$E,$F106,'Employee Detail FY26'!$F:$F,$G106,'Employee Detail FY26'!$G:$G,$H106),0)</f>
        <v>26410</v>
      </c>
      <c r="V106" s="12">
        <f>ROUND(SUMIFS('Employee Detail FY27'!$AA:$AA,'Employee Detail FY27'!$B:$B,$C106,'Employee Detail FY27'!$C:$C,$D106,'Employee Detail FY27'!$E:$E,$F106,'Employee Detail FY27'!$F:$F,$G106,'Employee Detail FY27'!$G:$G,$H106),0)</f>
        <v>27117</v>
      </c>
      <c r="W106" s="12">
        <f>ROUND(SUMIFS('Employee Detail FY28'!$AA:$AA,'Employee Detail FY28'!$B:$B,$C106,'Employee Detail FY28'!$C:$C,$D106,'Employee Detail FY28'!$E:$E,$F106,'Employee Detail FY28'!$F:$F,$G106,'Employee Detail FY28'!$G:$G,$H106),0)</f>
        <v>27824</v>
      </c>
    </row>
    <row r="107" spans="1:23" outlineLevel="1" x14ac:dyDescent="0.2">
      <c r="A107" s="366" t="s">
        <v>653</v>
      </c>
      <c r="B107" s="82"/>
      <c r="C107" s="839" t="s">
        <v>135</v>
      </c>
      <c r="D107" s="837">
        <v>715</v>
      </c>
      <c r="E107" s="841"/>
      <c r="F107" s="102" t="s">
        <v>532</v>
      </c>
      <c r="G107" s="102" t="s">
        <v>484</v>
      </c>
      <c r="H107" s="103" t="s">
        <v>167</v>
      </c>
      <c r="I107" s="103"/>
      <c r="J107" s="115">
        <v>0</v>
      </c>
      <c r="K107" s="115">
        <v>0</v>
      </c>
      <c r="L107" s="115">
        <v>0</v>
      </c>
      <c r="M107" s="115">
        <v>0</v>
      </c>
      <c r="N107" s="115">
        <v>11644</v>
      </c>
      <c r="O107" s="932">
        <f>ROUND(SUMIFS('Employee Detail FY22'!$AA:$AA,'Employee Detail FY22'!$B:$B,$C107,'Employee Detail FY22'!$C:$C,$D107,'Employee Detail FY22'!$E:$E,$F107,'Employee Detail FY22'!$F:$F,$G107,'Employee Detail FY22'!$G:$G,$H107),0)</f>
        <v>11644</v>
      </c>
      <c r="P107" s="12">
        <f t="shared" si="19"/>
        <v>0</v>
      </c>
      <c r="Q107" s="932">
        <f>ROUND(SUMIFS('Employee Detail FY23'!$AA:$AA,'Employee Detail FY23'!$B:$B,$C107,'Employee Detail FY23'!$C:$C,$D107,'Employee Detail FY23'!$E:$E,$F107,'Employee Detail FY23'!$F:$F,$G107,'Employee Detail FY23'!$G:$G,$H107),0)</f>
        <v>11993</v>
      </c>
      <c r="R107" s="12">
        <f t="shared" si="13"/>
        <v>349</v>
      </c>
      <c r="S107" s="12">
        <f>ROUND(SUMIFS('Employee Detail FY24'!$AA:$AA,'Employee Detail FY24'!$B:$B,$C107,'Employee Detail FY24'!$C:$C,$D107,'Employee Detail FY24'!$E:$E,$F107,'Employee Detail FY24'!$F:$F,$G107,'Employee Detail FY24'!$G:$G,$H107),0)</f>
        <v>12343</v>
      </c>
      <c r="T107" s="12">
        <f>ROUND(SUMIFS('Employee Detail FY25'!$AA:$AA,'Employee Detail FY25'!$B:$B,$C107,'Employee Detail FY25'!$C:$C,$D107,'Employee Detail FY25'!$E:$E,$F107,'Employee Detail FY25'!$F:$F,$G107,'Employee Detail FY25'!$G:$G,$H107),0)</f>
        <v>12692</v>
      </c>
      <c r="U107" s="12">
        <f>ROUND(SUMIFS('Employee Detail FY26'!$AA:$AA,'Employee Detail FY26'!$B:$B,$C107,'Employee Detail FY26'!$C:$C,$D107,'Employee Detail FY26'!$E:$E,$F107,'Employee Detail FY26'!$F:$F,$G107,'Employee Detail FY26'!$G:$G,$H107),0)</f>
        <v>13041</v>
      </c>
      <c r="V107" s="12">
        <f>ROUND(SUMIFS('Employee Detail FY27'!$AA:$AA,'Employee Detail FY27'!$B:$B,$C107,'Employee Detail FY27'!$C:$C,$D107,'Employee Detail FY27'!$E:$E,$F107,'Employee Detail FY27'!$F:$F,$G107,'Employee Detail FY27'!$G:$G,$H107),0)</f>
        <v>13391</v>
      </c>
      <c r="W107" s="12">
        <f>ROUND(SUMIFS('Employee Detail FY28'!$AA:$AA,'Employee Detail FY28'!$B:$B,$C107,'Employee Detail FY28'!$C:$C,$D107,'Employee Detail FY28'!$E:$E,$F107,'Employee Detail FY28'!$F:$F,$G107,'Employee Detail FY28'!$G:$G,$H107),0)</f>
        <v>13740</v>
      </c>
    </row>
    <row r="108" spans="1:23" outlineLevel="1" x14ac:dyDescent="0.2">
      <c r="A108" s="366" t="s">
        <v>468</v>
      </c>
      <c r="B108" s="82"/>
      <c r="C108" s="839" t="s">
        <v>462</v>
      </c>
      <c r="D108" s="841">
        <v>205</v>
      </c>
      <c r="E108" s="841"/>
      <c r="F108" s="102" t="s">
        <v>463</v>
      </c>
      <c r="G108" s="102" t="s">
        <v>485</v>
      </c>
      <c r="H108" s="104" t="s">
        <v>167</v>
      </c>
      <c r="I108" s="104"/>
      <c r="J108" s="115">
        <v>1354812.2599999998</v>
      </c>
      <c r="K108" s="115">
        <v>60035.19</v>
      </c>
      <c r="L108" s="115">
        <v>65699</v>
      </c>
      <c r="M108" s="115">
        <v>65699</v>
      </c>
      <c r="N108" s="115">
        <v>82037</v>
      </c>
      <c r="O108" s="932">
        <f>ROUND(SUMIFS('Employee Detail FY22'!$AA:$AA,'Employee Detail FY22'!$B:$B,$C108,'Employee Detail FY22'!$C:$C,$D108,'Employee Detail FY22'!$E:$E,$F108,'Employee Detail FY22'!$F:$F,$G108,'Employee Detail FY22'!$G:$G,$H108),0)</f>
        <v>82037</v>
      </c>
      <c r="P108" s="12">
        <f t="shared" si="19"/>
        <v>0</v>
      </c>
      <c r="Q108" s="932">
        <f>ROUND(SUMIFS('Employee Detail FY23'!$AA:$AA,'Employee Detail FY23'!$B:$B,$C108,'Employee Detail FY23'!$C:$C,$D108,'Employee Detail FY23'!$E:$E,$F108,'Employee Detail FY23'!$F:$F,$G108,'Employee Detail FY23'!$G:$G,$H108),0)</f>
        <v>86463</v>
      </c>
      <c r="R108" s="12">
        <f t="shared" si="13"/>
        <v>4426</v>
      </c>
      <c r="S108" s="12">
        <f>ROUND(SUMIFS('Employee Detail FY24'!$AA:$AA,'Employee Detail FY24'!$B:$B,$C108,'Employee Detail FY24'!$C:$C,$D108,'Employee Detail FY24'!$E:$E,$F108,'Employee Detail FY24'!$F:$F,$G108,'Employee Detail FY24'!$G:$G,$H108),0)</f>
        <v>88982</v>
      </c>
      <c r="T108" s="12">
        <f>ROUND(SUMIFS('Employee Detail FY25'!$AA:$AA,'Employee Detail FY25'!$B:$B,$C108,'Employee Detail FY25'!$C:$C,$D108,'Employee Detail FY25'!$E:$E,$F108,'Employee Detail FY25'!$F:$F,$G108,'Employee Detail FY25'!$G:$G,$H108),0)</f>
        <v>91500</v>
      </c>
      <c r="U108" s="12">
        <f>ROUND(SUMIFS('Employee Detail FY26'!$AA:$AA,'Employee Detail FY26'!$B:$B,$C108,'Employee Detail FY26'!$C:$C,$D108,'Employee Detail FY26'!$E:$E,$F108,'Employee Detail FY26'!$F:$F,$G108,'Employee Detail FY26'!$G:$G,$H108),0)</f>
        <v>94018</v>
      </c>
      <c r="V108" s="12">
        <f>ROUND(SUMIFS('Employee Detail FY27'!$AA:$AA,'Employee Detail FY27'!$B:$B,$C108,'Employee Detail FY27'!$C:$C,$D108,'Employee Detail FY27'!$E:$E,$F108,'Employee Detail FY27'!$F:$F,$G108,'Employee Detail FY27'!$G:$G,$H108),0)</f>
        <v>96537</v>
      </c>
      <c r="W108" s="12">
        <f>ROUND(SUMIFS('Employee Detail FY28'!$AA:$AA,'Employee Detail FY28'!$B:$B,$C108,'Employee Detail FY28'!$C:$C,$D108,'Employee Detail FY28'!$E:$E,$F108,'Employee Detail FY28'!$F:$F,$G108,'Employee Detail FY28'!$G:$G,$H108),0)</f>
        <v>99055</v>
      </c>
    </row>
    <row r="109" spans="1:23" outlineLevel="1" x14ac:dyDescent="0.2">
      <c r="A109" s="366" t="s">
        <v>654</v>
      </c>
      <c r="B109" s="82"/>
      <c r="C109" s="839" t="s">
        <v>135</v>
      </c>
      <c r="D109" s="837">
        <v>624</v>
      </c>
      <c r="E109" s="841"/>
      <c r="F109" s="102" t="s">
        <v>532</v>
      </c>
      <c r="G109" s="102" t="s">
        <v>485</v>
      </c>
      <c r="H109" s="103" t="s">
        <v>167</v>
      </c>
      <c r="I109" s="103"/>
      <c r="J109" s="115">
        <v>0</v>
      </c>
      <c r="K109" s="115">
        <v>0</v>
      </c>
      <c r="L109" s="115">
        <v>0</v>
      </c>
      <c r="M109" s="115">
        <v>0</v>
      </c>
      <c r="N109" s="115">
        <v>0</v>
      </c>
      <c r="O109" s="932">
        <f>ROUND(SUMIFS('Employee Detail FY22'!$AA:$AA,'Employee Detail FY22'!$B:$B,$C109,'Employee Detail FY22'!$C:$C,$D109,'Employee Detail FY22'!$E:$E,$F109,'Employee Detail FY22'!$F:$F,$G109,'Employee Detail FY22'!$G:$G,$H109),0)</f>
        <v>0</v>
      </c>
      <c r="P109" s="12">
        <f t="shared" si="19"/>
        <v>0</v>
      </c>
      <c r="Q109" s="932">
        <f>ROUND(SUMIFS('Employee Detail FY23'!$AA:$AA,'Employee Detail FY23'!$B:$B,$C109,'Employee Detail FY23'!$C:$C,$D109,'Employee Detail FY23'!$E:$E,$F109,'Employee Detail FY23'!$F:$F,$G109,'Employee Detail FY23'!$G:$G,$H109),0)</f>
        <v>0</v>
      </c>
      <c r="R109" s="12">
        <f t="shared" si="13"/>
        <v>0</v>
      </c>
      <c r="S109" s="12">
        <f>ROUND(SUMIFS('Employee Detail FY24'!$AA:$AA,'Employee Detail FY24'!$B:$B,$C109,'Employee Detail FY24'!$C:$C,$D109,'Employee Detail FY24'!$E:$E,$F109,'Employee Detail FY24'!$F:$F,$G109,'Employee Detail FY24'!$G:$G,$H109),0)</f>
        <v>0</v>
      </c>
      <c r="T109" s="12">
        <f>ROUND(SUMIFS('Employee Detail FY25'!$AA:$AA,'Employee Detail FY25'!$B:$B,$C109,'Employee Detail FY25'!$C:$C,$D109,'Employee Detail FY25'!$E:$E,$F109,'Employee Detail FY25'!$F:$F,$G109,'Employee Detail FY25'!$G:$G,$H109),0)</f>
        <v>0</v>
      </c>
      <c r="U109" s="12">
        <f>ROUND(SUMIFS('Employee Detail FY26'!$AA:$AA,'Employee Detail FY26'!$B:$B,$C109,'Employee Detail FY26'!$C:$C,$D109,'Employee Detail FY26'!$E:$E,$F109,'Employee Detail FY26'!$F:$F,$G109,'Employee Detail FY26'!$G:$G,$H109),0)</f>
        <v>0</v>
      </c>
      <c r="V109" s="12">
        <f>ROUND(SUMIFS('Employee Detail FY27'!$AA:$AA,'Employee Detail FY27'!$B:$B,$C109,'Employee Detail FY27'!$C:$C,$D109,'Employee Detail FY27'!$E:$E,$F109,'Employee Detail FY27'!$F:$F,$G109,'Employee Detail FY27'!$G:$G,$H109),0)</f>
        <v>0</v>
      </c>
      <c r="W109" s="12">
        <f>ROUND(SUMIFS('Employee Detail FY28'!$AA:$AA,'Employee Detail FY28'!$B:$B,$C109,'Employee Detail FY28'!$C:$C,$D109,'Employee Detail FY28'!$E:$E,$F109,'Employee Detail FY28'!$F:$F,$G109,'Employee Detail FY28'!$G:$G,$H109),0)</f>
        <v>0</v>
      </c>
    </row>
    <row r="110" spans="1:23" outlineLevel="1" x14ac:dyDescent="0.2">
      <c r="A110" s="366" t="s">
        <v>655</v>
      </c>
      <c r="B110" s="82"/>
      <c r="C110" s="839" t="s">
        <v>135</v>
      </c>
      <c r="D110" s="837">
        <v>639</v>
      </c>
      <c r="E110" s="841"/>
      <c r="F110" s="102" t="s">
        <v>463</v>
      </c>
      <c r="G110" s="102" t="s">
        <v>485</v>
      </c>
      <c r="H110" s="103" t="s">
        <v>167</v>
      </c>
      <c r="I110" s="103"/>
      <c r="J110" s="115">
        <v>0</v>
      </c>
      <c r="K110" s="115">
        <v>24005.35</v>
      </c>
      <c r="L110" s="115">
        <v>0</v>
      </c>
      <c r="M110" s="115">
        <v>0</v>
      </c>
      <c r="N110" s="115">
        <v>0</v>
      </c>
      <c r="O110" s="932">
        <f>ROUND(SUMIFS('Employee Detail FY22'!$AA:$AA,'Employee Detail FY22'!$B:$B,$C110,'Employee Detail FY22'!$C:$C,$D110,'Employee Detail FY22'!$E:$E,$F110,'Employee Detail FY22'!$F:$F,$G110,'Employee Detail FY22'!$G:$G,$H110),0)</f>
        <v>0</v>
      </c>
      <c r="P110" s="12">
        <f t="shared" si="19"/>
        <v>0</v>
      </c>
      <c r="Q110" s="932">
        <f>ROUND(SUMIFS('Employee Detail FY23'!$AA:$AA,'Employee Detail FY23'!$B:$B,$C110,'Employee Detail FY23'!$C:$C,$D110,'Employee Detail FY23'!$E:$E,$F110,'Employee Detail FY23'!$F:$F,$G110,'Employee Detail FY23'!$G:$G,$H110),0)</f>
        <v>0</v>
      </c>
      <c r="R110" s="12">
        <f t="shared" si="13"/>
        <v>0</v>
      </c>
      <c r="S110" s="12">
        <f>ROUND(SUMIFS('Employee Detail FY24'!$AA:$AA,'Employee Detail FY24'!$B:$B,$C110,'Employee Detail FY24'!$C:$C,$D110,'Employee Detail FY24'!$E:$E,$F110,'Employee Detail FY24'!$F:$F,$G110,'Employee Detail FY24'!$G:$G,$H110),0)</f>
        <v>0</v>
      </c>
      <c r="T110" s="12">
        <f>ROUND(SUMIFS('Employee Detail FY25'!$AA:$AA,'Employee Detail FY25'!$B:$B,$C110,'Employee Detail FY25'!$C:$C,$D110,'Employee Detail FY25'!$E:$E,$F110,'Employee Detail FY25'!$F:$F,$G110,'Employee Detail FY25'!$G:$G,$H110),0)</f>
        <v>0</v>
      </c>
      <c r="U110" s="12">
        <f>ROUND(SUMIFS('Employee Detail FY26'!$AA:$AA,'Employee Detail FY26'!$B:$B,$C110,'Employee Detail FY26'!$C:$C,$D110,'Employee Detail FY26'!$E:$E,$F110,'Employee Detail FY26'!$F:$F,$G110,'Employee Detail FY26'!$G:$G,$H110),0)</f>
        <v>0</v>
      </c>
      <c r="V110" s="12">
        <f>ROUND(SUMIFS('Employee Detail FY27'!$AA:$AA,'Employee Detail FY27'!$B:$B,$C110,'Employee Detail FY27'!$C:$C,$D110,'Employee Detail FY27'!$E:$E,$F110,'Employee Detail FY27'!$F:$F,$G110,'Employee Detail FY27'!$G:$G,$H110),0)</f>
        <v>0</v>
      </c>
      <c r="W110" s="12">
        <f>ROUND(SUMIFS('Employee Detail FY28'!$AA:$AA,'Employee Detail FY28'!$B:$B,$C110,'Employee Detail FY28'!$C:$C,$D110,'Employee Detail FY28'!$E:$E,$F110,'Employee Detail FY28'!$F:$F,$G110,'Employee Detail FY28'!$G:$G,$H110),0)</f>
        <v>0</v>
      </c>
    </row>
    <row r="111" spans="1:23" outlineLevel="1" x14ac:dyDescent="0.2">
      <c r="A111" s="366" t="s">
        <v>656</v>
      </c>
      <c r="B111" s="82"/>
      <c r="C111" s="839"/>
      <c r="D111" s="837"/>
      <c r="E111" s="841"/>
      <c r="F111" s="102"/>
      <c r="G111" s="102"/>
      <c r="H111" s="103"/>
      <c r="I111" s="103"/>
      <c r="J111" s="115"/>
      <c r="K111" s="12"/>
      <c r="L111" s="115"/>
      <c r="M111" s="115"/>
      <c r="N111" s="115">
        <v>0</v>
      </c>
      <c r="O111" s="12">
        <f>ROUND(SUMIFS('Employee Detail FY22'!$AA:$AA,'Employee Detail FY22'!$B:$B,$C111,'Employee Detail FY22'!$C:$C,$D111,'Employee Detail FY22'!$E:$E,$F111,'Employee Detail FY22'!$F:$F,$G111,'Employee Detail FY22'!$G:$G,$H111),0)</f>
        <v>0</v>
      </c>
      <c r="P111" s="12">
        <f t="shared" si="15"/>
        <v>0</v>
      </c>
      <c r="Q111" s="12">
        <f>ROUND(SUMIFS('Employee Detail FY23'!$AA:$AA,'Employee Detail FY23'!$B:$B,$C111,'Employee Detail FY23'!$C:$C,$D111,'Employee Detail FY23'!$E:$E,$F111,'Employee Detail FY23'!$F:$F,$G111,'Employee Detail FY23'!$G:$G,$H111),0)</f>
        <v>0</v>
      </c>
      <c r="R111" s="12">
        <f t="shared" si="13"/>
        <v>0</v>
      </c>
      <c r="S111" s="12">
        <f>ROUND(SUMIFS('Employee Detail FY24'!$AA:$AA,'Employee Detail FY24'!$B:$B,$C111,'Employee Detail FY24'!$C:$C,$D111,'Employee Detail FY24'!$E:$E,$F111,'Employee Detail FY24'!$F:$F,$G111,'Employee Detail FY24'!$G:$G,$H111),0)</f>
        <v>0</v>
      </c>
      <c r="T111" s="12">
        <f>ROUND(SUMIFS('Employee Detail FY25'!$AA:$AA,'Employee Detail FY25'!$B:$B,$C111,'Employee Detail FY25'!$C:$C,$D111,'Employee Detail FY25'!$E:$E,$F111,'Employee Detail FY25'!$F:$F,$G111,'Employee Detail FY25'!$G:$G,$H111),0)</f>
        <v>0</v>
      </c>
      <c r="U111" s="12">
        <f>ROUND(SUMIFS('Employee Detail FY26'!$AA:$AA,'Employee Detail FY26'!$B:$B,$C111,'Employee Detail FY26'!$C:$C,$D111,'Employee Detail FY26'!$E:$E,$F111,'Employee Detail FY26'!$F:$F,$G111,'Employee Detail FY26'!$G:$G,$H111),0)</f>
        <v>0</v>
      </c>
      <c r="V111" s="12">
        <f>ROUND(SUMIFS('Employee Detail FY27'!$AA:$AA,'Employee Detail FY27'!$B:$B,$C111,'Employee Detail FY27'!$C:$C,$D111,'Employee Detail FY27'!$E:$E,$F111,'Employee Detail FY27'!$F:$F,$G111,'Employee Detail FY27'!$G:$G,$H111),0)</f>
        <v>0</v>
      </c>
      <c r="W111" s="12">
        <f>ROUND(SUMIFS('Employee Detail FY28'!$AA:$AA,'Employee Detail FY28'!$B:$B,$C111,'Employee Detail FY28'!$C:$C,$D111,'Employee Detail FY28'!$E:$E,$F111,'Employee Detail FY28'!$F:$F,$G111,'Employee Detail FY28'!$G:$G,$H111),0)</f>
        <v>0</v>
      </c>
    </row>
    <row r="112" spans="1:23" outlineLevel="1" x14ac:dyDescent="0.2">
      <c r="A112" s="366" t="s">
        <v>657</v>
      </c>
      <c r="B112" s="82" t="s">
        <v>1048</v>
      </c>
      <c r="C112" s="839" t="s">
        <v>135</v>
      </c>
      <c r="D112" s="837" t="s">
        <v>242</v>
      </c>
      <c r="E112" s="841"/>
      <c r="F112" s="102" t="s">
        <v>532</v>
      </c>
      <c r="G112" s="102" t="s">
        <v>465</v>
      </c>
      <c r="H112" s="103" t="s">
        <v>1046</v>
      </c>
      <c r="I112" s="103"/>
      <c r="J112" s="115"/>
      <c r="K112" s="115">
        <v>2625</v>
      </c>
      <c r="L112" s="115"/>
      <c r="M112" s="115"/>
      <c r="N112" s="115">
        <v>0</v>
      </c>
      <c r="O112" s="932">
        <f>ROUND(SUMIFS('Employee Detail FY22'!$AA:$AA,'Employee Detail FY22'!$B:$B,$C112,'Employee Detail FY22'!$C:$C,$D112,'Employee Detail FY22'!$E:$E,$F112,'Employee Detail FY22'!$F:$F,$G112,'Employee Detail FY22'!$G:$G,$H112),0)</f>
        <v>0</v>
      </c>
      <c r="P112" s="12">
        <f t="shared" ref="P112:P122" si="20">O112-N112</f>
        <v>0</v>
      </c>
      <c r="Q112" s="932">
        <f>ROUND(SUMIFS('Employee Detail FY23'!$AA:$AA,'Employee Detail FY23'!$B:$B,$C112,'Employee Detail FY23'!$C:$C,$D112,'Employee Detail FY23'!$E:$E,$F112,'Employee Detail FY23'!$F:$F,$G112,'Employee Detail FY23'!$G:$G,$H112),0)</f>
        <v>0</v>
      </c>
      <c r="R112" s="12">
        <f t="shared" si="13"/>
        <v>0</v>
      </c>
      <c r="S112" s="12">
        <f>ROUND(SUMIFS('Employee Detail FY24'!$AA:$AA,'Employee Detail FY24'!$B:$B,$C112,'Employee Detail FY24'!$C:$C,$D112,'Employee Detail FY24'!$E:$E,$F112,'Employee Detail FY24'!$F:$F,$G112,'Employee Detail FY24'!$G:$G,$H112),0)</f>
        <v>0</v>
      </c>
      <c r="T112" s="12">
        <f>ROUND(SUMIFS('Employee Detail FY25'!$AA:$AA,'Employee Detail FY25'!$B:$B,$C112,'Employee Detail FY25'!$C:$C,$D112,'Employee Detail FY25'!$E:$E,$F112,'Employee Detail FY25'!$F:$F,$G112,'Employee Detail FY25'!$G:$G,$H112),0)</f>
        <v>0</v>
      </c>
      <c r="U112" s="12">
        <f>ROUND(SUMIFS('Employee Detail FY26'!$AA:$AA,'Employee Detail FY26'!$B:$B,$C112,'Employee Detail FY26'!$C:$C,$D112,'Employee Detail FY26'!$E:$E,$F112,'Employee Detail FY26'!$F:$F,$G112,'Employee Detail FY26'!$G:$G,$H112),0)</f>
        <v>0</v>
      </c>
      <c r="V112" s="12">
        <f>ROUND(SUMIFS('Employee Detail FY27'!$AA:$AA,'Employee Detail FY27'!$B:$B,$C112,'Employee Detail FY27'!$C:$C,$D112,'Employee Detail FY27'!$E:$E,$F112,'Employee Detail FY27'!$F:$F,$G112,'Employee Detail FY27'!$G:$G,$H112),0)</f>
        <v>0</v>
      </c>
      <c r="W112" s="12">
        <f>ROUND(SUMIFS('Employee Detail FY28'!$AA:$AA,'Employee Detail FY28'!$B:$B,$C112,'Employee Detail FY28'!$C:$C,$D112,'Employee Detail FY28'!$E:$E,$F112,'Employee Detail FY28'!$F:$F,$G112,'Employee Detail FY28'!$G:$G,$H112),0)</f>
        <v>0</v>
      </c>
    </row>
    <row r="113" spans="1:37" outlineLevel="1" x14ac:dyDescent="0.2">
      <c r="A113" s="366" t="s">
        <v>658</v>
      </c>
      <c r="B113" s="82" t="s">
        <v>1048</v>
      </c>
      <c r="C113" s="839" t="s">
        <v>135</v>
      </c>
      <c r="D113" s="837" t="s">
        <v>249</v>
      </c>
      <c r="E113" s="841"/>
      <c r="F113" s="102" t="s">
        <v>468</v>
      </c>
      <c r="G113" s="102" t="s">
        <v>465</v>
      </c>
      <c r="H113" s="103" t="s">
        <v>1046</v>
      </c>
      <c r="I113" s="103"/>
      <c r="J113" s="115"/>
      <c r="K113" s="115">
        <v>1875</v>
      </c>
      <c r="L113" s="115"/>
      <c r="M113" s="115"/>
      <c r="N113" s="115">
        <v>0</v>
      </c>
      <c r="O113" s="932">
        <f>ROUND(SUMIFS('Employee Detail FY22'!$AA:$AA,'Employee Detail FY22'!$B:$B,$C113,'Employee Detail FY22'!$C:$C,$D113,'Employee Detail FY22'!$E:$E,$F113,'Employee Detail FY22'!$F:$F,$G113,'Employee Detail FY22'!$G:$G,$H113),0)</f>
        <v>0</v>
      </c>
      <c r="P113" s="12">
        <f t="shared" si="20"/>
        <v>0</v>
      </c>
      <c r="Q113" s="932">
        <f>ROUND(SUMIFS('Employee Detail FY23'!$AA:$AA,'Employee Detail FY23'!$B:$B,$C113,'Employee Detail FY23'!$C:$C,$D113,'Employee Detail FY23'!$E:$E,$F113,'Employee Detail FY23'!$F:$F,$G113,'Employee Detail FY23'!$G:$G,$H113),0)</f>
        <v>0</v>
      </c>
      <c r="R113" s="12">
        <f t="shared" si="13"/>
        <v>0</v>
      </c>
      <c r="S113" s="12">
        <f>ROUND(SUMIFS('Employee Detail FY24'!$AA:$AA,'Employee Detail FY24'!$B:$B,$C113,'Employee Detail FY24'!$C:$C,$D113,'Employee Detail FY24'!$E:$E,$F113,'Employee Detail FY24'!$F:$F,$G113,'Employee Detail FY24'!$G:$G,$H113),0)</f>
        <v>0</v>
      </c>
      <c r="T113" s="12">
        <f>ROUND(SUMIFS('Employee Detail FY25'!$AA:$AA,'Employee Detail FY25'!$B:$B,$C113,'Employee Detail FY25'!$C:$C,$D113,'Employee Detail FY25'!$E:$E,$F113,'Employee Detail FY25'!$F:$F,$G113,'Employee Detail FY25'!$G:$G,$H113),0)</f>
        <v>0</v>
      </c>
      <c r="U113" s="12">
        <f>ROUND(SUMIFS('Employee Detail FY26'!$AA:$AA,'Employee Detail FY26'!$B:$B,$C113,'Employee Detail FY26'!$C:$C,$D113,'Employee Detail FY26'!$E:$E,$F113,'Employee Detail FY26'!$F:$F,$G113,'Employee Detail FY26'!$G:$G,$H113),0)</f>
        <v>0</v>
      </c>
      <c r="V113" s="12">
        <f>ROUND(SUMIFS('Employee Detail FY27'!$AA:$AA,'Employee Detail FY27'!$B:$B,$C113,'Employee Detail FY27'!$C:$C,$D113,'Employee Detail FY27'!$E:$E,$F113,'Employee Detail FY27'!$F:$F,$G113,'Employee Detail FY27'!$G:$G,$H113),0)</f>
        <v>0</v>
      </c>
      <c r="W113" s="12">
        <f>ROUND(SUMIFS('Employee Detail FY28'!$AA:$AA,'Employee Detail FY28'!$B:$B,$C113,'Employee Detail FY28'!$C:$C,$D113,'Employee Detail FY28'!$E:$E,$F113,'Employee Detail FY28'!$F:$F,$G113,'Employee Detail FY28'!$G:$G,$H113),0)</f>
        <v>0</v>
      </c>
    </row>
    <row r="114" spans="1:37" outlineLevel="1" x14ac:dyDescent="0.2">
      <c r="A114" s="366" t="s">
        <v>659</v>
      </c>
      <c r="B114" s="82" t="s">
        <v>1048</v>
      </c>
      <c r="C114" s="839" t="s">
        <v>468</v>
      </c>
      <c r="D114" s="840" t="s">
        <v>145</v>
      </c>
      <c r="E114" s="841"/>
      <c r="F114" s="102" t="s">
        <v>468</v>
      </c>
      <c r="G114" s="102" t="s">
        <v>556</v>
      </c>
      <c r="H114" s="103" t="s">
        <v>1046</v>
      </c>
      <c r="I114" s="103"/>
      <c r="J114" s="115"/>
      <c r="K114" s="115">
        <v>375</v>
      </c>
      <c r="L114" s="115"/>
      <c r="M114" s="115"/>
      <c r="N114" s="115">
        <v>0</v>
      </c>
      <c r="O114" s="932">
        <f>ROUND(SUMIFS('Employee Detail FY22'!$AA:$AA,'Employee Detail FY22'!$B:$B,$C114,'Employee Detail FY22'!$C:$C,$D114,'Employee Detail FY22'!$E:$E,$F114,'Employee Detail FY22'!$F:$F,$G114,'Employee Detail FY22'!$G:$G,$H114),0)</f>
        <v>0</v>
      </c>
      <c r="P114" s="12">
        <f t="shared" si="20"/>
        <v>0</v>
      </c>
      <c r="Q114" s="932">
        <f>ROUND(SUMIFS('Employee Detail FY23'!$AA:$AA,'Employee Detail FY23'!$B:$B,$C114,'Employee Detail FY23'!$C:$C,$D114,'Employee Detail FY23'!$E:$E,$F114,'Employee Detail FY23'!$F:$F,$G114,'Employee Detail FY23'!$G:$G,$H114),0)</f>
        <v>0</v>
      </c>
      <c r="R114" s="12">
        <f t="shared" si="13"/>
        <v>0</v>
      </c>
      <c r="S114" s="12">
        <f>ROUND(SUMIFS('Employee Detail FY24'!$AA:$AA,'Employee Detail FY24'!$B:$B,$C114,'Employee Detail FY24'!$C:$C,$D114,'Employee Detail FY24'!$E:$E,$F114,'Employee Detail FY24'!$F:$F,$G114,'Employee Detail FY24'!$G:$G,$H114),0)</f>
        <v>0</v>
      </c>
      <c r="T114" s="12">
        <f>ROUND(SUMIFS('Employee Detail FY25'!$AA:$AA,'Employee Detail FY25'!$B:$B,$C114,'Employee Detail FY25'!$C:$C,$D114,'Employee Detail FY25'!$E:$E,$F114,'Employee Detail FY25'!$F:$F,$G114,'Employee Detail FY25'!$G:$G,$H114),0)</f>
        <v>0</v>
      </c>
      <c r="U114" s="12">
        <f>ROUND(SUMIFS('Employee Detail FY26'!$AA:$AA,'Employee Detail FY26'!$B:$B,$C114,'Employee Detail FY26'!$C:$C,$D114,'Employee Detail FY26'!$E:$E,$F114,'Employee Detail FY26'!$F:$F,$G114,'Employee Detail FY26'!$G:$G,$H114),0)</f>
        <v>0</v>
      </c>
      <c r="V114" s="12">
        <f>ROUND(SUMIFS('Employee Detail FY27'!$AA:$AA,'Employee Detail FY27'!$B:$B,$C114,'Employee Detail FY27'!$C:$C,$D114,'Employee Detail FY27'!$E:$E,$F114,'Employee Detail FY27'!$F:$F,$G114,'Employee Detail FY27'!$G:$G,$H114),0)</f>
        <v>0</v>
      </c>
      <c r="W114" s="12">
        <f>ROUND(SUMIFS('Employee Detail FY28'!$AA:$AA,'Employee Detail FY28'!$B:$B,$C114,'Employee Detail FY28'!$C:$C,$D114,'Employee Detail FY28'!$E:$E,$F114,'Employee Detail FY28'!$F:$F,$G114,'Employee Detail FY28'!$G:$G,$H114),0)</f>
        <v>0</v>
      </c>
    </row>
    <row r="115" spans="1:37" outlineLevel="1" x14ac:dyDescent="0.2">
      <c r="A115" s="366" t="s">
        <v>1161</v>
      </c>
      <c r="B115" s="82" t="s">
        <v>1048</v>
      </c>
      <c r="C115" s="839" t="s">
        <v>135</v>
      </c>
      <c r="D115" s="837" t="s">
        <v>242</v>
      </c>
      <c r="E115" s="841"/>
      <c r="F115" s="102" t="s">
        <v>532</v>
      </c>
      <c r="G115" s="102" t="s">
        <v>556</v>
      </c>
      <c r="H115" s="103" t="s">
        <v>1046</v>
      </c>
      <c r="I115" s="103"/>
      <c r="J115" s="115"/>
      <c r="K115" s="115">
        <v>1875</v>
      </c>
      <c r="L115" s="115"/>
      <c r="M115" s="115"/>
      <c r="N115" s="115">
        <v>0</v>
      </c>
      <c r="O115" s="932">
        <f>ROUND(SUMIFS('Employee Detail FY22'!$AA:$AA,'Employee Detail FY22'!$B:$B,$C115,'Employee Detail FY22'!$C:$C,$D115,'Employee Detail FY22'!$E:$E,$F115,'Employee Detail FY22'!$F:$F,$G115,'Employee Detail FY22'!$G:$G,$H115),0)</f>
        <v>0</v>
      </c>
      <c r="P115" s="12">
        <f t="shared" si="20"/>
        <v>0</v>
      </c>
      <c r="Q115" s="932">
        <f>ROUND(SUMIFS('Employee Detail FY23'!$AA:$AA,'Employee Detail FY23'!$B:$B,$C115,'Employee Detail FY23'!$C:$C,$D115,'Employee Detail FY23'!$E:$E,$F115,'Employee Detail FY23'!$F:$F,$G115,'Employee Detail FY23'!$G:$G,$H115),0)</f>
        <v>0</v>
      </c>
      <c r="R115" s="12">
        <f t="shared" si="13"/>
        <v>0</v>
      </c>
      <c r="S115" s="12">
        <f>ROUND(SUMIFS('Employee Detail FY24'!$AA:$AA,'Employee Detail FY24'!$B:$B,$C115,'Employee Detail FY24'!$C:$C,$D115,'Employee Detail FY24'!$E:$E,$F115,'Employee Detail FY24'!$F:$F,$G115,'Employee Detail FY24'!$G:$G,$H115),0)</f>
        <v>0</v>
      </c>
      <c r="T115" s="12">
        <f>ROUND(SUMIFS('Employee Detail FY25'!$AA:$AA,'Employee Detail FY25'!$B:$B,$C115,'Employee Detail FY25'!$C:$C,$D115,'Employee Detail FY25'!$E:$E,$F115,'Employee Detail FY25'!$F:$F,$G115,'Employee Detail FY25'!$G:$G,$H115),0)</f>
        <v>0</v>
      </c>
      <c r="U115" s="12">
        <f>ROUND(SUMIFS('Employee Detail FY26'!$AA:$AA,'Employee Detail FY26'!$B:$B,$C115,'Employee Detail FY26'!$C:$C,$D115,'Employee Detail FY26'!$E:$E,$F115,'Employee Detail FY26'!$F:$F,$G115,'Employee Detail FY26'!$G:$G,$H115),0)</f>
        <v>0</v>
      </c>
      <c r="V115" s="12">
        <f>ROUND(SUMIFS('Employee Detail FY27'!$AA:$AA,'Employee Detail FY27'!$B:$B,$C115,'Employee Detail FY27'!$C:$C,$D115,'Employee Detail FY27'!$E:$E,$F115,'Employee Detail FY27'!$F:$F,$G115,'Employee Detail FY27'!$G:$G,$H115),0)</f>
        <v>0</v>
      </c>
      <c r="W115" s="12">
        <f>ROUND(SUMIFS('Employee Detail FY28'!$AA:$AA,'Employee Detail FY28'!$B:$B,$C115,'Employee Detail FY28'!$C:$C,$D115,'Employee Detail FY28'!$E:$E,$F115,'Employee Detail FY28'!$F:$F,$G115,'Employee Detail FY28'!$G:$G,$H115),0)</f>
        <v>0</v>
      </c>
    </row>
    <row r="116" spans="1:37" outlineLevel="1" x14ac:dyDescent="0.2">
      <c r="A116" s="366" t="s">
        <v>1162</v>
      </c>
      <c r="B116" s="82" t="s">
        <v>1048</v>
      </c>
      <c r="C116" s="839" t="s">
        <v>135</v>
      </c>
      <c r="D116" s="837" t="s">
        <v>249</v>
      </c>
      <c r="E116" s="841"/>
      <c r="F116" s="102" t="s">
        <v>468</v>
      </c>
      <c r="G116" s="102" t="s">
        <v>556</v>
      </c>
      <c r="H116" s="103" t="s">
        <v>1046</v>
      </c>
      <c r="I116" s="103"/>
      <c r="J116" s="115"/>
      <c r="K116" s="115">
        <v>937.5</v>
      </c>
      <c r="L116" s="115"/>
      <c r="M116" s="115"/>
      <c r="N116" s="115">
        <v>0</v>
      </c>
      <c r="O116" s="932">
        <f>ROUND(SUMIFS('Employee Detail FY22'!$AA:$AA,'Employee Detail FY22'!$B:$B,$C116,'Employee Detail FY22'!$C:$C,$D116,'Employee Detail FY22'!$E:$E,$F116,'Employee Detail FY22'!$F:$F,$G116,'Employee Detail FY22'!$G:$G,$H116),0)</f>
        <v>0</v>
      </c>
      <c r="P116" s="12">
        <f t="shared" si="20"/>
        <v>0</v>
      </c>
      <c r="Q116" s="932">
        <f>ROUND(SUMIFS('Employee Detail FY23'!$AA:$AA,'Employee Detail FY23'!$B:$B,$C116,'Employee Detail FY23'!$C:$C,$D116,'Employee Detail FY23'!$E:$E,$F116,'Employee Detail FY23'!$F:$F,$G116,'Employee Detail FY23'!$G:$G,$H116),0)</f>
        <v>0</v>
      </c>
      <c r="R116" s="12">
        <f t="shared" si="13"/>
        <v>0</v>
      </c>
      <c r="S116" s="12">
        <f>ROUND(SUMIFS('Employee Detail FY24'!$AA:$AA,'Employee Detail FY24'!$B:$B,$C116,'Employee Detail FY24'!$C:$C,$D116,'Employee Detail FY24'!$E:$E,$F116,'Employee Detail FY24'!$F:$F,$G116,'Employee Detail FY24'!$G:$G,$H116),0)</f>
        <v>0</v>
      </c>
      <c r="T116" s="12">
        <f>ROUND(SUMIFS('Employee Detail FY25'!$AA:$AA,'Employee Detail FY25'!$B:$B,$C116,'Employee Detail FY25'!$C:$C,$D116,'Employee Detail FY25'!$E:$E,$F116,'Employee Detail FY25'!$F:$F,$G116,'Employee Detail FY25'!$G:$G,$H116),0)</f>
        <v>0</v>
      </c>
      <c r="U116" s="12">
        <f>ROUND(SUMIFS('Employee Detail FY26'!$AA:$AA,'Employee Detail FY26'!$B:$B,$C116,'Employee Detail FY26'!$C:$C,$D116,'Employee Detail FY26'!$E:$E,$F116,'Employee Detail FY26'!$F:$F,$G116,'Employee Detail FY26'!$G:$G,$H116),0)</f>
        <v>0</v>
      </c>
      <c r="V116" s="12">
        <f>ROUND(SUMIFS('Employee Detail FY27'!$AA:$AA,'Employee Detail FY27'!$B:$B,$C116,'Employee Detail FY27'!$C:$C,$D116,'Employee Detail FY27'!$E:$E,$F116,'Employee Detail FY27'!$F:$F,$G116,'Employee Detail FY27'!$G:$G,$H116),0)</f>
        <v>0</v>
      </c>
      <c r="W116" s="12">
        <f>ROUND(SUMIFS('Employee Detail FY28'!$AA:$AA,'Employee Detail FY28'!$B:$B,$C116,'Employee Detail FY28'!$C:$C,$D116,'Employee Detail FY28'!$E:$E,$F116,'Employee Detail FY28'!$F:$F,$G116,'Employee Detail FY28'!$G:$G,$H116),0)</f>
        <v>0</v>
      </c>
    </row>
    <row r="117" spans="1:37" outlineLevel="1" x14ac:dyDescent="0.2">
      <c r="A117" s="366" t="s">
        <v>660</v>
      </c>
      <c r="B117" s="82" t="s">
        <v>1048</v>
      </c>
      <c r="C117" s="839" t="s">
        <v>135</v>
      </c>
      <c r="D117" s="837" t="s">
        <v>923</v>
      </c>
      <c r="E117" s="841"/>
      <c r="F117" s="102" t="s">
        <v>468</v>
      </c>
      <c r="G117" s="102" t="s">
        <v>465</v>
      </c>
      <c r="H117" s="103" t="s">
        <v>1204</v>
      </c>
      <c r="I117" s="103"/>
      <c r="J117" s="115"/>
      <c r="K117" s="115">
        <v>0</v>
      </c>
      <c r="L117" s="115"/>
      <c r="M117" s="115"/>
      <c r="N117" s="115">
        <v>0</v>
      </c>
      <c r="O117" s="932">
        <f>ROUND(SUMIFS('Employee Detail FY22'!$AA:$AA,'Employee Detail FY22'!$B:$B,$C117,'Employee Detail FY22'!$C:$C,$D117,'Employee Detail FY22'!$E:$E,$F117,'Employee Detail FY22'!$F:$F,$G117,'Employee Detail FY22'!$G:$G,$H117),0)</f>
        <v>0</v>
      </c>
      <c r="P117" s="12">
        <f t="shared" ref="P117:P118" si="21">O117-N117</f>
        <v>0</v>
      </c>
      <c r="Q117" s="932">
        <f>ROUND(SUMIFS('Employee Detail FY23'!$AA:$AA,'Employee Detail FY23'!$B:$B,$C117,'Employee Detail FY23'!$C:$C,$D117,'Employee Detail FY23'!$E:$E,$F117,'Employee Detail FY23'!$F:$F,$G117,'Employee Detail FY23'!$G:$G,$H117),0)</f>
        <v>0</v>
      </c>
      <c r="R117" s="12">
        <f t="shared" si="13"/>
        <v>0</v>
      </c>
      <c r="S117" s="115">
        <f>ROUND(SUMIFS('Employee Detail FY24'!$AA:$AA,'Employee Detail FY24'!$B:$B,$C117,'Employee Detail FY24'!$C:$C,$D117,'Employee Detail FY24'!$E:$E,$F117,'Employee Detail FY24'!$F:$F,$G117,'Employee Detail FY24'!$G:$G,$H117),0)</f>
        <v>0</v>
      </c>
      <c r="T117" s="115">
        <f>ROUND(SUMIFS('Employee Detail FY25'!$AA:$AA,'Employee Detail FY25'!$B:$B,$C117,'Employee Detail FY25'!$C:$C,$D117,'Employee Detail FY25'!$E:$E,$F117,'Employee Detail FY25'!$F:$F,$G117,'Employee Detail FY25'!$G:$G,$H117),0)</f>
        <v>0</v>
      </c>
      <c r="U117" s="115">
        <f>ROUND(SUMIFS('Employee Detail FY26'!$AA:$AA,'Employee Detail FY26'!$B:$B,$C117,'Employee Detail FY26'!$C:$C,$D117,'Employee Detail FY26'!$E:$E,$F117,'Employee Detail FY26'!$F:$F,$G117,'Employee Detail FY26'!$G:$G,$H117),0)</f>
        <v>0</v>
      </c>
      <c r="V117" s="115">
        <f>ROUND(SUMIFS('Employee Detail FY27'!$AA:$AA,'Employee Detail FY27'!$B:$B,$C117,'Employee Detail FY27'!$C:$C,$D117,'Employee Detail FY27'!$E:$E,$F117,'Employee Detail FY27'!$F:$F,$G117,'Employee Detail FY27'!$G:$G,$H117),0)</f>
        <v>0</v>
      </c>
      <c r="W117" s="115">
        <f>ROUND(SUMIFS('Employee Detail FY28'!$AA:$AA,'Employee Detail FY28'!$B:$B,$C117,'Employee Detail FY28'!$C:$C,$D117,'Employee Detail FY28'!$E:$E,$F117,'Employee Detail FY28'!$F:$F,$G117,'Employee Detail FY28'!$G:$G,$H117),0)</f>
        <v>0</v>
      </c>
    </row>
    <row r="118" spans="1:37" outlineLevel="1" x14ac:dyDescent="0.2">
      <c r="A118" s="366" t="s">
        <v>1163</v>
      </c>
      <c r="B118" s="82" t="s">
        <v>1048</v>
      </c>
      <c r="C118" s="839" t="s">
        <v>135</v>
      </c>
      <c r="D118" s="837" t="s">
        <v>1042</v>
      </c>
      <c r="E118" s="841"/>
      <c r="F118" s="102" t="s">
        <v>532</v>
      </c>
      <c r="G118" s="102" t="s">
        <v>465</v>
      </c>
      <c r="H118" s="103" t="s">
        <v>1204</v>
      </c>
      <c r="I118" s="103"/>
      <c r="J118" s="115"/>
      <c r="K118" s="115">
        <v>0</v>
      </c>
      <c r="L118" s="115"/>
      <c r="M118" s="115"/>
      <c r="N118" s="115">
        <v>0</v>
      </c>
      <c r="O118" s="932">
        <f>ROUND(SUMIFS('Employee Detail FY22'!$AA:$AA,'Employee Detail FY22'!$B:$B,$C118,'Employee Detail FY22'!$C:$C,$D118,'Employee Detail FY22'!$E:$E,$F118,'Employee Detail FY22'!$F:$F,$G118,'Employee Detail FY22'!$G:$G,$H118),0)</f>
        <v>0</v>
      </c>
      <c r="P118" s="12">
        <f t="shared" si="21"/>
        <v>0</v>
      </c>
      <c r="Q118" s="932">
        <f>ROUND(SUMIFS('Employee Detail FY23'!$AA:$AA,'Employee Detail FY23'!$B:$B,$C118,'Employee Detail FY23'!$C:$C,$D118,'Employee Detail FY23'!$E:$E,$F118,'Employee Detail FY23'!$F:$F,$G118,'Employee Detail FY23'!$G:$G,$H118),0)</f>
        <v>0</v>
      </c>
      <c r="R118" s="12">
        <f t="shared" si="13"/>
        <v>0</v>
      </c>
      <c r="S118" s="12">
        <f>ROUND(SUMIFS('Employee Detail FY24'!$AA:$AA,'Employee Detail FY24'!$B:$B,$C118,'Employee Detail FY24'!$C:$C,$D118,'Employee Detail FY24'!$E:$E,$F118,'Employee Detail FY24'!$F:$F,$G118,'Employee Detail FY24'!$G:$G,$H118),0)</f>
        <v>0</v>
      </c>
      <c r="T118" s="12">
        <f>ROUND(SUMIFS('Employee Detail FY25'!$AA:$AA,'Employee Detail FY25'!$B:$B,$C118,'Employee Detail FY25'!$C:$C,$D118,'Employee Detail FY25'!$E:$E,$F118,'Employee Detail FY25'!$F:$F,$G118,'Employee Detail FY25'!$G:$G,$H118),0)</f>
        <v>0</v>
      </c>
      <c r="U118" s="12">
        <f>ROUND(SUMIFS('Employee Detail FY26'!$AA:$AA,'Employee Detail FY26'!$B:$B,$C118,'Employee Detail FY26'!$C:$C,$D118,'Employee Detail FY26'!$E:$E,$F118,'Employee Detail FY26'!$F:$F,$G118,'Employee Detail FY26'!$G:$G,$H118),0)</f>
        <v>0</v>
      </c>
      <c r="V118" s="12">
        <f>ROUND(SUMIFS('Employee Detail FY27'!$AA:$AA,'Employee Detail FY27'!$B:$B,$C118,'Employee Detail FY27'!$C:$C,$D118,'Employee Detail FY27'!$E:$E,$F118,'Employee Detail FY27'!$F:$F,$G118,'Employee Detail FY27'!$G:$G,$H118),0)</f>
        <v>0</v>
      </c>
      <c r="W118" s="12">
        <f>ROUND(SUMIFS('Employee Detail FY28'!$AA:$AA,'Employee Detail FY28'!$B:$B,$C118,'Employee Detail FY28'!$C:$C,$D118,'Employee Detail FY28'!$E:$E,$F118,'Employee Detail FY28'!$F:$F,$G118,'Employee Detail FY28'!$G:$G,$H118),0)</f>
        <v>0</v>
      </c>
    </row>
    <row r="119" spans="1:37" outlineLevel="1" x14ac:dyDescent="0.2">
      <c r="A119" s="366" t="s">
        <v>661</v>
      </c>
      <c r="B119" s="82" t="s">
        <v>1048</v>
      </c>
      <c r="C119" s="839" t="s">
        <v>135</v>
      </c>
      <c r="D119" s="837" t="s">
        <v>242</v>
      </c>
      <c r="E119" s="841"/>
      <c r="F119" s="102" t="s">
        <v>532</v>
      </c>
      <c r="G119" s="102" t="s">
        <v>485</v>
      </c>
      <c r="H119" s="103" t="s">
        <v>1046</v>
      </c>
      <c r="I119" s="103"/>
      <c r="J119" s="115"/>
      <c r="K119" s="115">
        <v>2250</v>
      </c>
      <c r="L119" s="115"/>
      <c r="M119" s="115"/>
      <c r="N119" s="115">
        <v>0</v>
      </c>
      <c r="O119" s="932">
        <f>ROUND(SUMIFS('Employee Detail FY22'!$AA:$AA,'Employee Detail FY22'!$B:$B,$C119,'Employee Detail FY22'!$C:$C,$D119,'Employee Detail FY22'!$E:$E,$F119,'Employee Detail FY22'!$F:$F,$G119,'Employee Detail FY22'!$G:$G,$H119),0)</f>
        <v>0</v>
      </c>
      <c r="P119" s="12">
        <f t="shared" si="20"/>
        <v>0</v>
      </c>
      <c r="Q119" s="932">
        <f>ROUND(SUMIFS('Employee Detail FY23'!$AA:$AA,'Employee Detail FY23'!$B:$B,$C119,'Employee Detail FY23'!$C:$C,$D119,'Employee Detail FY23'!$E:$E,$F119,'Employee Detail FY23'!$F:$F,$G119,'Employee Detail FY23'!$G:$G,$H119),0)</f>
        <v>0</v>
      </c>
      <c r="R119" s="12">
        <f t="shared" si="13"/>
        <v>0</v>
      </c>
      <c r="S119" s="12">
        <f>ROUND(SUMIFS('Employee Detail FY24'!$AA:$AA,'Employee Detail FY24'!$B:$B,$C119,'Employee Detail FY24'!$C:$C,$D119,'Employee Detail FY24'!$E:$E,$F119,'Employee Detail FY24'!$F:$F,$G119,'Employee Detail FY24'!$G:$G,$H119),0)</f>
        <v>0</v>
      </c>
      <c r="T119" s="12">
        <f>ROUND(SUMIFS('Employee Detail FY25'!$AA:$AA,'Employee Detail FY25'!$B:$B,$C119,'Employee Detail FY25'!$C:$C,$D119,'Employee Detail FY25'!$E:$E,$F119,'Employee Detail FY25'!$F:$F,$G119,'Employee Detail FY25'!$G:$G,$H119),0)</f>
        <v>0</v>
      </c>
      <c r="U119" s="12">
        <f>ROUND(SUMIFS('Employee Detail FY26'!$AA:$AA,'Employee Detail FY26'!$B:$B,$C119,'Employee Detail FY26'!$C:$C,$D119,'Employee Detail FY26'!$E:$E,$F119,'Employee Detail FY26'!$F:$F,$G119,'Employee Detail FY26'!$G:$G,$H119),0)</f>
        <v>0</v>
      </c>
      <c r="V119" s="12">
        <f>ROUND(SUMIFS('Employee Detail FY27'!$AA:$AA,'Employee Detail FY27'!$B:$B,$C119,'Employee Detail FY27'!$C:$C,$D119,'Employee Detail FY27'!$E:$E,$F119,'Employee Detail FY27'!$F:$F,$G119,'Employee Detail FY27'!$G:$G,$H119),0)</f>
        <v>0</v>
      </c>
      <c r="W119" s="12">
        <f>ROUND(SUMIFS('Employee Detail FY28'!$AA:$AA,'Employee Detail FY28'!$B:$B,$C119,'Employee Detail FY28'!$C:$C,$D119,'Employee Detail FY28'!$E:$E,$F119,'Employee Detail FY28'!$F:$F,$G119,'Employee Detail FY28'!$G:$G,$H119),0)</f>
        <v>0</v>
      </c>
    </row>
    <row r="120" spans="1:37" outlineLevel="1" x14ac:dyDescent="0.2">
      <c r="A120" s="366" t="s">
        <v>662</v>
      </c>
      <c r="B120" s="82" t="s">
        <v>1048</v>
      </c>
      <c r="C120" s="839" t="s">
        <v>135</v>
      </c>
      <c r="D120" s="837">
        <v>698</v>
      </c>
      <c r="E120" s="841"/>
      <c r="F120" s="102" t="s">
        <v>468</v>
      </c>
      <c r="G120" s="102" t="s">
        <v>465</v>
      </c>
      <c r="H120" s="103" t="s">
        <v>1046</v>
      </c>
      <c r="I120" s="103"/>
      <c r="J120" s="115"/>
      <c r="K120" s="115">
        <v>0</v>
      </c>
      <c r="L120" s="115"/>
      <c r="M120" s="115"/>
      <c r="N120" s="115">
        <v>0</v>
      </c>
      <c r="O120" s="932">
        <f>ROUND(SUMIFS('Employee Detail FY22'!$AA:$AA,'Employee Detail FY22'!$B:$B,$C120,'Employee Detail FY22'!$C:$C,$D120,'Employee Detail FY22'!$E:$E,$F120,'Employee Detail FY22'!$F:$F,$G120,'Employee Detail FY22'!$G:$G,$H120),0)</f>
        <v>0</v>
      </c>
      <c r="P120" s="12">
        <f t="shared" ref="P120" si="22">O120-N120</f>
        <v>0</v>
      </c>
      <c r="Q120" s="932">
        <f>ROUND(SUMIFS('Employee Detail FY23'!$AA:$AA,'Employee Detail FY23'!$B:$B,$C120,'Employee Detail FY23'!$C:$C,$D120,'Employee Detail FY23'!$E:$E,$F120,'Employee Detail FY23'!$F:$F,$G120,'Employee Detail FY23'!$G:$G,$H120),0)</f>
        <v>0</v>
      </c>
      <c r="R120" s="12">
        <f t="shared" si="13"/>
        <v>0</v>
      </c>
      <c r="S120" s="12">
        <f>ROUND(SUMIFS('Employee Detail FY24'!$AA:$AA,'Employee Detail FY24'!$B:$B,$C120,'Employee Detail FY24'!$C:$C,$D120,'Employee Detail FY24'!$E:$E,$F120,'Employee Detail FY24'!$F:$F,$G120,'Employee Detail FY24'!$G:$G,$H120),0)</f>
        <v>0</v>
      </c>
      <c r="T120" s="12">
        <f>ROUND(SUMIFS('Employee Detail FY25'!$AA:$AA,'Employee Detail FY25'!$B:$B,$C120,'Employee Detail FY25'!$C:$C,$D120,'Employee Detail FY25'!$E:$E,$F120,'Employee Detail FY25'!$F:$F,$G120,'Employee Detail FY25'!$G:$G,$H120),0)</f>
        <v>0</v>
      </c>
      <c r="U120" s="12">
        <f>ROUND(SUMIFS('Employee Detail FY26'!$AA:$AA,'Employee Detail FY26'!$B:$B,$C120,'Employee Detail FY26'!$C:$C,$D120,'Employee Detail FY26'!$E:$E,$F120,'Employee Detail FY26'!$F:$F,$G120,'Employee Detail FY26'!$G:$G,$H120),0)</f>
        <v>0</v>
      </c>
      <c r="V120" s="12">
        <f>ROUND(SUMIFS('Employee Detail FY27'!$AA:$AA,'Employee Detail FY27'!$B:$B,$C120,'Employee Detail FY27'!$C:$C,$D120,'Employee Detail FY27'!$E:$E,$F120,'Employee Detail FY27'!$F:$F,$G120,'Employee Detail FY27'!$G:$G,$H120),0)</f>
        <v>0</v>
      </c>
      <c r="W120" s="12">
        <f>ROUND(SUMIFS('Employee Detail FY28'!$AA:$AA,'Employee Detail FY28'!$B:$B,$C120,'Employee Detail FY28'!$C:$C,$D120,'Employee Detail FY28'!$E:$E,$F120,'Employee Detail FY28'!$F:$F,$G120,'Employee Detail FY28'!$G:$G,$H120),0)</f>
        <v>0</v>
      </c>
    </row>
    <row r="121" spans="1:37" outlineLevel="1" x14ac:dyDescent="0.2">
      <c r="A121" s="366" t="s">
        <v>663</v>
      </c>
      <c r="B121" s="82" t="s">
        <v>1048</v>
      </c>
      <c r="C121" s="839" t="s">
        <v>135</v>
      </c>
      <c r="D121" s="837" t="s">
        <v>249</v>
      </c>
      <c r="E121" s="841"/>
      <c r="F121" s="102" t="s">
        <v>468</v>
      </c>
      <c r="G121" s="102" t="s">
        <v>485</v>
      </c>
      <c r="H121" s="103" t="s">
        <v>1046</v>
      </c>
      <c r="I121" s="103"/>
      <c r="J121" s="115"/>
      <c r="K121" s="115">
        <v>937.5</v>
      </c>
      <c r="L121" s="115"/>
      <c r="M121" s="115"/>
      <c r="N121" s="115">
        <v>0</v>
      </c>
      <c r="O121" s="932">
        <f>ROUND(SUMIFS('Employee Detail FY22'!$AA:$AA,'Employee Detail FY22'!$B:$B,$C121,'Employee Detail FY22'!$C:$C,$D121,'Employee Detail FY22'!$E:$E,$F121,'Employee Detail FY22'!$F:$F,$G121,'Employee Detail FY22'!$G:$G,$H121),0)</f>
        <v>0</v>
      </c>
      <c r="P121" s="12">
        <f t="shared" si="20"/>
        <v>0</v>
      </c>
      <c r="Q121" s="932">
        <f>ROUND(SUMIFS('Employee Detail FY23'!$AA:$AA,'Employee Detail FY23'!$B:$B,$C121,'Employee Detail FY23'!$C:$C,$D121,'Employee Detail FY23'!$E:$E,$F121,'Employee Detail FY23'!$F:$F,$G121,'Employee Detail FY23'!$G:$G,$H121),0)</f>
        <v>0</v>
      </c>
      <c r="R121" s="12">
        <f t="shared" si="13"/>
        <v>0</v>
      </c>
      <c r="S121" s="12">
        <f>ROUND(SUMIFS('Employee Detail FY24'!$AA:$AA,'Employee Detail FY24'!$B:$B,$C121,'Employee Detail FY24'!$C:$C,$D121,'Employee Detail FY24'!$E:$E,$F121,'Employee Detail FY24'!$F:$F,$G121,'Employee Detail FY24'!$G:$G,$H121),0)</f>
        <v>0</v>
      </c>
      <c r="T121" s="12">
        <f>ROUND(SUMIFS('Employee Detail FY25'!$AA:$AA,'Employee Detail FY25'!$B:$B,$C121,'Employee Detail FY25'!$C:$C,$D121,'Employee Detail FY25'!$E:$E,$F121,'Employee Detail FY25'!$F:$F,$G121,'Employee Detail FY25'!$G:$G,$H121),0)</f>
        <v>0</v>
      </c>
      <c r="U121" s="12">
        <f>ROUND(SUMIFS('Employee Detail FY26'!$AA:$AA,'Employee Detail FY26'!$B:$B,$C121,'Employee Detail FY26'!$C:$C,$D121,'Employee Detail FY26'!$E:$E,$F121,'Employee Detail FY26'!$F:$F,$G121,'Employee Detail FY26'!$G:$G,$H121),0)</f>
        <v>0</v>
      </c>
      <c r="V121" s="12">
        <f>ROUND(SUMIFS('Employee Detail FY27'!$AA:$AA,'Employee Detail FY27'!$B:$B,$C121,'Employee Detail FY27'!$C:$C,$D121,'Employee Detail FY27'!$E:$E,$F121,'Employee Detail FY27'!$F:$F,$G121,'Employee Detail FY27'!$G:$G,$H121),0)</f>
        <v>0</v>
      </c>
      <c r="W121" s="12">
        <f>ROUND(SUMIFS('Employee Detail FY28'!$AA:$AA,'Employee Detail FY28'!$B:$B,$C121,'Employee Detail FY28'!$C:$C,$D121,'Employee Detail FY28'!$E:$E,$F121,'Employee Detail FY28'!$F:$F,$G121,'Employee Detail FY28'!$G:$G,$H121),0)</f>
        <v>0</v>
      </c>
    </row>
    <row r="122" spans="1:37" s="332" customFormat="1" x14ac:dyDescent="0.2">
      <c r="A122" s="366" t="s">
        <v>1164</v>
      </c>
      <c r="B122" s="212" t="s">
        <v>174</v>
      </c>
      <c r="C122" s="846"/>
      <c r="D122" s="847"/>
      <c r="E122" s="847"/>
      <c r="F122" s="331"/>
      <c r="G122" s="331"/>
      <c r="H122" s="457"/>
      <c r="I122" s="458"/>
      <c r="J122" s="303">
        <f>SUM(J54:J121)</f>
        <v>1354812.2599999998</v>
      </c>
      <c r="K122" s="939">
        <f>SUM(K54:K121)</f>
        <v>1279957.5</v>
      </c>
      <c r="L122" s="939">
        <v>1842688</v>
      </c>
      <c r="M122" s="939">
        <v>1857155</v>
      </c>
      <c r="N122" s="939">
        <f>SUM(N54:N121)</f>
        <v>1822230</v>
      </c>
      <c r="O122" s="939">
        <f>SUM(O54:O121)</f>
        <v>1763230</v>
      </c>
      <c r="P122" s="939">
        <f t="shared" si="20"/>
        <v>-59000</v>
      </c>
      <c r="Q122" s="939">
        <f t="shared" ref="Q122:W122" si="23">SUM(Q54:Q121)</f>
        <v>1815361</v>
      </c>
      <c r="R122" s="303">
        <f t="shared" si="13"/>
        <v>-6869</v>
      </c>
      <c r="S122" s="303">
        <f t="shared" si="23"/>
        <v>2024217</v>
      </c>
      <c r="T122" s="303">
        <f t="shared" si="23"/>
        <v>2299504</v>
      </c>
      <c r="U122" s="303">
        <f t="shared" si="23"/>
        <v>2487794</v>
      </c>
      <c r="V122" s="303">
        <f t="shared" si="23"/>
        <v>2606584</v>
      </c>
      <c r="W122" s="303">
        <f t="shared" si="23"/>
        <v>2674973</v>
      </c>
      <c r="X122" s="92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outlineLevel="1" x14ac:dyDescent="0.2">
      <c r="A123" s="366" t="s">
        <v>664</v>
      </c>
      <c r="B123" s="82" t="s">
        <v>168</v>
      </c>
      <c r="C123" s="837"/>
      <c r="D123" s="841"/>
      <c r="E123" s="841"/>
      <c r="F123" s="101"/>
      <c r="G123" s="101"/>
      <c r="H123" s="103" t="s">
        <v>169</v>
      </c>
      <c r="I123" s="103"/>
      <c r="J123" s="115"/>
      <c r="K123" s="374"/>
      <c r="L123" s="374"/>
      <c r="M123" s="374"/>
      <c r="N123" s="374"/>
      <c r="O123" s="607"/>
      <c r="P123" s="12">
        <f t="shared" ref="P123:P127" si="24">O123-N123</f>
        <v>0</v>
      </c>
      <c r="Q123" s="12">
        <f>ROUND(SUMIFS('Employee Detail FY23'!$AA:$AA,'Employee Detail FY23'!$B:$B,$C123,'Employee Detail FY23'!$C:$C,$D123,'Employee Detail FY23'!$E:$E,$F123,'Employee Detail FY23'!$F:$F,$G123,'Employee Detail FY23'!$G:$G,$H123),0)</f>
        <v>0</v>
      </c>
      <c r="R123" s="12">
        <f t="shared" si="13"/>
        <v>0</v>
      </c>
      <c r="S123" s="12">
        <f>ROUND(SUMIFS('Employee Detail FY24'!$AA:$AA,'Employee Detail FY24'!$B:$B,$C123,'Employee Detail FY24'!$C:$C,$D123,'Employee Detail FY24'!$E:$E,$F123,'Employee Detail FY24'!$F:$F,$G123,'Employee Detail FY24'!$G:$G,$H123),0)</f>
        <v>0</v>
      </c>
      <c r="T123" s="12">
        <f>ROUND(SUMIFS('Employee Detail FY25'!$AA:$AA,'Employee Detail FY25'!$B:$B,$C123,'Employee Detail FY25'!$C:$C,$D123,'Employee Detail FY25'!$E:$E,$F123,'Employee Detail FY25'!$F:$F,$G123,'Employee Detail FY25'!$G:$G,$H123),0)</f>
        <v>0</v>
      </c>
      <c r="U123" s="12">
        <f>ROUND(SUMIFS('Employee Detail FY26'!$AA:$AA,'Employee Detail FY26'!$B:$B,$C123,'Employee Detail FY26'!$C:$C,$D123,'Employee Detail FY26'!$E:$E,$F123,'Employee Detail FY26'!$F:$F,$G123,'Employee Detail FY26'!$G:$G,$H123),0)</f>
        <v>0</v>
      </c>
      <c r="V123" s="12">
        <f>ROUND(SUMIFS('Employee Detail FY27'!$AA:$AA,'Employee Detail FY27'!$B:$B,$C123,'Employee Detail FY27'!$C:$C,$D123,'Employee Detail FY27'!$E:$E,$F123,'Employee Detail FY27'!$F:$F,$G123,'Employee Detail FY27'!$G:$G,$H123),0)</f>
        <v>0</v>
      </c>
      <c r="W123" s="12">
        <f>ROUND(SUMIFS('Employee Detail FY28'!$AA:$AA,'Employee Detail FY28'!$B:$B,$C123,'Employee Detail FY28'!$C:$C,$D123,'Employee Detail FY28'!$E:$E,$F123,'Employee Detail FY28'!$F:$F,$G123,'Employee Detail FY28'!$G:$G,$H123),0)</f>
        <v>0</v>
      </c>
    </row>
    <row r="124" spans="1:37" outlineLevel="1" x14ac:dyDescent="0.2">
      <c r="A124" s="366" t="s">
        <v>665</v>
      </c>
      <c r="B124" s="82"/>
      <c r="C124" s="839" t="s">
        <v>468</v>
      </c>
      <c r="D124" s="841" t="s">
        <v>145</v>
      </c>
      <c r="E124" s="841"/>
      <c r="F124" s="102" t="s">
        <v>468</v>
      </c>
      <c r="G124" s="102">
        <v>1000</v>
      </c>
      <c r="H124" s="104" t="s">
        <v>169</v>
      </c>
      <c r="I124" s="104"/>
      <c r="J124" s="115"/>
      <c r="K124" s="115">
        <v>23031.51</v>
      </c>
      <c r="L124" s="115">
        <v>168000</v>
      </c>
      <c r="M124" s="115">
        <v>140000</v>
      </c>
      <c r="N124" s="115">
        <v>248252</v>
      </c>
      <c r="O124" s="932">
        <f>ROUND(SUMIFS('Employee Detail FY22'!$AA:$AA,'Employee Detail FY22'!$B:$B,$C124,'Employee Detail FY22'!$C:$C,$D124,'Employee Detail FY22'!$E:$E,$F124,'Employee Detail FY22'!$F:$F,$G124,'Employee Detail FY22'!$G:$G,$H124),0)</f>
        <v>192252</v>
      </c>
      <c r="P124" s="12">
        <f t="shared" si="24"/>
        <v>-56000</v>
      </c>
      <c r="Q124" s="932">
        <f>ROUND(SUMIFS('Employee Detail FY23'!$AA:$AA,'Employee Detail FY23'!$B:$B,$C124,'Employee Detail FY23'!$C:$C,$D124,'Employee Detail FY23'!$E:$E,$F124,'Employee Detail FY23'!$F:$F,$G124,'Employee Detail FY23'!$G:$G,$H124),0)</f>
        <v>206607</v>
      </c>
      <c r="R124" s="12">
        <f t="shared" si="13"/>
        <v>-41645</v>
      </c>
      <c r="S124" s="12">
        <f>ROUND(SUMIFS('Employee Detail FY24'!$AA:$AA,'Employee Detail FY24'!$B:$B,$C124,'Employee Detail FY24'!$C:$C,$D124,'Employee Detail FY24'!$E:$E,$F124,'Employee Detail FY24'!$F:$F,$G124,'Employee Detail FY24'!$G:$G,$H124),0)</f>
        <v>174107</v>
      </c>
      <c r="T124" s="12">
        <f>ROUND(SUMIFS('Employee Detail FY25'!$AA:$AA,'Employee Detail FY25'!$B:$B,$C124,'Employee Detail FY25'!$C:$C,$D124,'Employee Detail FY25'!$E:$E,$F124,'Employee Detail FY25'!$F:$F,$G124,'Employee Detail FY25'!$G:$G,$H124),0)</f>
        <v>213370</v>
      </c>
      <c r="U124" s="12">
        <f>ROUND(SUMIFS('Employee Detail FY26'!$AA:$AA,'Employee Detail FY26'!$B:$B,$C124,'Employee Detail FY26'!$C:$C,$D124,'Employee Detail FY26'!$E:$E,$F124,'Employee Detail FY26'!$F:$F,$G124,'Employee Detail FY26'!$G:$G,$H124),0)</f>
        <v>254522</v>
      </c>
      <c r="V124" s="12">
        <f>ROUND(SUMIFS('Employee Detail FY27'!$AA:$AA,'Employee Detail FY27'!$B:$B,$C124,'Employee Detail FY27'!$C:$C,$D124,'Employee Detail FY27'!$E:$E,$F124,'Employee Detail FY27'!$F:$F,$G124,'Employee Detail FY27'!$G:$G,$H124),0)</f>
        <v>261340</v>
      </c>
      <c r="W124" s="12">
        <f>ROUND(SUMIFS('Employee Detail FY28'!$AA:$AA,'Employee Detail FY28'!$B:$B,$C124,'Employee Detail FY28'!$C:$C,$D124,'Employee Detail FY28'!$E:$E,$F124,'Employee Detail FY28'!$F:$F,$G124,'Employee Detail FY28'!$G:$G,$H124),0)</f>
        <v>268157</v>
      </c>
    </row>
    <row r="125" spans="1:37" outlineLevel="1" x14ac:dyDescent="0.2">
      <c r="A125" s="366" t="s">
        <v>666</v>
      </c>
      <c r="B125" s="82"/>
      <c r="C125" s="839" t="s">
        <v>473</v>
      </c>
      <c r="D125" s="834">
        <v>289</v>
      </c>
      <c r="E125" s="841"/>
      <c r="F125" s="102" t="s">
        <v>557</v>
      </c>
      <c r="G125" s="102">
        <v>1000</v>
      </c>
      <c r="H125" s="104" t="s">
        <v>169</v>
      </c>
      <c r="I125" s="104"/>
      <c r="J125" s="115"/>
      <c r="K125" s="115">
        <v>22650</v>
      </c>
      <c r="L125" s="115">
        <v>0</v>
      </c>
      <c r="M125" s="115">
        <v>0</v>
      </c>
      <c r="N125" s="115">
        <v>0</v>
      </c>
      <c r="O125" s="932">
        <f>ROUND(SUMIFS('Employee Detail FY22'!$AA:$AA,'Employee Detail FY22'!$B:$B,$C125,'Employee Detail FY22'!$C:$C,$D125,'Employee Detail FY22'!$E:$E,$F125,'Employee Detail FY22'!$F:$F,$G125,'Employee Detail FY22'!$G:$G,$H125),0)</f>
        <v>0</v>
      </c>
      <c r="P125" s="12">
        <f t="shared" si="24"/>
        <v>0</v>
      </c>
      <c r="Q125" s="932">
        <f>ROUND(SUMIFS('Employee Detail FY23'!$AA:$AA,'Employee Detail FY23'!$B:$B,$C125,'Employee Detail FY23'!$C:$C,$D125,'Employee Detail FY23'!$E:$E,$F125,'Employee Detail FY23'!$F:$F,$G125,'Employee Detail FY23'!$G:$G,$H125),0)</f>
        <v>0</v>
      </c>
      <c r="R125" s="115">
        <f t="shared" si="13"/>
        <v>0</v>
      </c>
      <c r="S125" s="115">
        <f>ROUND(SUMIFS('Employee Detail FY24'!$AA:$AA,'Employee Detail FY24'!$B:$B,$C125,'Employee Detail FY24'!$C:$C,$D125,'Employee Detail FY24'!$E:$E,$F125,'Employee Detail FY24'!$F:$F,$G125,'Employee Detail FY24'!$G:$G,$H125),0)</f>
        <v>0</v>
      </c>
      <c r="T125" s="115">
        <f>ROUND(SUMIFS('Employee Detail FY25'!$AA:$AA,'Employee Detail FY25'!$B:$B,$C125,'Employee Detail FY25'!$C:$C,$D125,'Employee Detail FY25'!$E:$E,$F125,'Employee Detail FY25'!$F:$F,$G125,'Employee Detail FY25'!$G:$G,$H125),0)</f>
        <v>0</v>
      </c>
      <c r="U125" s="115">
        <f>ROUND(SUMIFS('Employee Detail FY26'!$AA:$AA,'Employee Detail FY26'!$B:$B,$C125,'Employee Detail FY26'!$C:$C,$D125,'Employee Detail FY26'!$E:$E,$F125,'Employee Detail FY26'!$F:$F,$G125,'Employee Detail FY26'!$G:$G,$H125),0)</f>
        <v>0</v>
      </c>
      <c r="V125" s="115">
        <f>ROUND(SUMIFS('Employee Detail FY27'!$AA:$AA,'Employee Detail FY27'!$B:$B,$C125,'Employee Detail FY27'!$C:$C,$D125,'Employee Detail FY27'!$E:$E,$F125,'Employee Detail FY27'!$F:$F,$G125,'Employee Detail FY27'!$G:$G,$H125),0)</f>
        <v>0</v>
      </c>
      <c r="W125" s="115">
        <f>ROUND(SUMIFS('Employee Detail FY28'!$AA:$AA,'Employee Detail FY28'!$B:$B,$C125,'Employee Detail FY28'!$C:$C,$D125,'Employee Detail FY28'!$E:$E,$F125,'Employee Detail FY28'!$F:$F,$G125,'Employee Detail FY28'!$G:$G,$H125),0)</f>
        <v>0</v>
      </c>
    </row>
    <row r="126" spans="1:37" outlineLevel="1" x14ac:dyDescent="0.2">
      <c r="A126" s="366" t="s">
        <v>667</v>
      </c>
      <c r="B126" s="82"/>
      <c r="C126" s="837">
        <v>280</v>
      </c>
      <c r="D126" s="837">
        <v>624</v>
      </c>
      <c r="E126" s="841"/>
      <c r="F126" s="101">
        <v>430</v>
      </c>
      <c r="G126" s="101">
        <v>1000</v>
      </c>
      <c r="H126" s="103" t="s">
        <v>169</v>
      </c>
      <c r="I126" s="103"/>
      <c r="J126" s="115">
        <v>0</v>
      </c>
      <c r="K126" s="115">
        <v>0</v>
      </c>
      <c r="L126" s="115">
        <v>0</v>
      </c>
      <c r="M126" s="115">
        <v>0</v>
      </c>
      <c r="N126" s="115">
        <v>0</v>
      </c>
      <c r="O126" s="932">
        <f>ROUND(SUMIFS('Employee Detail FY22'!$AA:$AA,'Employee Detail FY22'!$B:$B,$C126,'Employee Detail FY22'!$C:$C,$D126,'Employee Detail FY22'!$E:$E,$F126,'Employee Detail FY22'!$F:$F,$G126,'Employee Detail FY22'!$G:$G,$H126),0)</f>
        <v>0</v>
      </c>
      <c r="P126" s="12">
        <f t="shared" si="24"/>
        <v>0</v>
      </c>
      <c r="Q126" s="932">
        <f>ROUND(SUMIFS('Employee Detail FY23'!$AA:$AA,'Employee Detail FY23'!$B:$B,$C126,'Employee Detail FY23'!$C:$C,$D126,'Employee Detail FY23'!$E:$E,$F126,'Employee Detail FY23'!$F:$F,$G126,'Employee Detail FY23'!$G:$G,$H126),0)</f>
        <v>0</v>
      </c>
      <c r="R126" s="12">
        <f t="shared" si="13"/>
        <v>0</v>
      </c>
      <c r="S126" s="12">
        <f>ROUND(SUMIFS('Employee Detail FY24'!$AA:$AA,'Employee Detail FY24'!$B:$B,$C126,'Employee Detail FY24'!$C:$C,$D126,'Employee Detail FY24'!$E:$E,$F126,'Employee Detail FY24'!$F:$F,$G126,'Employee Detail FY24'!$G:$G,$H126),0)</f>
        <v>0</v>
      </c>
      <c r="T126" s="12">
        <f>ROUND(SUMIFS('Employee Detail FY25'!$AA:$AA,'Employee Detail FY25'!$B:$B,$C126,'Employee Detail FY25'!$C:$C,$D126,'Employee Detail FY25'!$E:$E,$F126,'Employee Detail FY25'!$F:$F,$G126,'Employee Detail FY25'!$G:$G,$H126),0)</f>
        <v>0</v>
      </c>
      <c r="U126" s="12">
        <f>ROUND(SUMIFS('Employee Detail FY26'!$AA:$AA,'Employee Detail FY26'!$B:$B,$C126,'Employee Detail FY26'!$C:$C,$D126,'Employee Detail FY26'!$E:$E,$F126,'Employee Detail FY26'!$F:$F,$G126,'Employee Detail FY26'!$G:$G,$H126),0)</f>
        <v>0</v>
      </c>
      <c r="V126" s="12">
        <f>ROUND(SUMIFS('Employee Detail FY27'!$AA:$AA,'Employee Detail FY27'!$B:$B,$C126,'Employee Detail FY27'!$C:$C,$D126,'Employee Detail FY27'!$E:$E,$F126,'Employee Detail FY27'!$F:$F,$G126,'Employee Detail FY27'!$G:$G,$H126),0)</f>
        <v>0</v>
      </c>
      <c r="W126" s="12">
        <f>ROUND(SUMIFS('Employee Detail FY28'!$AA:$AA,'Employee Detail FY28'!$B:$B,$C126,'Employee Detail FY28'!$C:$C,$D126,'Employee Detail FY28'!$E:$E,$F126,'Employee Detail FY28'!$F:$F,$G126,'Employee Detail FY28'!$G:$G,$H126),0)</f>
        <v>0</v>
      </c>
      <c r="Y126" s="355"/>
    </row>
    <row r="127" spans="1:37" outlineLevel="1" x14ac:dyDescent="0.2">
      <c r="A127" s="366" t="s">
        <v>668</v>
      </c>
      <c r="B127" s="82"/>
      <c r="C127" s="837">
        <v>280</v>
      </c>
      <c r="D127" s="837">
        <v>633</v>
      </c>
      <c r="E127" s="841"/>
      <c r="F127" s="101">
        <v>430</v>
      </c>
      <c r="G127" s="101">
        <v>1000</v>
      </c>
      <c r="H127" s="103" t="s">
        <v>169</v>
      </c>
      <c r="I127" s="103"/>
      <c r="J127" s="115">
        <v>0</v>
      </c>
      <c r="K127" s="115">
        <v>0</v>
      </c>
      <c r="L127" s="115">
        <v>0</v>
      </c>
      <c r="M127" s="115">
        <v>0</v>
      </c>
      <c r="N127" s="115">
        <v>36338</v>
      </c>
      <c r="O127" s="932">
        <f>ROUND(SUMIFS('Employee Detail FY22'!$AA:$AA,'Employee Detail FY22'!$B:$B,$C127,'Employee Detail FY22'!$C:$C,$D127,'Employee Detail FY22'!$E:$E,$F127,'Employee Detail FY22'!$F:$F,$G127,'Employee Detail FY22'!$G:$G,$H127),0)</f>
        <v>36338</v>
      </c>
      <c r="P127" s="12">
        <f t="shared" si="24"/>
        <v>0</v>
      </c>
      <c r="Q127" s="932">
        <f>ROUND(SUMIFS('Employee Detail FY23'!$AA:$AA,'Employee Detail FY23'!$B:$B,$C127,'Employee Detail FY23'!$C:$C,$D127,'Employee Detail FY23'!$E:$E,$F127,'Employee Detail FY23'!$F:$F,$G127,'Employee Detail FY23'!$G:$G,$H127),0)</f>
        <v>37428</v>
      </c>
      <c r="R127" s="12">
        <f t="shared" si="13"/>
        <v>1090</v>
      </c>
      <c r="S127" s="12">
        <f>ROUND(SUMIFS('Employee Detail FY24'!$AA:$AA,'Employee Detail FY24'!$B:$B,$C127,'Employee Detail FY24'!$C:$C,$D127,'Employee Detail FY24'!$E:$E,$F127,'Employee Detail FY24'!$F:$F,$G127,'Employee Detail FY24'!$G:$G,$H127),0)</f>
        <v>38518</v>
      </c>
      <c r="T127" s="12">
        <f>ROUND(SUMIFS('Employee Detail FY25'!$AA:$AA,'Employee Detail FY25'!$B:$B,$C127,'Employee Detail FY25'!$C:$C,$D127,'Employee Detail FY25'!$E:$E,$F127,'Employee Detail FY25'!$F:$F,$G127,'Employee Detail FY25'!$G:$G,$H127),0)</f>
        <v>39608</v>
      </c>
      <c r="U127" s="12">
        <f>ROUND(SUMIFS('Employee Detail FY26'!$AA:$AA,'Employee Detail FY26'!$B:$B,$C127,'Employee Detail FY26'!$C:$C,$D127,'Employee Detail FY26'!$E:$E,$F127,'Employee Detail FY26'!$F:$F,$G127,'Employee Detail FY26'!$G:$G,$H127),0)</f>
        <v>40699</v>
      </c>
      <c r="V127" s="12">
        <f>ROUND(SUMIFS('Employee Detail FY27'!$AA:$AA,'Employee Detail FY27'!$B:$B,$C127,'Employee Detail FY27'!$C:$C,$D127,'Employee Detail FY27'!$E:$E,$F127,'Employee Detail FY27'!$F:$F,$G127,'Employee Detail FY27'!$G:$G,$H127),0)</f>
        <v>41789</v>
      </c>
      <c r="W127" s="12">
        <f>ROUND(SUMIFS('Employee Detail FY28'!$AA:$AA,'Employee Detail FY28'!$B:$B,$C127,'Employee Detail FY28'!$C:$C,$D127,'Employee Detail FY28'!$E:$E,$F127,'Employee Detail FY28'!$F:$F,$G127,'Employee Detail FY28'!$G:$G,$H127),0)</f>
        <v>42879</v>
      </c>
      <c r="Y127" s="355"/>
    </row>
    <row r="128" spans="1:37" outlineLevel="1" x14ac:dyDescent="0.2">
      <c r="A128" s="366" t="s">
        <v>669</v>
      </c>
      <c r="B128" s="706"/>
      <c r="C128" s="848"/>
      <c r="D128" s="849"/>
      <c r="E128" s="850"/>
      <c r="F128" s="707"/>
      <c r="G128" s="707"/>
      <c r="H128" s="708"/>
      <c r="I128" s="708"/>
      <c r="J128" s="115"/>
      <c r="K128" s="12"/>
      <c r="L128" s="115"/>
      <c r="M128" s="115"/>
      <c r="N128" s="115">
        <v>0</v>
      </c>
      <c r="O128" s="12">
        <f>ROUND(SUMIFS('Employee Detail FY22'!$AA:$AA,'Employee Detail FY22'!$B:$B,$C128,'Employee Detail FY22'!$C:$C,$D128,'Employee Detail FY22'!$E:$E,$F128,'Employee Detail FY22'!$F:$F,$G128,'Employee Detail FY22'!$G:$G,$H128),0)</f>
        <v>0</v>
      </c>
      <c r="P128" s="12">
        <f t="shared" si="15"/>
        <v>0</v>
      </c>
      <c r="Q128" s="12">
        <f>ROUND(SUMIFS('Employee Detail FY23'!$AA:$AA,'Employee Detail FY23'!$B:$B,$C128,'Employee Detail FY23'!$C:$C,$D128,'Employee Detail FY23'!$E:$E,$F128,'Employee Detail FY23'!$F:$F,$G128,'Employee Detail FY23'!$G:$G,$H128),0)</f>
        <v>0</v>
      </c>
      <c r="R128" s="12">
        <f t="shared" si="13"/>
        <v>0</v>
      </c>
      <c r="S128" s="12">
        <f>ROUND(SUMIFS('Employee Detail FY24'!$AA:$AA,'Employee Detail FY24'!$B:$B,$C128,'Employee Detail FY24'!$C:$C,$D128,'Employee Detail FY24'!$E:$E,$F128,'Employee Detail FY24'!$F:$F,$G128,'Employee Detail FY24'!$G:$G,$H128),0)</f>
        <v>0</v>
      </c>
      <c r="T128" s="12">
        <f>ROUND(SUMIFS('Employee Detail FY25'!$AA:$AA,'Employee Detail FY25'!$B:$B,$C128,'Employee Detail FY25'!$C:$C,$D128,'Employee Detail FY25'!$E:$E,$F128,'Employee Detail FY25'!$F:$F,$G128,'Employee Detail FY25'!$G:$G,$H128),0)</f>
        <v>0</v>
      </c>
      <c r="U128" s="12">
        <f>ROUND(SUMIFS('Employee Detail FY26'!$AA:$AA,'Employee Detail FY26'!$B:$B,$C128,'Employee Detail FY26'!$C:$C,$D128,'Employee Detail FY26'!$E:$E,$F128,'Employee Detail FY26'!$F:$F,$G128,'Employee Detail FY26'!$G:$G,$H128),0)</f>
        <v>0</v>
      </c>
      <c r="V128" s="12">
        <f>ROUND(SUMIFS('Employee Detail FY27'!$AA:$AA,'Employee Detail FY27'!$B:$B,$C128,'Employee Detail FY27'!$C:$C,$D128,'Employee Detail FY27'!$E:$E,$F128,'Employee Detail FY27'!$F:$F,$G128,'Employee Detail FY27'!$G:$G,$H128),0)</f>
        <v>0</v>
      </c>
      <c r="W128" s="12">
        <f>ROUND(SUMIFS('Employee Detail FY28'!$AA:$AA,'Employee Detail FY28'!$B:$B,$C128,'Employee Detail FY28'!$C:$C,$D128,'Employee Detail FY28'!$E:$E,$F128,'Employee Detail FY28'!$F:$F,$G128,'Employee Detail FY28'!$G:$G,$H128),0)</f>
        <v>0</v>
      </c>
    </row>
    <row r="129" spans="1:25" outlineLevel="1" x14ac:dyDescent="0.2">
      <c r="A129" s="366" t="s">
        <v>670</v>
      </c>
      <c r="B129" s="82"/>
      <c r="C129" s="837">
        <v>280</v>
      </c>
      <c r="D129" s="837">
        <v>624</v>
      </c>
      <c r="E129" s="841"/>
      <c r="F129" s="101">
        <v>430</v>
      </c>
      <c r="G129" s="101">
        <v>1000</v>
      </c>
      <c r="H129" s="103" t="s">
        <v>1062</v>
      </c>
      <c r="I129" s="103"/>
      <c r="J129" s="115"/>
      <c r="K129" s="115">
        <v>1350</v>
      </c>
      <c r="L129" s="115"/>
      <c r="M129" s="115"/>
      <c r="N129" s="115">
        <v>0</v>
      </c>
      <c r="O129" s="932">
        <f>ROUND(SUMIFS('Employee Detail FY22'!$AA:$AA,'Employee Detail FY22'!$B:$B,$C129,'Employee Detail FY22'!$C:$C,$D129,'Employee Detail FY22'!$E:$E,$F129,'Employee Detail FY22'!$F:$F,$G129,'Employee Detail FY22'!$G:$G,$H129),0)</f>
        <v>0</v>
      </c>
      <c r="P129" s="12">
        <f>O129-N129</f>
        <v>0</v>
      </c>
      <c r="Q129" s="932">
        <f>ROUND(SUMIFS('Employee Detail FY23'!$AA:$AA,'Employee Detail FY23'!$B:$B,$C129,'Employee Detail FY23'!$C:$C,$D129,'Employee Detail FY23'!$E:$E,$F129,'Employee Detail FY23'!$F:$F,$G129,'Employee Detail FY23'!$G:$G,$H129),0)</f>
        <v>0</v>
      </c>
      <c r="R129" s="12">
        <f t="shared" si="13"/>
        <v>0</v>
      </c>
      <c r="S129" s="12">
        <f>ROUND(SUMIFS('Employee Detail FY24'!$AA:$AA,'Employee Detail FY24'!$B:$B,$C129,'Employee Detail FY24'!$C:$C,$D129,'Employee Detail FY24'!$E:$E,$F129,'Employee Detail FY24'!$F:$F,$G129,'Employee Detail FY24'!$G:$G,$H129),0)</f>
        <v>0</v>
      </c>
      <c r="T129" s="12">
        <f>ROUND(SUMIFS('Employee Detail FY25'!$AA:$AA,'Employee Detail FY25'!$B:$B,$C129,'Employee Detail FY25'!$C:$C,$D129,'Employee Detail FY25'!$E:$E,$F129,'Employee Detail FY25'!$F:$F,$G129,'Employee Detail FY25'!$G:$G,$H129),0)</f>
        <v>0</v>
      </c>
      <c r="U129" s="12">
        <f>ROUND(SUMIFS('Employee Detail FY26'!$AA:$AA,'Employee Detail FY26'!$B:$B,$C129,'Employee Detail FY26'!$C:$C,$D129,'Employee Detail FY26'!$E:$E,$F129,'Employee Detail FY26'!$F:$F,$G129,'Employee Detail FY26'!$G:$G,$H129),0)</f>
        <v>0</v>
      </c>
      <c r="V129" s="12">
        <f>ROUND(SUMIFS('Employee Detail FY27'!$AA:$AA,'Employee Detail FY27'!$B:$B,$C129,'Employee Detail FY27'!$C:$C,$D129,'Employee Detail FY27'!$E:$E,$F129,'Employee Detail FY27'!$F:$F,$G129,'Employee Detail FY27'!$G:$G,$H129),0)</f>
        <v>0</v>
      </c>
      <c r="W129" s="12">
        <f>ROUND(SUMIFS('Employee Detail FY28'!$AA:$AA,'Employee Detail FY28'!$B:$B,$C129,'Employee Detail FY28'!$C:$C,$D129,'Employee Detail FY28'!$E:$E,$F129,'Employee Detail FY28'!$F:$F,$G129,'Employee Detail FY28'!$G:$G,$H129),0)</f>
        <v>0</v>
      </c>
      <c r="Y129" s="355"/>
    </row>
    <row r="130" spans="1:25" outlineLevel="1" x14ac:dyDescent="0.2">
      <c r="A130" s="366" t="s">
        <v>671</v>
      </c>
      <c r="B130" s="706"/>
      <c r="C130" s="848"/>
      <c r="D130" s="849"/>
      <c r="E130" s="850"/>
      <c r="F130" s="707"/>
      <c r="G130" s="707"/>
      <c r="H130" s="708"/>
      <c r="I130" s="708"/>
      <c r="J130" s="115"/>
      <c r="K130" s="12"/>
      <c r="L130" s="115"/>
      <c r="M130" s="115"/>
      <c r="N130" s="115">
        <v>0</v>
      </c>
      <c r="O130" s="12">
        <f>ROUND(SUMIFS('Employee Detail FY22'!$AA:$AA,'Employee Detail FY22'!$B:$B,$C130,'Employee Detail FY22'!$C:$C,$D130,'Employee Detail FY22'!$E:$E,$F130,'Employee Detail FY22'!$F:$F,$G130,'Employee Detail FY22'!$G:$G,$H130),0)</f>
        <v>0</v>
      </c>
      <c r="P130" s="12">
        <f t="shared" si="15"/>
        <v>0</v>
      </c>
      <c r="Q130" s="12">
        <f>ROUND(SUMIFS('Employee Detail FY23'!$AA:$AA,'Employee Detail FY23'!$B:$B,$C130,'Employee Detail FY23'!$C:$C,$D130,'Employee Detail FY23'!$E:$E,$F130,'Employee Detail FY23'!$F:$F,$G130,'Employee Detail FY23'!$G:$G,$H130),0)</f>
        <v>0</v>
      </c>
      <c r="R130" s="12">
        <f t="shared" si="13"/>
        <v>0</v>
      </c>
      <c r="S130" s="12">
        <f>ROUND(SUMIFS('Employee Detail FY24'!$AA:$AA,'Employee Detail FY24'!$B:$B,$C130,'Employee Detail FY24'!$C:$C,$D130,'Employee Detail FY24'!$E:$E,$F130,'Employee Detail FY24'!$F:$F,$G130,'Employee Detail FY24'!$G:$G,$H130),0)</f>
        <v>0</v>
      </c>
      <c r="T130" s="12">
        <f>ROUND(SUMIFS('Employee Detail FY25'!$AA:$AA,'Employee Detail FY25'!$B:$B,$C130,'Employee Detail FY25'!$C:$C,$D130,'Employee Detail FY25'!$E:$E,$F130,'Employee Detail FY25'!$F:$F,$G130,'Employee Detail FY25'!$G:$G,$H130),0)</f>
        <v>0</v>
      </c>
      <c r="U130" s="12">
        <f>ROUND(SUMIFS('Employee Detail FY26'!$AA:$AA,'Employee Detail FY26'!$B:$B,$C130,'Employee Detail FY26'!$C:$C,$D130,'Employee Detail FY26'!$E:$E,$F130,'Employee Detail FY26'!$F:$F,$G130,'Employee Detail FY26'!$G:$G,$H130),0)</f>
        <v>0</v>
      </c>
      <c r="V130" s="12">
        <f>ROUND(SUMIFS('Employee Detail FY27'!$AA:$AA,'Employee Detail FY27'!$B:$B,$C130,'Employee Detail FY27'!$C:$C,$D130,'Employee Detail FY27'!$E:$E,$F130,'Employee Detail FY27'!$F:$F,$G130,'Employee Detail FY27'!$G:$G,$H130),0)</f>
        <v>0</v>
      </c>
      <c r="W130" s="12">
        <f>ROUND(SUMIFS('Employee Detail FY28'!$AA:$AA,'Employee Detail FY28'!$B:$B,$C130,'Employee Detail FY28'!$C:$C,$D130,'Employee Detail FY28'!$E:$E,$F130,'Employee Detail FY28'!$F:$F,$G130,'Employee Detail FY28'!$G:$G,$H130),0)</f>
        <v>0</v>
      </c>
    </row>
    <row r="131" spans="1:25" outlineLevel="1" x14ac:dyDescent="0.2">
      <c r="A131" s="366" t="s">
        <v>672</v>
      </c>
      <c r="B131" s="82" t="s">
        <v>170</v>
      </c>
      <c r="C131" s="837"/>
      <c r="D131" s="841"/>
      <c r="E131" s="841"/>
      <c r="F131" s="101"/>
      <c r="G131" s="101"/>
      <c r="H131" s="103" t="s">
        <v>171</v>
      </c>
      <c r="I131" s="103"/>
      <c r="J131" s="115">
        <v>0</v>
      </c>
      <c r="K131" s="115"/>
      <c r="L131" s="115">
        <v>0</v>
      </c>
      <c r="M131" s="115">
        <v>0</v>
      </c>
      <c r="N131" s="115">
        <v>0</v>
      </c>
      <c r="O131" s="606">
        <f>ROUND(SUMIFS('Employee Detail FY22'!$AA:$AA,'Employee Detail FY22'!$B:$B,$C131,'Employee Detail FY22'!$C:$C,$D131,'Employee Detail FY22'!$E:$E,$F131,'Employee Detail FY22'!$F:$F,$G131,'Employee Detail FY22'!$G:$G,$H131),0)</f>
        <v>0</v>
      </c>
      <c r="P131" s="12">
        <f t="shared" ref="P131:P134" si="25">O131-N131</f>
        <v>0</v>
      </c>
      <c r="Q131" s="12">
        <f>ROUND(SUMIFS('Employee Detail FY23'!$AA:$AA,'Employee Detail FY23'!$B:$B,$C131,'Employee Detail FY23'!$C:$C,$D131,'Employee Detail FY23'!$E:$E,$F131,'Employee Detail FY23'!$F:$F,$G131,'Employee Detail FY23'!$G:$G,$H131),0)</f>
        <v>0</v>
      </c>
      <c r="R131" s="12">
        <f t="shared" si="13"/>
        <v>0</v>
      </c>
      <c r="S131" s="12">
        <f>ROUND(SUMIFS('Employee Detail FY24'!$AA:$AA,'Employee Detail FY24'!$B:$B,$C131,'Employee Detail FY24'!$C:$C,$D131,'Employee Detail FY24'!$E:$E,$F131,'Employee Detail FY24'!$F:$F,$G131,'Employee Detail FY24'!$G:$G,$H131),0)</f>
        <v>0</v>
      </c>
      <c r="T131" s="12">
        <f>ROUND(SUMIFS('Employee Detail FY25'!$AA:$AA,'Employee Detail FY25'!$B:$B,$C131,'Employee Detail FY25'!$C:$C,$D131,'Employee Detail FY25'!$E:$E,$F131,'Employee Detail FY25'!$F:$F,$G131,'Employee Detail FY25'!$G:$G,$H131),0)</f>
        <v>0</v>
      </c>
      <c r="U131" s="12">
        <f>ROUND(SUMIFS('Employee Detail FY26'!$AA:$AA,'Employee Detail FY26'!$B:$B,$C131,'Employee Detail FY26'!$C:$C,$D131,'Employee Detail FY26'!$E:$E,$F131,'Employee Detail FY26'!$F:$F,$G131,'Employee Detail FY26'!$G:$G,$H131),0)</f>
        <v>0</v>
      </c>
      <c r="V131" s="12">
        <f>ROUND(SUMIFS('Employee Detail FY27'!$AA:$AA,'Employee Detail FY27'!$B:$B,$C131,'Employee Detail FY27'!$C:$C,$D131,'Employee Detail FY27'!$E:$E,$F131,'Employee Detail FY27'!$F:$F,$G131,'Employee Detail FY27'!$G:$G,$H131),0)</f>
        <v>0</v>
      </c>
      <c r="W131" s="12">
        <f>ROUND(SUMIFS('Employee Detail FY28'!$AA:$AA,'Employee Detail FY28'!$B:$B,$C131,'Employee Detail FY28'!$C:$C,$D131,'Employee Detail FY28'!$E:$E,$F131,'Employee Detail FY28'!$F:$F,$G131,'Employee Detail FY28'!$G:$G,$H131),0)</f>
        <v>0</v>
      </c>
    </row>
    <row r="132" spans="1:25" outlineLevel="1" x14ac:dyDescent="0.2">
      <c r="A132" s="366" t="s">
        <v>673</v>
      </c>
      <c r="B132" s="82"/>
      <c r="C132" s="839" t="s">
        <v>468</v>
      </c>
      <c r="D132" s="841" t="s">
        <v>145</v>
      </c>
      <c r="E132" s="841"/>
      <c r="F132" s="102" t="s">
        <v>468</v>
      </c>
      <c r="G132" s="102" t="s">
        <v>458</v>
      </c>
      <c r="H132" s="104" t="s">
        <v>171</v>
      </c>
      <c r="I132" s="104"/>
      <c r="J132" s="115"/>
      <c r="K132" s="115">
        <v>66950.12</v>
      </c>
      <c r="L132" s="115">
        <v>98500</v>
      </c>
      <c r="M132" s="115">
        <v>98500</v>
      </c>
      <c r="N132" s="115">
        <v>98500</v>
      </c>
      <c r="O132" s="932">
        <f>ROUND(SUMIFS('Employee Detail FY22'!$AA:$AA,'Employee Detail FY22'!$B:$B,$C132,'Employee Detail FY22'!$C:$C,$D132,'Employee Detail FY22'!$E:$E,$F132,'Employee Detail FY22'!$F:$F,$G132,'Employee Detail FY22'!$G:$G,$H132),0)</f>
        <v>98500</v>
      </c>
      <c r="P132" s="12">
        <f t="shared" si="25"/>
        <v>0</v>
      </c>
      <c r="Q132" s="932">
        <f>ROUND(SUMIFS('Employee Detail FY23'!$AA:$AA,'Employee Detail FY23'!$B:$B,$C132,'Employee Detail FY23'!$C:$C,$D132,'Employee Detail FY23'!$E:$E,$F132,'Employee Detail FY23'!$F:$F,$G132,'Employee Detail FY23'!$G:$G,$H132),0)</f>
        <v>63860</v>
      </c>
      <c r="R132" s="12">
        <f t="shared" si="13"/>
        <v>-34640</v>
      </c>
      <c r="S132" s="12">
        <f>ROUND(SUMIFS('Employee Detail FY24'!$AA:$AA,'Employee Detail FY24'!$B:$B,$C132,'Employee Detail FY24'!$C:$C,$D132,'Employee Detail FY24'!$E:$E,$F132,'Employee Detail FY24'!$F:$F,$G132,'Employee Detail FY24'!$G:$G,$H132),0)</f>
        <v>65720</v>
      </c>
      <c r="T132" s="12">
        <f>ROUND(SUMIFS('Employee Detail FY25'!$AA:$AA,'Employee Detail FY25'!$B:$B,$C132,'Employee Detail FY25'!$C:$C,$D132,'Employee Detail FY25'!$E:$E,$F132,'Employee Detail FY25'!$F:$F,$G132,'Employee Detail FY25'!$G:$G,$H132),0)</f>
        <v>67580</v>
      </c>
      <c r="U132" s="12">
        <f>ROUND(SUMIFS('Employee Detail FY26'!$AA:$AA,'Employee Detail FY26'!$B:$B,$C132,'Employee Detail FY26'!$C:$C,$D132,'Employee Detail FY26'!$E:$E,$F132,'Employee Detail FY26'!$F:$F,$G132,'Employee Detail FY26'!$G:$G,$H132),0)</f>
        <v>69440</v>
      </c>
      <c r="V132" s="12">
        <f>ROUND(SUMIFS('Employee Detail FY27'!$AA:$AA,'Employee Detail FY27'!$B:$B,$C132,'Employee Detail FY27'!$C:$C,$D132,'Employee Detail FY27'!$E:$E,$F132,'Employee Detail FY27'!$F:$F,$G132,'Employee Detail FY27'!$G:$G,$H132),0)</f>
        <v>71300</v>
      </c>
      <c r="W132" s="12">
        <f>ROUND(SUMIFS('Employee Detail FY28'!$AA:$AA,'Employee Detail FY28'!$B:$B,$C132,'Employee Detail FY28'!$C:$C,$D132,'Employee Detail FY28'!$E:$E,$F132,'Employee Detail FY28'!$F:$F,$G132,'Employee Detail FY28'!$G:$G,$H132),0)</f>
        <v>73160</v>
      </c>
    </row>
    <row r="133" spans="1:25" outlineLevel="1" x14ac:dyDescent="0.2">
      <c r="A133" s="366" t="s">
        <v>674</v>
      </c>
      <c r="B133" s="82"/>
      <c r="C133" s="839" t="s">
        <v>462</v>
      </c>
      <c r="D133" s="837">
        <v>205</v>
      </c>
      <c r="E133" s="841"/>
      <c r="F133" s="102" t="s">
        <v>463</v>
      </c>
      <c r="G133" s="102" t="s">
        <v>461</v>
      </c>
      <c r="H133" s="104" t="s">
        <v>171</v>
      </c>
      <c r="I133" s="104"/>
      <c r="J133" s="115"/>
      <c r="K133" s="115">
        <v>0</v>
      </c>
      <c r="L133" s="115">
        <v>81500</v>
      </c>
      <c r="M133" s="115">
        <v>81500</v>
      </c>
      <c r="N133" s="115">
        <v>0</v>
      </c>
      <c r="O133" s="932">
        <f>ROUND(SUMIFS('Employee Detail FY22'!$AA:$AA,'Employee Detail FY22'!$B:$B,$C133,'Employee Detail FY22'!$C:$C,$D133,'Employee Detail FY22'!$E:$E,$F133,'Employee Detail FY22'!$F:$F,$G133,'Employee Detail FY22'!$G:$G,$H133),0)</f>
        <v>0</v>
      </c>
      <c r="P133" s="12">
        <f t="shared" ref="P133" si="26">O133-N133</f>
        <v>0</v>
      </c>
      <c r="Q133" s="932">
        <f>ROUND(SUMIFS('Employee Detail FY23'!$AA:$AA,'Employee Detail FY23'!$B:$B,$C133,'Employee Detail FY23'!$C:$C,$D133,'Employee Detail FY23'!$E:$E,$F133,'Employee Detail FY23'!$F:$F,$G133,'Employee Detail FY23'!$G:$G,$H133),0)</f>
        <v>83945</v>
      </c>
      <c r="R133" s="12">
        <f t="shared" si="13"/>
        <v>83945</v>
      </c>
      <c r="S133" s="12">
        <f>ROUND(SUMIFS('Employee Detail FY24'!$AA:$AA,'Employee Detail FY24'!$B:$B,$C133,'Employee Detail FY24'!$C:$C,$D133,'Employee Detail FY24'!$E:$E,$F133,'Employee Detail FY24'!$F:$F,$G133,'Employee Detail FY24'!$G:$G,$H133),0)</f>
        <v>86390</v>
      </c>
      <c r="T133" s="12">
        <f>ROUND(SUMIFS('Employee Detail FY25'!$AA:$AA,'Employee Detail FY25'!$B:$B,$C133,'Employee Detail FY25'!$C:$C,$D133,'Employee Detail FY25'!$E:$E,$F133,'Employee Detail FY25'!$F:$F,$G133,'Employee Detail FY25'!$G:$G,$H133),0)</f>
        <v>88835</v>
      </c>
      <c r="U133" s="12">
        <f>ROUND(SUMIFS('Employee Detail FY26'!$AA:$AA,'Employee Detail FY26'!$B:$B,$C133,'Employee Detail FY26'!$C:$C,$D133,'Employee Detail FY26'!$E:$E,$F133,'Employee Detail FY26'!$F:$F,$G133,'Employee Detail FY26'!$G:$G,$H133),0)</f>
        <v>91280</v>
      </c>
      <c r="V133" s="12">
        <f>ROUND(SUMIFS('Employee Detail FY27'!$AA:$AA,'Employee Detail FY27'!$B:$B,$C133,'Employee Detail FY27'!$C:$C,$D133,'Employee Detail FY27'!$E:$E,$F133,'Employee Detail FY27'!$F:$F,$G133,'Employee Detail FY27'!$G:$G,$H133),0)</f>
        <v>93725</v>
      </c>
      <c r="W133" s="12">
        <f>ROUND(SUMIFS('Employee Detail FY28'!$AA:$AA,'Employee Detail FY28'!$B:$B,$C133,'Employee Detail FY28'!$C:$C,$D133,'Employee Detail FY28'!$E:$E,$F133,'Employee Detail FY28'!$F:$F,$G133,'Employee Detail FY28'!$G:$G,$H133),0)</f>
        <v>96170</v>
      </c>
    </row>
    <row r="134" spans="1:25" outlineLevel="1" x14ac:dyDescent="0.2">
      <c r="A134" s="366" t="s">
        <v>675</v>
      </c>
      <c r="B134" s="82"/>
      <c r="C134" s="839" t="s">
        <v>135</v>
      </c>
      <c r="D134" s="837">
        <v>624</v>
      </c>
      <c r="E134" s="841"/>
      <c r="F134" s="102" t="s">
        <v>532</v>
      </c>
      <c r="G134" s="102" t="s">
        <v>461</v>
      </c>
      <c r="H134" s="104" t="s">
        <v>171</v>
      </c>
      <c r="I134" s="104"/>
      <c r="J134" s="115"/>
      <c r="K134" s="115">
        <v>79999.92</v>
      </c>
      <c r="L134" s="115">
        <v>81500</v>
      </c>
      <c r="M134" s="115">
        <v>81500</v>
      </c>
      <c r="N134" s="115">
        <v>0</v>
      </c>
      <c r="O134" s="932">
        <f>ROUND(SUMIFS('Employee Detail FY22'!$AA:$AA,'Employee Detail FY22'!$B:$B,$C134,'Employee Detail FY22'!$C:$C,$D134,'Employee Detail FY22'!$E:$E,$F134,'Employee Detail FY22'!$F:$F,$G134,'Employee Detail FY22'!$G:$G,$H134),0)</f>
        <v>0</v>
      </c>
      <c r="P134" s="12">
        <f t="shared" si="25"/>
        <v>0</v>
      </c>
      <c r="Q134" s="932">
        <f>ROUND(SUMIFS('Employee Detail FY23'!$AA:$AA,'Employee Detail FY23'!$B:$B,$C134,'Employee Detail FY23'!$C:$C,$D134,'Employee Detail FY23'!$E:$E,$F134,'Employee Detail FY23'!$F:$F,$G134,'Employee Detail FY23'!$G:$G,$H134),0)</f>
        <v>0</v>
      </c>
      <c r="R134" s="12">
        <f t="shared" si="13"/>
        <v>0</v>
      </c>
      <c r="S134" s="12">
        <f>ROUND(SUMIFS('Employee Detail FY24'!$AA:$AA,'Employee Detail FY24'!$B:$B,$C134,'Employee Detail FY24'!$C:$C,$D134,'Employee Detail FY24'!$E:$E,$F134,'Employee Detail FY24'!$F:$F,$G134,'Employee Detail FY24'!$G:$G,$H134),0)</f>
        <v>0</v>
      </c>
      <c r="T134" s="12">
        <f>ROUND(SUMIFS('Employee Detail FY25'!$AA:$AA,'Employee Detail FY25'!$B:$B,$C134,'Employee Detail FY25'!$C:$C,$D134,'Employee Detail FY25'!$E:$E,$F134,'Employee Detail FY25'!$F:$F,$G134,'Employee Detail FY25'!$G:$G,$H134),0)</f>
        <v>0</v>
      </c>
      <c r="U134" s="12">
        <f>ROUND(SUMIFS('Employee Detail FY26'!$AA:$AA,'Employee Detail FY26'!$B:$B,$C134,'Employee Detail FY26'!$C:$C,$D134,'Employee Detail FY26'!$E:$E,$F134,'Employee Detail FY26'!$F:$F,$G134,'Employee Detail FY26'!$G:$G,$H134),0)</f>
        <v>0</v>
      </c>
      <c r="V134" s="12">
        <f>ROUND(SUMIFS('Employee Detail FY27'!$AA:$AA,'Employee Detail FY27'!$B:$B,$C134,'Employee Detail FY27'!$C:$C,$D134,'Employee Detail FY27'!$E:$E,$F134,'Employee Detail FY27'!$F:$F,$G134,'Employee Detail FY27'!$G:$G,$H134),0)</f>
        <v>0</v>
      </c>
      <c r="W134" s="12">
        <f>ROUND(SUMIFS('Employee Detail FY28'!$AA:$AA,'Employee Detail FY28'!$B:$B,$C134,'Employee Detail FY28'!$C:$C,$D134,'Employee Detail FY28'!$E:$E,$F134,'Employee Detail FY28'!$F:$F,$G134,'Employee Detail FY28'!$G:$G,$H134),0)</f>
        <v>0</v>
      </c>
    </row>
    <row r="135" spans="1:25" outlineLevel="1" x14ac:dyDescent="0.2">
      <c r="A135" s="366" t="s">
        <v>676</v>
      </c>
      <c r="B135" s="706"/>
      <c r="C135" s="848"/>
      <c r="D135" s="849"/>
      <c r="E135" s="850"/>
      <c r="F135" s="707"/>
      <c r="G135" s="707"/>
      <c r="H135" s="708"/>
      <c r="I135" s="708"/>
      <c r="J135" s="115"/>
      <c r="K135" s="12"/>
      <c r="L135" s="115"/>
      <c r="M135" s="115"/>
      <c r="N135" s="115">
        <v>0</v>
      </c>
      <c r="O135" s="12">
        <f>ROUND(SUMIFS('Employee Detail FY22'!$AA:$AA,'Employee Detail FY22'!$B:$B,$C135,'Employee Detail FY22'!$C:$C,$D135,'Employee Detail FY22'!$E:$E,$F135,'Employee Detail FY22'!$F:$F,$G135,'Employee Detail FY22'!$G:$G,$H135),0)</f>
        <v>0</v>
      </c>
      <c r="P135" s="12">
        <f t="shared" si="15"/>
        <v>0</v>
      </c>
      <c r="Q135" s="12">
        <f>ROUND(SUMIFS('Employee Detail FY23'!$AA:$AA,'Employee Detail FY23'!$B:$B,$C135,'Employee Detail FY23'!$C:$C,$D135,'Employee Detail FY23'!$E:$E,$F135,'Employee Detail FY23'!$F:$F,$G135,'Employee Detail FY23'!$G:$G,$H135),0)</f>
        <v>0</v>
      </c>
      <c r="R135" s="12">
        <f t="shared" si="13"/>
        <v>0</v>
      </c>
      <c r="S135" s="12">
        <f>ROUND(SUMIFS('Employee Detail FY24'!$AA:$AA,'Employee Detail FY24'!$B:$B,$C135,'Employee Detail FY24'!$C:$C,$D135,'Employee Detail FY24'!$E:$E,$F135,'Employee Detail FY24'!$F:$F,$G135,'Employee Detail FY24'!$G:$G,$H135),0)</f>
        <v>0</v>
      </c>
      <c r="T135" s="12">
        <f>ROUND(SUMIFS('Employee Detail FY25'!$AA:$AA,'Employee Detail FY25'!$B:$B,$C135,'Employee Detail FY25'!$C:$C,$D135,'Employee Detail FY25'!$E:$E,$F135,'Employee Detail FY25'!$F:$F,$G135,'Employee Detail FY25'!$G:$G,$H135),0)</f>
        <v>0</v>
      </c>
      <c r="U135" s="12">
        <f>ROUND(SUMIFS('Employee Detail FY26'!$AA:$AA,'Employee Detail FY26'!$B:$B,$C135,'Employee Detail FY26'!$C:$C,$D135,'Employee Detail FY26'!$E:$E,$F135,'Employee Detail FY26'!$F:$F,$G135,'Employee Detail FY26'!$G:$G,$H135),0)</f>
        <v>0</v>
      </c>
      <c r="V135" s="12">
        <f>ROUND(SUMIFS('Employee Detail FY27'!$AA:$AA,'Employee Detail FY27'!$B:$B,$C135,'Employee Detail FY27'!$C:$C,$D135,'Employee Detail FY27'!$E:$E,$F135,'Employee Detail FY27'!$F:$F,$G135,'Employee Detail FY27'!$G:$G,$H135),0)</f>
        <v>0</v>
      </c>
      <c r="W135" s="12">
        <f>ROUND(SUMIFS('Employee Detail FY28'!$AA:$AA,'Employee Detail FY28'!$B:$B,$C135,'Employee Detail FY28'!$C:$C,$D135,'Employee Detail FY28'!$E:$E,$F135,'Employee Detail FY28'!$F:$F,$G135,'Employee Detail FY28'!$G:$G,$H135),0)</f>
        <v>0</v>
      </c>
    </row>
    <row r="136" spans="1:25" outlineLevel="1" x14ac:dyDescent="0.2">
      <c r="A136" s="366" t="s">
        <v>677</v>
      </c>
      <c r="B136" s="82" t="s">
        <v>1049</v>
      </c>
      <c r="C136" s="839" t="s">
        <v>135</v>
      </c>
      <c r="D136" s="837">
        <v>624</v>
      </c>
      <c r="E136" s="841"/>
      <c r="F136" s="102" t="s">
        <v>532</v>
      </c>
      <c r="G136" s="102" t="s">
        <v>461</v>
      </c>
      <c r="H136" s="104" t="s">
        <v>992</v>
      </c>
      <c r="I136" s="104"/>
      <c r="J136" s="115"/>
      <c r="K136" s="115">
        <v>2125</v>
      </c>
      <c r="L136" s="115"/>
      <c r="M136" s="115"/>
      <c r="N136" s="115">
        <v>0</v>
      </c>
      <c r="O136" s="932">
        <f>ROUND(SUMIFS('Employee Detail FY22'!$AA:$AA,'Employee Detail FY22'!$B:$B,$C136,'Employee Detail FY22'!$C:$C,$D136,'Employee Detail FY22'!$E:$E,$F136,'Employee Detail FY22'!$F:$F,$G136,'Employee Detail FY22'!$G:$G,$H136),0)</f>
        <v>0</v>
      </c>
      <c r="P136" s="12">
        <f t="shared" ref="P136:P138" si="27">O136-N136</f>
        <v>0</v>
      </c>
      <c r="Q136" s="932">
        <f>ROUND(SUMIFS('Employee Detail FY23'!$AA:$AA,'Employee Detail FY23'!$B:$B,$C136,'Employee Detail FY23'!$C:$C,$D136,'Employee Detail FY23'!$E:$E,$F136,'Employee Detail FY23'!$F:$F,$G136,'Employee Detail FY23'!$G:$G,$H136),0)</f>
        <v>0</v>
      </c>
      <c r="R136" s="12">
        <f t="shared" si="13"/>
        <v>0</v>
      </c>
      <c r="S136" s="12">
        <f>ROUND(SUMIFS('Employee Detail FY24'!$AA:$AA,'Employee Detail FY24'!$B:$B,$C136,'Employee Detail FY24'!$C:$C,$D136,'Employee Detail FY24'!$E:$E,$F136,'Employee Detail FY24'!$F:$F,$G136,'Employee Detail FY24'!$G:$G,$H136),0)</f>
        <v>0</v>
      </c>
      <c r="T136" s="12">
        <f>ROUND(SUMIFS('Employee Detail FY25'!$AA:$AA,'Employee Detail FY25'!$B:$B,$C136,'Employee Detail FY25'!$C:$C,$D136,'Employee Detail FY25'!$E:$E,$F136,'Employee Detail FY25'!$F:$F,$G136,'Employee Detail FY25'!$G:$G,$H136),0)</f>
        <v>0</v>
      </c>
      <c r="U136" s="12">
        <f>ROUND(SUMIFS('Employee Detail FY26'!$AA:$AA,'Employee Detail FY26'!$B:$B,$C136,'Employee Detail FY26'!$C:$C,$D136,'Employee Detail FY26'!$E:$E,$F136,'Employee Detail FY26'!$F:$F,$G136,'Employee Detail FY26'!$G:$G,$H136),0)</f>
        <v>0</v>
      </c>
      <c r="V136" s="12">
        <f>ROUND(SUMIFS('Employee Detail FY27'!$AA:$AA,'Employee Detail FY27'!$B:$B,$C136,'Employee Detail FY27'!$C:$C,$D136,'Employee Detail FY27'!$E:$E,$F136,'Employee Detail FY27'!$F:$F,$G136,'Employee Detail FY27'!$G:$G,$H136),0)</f>
        <v>0</v>
      </c>
      <c r="W136" s="12">
        <f>ROUND(SUMIFS('Employee Detail FY28'!$AA:$AA,'Employee Detail FY28'!$B:$B,$C136,'Employee Detail FY28'!$C:$C,$D136,'Employee Detail FY28'!$E:$E,$F136,'Employee Detail FY28'!$F:$F,$G136,'Employee Detail FY28'!$G:$G,$H136),0)</f>
        <v>0</v>
      </c>
    </row>
    <row r="137" spans="1:25" outlineLevel="1" x14ac:dyDescent="0.2">
      <c r="A137" s="366" t="s">
        <v>678</v>
      </c>
      <c r="B137" s="82" t="s">
        <v>1049</v>
      </c>
      <c r="C137" s="839" t="s">
        <v>135</v>
      </c>
      <c r="D137" s="837">
        <v>709</v>
      </c>
      <c r="E137" s="841"/>
      <c r="F137" s="102" t="s">
        <v>468</v>
      </c>
      <c r="G137" s="102" t="s">
        <v>461</v>
      </c>
      <c r="H137" s="104" t="s">
        <v>992</v>
      </c>
      <c r="I137" s="104"/>
      <c r="J137" s="115"/>
      <c r="K137" s="115">
        <v>937.5</v>
      </c>
      <c r="L137" s="115"/>
      <c r="M137" s="115"/>
      <c r="N137" s="115">
        <v>0</v>
      </c>
      <c r="O137" s="932">
        <f>ROUND(SUMIFS('Employee Detail FY22'!$AA:$AA,'Employee Detail FY22'!$B:$B,$C137,'Employee Detail FY22'!$C:$C,$D137,'Employee Detail FY22'!$E:$E,$F137,'Employee Detail FY22'!$F:$F,$G137,'Employee Detail FY22'!$G:$G,$H137),0)</f>
        <v>0</v>
      </c>
      <c r="P137" s="12">
        <f t="shared" si="27"/>
        <v>0</v>
      </c>
      <c r="Q137" s="932">
        <f>ROUND(SUMIFS('Employee Detail FY23'!$AA:$AA,'Employee Detail FY23'!$B:$B,$C137,'Employee Detail FY23'!$C:$C,$D137,'Employee Detail FY23'!$E:$E,$F137,'Employee Detail FY23'!$F:$F,$G137,'Employee Detail FY23'!$G:$G,$H137),0)</f>
        <v>0</v>
      </c>
      <c r="R137" s="12">
        <f t="shared" si="13"/>
        <v>0</v>
      </c>
      <c r="S137" s="12">
        <f>ROUND(SUMIFS('Employee Detail FY24'!$AA:$AA,'Employee Detail FY24'!$B:$B,$C137,'Employee Detail FY24'!$C:$C,$D137,'Employee Detail FY24'!$E:$E,$F137,'Employee Detail FY24'!$F:$F,$G137,'Employee Detail FY24'!$G:$G,$H137),0)</f>
        <v>0</v>
      </c>
      <c r="T137" s="12">
        <f>ROUND(SUMIFS('Employee Detail FY25'!$AA:$AA,'Employee Detail FY25'!$B:$B,$C137,'Employee Detail FY25'!$C:$C,$D137,'Employee Detail FY25'!$E:$E,$F137,'Employee Detail FY25'!$F:$F,$G137,'Employee Detail FY25'!$G:$G,$H137),0)</f>
        <v>0</v>
      </c>
      <c r="U137" s="12">
        <f>ROUND(SUMIFS('Employee Detail FY26'!$AA:$AA,'Employee Detail FY26'!$B:$B,$C137,'Employee Detail FY26'!$C:$C,$D137,'Employee Detail FY26'!$E:$E,$F137,'Employee Detail FY26'!$F:$F,$G137,'Employee Detail FY26'!$G:$G,$H137),0)</f>
        <v>0</v>
      </c>
      <c r="V137" s="12">
        <f>ROUND(SUMIFS('Employee Detail FY27'!$AA:$AA,'Employee Detail FY27'!$B:$B,$C137,'Employee Detail FY27'!$C:$C,$D137,'Employee Detail FY27'!$E:$E,$F137,'Employee Detail FY27'!$F:$F,$G137,'Employee Detail FY27'!$G:$G,$H137),0)</f>
        <v>0</v>
      </c>
      <c r="W137" s="12">
        <f>ROUND(SUMIFS('Employee Detail FY28'!$AA:$AA,'Employee Detail FY28'!$B:$B,$C137,'Employee Detail FY28'!$C:$C,$D137,'Employee Detail FY28'!$E:$E,$F137,'Employee Detail FY28'!$F:$F,$G137,'Employee Detail FY28'!$G:$G,$H137),0)</f>
        <v>0</v>
      </c>
    </row>
    <row r="138" spans="1:25" outlineLevel="1" x14ac:dyDescent="0.2">
      <c r="A138" s="366" t="s">
        <v>679</v>
      </c>
      <c r="B138" s="82" t="s">
        <v>1049</v>
      </c>
      <c r="C138" s="839" t="s">
        <v>468</v>
      </c>
      <c r="D138" s="841" t="s">
        <v>145</v>
      </c>
      <c r="E138" s="841"/>
      <c r="F138" s="102" t="s">
        <v>468</v>
      </c>
      <c r="G138" s="102" t="s">
        <v>458</v>
      </c>
      <c r="H138" s="104" t="s">
        <v>992</v>
      </c>
      <c r="I138" s="104"/>
      <c r="J138" s="115"/>
      <c r="K138" s="115">
        <v>9450</v>
      </c>
      <c r="L138" s="115"/>
      <c r="M138" s="115"/>
      <c r="N138" s="115">
        <v>0</v>
      </c>
      <c r="O138" s="932">
        <f>ROUND(SUMIFS('Employee Detail FY22'!$AA:$AA,'Employee Detail FY22'!$B:$B,$C138,'Employee Detail FY22'!$C:$C,$D138,'Employee Detail FY22'!$E:$E,$F138,'Employee Detail FY22'!$F:$F,$G138,'Employee Detail FY22'!$G:$G,$H138),0)</f>
        <v>0</v>
      </c>
      <c r="P138" s="12">
        <f t="shared" si="27"/>
        <v>0</v>
      </c>
      <c r="Q138" s="932">
        <f>ROUND(SUMIFS('Employee Detail FY23'!$AA:$AA,'Employee Detail FY23'!$B:$B,$C138,'Employee Detail FY23'!$C:$C,$D138,'Employee Detail FY23'!$E:$E,$F138,'Employee Detail FY23'!$F:$F,$G138,'Employee Detail FY23'!$G:$G,$H138),0)</f>
        <v>0</v>
      </c>
      <c r="R138" s="12">
        <f t="shared" ref="R138:R201" si="28">Q138-N138</f>
        <v>0</v>
      </c>
      <c r="S138" s="12">
        <f>ROUND(SUMIFS('Employee Detail FY24'!$AA:$AA,'Employee Detail FY24'!$B:$B,$C138,'Employee Detail FY24'!$C:$C,$D138,'Employee Detail FY24'!$E:$E,$F138,'Employee Detail FY24'!$F:$F,$G138,'Employee Detail FY24'!$G:$G,$H138),0)</f>
        <v>0</v>
      </c>
      <c r="T138" s="12">
        <f>ROUND(SUMIFS('Employee Detail FY25'!$AA:$AA,'Employee Detail FY25'!$B:$B,$C138,'Employee Detail FY25'!$C:$C,$D138,'Employee Detail FY25'!$E:$E,$F138,'Employee Detail FY25'!$F:$F,$G138,'Employee Detail FY25'!$G:$G,$H138),0)</f>
        <v>0</v>
      </c>
      <c r="U138" s="12">
        <f>ROUND(SUMIFS('Employee Detail FY26'!$AA:$AA,'Employee Detail FY26'!$B:$B,$C138,'Employee Detail FY26'!$C:$C,$D138,'Employee Detail FY26'!$E:$E,$F138,'Employee Detail FY26'!$F:$F,$G138,'Employee Detail FY26'!$G:$G,$H138),0)</f>
        <v>0</v>
      </c>
      <c r="V138" s="12">
        <f>ROUND(SUMIFS('Employee Detail FY27'!$AA:$AA,'Employee Detail FY27'!$B:$B,$C138,'Employee Detail FY27'!$C:$C,$D138,'Employee Detail FY27'!$E:$E,$F138,'Employee Detail FY27'!$F:$F,$G138,'Employee Detail FY27'!$G:$G,$H138),0)</f>
        <v>0</v>
      </c>
      <c r="W138" s="12">
        <f>ROUND(SUMIFS('Employee Detail FY28'!$AA:$AA,'Employee Detail FY28'!$B:$B,$C138,'Employee Detail FY28'!$C:$C,$D138,'Employee Detail FY28'!$E:$E,$F138,'Employee Detail FY28'!$F:$F,$G138,'Employee Detail FY28'!$G:$G,$H138),0)</f>
        <v>0</v>
      </c>
    </row>
    <row r="139" spans="1:25" outlineLevel="1" x14ac:dyDescent="0.2">
      <c r="A139" s="366" t="s">
        <v>680</v>
      </c>
      <c r="B139" s="706"/>
      <c r="C139" s="848"/>
      <c r="D139" s="849"/>
      <c r="E139" s="850"/>
      <c r="F139" s="707"/>
      <c r="G139" s="707"/>
      <c r="H139" s="708"/>
      <c r="I139" s="708"/>
      <c r="J139" s="115"/>
      <c r="K139" s="12"/>
      <c r="L139" s="115"/>
      <c r="M139" s="115"/>
      <c r="N139" s="115">
        <v>0</v>
      </c>
      <c r="O139" s="12">
        <f>ROUND(SUMIFS('Employee Detail FY22'!$AA:$AA,'Employee Detail FY22'!$B:$B,$C139,'Employee Detail FY22'!$C:$C,$D139,'Employee Detail FY22'!$E:$E,$F139,'Employee Detail FY22'!$F:$F,$G139,'Employee Detail FY22'!$G:$G,$H139),0)</f>
        <v>0</v>
      </c>
      <c r="P139" s="12">
        <f t="shared" si="15"/>
        <v>0</v>
      </c>
      <c r="Q139" s="12">
        <f>ROUND(SUMIFS('Employee Detail FY23'!$AA:$AA,'Employee Detail FY23'!$B:$B,$C139,'Employee Detail FY23'!$C:$C,$D139,'Employee Detail FY23'!$E:$E,$F139,'Employee Detail FY23'!$F:$F,$G139,'Employee Detail FY23'!$G:$G,$H139),0)</f>
        <v>0</v>
      </c>
      <c r="R139" s="12">
        <f t="shared" si="28"/>
        <v>0</v>
      </c>
      <c r="S139" s="12">
        <f>ROUND(SUMIFS('Employee Detail FY24'!$AA:$AA,'Employee Detail FY24'!$B:$B,$C139,'Employee Detail FY24'!$C:$C,$D139,'Employee Detail FY24'!$E:$E,$F139,'Employee Detail FY24'!$F:$F,$G139,'Employee Detail FY24'!$G:$G,$H139),0)</f>
        <v>0</v>
      </c>
      <c r="T139" s="12">
        <f>ROUND(SUMIFS('Employee Detail FY25'!$AA:$AA,'Employee Detail FY25'!$B:$B,$C139,'Employee Detail FY25'!$C:$C,$D139,'Employee Detail FY25'!$E:$E,$F139,'Employee Detail FY25'!$F:$F,$G139,'Employee Detail FY25'!$G:$G,$H139),0)</f>
        <v>0</v>
      </c>
      <c r="U139" s="12">
        <f>ROUND(SUMIFS('Employee Detail FY26'!$AA:$AA,'Employee Detail FY26'!$B:$B,$C139,'Employee Detail FY26'!$C:$C,$D139,'Employee Detail FY26'!$E:$E,$F139,'Employee Detail FY26'!$F:$F,$G139,'Employee Detail FY26'!$G:$G,$H139),0)</f>
        <v>0</v>
      </c>
      <c r="V139" s="12">
        <f>ROUND(SUMIFS('Employee Detail FY27'!$AA:$AA,'Employee Detail FY27'!$B:$B,$C139,'Employee Detail FY27'!$C:$C,$D139,'Employee Detail FY27'!$E:$E,$F139,'Employee Detail FY27'!$F:$F,$G139,'Employee Detail FY27'!$G:$G,$H139),0)</f>
        <v>0</v>
      </c>
      <c r="W139" s="12">
        <f>ROUND(SUMIFS('Employee Detail FY28'!$AA:$AA,'Employee Detail FY28'!$B:$B,$C139,'Employee Detail FY28'!$C:$C,$D139,'Employee Detail FY28'!$E:$E,$F139,'Employee Detail FY28'!$F:$F,$G139,'Employee Detail FY28'!$G:$G,$H139),0)</f>
        <v>0</v>
      </c>
    </row>
    <row r="140" spans="1:25" outlineLevel="1" x14ac:dyDescent="0.2">
      <c r="A140" s="366" t="s">
        <v>681</v>
      </c>
      <c r="B140" s="82" t="s">
        <v>172</v>
      </c>
      <c r="C140" s="837"/>
      <c r="D140" s="841"/>
      <c r="E140" s="841"/>
      <c r="F140" s="101"/>
      <c r="G140" s="101"/>
      <c r="H140" s="103" t="s">
        <v>173</v>
      </c>
      <c r="I140" s="103"/>
      <c r="J140" s="115">
        <v>0</v>
      </c>
      <c r="K140" s="115"/>
      <c r="L140" s="115">
        <v>0</v>
      </c>
      <c r="M140" s="115">
        <v>0</v>
      </c>
      <c r="N140" s="115">
        <v>0</v>
      </c>
      <c r="O140" s="606">
        <f>ROUND(SUMIFS('Employee Detail FY22'!$AA:$AA,'Employee Detail FY22'!$B:$B,$C140,'Employee Detail FY22'!$C:$C,$D140,'Employee Detail FY22'!$E:$E,$F140,'Employee Detail FY22'!$F:$F,$G140,'Employee Detail FY22'!$G:$G,$H140),0)</f>
        <v>0</v>
      </c>
      <c r="P140" s="12">
        <f t="shared" ref="P140:P152" si="29">O140-N140</f>
        <v>0</v>
      </c>
      <c r="Q140" s="12">
        <f>ROUND(SUMIFS('Employee Detail FY23'!$AA:$AA,'Employee Detail FY23'!$B:$B,$C140,'Employee Detail FY23'!$C:$C,$D140,'Employee Detail FY23'!$E:$E,$F140,'Employee Detail FY23'!$F:$F,$G140,'Employee Detail FY23'!$G:$G,$H140),0)</f>
        <v>0</v>
      </c>
      <c r="R140" s="12">
        <f t="shared" si="28"/>
        <v>0</v>
      </c>
      <c r="S140" s="12">
        <f>ROUND(SUMIFS('Employee Detail FY24'!$AA:$AA,'Employee Detail FY24'!$B:$B,$C140,'Employee Detail FY24'!$C:$C,$D140,'Employee Detail FY24'!$E:$E,$F140,'Employee Detail FY24'!$F:$F,$G140,'Employee Detail FY24'!$G:$G,$H140),0)</f>
        <v>0</v>
      </c>
      <c r="T140" s="12">
        <f>ROUND(SUMIFS('Employee Detail FY25'!$AA:$AA,'Employee Detail FY25'!$B:$B,$C140,'Employee Detail FY25'!$C:$C,$D140,'Employee Detail FY25'!$E:$E,$F140,'Employee Detail FY25'!$F:$F,$G140,'Employee Detail FY25'!$G:$G,$H140),0)</f>
        <v>0</v>
      </c>
      <c r="U140" s="12">
        <f>ROUND(SUMIFS('Employee Detail FY26'!$AA:$AA,'Employee Detail FY26'!$B:$B,$C140,'Employee Detail FY26'!$C:$C,$D140,'Employee Detail FY26'!$E:$E,$F140,'Employee Detail FY26'!$F:$F,$G140,'Employee Detail FY26'!$G:$G,$H140),0)</f>
        <v>0</v>
      </c>
      <c r="V140" s="12">
        <f>ROUND(SUMIFS('Employee Detail FY27'!$AA:$AA,'Employee Detail FY27'!$B:$B,$C140,'Employee Detail FY27'!$C:$C,$D140,'Employee Detail FY27'!$E:$E,$F140,'Employee Detail FY27'!$F:$F,$G140,'Employee Detail FY27'!$G:$G,$H140),0)</f>
        <v>0</v>
      </c>
      <c r="W140" s="12">
        <f>ROUND(SUMIFS('Employee Detail FY28'!$AA:$AA,'Employee Detail FY28'!$B:$B,$C140,'Employee Detail FY28'!$C:$C,$D140,'Employee Detail FY28'!$E:$E,$F140,'Employee Detail FY28'!$F:$F,$G140,'Employee Detail FY28'!$G:$G,$H140),0)</f>
        <v>0</v>
      </c>
    </row>
    <row r="141" spans="1:25" outlineLevel="1" x14ac:dyDescent="0.2">
      <c r="A141" s="366" t="s">
        <v>682</v>
      </c>
      <c r="B141" s="82"/>
      <c r="C141" s="839" t="s">
        <v>468</v>
      </c>
      <c r="D141" s="841" t="s">
        <v>145</v>
      </c>
      <c r="E141" s="841"/>
      <c r="F141" s="102" t="s">
        <v>468</v>
      </c>
      <c r="G141" s="102" t="s">
        <v>465</v>
      </c>
      <c r="H141" s="104" t="s">
        <v>173</v>
      </c>
      <c r="I141" s="104"/>
      <c r="J141" s="115"/>
      <c r="K141" s="115">
        <v>36306.79</v>
      </c>
      <c r="L141" s="115">
        <v>36000</v>
      </c>
      <c r="M141" s="115">
        <v>36000</v>
      </c>
      <c r="N141" s="115">
        <v>0</v>
      </c>
      <c r="O141" s="932">
        <f>ROUND(SUMIFS('Employee Detail FY22'!$AA:$AA,'Employee Detail FY22'!$B:$B,$C141,'Employee Detail FY22'!$C:$C,$D141,'Employee Detail FY22'!$E:$E,$F141,'Employee Detail FY22'!$F:$F,$G141,'Employee Detail FY22'!$G:$G,$H141),0)</f>
        <v>0</v>
      </c>
      <c r="P141" s="12">
        <f t="shared" si="29"/>
        <v>0</v>
      </c>
      <c r="Q141" s="932">
        <f>ROUND(SUMIFS('Employee Detail FY23'!$AA:$AA,'Employee Detail FY23'!$B:$B,$C141,'Employee Detail FY23'!$C:$C,$D141,'Employee Detail FY23'!$E:$E,$F141,'Employee Detail FY23'!$F:$F,$G141,'Employee Detail FY23'!$G:$G,$H141),0)</f>
        <v>0</v>
      </c>
      <c r="R141" s="12">
        <f t="shared" si="28"/>
        <v>0</v>
      </c>
      <c r="S141" s="12">
        <f>ROUND(SUMIFS('Employee Detail FY24'!$AA:$AA,'Employee Detail FY24'!$B:$B,$C141,'Employee Detail FY24'!$C:$C,$D141,'Employee Detail FY24'!$E:$E,$F141,'Employee Detail FY24'!$F:$F,$G141,'Employee Detail FY24'!$G:$G,$H141),0)</f>
        <v>43831</v>
      </c>
      <c r="T141" s="12">
        <f>ROUND(SUMIFS('Employee Detail FY25'!$AA:$AA,'Employee Detail FY25'!$B:$B,$C141,'Employee Detail FY25'!$C:$C,$D141,'Employee Detail FY25'!$E:$E,$F141,'Employee Detail FY25'!$F:$F,$G141,'Employee Detail FY25'!$G:$G,$H141),0)</f>
        <v>45072</v>
      </c>
      <c r="U141" s="12">
        <f>ROUND(SUMIFS('Employee Detail FY26'!$AA:$AA,'Employee Detail FY26'!$B:$B,$C141,'Employee Detail FY26'!$C:$C,$D141,'Employee Detail FY26'!$E:$E,$F141,'Employee Detail FY26'!$F:$F,$G141,'Employee Detail FY26'!$G:$G,$H141),0)</f>
        <v>46312</v>
      </c>
      <c r="V141" s="12">
        <f>ROUND(SUMIFS('Employee Detail FY27'!$AA:$AA,'Employee Detail FY27'!$B:$B,$C141,'Employee Detail FY27'!$C:$C,$D141,'Employee Detail FY27'!$E:$E,$F141,'Employee Detail FY27'!$F:$F,$G141,'Employee Detail FY27'!$G:$G,$H141),0)</f>
        <v>47553</v>
      </c>
      <c r="W141" s="12">
        <f>ROUND(SUMIFS('Employee Detail FY28'!$AA:$AA,'Employee Detail FY28'!$B:$B,$C141,'Employee Detail FY28'!$C:$C,$D141,'Employee Detail FY28'!$E:$E,$F141,'Employee Detail FY28'!$F:$F,$G141,'Employee Detail FY28'!$G:$G,$H141),0)</f>
        <v>48793</v>
      </c>
    </row>
    <row r="142" spans="1:25" outlineLevel="1" x14ac:dyDescent="0.2">
      <c r="A142" s="366" t="s">
        <v>683</v>
      </c>
      <c r="B142" s="82"/>
      <c r="C142" s="837">
        <v>280</v>
      </c>
      <c r="D142" s="837">
        <v>658</v>
      </c>
      <c r="E142" s="841"/>
      <c r="F142" s="101">
        <v>420</v>
      </c>
      <c r="G142" s="102" t="s">
        <v>465</v>
      </c>
      <c r="H142" s="103" t="s">
        <v>173</v>
      </c>
      <c r="I142" s="103"/>
      <c r="J142" s="115"/>
      <c r="K142" s="115">
        <v>0</v>
      </c>
      <c r="L142" s="115">
        <v>0</v>
      </c>
      <c r="M142" s="115">
        <v>6683</v>
      </c>
      <c r="N142" s="115">
        <v>0</v>
      </c>
      <c r="O142" s="932">
        <f>ROUND(SUMIFS('Employee Detail FY22'!$AA:$AA,'Employee Detail FY22'!$B:$B,$C142,'Employee Detail FY22'!$C:$C,$D142,'Employee Detail FY22'!$E:$E,$F142,'Employee Detail FY22'!$F:$F,$G142,'Employee Detail FY22'!$G:$G,$H142),0)</f>
        <v>0</v>
      </c>
      <c r="P142" s="12">
        <f t="shared" si="29"/>
        <v>0</v>
      </c>
      <c r="Q142" s="932">
        <f>ROUND(SUMIFS('Employee Detail FY23'!$AA:$AA,'Employee Detail FY23'!$B:$B,$C142,'Employee Detail FY23'!$C:$C,$D142,'Employee Detail FY23'!$E:$E,$F142,'Employee Detail FY23'!$F:$F,$G142,'Employee Detail FY23'!$G:$G,$H142),0)</f>
        <v>0</v>
      </c>
      <c r="R142" s="12">
        <f t="shared" si="28"/>
        <v>0</v>
      </c>
      <c r="S142" s="12">
        <f>ROUND(SUMIFS('Employee Detail FY24'!$AA:$AA,'Employee Detail FY24'!$B:$B,$C142,'Employee Detail FY24'!$C:$C,$D142,'Employee Detail FY24'!$E:$E,$F142,'Employee Detail FY24'!$F:$F,$G142,'Employee Detail FY24'!$G:$G,$H142),0)</f>
        <v>0</v>
      </c>
      <c r="T142" s="12">
        <f>ROUND(SUMIFS('Employee Detail FY25'!$AA:$AA,'Employee Detail FY25'!$B:$B,$C142,'Employee Detail FY25'!$C:$C,$D142,'Employee Detail FY25'!$E:$E,$F142,'Employee Detail FY25'!$F:$F,$G142,'Employee Detail FY25'!$G:$G,$H142),0)</f>
        <v>0</v>
      </c>
      <c r="U142" s="12">
        <f>ROUND(SUMIFS('Employee Detail FY26'!$AA:$AA,'Employee Detail FY26'!$B:$B,$C142,'Employee Detail FY26'!$C:$C,$D142,'Employee Detail FY26'!$E:$E,$F142,'Employee Detail FY26'!$F:$F,$G142,'Employee Detail FY26'!$G:$G,$H142),0)</f>
        <v>0</v>
      </c>
      <c r="V142" s="12">
        <f>ROUND(SUMIFS('Employee Detail FY27'!$AA:$AA,'Employee Detail FY27'!$B:$B,$C142,'Employee Detail FY27'!$C:$C,$D142,'Employee Detail FY27'!$E:$E,$F142,'Employee Detail FY27'!$F:$F,$G142,'Employee Detail FY27'!$G:$G,$H142),0)</f>
        <v>0</v>
      </c>
      <c r="W142" s="12">
        <f>ROUND(SUMIFS('Employee Detail FY28'!$AA:$AA,'Employee Detail FY28'!$B:$B,$C142,'Employee Detail FY28'!$C:$C,$D142,'Employee Detail FY28'!$E:$E,$F142,'Employee Detail FY28'!$F:$F,$G142,'Employee Detail FY28'!$G:$G,$H142),0)</f>
        <v>0</v>
      </c>
    </row>
    <row r="143" spans="1:25" outlineLevel="1" x14ac:dyDescent="0.2">
      <c r="A143" s="366" t="s">
        <v>684</v>
      </c>
      <c r="B143" s="82"/>
      <c r="C143" s="837">
        <v>280</v>
      </c>
      <c r="D143" s="837">
        <v>661</v>
      </c>
      <c r="E143" s="841"/>
      <c r="F143" s="101">
        <v>100</v>
      </c>
      <c r="G143" s="102" t="s">
        <v>465</v>
      </c>
      <c r="H143" s="103" t="s">
        <v>173</v>
      </c>
      <c r="I143" s="103"/>
      <c r="J143" s="115"/>
      <c r="K143" s="115">
        <v>16495.55</v>
      </c>
      <c r="L143" s="115"/>
      <c r="M143" s="115"/>
      <c r="N143" s="115">
        <v>41350</v>
      </c>
      <c r="O143" s="932">
        <f>ROUND(SUMIFS('Employee Detail FY22'!$AA:$AA,'Employee Detail FY22'!$B:$B,$C143,'Employee Detail FY22'!$C:$C,$D143,'Employee Detail FY22'!$E:$E,$F143,'Employee Detail FY22'!$F:$F,$G143,'Employee Detail FY22'!$G:$G,$H143),0)</f>
        <v>41350</v>
      </c>
      <c r="P143" s="12">
        <f t="shared" si="29"/>
        <v>0</v>
      </c>
      <c r="Q143" s="932">
        <f>ROUND(SUMIFS('Employee Detail FY23'!$AA:$AA,'Employee Detail FY23'!$B:$B,$C143,'Employee Detail FY23'!$C:$C,$D143,'Employee Detail FY23'!$E:$E,$F143,'Employee Detail FY23'!$F:$F,$G143,'Employee Detail FY23'!$G:$G,$H143),0)</f>
        <v>42591</v>
      </c>
      <c r="R143" s="12">
        <f t="shared" si="28"/>
        <v>1241</v>
      </c>
      <c r="S143" s="115">
        <f>ROUND(SUMIFS('Employee Detail FY24'!$AA:$AA,'Employee Detail FY24'!$B:$B,$C143,'Employee Detail FY24'!$C:$C,$D143,'Employee Detail FY24'!$E:$E,$F143,'Employee Detail FY24'!$F:$F,$G143,'Employee Detail FY24'!$G:$G,$H143),0)</f>
        <v>0</v>
      </c>
      <c r="T143" s="115">
        <f>ROUND(SUMIFS('Employee Detail FY25'!$AA:$AA,'Employee Detail FY25'!$B:$B,$C143,'Employee Detail FY25'!$C:$C,$D143,'Employee Detail FY25'!$E:$E,$F143,'Employee Detail FY25'!$F:$F,$G143,'Employee Detail FY25'!$G:$G,$H143),0)</f>
        <v>0</v>
      </c>
      <c r="U143" s="115">
        <f>ROUND(SUMIFS('Employee Detail FY26'!$AA:$AA,'Employee Detail FY26'!$B:$B,$C143,'Employee Detail FY26'!$C:$C,$D143,'Employee Detail FY26'!$E:$E,$F143,'Employee Detail FY26'!$F:$F,$G143,'Employee Detail FY26'!$G:$G,$H143),0)</f>
        <v>0</v>
      </c>
      <c r="V143" s="115">
        <f>ROUND(SUMIFS('Employee Detail FY27'!$AA:$AA,'Employee Detail FY27'!$B:$B,$C143,'Employee Detail FY27'!$C:$C,$D143,'Employee Detail FY27'!$E:$E,$F143,'Employee Detail FY27'!$F:$F,$G143,'Employee Detail FY27'!$G:$G,$H143),0)</f>
        <v>0</v>
      </c>
      <c r="W143" s="115">
        <f>ROUND(SUMIFS('Employee Detail FY28'!$AA:$AA,'Employee Detail FY28'!$B:$B,$C143,'Employee Detail FY28'!$C:$C,$D143,'Employee Detail FY28'!$E:$E,$F143,'Employee Detail FY28'!$F:$F,$G143,'Employee Detail FY28'!$G:$G,$H143),0)</f>
        <v>0</v>
      </c>
    </row>
    <row r="144" spans="1:25" outlineLevel="1" x14ac:dyDescent="0.2">
      <c r="A144" s="366" t="s">
        <v>685</v>
      </c>
      <c r="B144" s="82"/>
      <c r="C144" s="837">
        <v>280</v>
      </c>
      <c r="D144" s="837">
        <v>658</v>
      </c>
      <c r="E144" s="841"/>
      <c r="F144" s="101">
        <v>420</v>
      </c>
      <c r="G144" s="102" t="s">
        <v>556</v>
      </c>
      <c r="H144" s="103" t="s">
        <v>173</v>
      </c>
      <c r="I144" s="103"/>
      <c r="J144" s="115"/>
      <c r="K144" s="115">
        <v>0</v>
      </c>
      <c r="L144" s="115"/>
      <c r="M144" s="115"/>
      <c r="N144" s="115">
        <v>6683</v>
      </c>
      <c r="O144" s="932">
        <f>ROUND(SUMIFS('Employee Detail FY22'!$AA:$AA,'Employee Detail FY22'!$B:$B,$C144,'Employee Detail FY22'!$C:$C,$D144,'Employee Detail FY22'!$E:$E,$F144,'Employee Detail FY22'!$F:$F,$G144,'Employee Detail FY22'!$G:$G,$H144),0)</f>
        <v>6683</v>
      </c>
      <c r="P144" s="12">
        <f t="shared" si="29"/>
        <v>0</v>
      </c>
      <c r="Q144" s="932">
        <f>ROUND(SUMIFS('Employee Detail FY23'!$AA:$AA,'Employee Detail FY23'!$B:$B,$C144,'Employee Detail FY23'!$C:$C,$D144,'Employee Detail FY23'!$E:$E,$F144,'Employee Detail FY23'!$F:$F,$G144,'Employee Detail FY23'!$G:$G,$H144),0)</f>
        <v>6683</v>
      </c>
      <c r="R144" s="12">
        <f t="shared" si="28"/>
        <v>0</v>
      </c>
      <c r="S144" s="12">
        <f>ROUND(SUMIFS('Employee Detail FY24'!$AA:$AA,'Employee Detail FY24'!$B:$B,$C144,'Employee Detail FY24'!$C:$C,$D144,'Employee Detail FY24'!$E:$E,$F144,'Employee Detail FY24'!$F:$F,$G144,'Employee Detail FY24'!$G:$G,$H144),0)</f>
        <v>7084</v>
      </c>
      <c r="T144" s="12">
        <f>ROUND(SUMIFS('Employee Detail FY25'!$AA:$AA,'Employee Detail FY25'!$B:$B,$C144,'Employee Detail FY25'!$C:$C,$D144,'Employee Detail FY25'!$E:$E,$F144,'Employee Detail FY25'!$F:$F,$G144,'Employee Detail FY25'!$G:$G,$H144),0)</f>
        <v>7284</v>
      </c>
      <c r="U144" s="12">
        <f>ROUND(SUMIFS('Employee Detail FY26'!$AA:$AA,'Employee Detail FY26'!$B:$B,$C144,'Employee Detail FY26'!$C:$C,$D144,'Employee Detail FY26'!$E:$E,$F144,'Employee Detail FY26'!$F:$F,$G144,'Employee Detail FY26'!$G:$G,$H144),0)</f>
        <v>7485</v>
      </c>
      <c r="V144" s="12">
        <f>ROUND(SUMIFS('Employee Detail FY27'!$AA:$AA,'Employee Detail FY27'!$B:$B,$C144,'Employee Detail FY27'!$C:$C,$D144,'Employee Detail FY27'!$E:$E,$F144,'Employee Detail FY27'!$F:$F,$G144,'Employee Detail FY27'!$G:$G,$H144),0)</f>
        <v>7685</v>
      </c>
      <c r="W144" s="12">
        <f>ROUND(SUMIFS('Employee Detail FY28'!$AA:$AA,'Employee Detail FY28'!$B:$B,$C144,'Employee Detail FY28'!$C:$C,$D144,'Employee Detail FY28'!$E:$E,$F144,'Employee Detail FY28'!$F:$F,$G144,'Employee Detail FY28'!$G:$G,$H144),0)</f>
        <v>7886</v>
      </c>
    </row>
    <row r="145" spans="1:37" outlineLevel="1" x14ac:dyDescent="0.2">
      <c r="A145" s="366" t="s">
        <v>686</v>
      </c>
      <c r="B145" s="82"/>
      <c r="C145" s="839" t="s">
        <v>468</v>
      </c>
      <c r="D145" s="841" t="s">
        <v>145</v>
      </c>
      <c r="E145" s="841"/>
      <c r="F145" s="102" t="s">
        <v>468</v>
      </c>
      <c r="G145" s="102" t="s">
        <v>558</v>
      </c>
      <c r="H145" s="104" t="s">
        <v>173</v>
      </c>
      <c r="I145" s="104"/>
      <c r="J145" s="115"/>
      <c r="K145" s="115">
        <v>49019.88</v>
      </c>
      <c r="L145" s="115">
        <v>50631</v>
      </c>
      <c r="M145" s="115">
        <v>50758</v>
      </c>
      <c r="N145" s="115">
        <v>50758</v>
      </c>
      <c r="O145" s="932">
        <f>ROUND(SUMIFS('Employee Detail FY22'!$AA:$AA,'Employee Detail FY22'!$B:$B,$C145,'Employee Detail FY22'!$C:$C,$D145,'Employee Detail FY22'!$E:$E,$F145,'Employee Detail FY22'!$F:$F,$G145,'Employee Detail FY22'!$G:$G,$H145),0)</f>
        <v>50758</v>
      </c>
      <c r="P145" s="12">
        <f t="shared" si="29"/>
        <v>0</v>
      </c>
      <c r="Q145" s="932">
        <f>ROUND(SUMIFS('Employee Detail FY23'!$AA:$AA,'Employee Detail FY23'!$B:$B,$C145,'Employee Detail FY23'!$C:$C,$D145,'Employee Detail FY23'!$E:$E,$F145,'Employee Detail FY23'!$F:$F,$G145,'Employee Detail FY23'!$G:$G,$H145),0)</f>
        <v>50617</v>
      </c>
      <c r="R145" s="12">
        <f t="shared" si="28"/>
        <v>-141</v>
      </c>
      <c r="S145" s="12">
        <f>ROUND(SUMIFS('Employee Detail FY24'!$AA:$AA,'Employee Detail FY24'!$B:$B,$C145,'Employee Detail FY24'!$C:$C,$D145,'Employee Detail FY24'!$E:$E,$F145,'Employee Detail FY24'!$F:$F,$G145,'Employee Detail FY24'!$G:$G,$H145),0)</f>
        <v>52091</v>
      </c>
      <c r="T145" s="12">
        <f>ROUND(SUMIFS('Employee Detail FY25'!$AA:$AA,'Employee Detail FY25'!$B:$B,$C145,'Employee Detail FY25'!$C:$C,$D145,'Employee Detail FY25'!$E:$E,$F145,'Employee Detail FY25'!$F:$F,$G145,'Employee Detail FY25'!$G:$G,$H145),0)</f>
        <v>53566</v>
      </c>
      <c r="U145" s="12">
        <f>ROUND(SUMIFS('Employee Detail FY26'!$AA:$AA,'Employee Detail FY26'!$B:$B,$C145,'Employee Detail FY26'!$C:$C,$D145,'Employee Detail FY26'!$E:$E,$F145,'Employee Detail FY26'!$F:$F,$G145,'Employee Detail FY26'!$G:$G,$H145),0)</f>
        <v>55040</v>
      </c>
      <c r="V145" s="12">
        <f>ROUND(SUMIFS('Employee Detail FY27'!$AA:$AA,'Employee Detail FY27'!$B:$B,$C145,'Employee Detail FY27'!$C:$C,$D145,'Employee Detail FY27'!$E:$E,$F145,'Employee Detail FY27'!$F:$F,$G145,'Employee Detail FY27'!$G:$G,$H145),0)</f>
        <v>56514</v>
      </c>
      <c r="W145" s="12">
        <f>ROUND(SUMIFS('Employee Detail FY28'!$AA:$AA,'Employee Detail FY28'!$B:$B,$C145,'Employee Detail FY28'!$C:$C,$D145,'Employee Detail FY28'!$E:$E,$F145,'Employee Detail FY28'!$F:$F,$G145,'Employee Detail FY28'!$G:$G,$H145),0)</f>
        <v>57988</v>
      </c>
    </row>
    <row r="146" spans="1:37" outlineLevel="1" x14ac:dyDescent="0.2">
      <c r="A146" s="366" t="s">
        <v>687</v>
      </c>
      <c r="B146" s="82"/>
      <c r="C146" s="837">
        <v>280</v>
      </c>
      <c r="D146" s="837">
        <v>624</v>
      </c>
      <c r="E146" s="841"/>
      <c r="F146" s="101">
        <v>430</v>
      </c>
      <c r="G146" s="102" t="s">
        <v>558</v>
      </c>
      <c r="H146" s="104" t="s">
        <v>173</v>
      </c>
      <c r="I146" s="103"/>
      <c r="J146" s="115">
        <v>0</v>
      </c>
      <c r="K146" s="115">
        <v>0</v>
      </c>
      <c r="L146" s="115">
        <v>0</v>
      </c>
      <c r="M146" s="115">
        <v>0</v>
      </c>
      <c r="N146" s="115">
        <v>0</v>
      </c>
      <c r="O146" s="932">
        <f>ROUND(SUMIFS('Employee Detail FY22'!$AA:$AA,'Employee Detail FY22'!$B:$B,$C146,'Employee Detail FY22'!$C:$C,$D146,'Employee Detail FY22'!$E:$E,$F146,'Employee Detail FY22'!$F:$F,$G146,'Employee Detail FY22'!$G:$G,$H146),0)</f>
        <v>0</v>
      </c>
      <c r="P146" s="12">
        <f t="shared" si="29"/>
        <v>0</v>
      </c>
      <c r="Q146" s="932">
        <f>ROUND(SUMIFS('Employee Detail FY23'!$AA:$AA,'Employee Detail FY23'!$B:$B,$C146,'Employee Detail FY23'!$C:$C,$D146,'Employee Detail FY23'!$E:$E,$F146,'Employee Detail FY23'!$F:$F,$G146,'Employee Detail FY23'!$G:$G,$H146),0)</f>
        <v>0</v>
      </c>
      <c r="R146" s="12">
        <f t="shared" si="28"/>
        <v>0</v>
      </c>
      <c r="S146" s="12">
        <f>ROUND(SUMIFS('Employee Detail FY24'!$AA:$AA,'Employee Detail FY24'!$B:$B,$C146,'Employee Detail FY24'!$C:$C,$D146,'Employee Detail FY24'!$E:$E,$F146,'Employee Detail FY24'!$F:$F,$G146,'Employee Detail FY24'!$G:$G,$H146),0)</f>
        <v>0</v>
      </c>
      <c r="T146" s="12">
        <f>ROUND(SUMIFS('Employee Detail FY25'!$AA:$AA,'Employee Detail FY25'!$B:$B,$C146,'Employee Detail FY25'!$C:$C,$D146,'Employee Detail FY25'!$E:$E,$F146,'Employee Detail FY25'!$F:$F,$G146,'Employee Detail FY25'!$G:$G,$H146),0)</f>
        <v>0</v>
      </c>
      <c r="U146" s="12">
        <f>ROUND(SUMIFS('Employee Detail FY26'!$AA:$AA,'Employee Detail FY26'!$B:$B,$C146,'Employee Detail FY26'!$C:$C,$D146,'Employee Detail FY26'!$E:$E,$F146,'Employee Detail FY26'!$F:$F,$G146,'Employee Detail FY26'!$G:$G,$H146),0)</f>
        <v>0</v>
      </c>
      <c r="V146" s="12">
        <f>ROUND(SUMIFS('Employee Detail FY27'!$AA:$AA,'Employee Detail FY27'!$B:$B,$C146,'Employee Detail FY27'!$C:$C,$D146,'Employee Detail FY27'!$E:$E,$F146,'Employee Detail FY27'!$F:$F,$G146,'Employee Detail FY27'!$G:$G,$H146),0)</f>
        <v>0</v>
      </c>
      <c r="W146" s="12">
        <f>ROUND(SUMIFS('Employee Detail FY28'!$AA:$AA,'Employee Detail FY28'!$B:$B,$C146,'Employee Detail FY28'!$C:$C,$D146,'Employee Detail FY28'!$E:$E,$F146,'Employee Detail FY28'!$F:$F,$G146,'Employee Detail FY28'!$G:$G,$H146),0)</f>
        <v>0</v>
      </c>
    </row>
    <row r="147" spans="1:37" outlineLevel="1" x14ac:dyDescent="0.2">
      <c r="A147" s="366" t="s">
        <v>688</v>
      </c>
      <c r="B147" s="82"/>
      <c r="C147" s="839" t="s">
        <v>468</v>
      </c>
      <c r="D147" s="841" t="s">
        <v>145</v>
      </c>
      <c r="E147" s="841"/>
      <c r="F147" s="102" t="s">
        <v>468</v>
      </c>
      <c r="G147" s="102" t="s">
        <v>460</v>
      </c>
      <c r="H147" s="104" t="s">
        <v>173</v>
      </c>
      <c r="I147" s="104"/>
      <c r="J147" s="115"/>
      <c r="K147" s="115">
        <v>138019.85999999999</v>
      </c>
      <c r="L147" s="115">
        <v>286199</v>
      </c>
      <c r="M147" s="115">
        <v>286326</v>
      </c>
      <c r="N147" s="115">
        <v>162002</v>
      </c>
      <c r="O147" s="932">
        <f>ROUND(SUMIFS('Employee Detail FY22'!$AA:$AA,'Employee Detail FY22'!$B:$B,$C147,'Employee Detail FY22'!$C:$C,$D147,'Employee Detail FY22'!$E:$E,$F147,'Employee Detail FY22'!$F:$F,$G147,'Employee Detail FY22'!$G:$G,$H147),0)</f>
        <v>142002</v>
      </c>
      <c r="P147" s="12">
        <f t="shared" si="29"/>
        <v>-20000</v>
      </c>
      <c r="Q147" s="932">
        <f>ROUND(SUMIFS('Employee Detail FY23'!$AA:$AA,'Employee Detail FY23'!$B:$B,$C147,'Employee Detail FY23'!$C:$C,$D147,'Employee Detail FY23'!$E:$E,$F147,'Employee Detail FY23'!$F:$F,$G147,'Employee Detail FY23'!$G:$G,$H147),0)</f>
        <v>272632</v>
      </c>
      <c r="R147" s="12">
        <f t="shared" si="28"/>
        <v>110630</v>
      </c>
      <c r="S147" s="12">
        <f>ROUND(SUMIFS('Employee Detail FY24'!$AA:$AA,'Employee Detail FY24'!$B:$B,$C147,'Employee Detail FY24'!$C:$C,$D147,'Employee Detail FY24'!$E:$E,$F147,'Employee Detail FY24'!$F:$F,$G147,'Employee Detail FY24'!$G:$G,$H147),0)</f>
        <v>354773</v>
      </c>
      <c r="T147" s="12">
        <f>ROUND(SUMIFS('Employee Detail FY25'!$AA:$AA,'Employee Detail FY25'!$B:$B,$C147,'Employee Detail FY25'!$C:$C,$D147,'Employee Detail FY25'!$E:$E,$F147,'Employee Detail FY25'!$F:$F,$G147,'Employee Detail FY25'!$G:$G,$H147),0)</f>
        <v>315764</v>
      </c>
      <c r="U147" s="12">
        <f>ROUND(SUMIFS('Employee Detail FY26'!$AA:$AA,'Employee Detail FY26'!$B:$B,$C147,'Employee Detail FY26'!$C:$C,$D147,'Employee Detail FY26'!$E:$E,$F147,'Employee Detail FY26'!$F:$F,$G147,'Employee Detail FY26'!$G:$G,$H147),0)</f>
        <v>324455</v>
      </c>
      <c r="V147" s="12">
        <f>ROUND(SUMIFS('Employee Detail FY27'!$AA:$AA,'Employee Detail FY27'!$B:$B,$C147,'Employee Detail FY27'!$C:$C,$D147,'Employee Detail FY27'!$E:$E,$F147,'Employee Detail FY27'!$F:$F,$G147,'Employee Detail FY27'!$G:$G,$H147),0)</f>
        <v>333145</v>
      </c>
      <c r="W147" s="12">
        <f>ROUND(SUMIFS('Employee Detail FY28'!$AA:$AA,'Employee Detail FY28'!$B:$B,$C147,'Employee Detail FY28'!$C:$C,$D147,'Employee Detail FY28'!$E:$E,$F147,'Employee Detail FY28'!$F:$F,$G147,'Employee Detail FY28'!$G:$G,$H147),0)</f>
        <v>341836</v>
      </c>
    </row>
    <row r="148" spans="1:37" outlineLevel="1" x14ac:dyDescent="0.2">
      <c r="A148" s="366" t="s">
        <v>689</v>
      </c>
      <c r="B148" s="82"/>
      <c r="C148" s="837">
        <v>250</v>
      </c>
      <c r="D148" s="837">
        <v>205</v>
      </c>
      <c r="E148" s="841"/>
      <c r="F148" s="101">
        <v>200</v>
      </c>
      <c r="G148" s="102" t="s">
        <v>460</v>
      </c>
      <c r="H148" s="104" t="s">
        <v>173</v>
      </c>
      <c r="I148" s="103"/>
      <c r="J148" s="115">
        <v>0</v>
      </c>
      <c r="K148" s="115">
        <v>0</v>
      </c>
      <c r="L148" s="115">
        <v>0</v>
      </c>
      <c r="M148" s="115">
        <v>0</v>
      </c>
      <c r="N148" s="115">
        <v>46430</v>
      </c>
      <c r="O148" s="932">
        <f>ROUND(SUMIFS('Employee Detail FY22'!$AA:$AA,'Employee Detail FY22'!$B:$B,$C148,'Employee Detail FY22'!$C:$C,$D148,'Employee Detail FY22'!$E:$E,$F148,'Employee Detail FY22'!$F:$F,$G148,'Employee Detail FY22'!$G:$G,$H148),0)</f>
        <v>46430</v>
      </c>
      <c r="P148" s="12">
        <f t="shared" si="29"/>
        <v>0</v>
      </c>
      <c r="Q148" s="932">
        <f>ROUND(SUMIFS('Employee Detail FY23'!$AA:$AA,'Employee Detail FY23'!$B:$B,$C148,'Employee Detail FY23'!$C:$C,$D148,'Employee Detail FY23'!$E:$E,$F148,'Employee Detail FY23'!$F:$F,$G148,'Employee Detail FY23'!$G:$G,$H148),0)</f>
        <v>47822</v>
      </c>
      <c r="R148" s="12">
        <f t="shared" si="28"/>
        <v>1392</v>
      </c>
      <c r="S148" s="12">
        <f>ROUND(SUMIFS('Employee Detail FY24'!$AA:$AA,'Employee Detail FY24'!$B:$B,$C148,'Employee Detail FY24'!$C:$C,$D148,'Employee Detail FY24'!$E:$E,$F148,'Employee Detail FY24'!$F:$F,$G148,'Employee Detail FY24'!$G:$G,$H148),0)</f>
        <v>49215</v>
      </c>
      <c r="T148" s="12">
        <f>ROUND(SUMIFS('Employee Detail FY25'!$AA:$AA,'Employee Detail FY25'!$B:$B,$C148,'Employee Detail FY25'!$C:$C,$D148,'Employee Detail FY25'!$E:$E,$F148,'Employee Detail FY25'!$F:$F,$G148,'Employee Detail FY25'!$G:$G,$H148),0)</f>
        <v>50608</v>
      </c>
      <c r="U148" s="12">
        <f>ROUND(SUMIFS('Employee Detail FY26'!$AA:$AA,'Employee Detail FY26'!$B:$B,$C148,'Employee Detail FY26'!$C:$C,$D148,'Employee Detail FY26'!$E:$E,$F148,'Employee Detail FY26'!$F:$F,$G148,'Employee Detail FY26'!$G:$G,$H148),0)</f>
        <v>52001</v>
      </c>
      <c r="V148" s="12">
        <f>ROUND(SUMIFS('Employee Detail FY27'!$AA:$AA,'Employee Detail FY27'!$B:$B,$C148,'Employee Detail FY27'!$C:$C,$D148,'Employee Detail FY27'!$E:$E,$F148,'Employee Detail FY27'!$F:$F,$G148,'Employee Detail FY27'!$G:$G,$H148),0)</f>
        <v>53394</v>
      </c>
      <c r="W148" s="12">
        <f>ROUND(SUMIFS('Employee Detail FY28'!$AA:$AA,'Employee Detail FY28'!$B:$B,$C148,'Employee Detail FY28'!$C:$C,$D148,'Employee Detail FY28'!$E:$E,$F148,'Employee Detail FY28'!$F:$F,$G148,'Employee Detail FY28'!$G:$G,$H148),0)</f>
        <v>54787</v>
      </c>
    </row>
    <row r="149" spans="1:37" outlineLevel="1" x14ac:dyDescent="0.2">
      <c r="A149" s="366" t="s">
        <v>690</v>
      </c>
      <c r="B149" s="82"/>
      <c r="C149" s="837">
        <v>280</v>
      </c>
      <c r="D149" s="837">
        <v>661</v>
      </c>
      <c r="E149" s="841"/>
      <c r="F149" s="101">
        <v>100</v>
      </c>
      <c r="G149" s="102" t="s">
        <v>460</v>
      </c>
      <c r="H149" s="104" t="s">
        <v>173</v>
      </c>
      <c r="I149" s="103"/>
      <c r="J149" s="115">
        <v>0</v>
      </c>
      <c r="K149" s="115">
        <v>0</v>
      </c>
      <c r="L149" s="115">
        <v>0</v>
      </c>
      <c r="M149" s="115">
        <v>0</v>
      </c>
      <c r="N149" s="115">
        <v>58893</v>
      </c>
      <c r="O149" s="932">
        <f>ROUND(SUMIFS('Employee Detail FY22'!$AA:$AA,'Employee Detail FY22'!$B:$B,$C149,'Employee Detail FY22'!$C:$C,$D149,'Employee Detail FY22'!$E:$E,$F149,'Employee Detail FY22'!$F:$F,$G149,'Employee Detail FY22'!$G:$G,$H149),0)</f>
        <v>58893</v>
      </c>
      <c r="P149" s="12">
        <f t="shared" si="29"/>
        <v>0</v>
      </c>
      <c r="Q149" s="932">
        <f>ROUND(SUMIFS('Employee Detail FY23'!$AA:$AA,'Employee Detail FY23'!$B:$B,$C149,'Employee Detail FY23'!$C:$C,$D149,'Employee Detail FY23'!$E:$E,$F149,'Employee Detail FY23'!$F:$F,$G149,'Employee Detail FY23'!$G:$G,$H149),0)</f>
        <v>72100</v>
      </c>
      <c r="R149" s="12">
        <f t="shared" si="28"/>
        <v>13207</v>
      </c>
      <c r="S149" s="115">
        <f>ROUND(SUMIFS('Employee Detail FY24'!$AA:$AA,'Employee Detail FY24'!$B:$B,$C149,'Employee Detail FY24'!$C:$C,$D149,'Employee Detail FY24'!$E:$E,$F149,'Employee Detail FY24'!$F:$F,$G149,'Employee Detail FY24'!$G:$G,$H149),0)</f>
        <v>0</v>
      </c>
      <c r="T149" s="115">
        <f>ROUND(SUMIFS('Employee Detail FY25'!$AA:$AA,'Employee Detail FY25'!$B:$B,$C149,'Employee Detail FY25'!$C:$C,$D149,'Employee Detail FY25'!$E:$E,$F149,'Employee Detail FY25'!$F:$F,$G149,'Employee Detail FY25'!$G:$G,$H149),0)</f>
        <v>0</v>
      </c>
      <c r="U149" s="115">
        <f>ROUND(SUMIFS('Employee Detail FY26'!$AA:$AA,'Employee Detail FY26'!$B:$B,$C149,'Employee Detail FY26'!$C:$C,$D149,'Employee Detail FY26'!$E:$E,$F149,'Employee Detail FY26'!$F:$F,$G149,'Employee Detail FY26'!$G:$G,$H149),0)</f>
        <v>0</v>
      </c>
      <c r="V149" s="115">
        <f>ROUND(SUMIFS('Employee Detail FY27'!$AA:$AA,'Employee Detail FY27'!$B:$B,$C149,'Employee Detail FY27'!$C:$C,$D149,'Employee Detail FY27'!$E:$E,$F149,'Employee Detail FY27'!$F:$F,$G149,'Employee Detail FY27'!$G:$G,$H149),0)</f>
        <v>0</v>
      </c>
      <c r="W149" s="115">
        <f>ROUND(SUMIFS('Employee Detail FY28'!$AA:$AA,'Employee Detail FY28'!$B:$B,$C149,'Employee Detail FY28'!$C:$C,$D149,'Employee Detail FY28'!$E:$E,$F149,'Employee Detail FY28'!$F:$F,$G149,'Employee Detail FY28'!$G:$G,$H149),0)</f>
        <v>0</v>
      </c>
    </row>
    <row r="150" spans="1:37" outlineLevel="1" x14ac:dyDescent="0.2">
      <c r="A150" s="366" t="s">
        <v>691</v>
      </c>
      <c r="B150" s="82"/>
      <c r="C150" s="837" t="s">
        <v>135</v>
      </c>
      <c r="D150" s="837" t="s">
        <v>1030</v>
      </c>
      <c r="E150" s="841"/>
      <c r="F150" s="101" t="s">
        <v>468</v>
      </c>
      <c r="G150" s="102" t="s">
        <v>460</v>
      </c>
      <c r="H150" s="103" t="s">
        <v>173</v>
      </c>
      <c r="I150" s="103"/>
      <c r="J150" s="115"/>
      <c r="K150" s="115">
        <v>0</v>
      </c>
      <c r="L150" s="115">
        <v>0</v>
      </c>
      <c r="M150" s="115">
        <v>6683</v>
      </c>
      <c r="N150" s="115">
        <v>0</v>
      </c>
      <c r="O150" s="932">
        <f>ROUND(SUMIFS('Employee Detail FY22'!$AA:$AA,'Employee Detail FY22'!$B:$B,$C150,'Employee Detail FY22'!$C:$C,$D150,'Employee Detail FY22'!$E:$E,$F150,'Employee Detail FY22'!$F:$F,$G150,'Employee Detail FY22'!$G:$G,$H150),0)</f>
        <v>0</v>
      </c>
      <c r="P150" s="12">
        <f t="shared" ref="P150" si="30">O150-N150</f>
        <v>0</v>
      </c>
      <c r="Q150" s="932">
        <f>ROUND(SUMIFS('Employee Detail FY23'!$AA:$AA,'Employee Detail FY23'!$B:$B,$C150,'Employee Detail FY23'!$C:$C,$D150,'Employee Detail FY23'!$E:$E,$F150,'Employee Detail FY23'!$F:$F,$G150,'Employee Detail FY23'!$G:$G,$H150),0)</f>
        <v>0</v>
      </c>
      <c r="R150" s="12">
        <f t="shared" si="28"/>
        <v>0</v>
      </c>
      <c r="S150" s="12">
        <f>ROUND(SUMIFS('Employee Detail FY24'!$AA:$AA,'Employee Detail FY24'!$B:$B,$C150,'Employee Detail FY24'!$C:$C,$D150,'Employee Detail FY24'!$E:$E,$F150,'Employee Detail FY24'!$F:$F,$G150,'Employee Detail FY24'!$G:$G,$H150),0)</f>
        <v>0</v>
      </c>
      <c r="T150" s="12">
        <f>ROUND(SUMIFS('Employee Detail FY25'!$AA:$AA,'Employee Detail FY25'!$B:$B,$C150,'Employee Detail FY25'!$C:$C,$D150,'Employee Detail FY25'!$E:$E,$F150,'Employee Detail FY25'!$F:$F,$G150,'Employee Detail FY25'!$G:$G,$H150),0)</f>
        <v>0</v>
      </c>
      <c r="U150" s="12">
        <f>ROUND(SUMIFS('Employee Detail FY26'!$AA:$AA,'Employee Detail FY26'!$B:$B,$C150,'Employee Detail FY26'!$C:$C,$D150,'Employee Detail FY26'!$E:$E,$F150,'Employee Detail FY26'!$F:$F,$G150,'Employee Detail FY26'!$G:$G,$H150),0)</f>
        <v>0</v>
      </c>
      <c r="V150" s="12">
        <f>ROUND(SUMIFS('Employee Detail FY27'!$AA:$AA,'Employee Detail FY27'!$B:$B,$C150,'Employee Detail FY27'!$C:$C,$D150,'Employee Detail FY27'!$E:$E,$F150,'Employee Detail FY27'!$F:$F,$G150,'Employee Detail FY27'!$G:$G,$H150),0)</f>
        <v>0</v>
      </c>
      <c r="W150" s="12">
        <f>ROUND(SUMIFS('Employee Detail FY28'!$AA:$AA,'Employee Detail FY28'!$B:$B,$C150,'Employee Detail FY28'!$C:$C,$D150,'Employee Detail FY28'!$E:$E,$F150,'Employee Detail FY28'!$F:$F,$G150,'Employee Detail FY28'!$G:$G,$H150),0)</f>
        <v>0</v>
      </c>
    </row>
    <row r="151" spans="1:37" outlineLevel="1" x14ac:dyDescent="0.2">
      <c r="A151" s="366" t="s">
        <v>692</v>
      </c>
      <c r="B151" s="82"/>
      <c r="C151" s="839" t="s">
        <v>468</v>
      </c>
      <c r="D151" s="841" t="s">
        <v>145</v>
      </c>
      <c r="E151" s="841"/>
      <c r="F151" s="102" t="s">
        <v>468</v>
      </c>
      <c r="G151" s="102" t="s">
        <v>479</v>
      </c>
      <c r="H151" s="104" t="s">
        <v>173</v>
      </c>
      <c r="I151" s="104"/>
      <c r="J151" s="115"/>
      <c r="K151" s="115">
        <v>49000.12</v>
      </c>
      <c r="L151" s="115">
        <v>50000</v>
      </c>
      <c r="M151" s="115">
        <v>50000</v>
      </c>
      <c r="N151" s="115">
        <v>50000</v>
      </c>
      <c r="O151" s="932">
        <f>ROUND(SUMIFS('Employee Detail FY22'!$AA:$AA,'Employee Detail FY22'!$B:$B,$C151,'Employee Detail FY22'!$C:$C,$D151,'Employee Detail FY22'!$E:$E,$F151,'Employee Detail FY22'!$F:$F,$G151,'Employee Detail FY22'!$G:$G,$H151),0)</f>
        <v>50000</v>
      </c>
      <c r="P151" s="12">
        <f t="shared" si="29"/>
        <v>0</v>
      </c>
      <c r="Q151" s="932">
        <f>ROUND(SUMIFS('Employee Detail FY23'!$AA:$AA,'Employee Detail FY23'!$B:$B,$C151,'Employee Detail FY23'!$C:$C,$D151,'Employee Detail FY23'!$E:$E,$F151,'Employee Detail FY23'!$F:$F,$G151,'Employee Detail FY23'!$G:$G,$H151),0)</f>
        <v>50470</v>
      </c>
      <c r="R151" s="12">
        <f t="shared" si="28"/>
        <v>470</v>
      </c>
      <c r="S151" s="12">
        <f>ROUND(SUMIFS('Employee Detail FY24'!$AA:$AA,'Employee Detail FY24'!$B:$B,$C151,'Employee Detail FY24'!$C:$C,$D151,'Employee Detail FY24'!$E:$E,$F151,'Employee Detail FY24'!$F:$F,$G151,'Employee Detail FY24'!$G:$G,$H151),0)</f>
        <v>51940</v>
      </c>
      <c r="T151" s="12">
        <f>ROUND(SUMIFS('Employee Detail FY25'!$AA:$AA,'Employee Detail FY25'!$B:$B,$C151,'Employee Detail FY25'!$C:$C,$D151,'Employee Detail FY25'!$E:$E,$F151,'Employee Detail FY25'!$F:$F,$G151,'Employee Detail FY25'!$G:$G,$H151),0)</f>
        <v>53410</v>
      </c>
      <c r="U151" s="12">
        <f>ROUND(SUMIFS('Employee Detail FY26'!$AA:$AA,'Employee Detail FY26'!$B:$B,$C151,'Employee Detail FY26'!$C:$C,$D151,'Employee Detail FY26'!$E:$E,$F151,'Employee Detail FY26'!$F:$F,$G151,'Employee Detail FY26'!$G:$G,$H151),0)</f>
        <v>54880</v>
      </c>
      <c r="V151" s="12">
        <f>ROUND(SUMIFS('Employee Detail FY27'!$AA:$AA,'Employee Detail FY27'!$B:$B,$C151,'Employee Detail FY27'!$C:$C,$D151,'Employee Detail FY27'!$E:$E,$F151,'Employee Detail FY27'!$F:$F,$G151,'Employee Detail FY27'!$G:$G,$H151),0)</f>
        <v>56350</v>
      </c>
      <c r="W151" s="12">
        <f>ROUND(SUMIFS('Employee Detail FY28'!$AA:$AA,'Employee Detail FY28'!$B:$B,$C151,'Employee Detail FY28'!$C:$C,$D151,'Employee Detail FY28'!$E:$E,$F151,'Employee Detail FY28'!$F:$F,$G151,'Employee Detail FY28'!$G:$G,$H151),0)</f>
        <v>57820</v>
      </c>
    </row>
    <row r="152" spans="1:37" outlineLevel="1" x14ac:dyDescent="0.2">
      <c r="A152" s="366" t="s">
        <v>693</v>
      </c>
      <c r="B152" s="82"/>
      <c r="C152" s="839" t="s">
        <v>468</v>
      </c>
      <c r="D152" s="841" t="s">
        <v>145</v>
      </c>
      <c r="E152" s="841"/>
      <c r="F152" s="102" t="s">
        <v>468</v>
      </c>
      <c r="G152" s="102" t="s">
        <v>459</v>
      </c>
      <c r="H152" s="104" t="s">
        <v>173</v>
      </c>
      <c r="I152" s="104"/>
      <c r="J152" s="115">
        <v>651133.57000000007</v>
      </c>
      <c r="K152" s="115">
        <v>78823.16</v>
      </c>
      <c r="L152" s="115">
        <v>102413</v>
      </c>
      <c r="M152" s="115">
        <v>102670</v>
      </c>
      <c r="N152" s="115">
        <v>102669</v>
      </c>
      <c r="O152" s="932">
        <f>ROUND(SUMIFS('Employee Detail FY22'!$AA:$AA,'Employee Detail FY22'!$B:$B,$C152,'Employee Detail FY22'!$C:$C,$D152,'Employee Detail FY22'!$E:$E,$F152,'Employee Detail FY22'!$F:$F,$G152,'Employee Detail FY22'!$G:$G,$H152),0)</f>
        <v>102669</v>
      </c>
      <c r="P152" s="12">
        <f t="shared" si="29"/>
        <v>0</v>
      </c>
      <c r="Q152" s="932">
        <f>ROUND(SUMIFS('Employee Detail FY23'!$AA:$AA,'Employee Detail FY23'!$B:$B,$C152,'Employee Detail FY23'!$C:$C,$D152,'Employee Detail FY23'!$E:$E,$F152,'Employee Detail FY23'!$F:$F,$G152,'Employee Detail FY23'!$G:$G,$H152),0)</f>
        <v>81391</v>
      </c>
      <c r="R152" s="12">
        <f t="shared" si="28"/>
        <v>-21278</v>
      </c>
      <c r="S152" s="12">
        <f>ROUND(SUMIFS('Employee Detail FY24'!$AA:$AA,'Employee Detail FY24'!$B:$B,$C152,'Employee Detail FY24'!$C:$C,$D152,'Employee Detail FY24'!$E:$E,$F152,'Employee Detail FY24'!$F:$F,$G152,'Employee Detail FY24'!$G:$G,$H152),0)</f>
        <v>83762</v>
      </c>
      <c r="T152" s="12">
        <f>ROUND(SUMIFS('Employee Detail FY25'!$AA:$AA,'Employee Detail FY25'!$B:$B,$C152,'Employee Detail FY25'!$C:$C,$D152,'Employee Detail FY25'!$E:$E,$F152,'Employee Detail FY25'!$F:$F,$G152,'Employee Detail FY25'!$G:$G,$H152),0)</f>
        <v>86132</v>
      </c>
      <c r="U152" s="12">
        <f>ROUND(SUMIFS('Employee Detail FY26'!$AA:$AA,'Employee Detail FY26'!$B:$B,$C152,'Employee Detail FY26'!$C:$C,$D152,'Employee Detail FY26'!$E:$E,$F152,'Employee Detail FY26'!$F:$F,$G152,'Employee Detail FY26'!$G:$G,$H152),0)</f>
        <v>88503</v>
      </c>
      <c r="V152" s="12">
        <f>ROUND(SUMIFS('Employee Detail FY27'!$AA:$AA,'Employee Detail FY27'!$B:$B,$C152,'Employee Detail FY27'!$C:$C,$D152,'Employee Detail FY27'!$E:$E,$F152,'Employee Detail FY27'!$F:$F,$G152,'Employee Detail FY27'!$G:$G,$H152),0)</f>
        <v>90874</v>
      </c>
      <c r="W152" s="12">
        <f>ROUND(SUMIFS('Employee Detail FY28'!$AA:$AA,'Employee Detail FY28'!$B:$B,$C152,'Employee Detail FY28'!$C:$C,$D152,'Employee Detail FY28'!$E:$E,$F152,'Employee Detail FY28'!$F:$F,$G152,'Employee Detail FY28'!$G:$G,$H152),0)</f>
        <v>93244</v>
      </c>
    </row>
    <row r="153" spans="1:37" outlineLevel="1" x14ac:dyDescent="0.2">
      <c r="A153" s="366" t="s">
        <v>694</v>
      </c>
      <c r="B153" s="706"/>
      <c r="C153" s="848"/>
      <c r="D153" s="849"/>
      <c r="E153" s="850"/>
      <c r="F153" s="707"/>
      <c r="G153" s="707"/>
      <c r="H153" s="708"/>
      <c r="I153" s="708"/>
      <c r="J153" s="115"/>
      <c r="K153" s="12">
        <v>6299.34</v>
      </c>
      <c r="L153" s="115"/>
      <c r="M153" s="115"/>
      <c r="N153" s="115">
        <v>0</v>
      </c>
      <c r="O153" s="12">
        <f>ROUND(SUMIFS('Employee Detail FY22'!$AA:$AA,'Employee Detail FY22'!$B:$B,$C153,'Employee Detail FY22'!$C:$C,$D153,'Employee Detail FY22'!$E:$E,$F153,'Employee Detail FY22'!$F:$F,$G153,'Employee Detail FY22'!$G:$G,$H153),0)</f>
        <v>0</v>
      </c>
      <c r="P153" s="12">
        <f t="shared" ref="P153:P188" si="31">O153-M153</f>
        <v>0</v>
      </c>
      <c r="Q153" s="12">
        <f>ROUND(SUMIFS('Employee Detail FY23'!$AA:$AA,'Employee Detail FY23'!$B:$B,$C153,'Employee Detail FY23'!$C:$C,$D153,'Employee Detail FY23'!$E:$E,$F153,'Employee Detail FY23'!$F:$F,$G153,'Employee Detail FY23'!$G:$G,$H153),0)</f>
        <v>0</v>
      </c>
      <c r="R153" s="12">
        <f t="shared" si="28"/>
        <v>0</v>
      </c>
      <c r="S153" s="12">
        <f>ROUND(SUMIFS('Employee Detail FY24'!$AA:$AA,'Employee Detail FY24'!$B:$B,$C153,'Employee Detail FY24'!$C:$C,$D153,'Employee Detail FY24'!$E:$E,$F153,'Employee Detail FY24'!$F:$F,$G153,'Employee Detail FY24'!$G:$G,$H153),0)</f>
        <v>0</v>
      </c>
      <c r="T153" s="12">
        <f>ROUND(SUMIFS('Employee Detail FY25'!$AA:$AA,'Employee Detail FY25'!$B:$B,$C153,'Employee Detail FY25'!$C:$C,$D153,'Employee Detail FY25'!$E:$E,$F153,'Employee Detail FY25'!$F:$F,$G153,'Employee Detail FY25'!$G:$G,$H153),0)</f>
        <v>0</v>
      </c>
      <c r="U153" s="12">
        <f>ROUND(SUMIFS('Employee Detail FY26'!$AA:$AA,'Employee Detail FY26'!$B:$B,$C153,'Employee Detail FY26'!$C:$C,$D153,'Employee Detail FY26'!$E:$E,$F153,'Employee Detail FY26'!$F:$F,$G153,'Employee Detail FY26'!$G:$G,$H153),0)</f>
        <v>0</v>
      </c>
      <c r="V153" s="12">
        <f>ROUND(SUMIFS('Employee Detail FY27'!$AA:$AA,'Employee Detail FY27'!$B:$B,$C153,'Employee Detail FY27'!$C:$C,$D153,'Employee Detail FY27'!$E:$E,$F153,'Employee Detail FY27'!$F:$F,$G153,'Employee Detail FY27'!$G:$G,$H153),0)</f>
        <v>0</v>
      </c>
      <c r="W153" s="12">
        <f>ROUND(SUMIFS('Employee Detail FY28'!$AA:$AA,'Employee Detail FY28'!$B:$B,$C153,'Employee Detail FY28'!$C:$C,$D153,'Employee Detail FY28'!$E:$E,$F153,'Employee Detail FY28'!$F:$F,$G153,'Employee Detail FY28'!$G:$G,$H153),0)</f>
        <v>0</v>
      </c>
    </row>
    <row r="154" spans="1:37" outlineLevel="1" x14ac:dyDescent="0.2">
      <c r="A154" s="366" t="s">
        <v>695</v>
      </c>
      <c r="B154" s="82" t="s">
        <v>1206</v>
      </c>
      <c r="C154" s="839" t="s">
        <v>462</v>
      </c>
      <c r="D154" s="841" t="s">
        <v>132</v>
      </c>
      <c r="E154" s="841"/>
      <c r="F154" s="102" t="s">
        <v>463</v>
      </c>
      <c r="G154" s="102" t="s">
        <v>460</v>
      </c>
      <c r="H154" s="104" t="s">
        <v>1205</v>
      </c>
      <c r="I154" s="104"/>
      <c r="J154" s="115"/>
      <c r="K154" s="115">
        <v>0</v>
      </c>
      <c r="L154" s="115"/>
      <c r="M154" s="115"/>
      <c r="N154" s="115">
        <v>0</v>
      </c>
      <c r="O154" s="932">
        <f>ROUND(SUMIFS('Employee Detail FY22'!$AA:$AA,'Employee Detail FY22'!$B:$B,$C154,'Employee Detail FY22'!$C:$C,$D154,'Employee Detail FY22'!$E:$E,$F154,'Employee Detail FY22'!$F:$F,$G154,'Employee Detail FY22'!$G:$G,$H154),0)</f>
        <v>0</v>
      </c>
      <c r="P154" s="12">
        <f t="shared" ref="P154" si="32">O154-N154</f>
        <v>0</v>
      </c>
      <c r="Q154" s="932">
        <f>ROUND(SUMIFS('Employee Detail FY23'!$AA:$AA,'Employee Detail FY23'!$B:$B,$C154,'Employee Detail FY23'!$C:$C,$D154,'Employee Detail FY23'!$E:$E,$F154,'Employee Detail FY23'!$F:$F,$G154,'Employee Detail FY23'!$G:$G,$H154),0)</f>
        <v>0</v>
      </c>
      <c r="R154" s="12">
        <f t="shared" si="28"/>
        <v>0</v>
      </c>
      <c r="S154" s="12">
        <f>ROUND(SUMIFS('Employee Detail FY24'!$AA:$AA,'Employee Detail FY24'!$B:$B,$C154,'Employee Detail FY24'!$C:$C,$D154,'Employee Detail FY24'!$E:$E,$F154,'Employee Detail FY24'!$F:$F,$G154,'Employee Detail FY24'!$G:$G,$H154),0)</f>
        <v>0</v>
      </c>
      <c r="T154" s="12">
        <f>ROUND(SUMIFS('Employee Detail FY25'!$AA:$AA,'Employee Detail FY25'!$B:$B,$C154,'Employee Detail FY25'!$C:$C,$D154,'Employee Detail FY25'!$E:$E,$F154,'Employee Detail FY25'!$F:$F,$G154,'Employee Detail FY25'!$G:$G,$H154),0)</f>
        <v>0</v>
      </c>
      <c r="U154" s="12">
        <f>ROUND(SUMIFS('Employee Detail FY26'!$AA:$AA,'Employee Detail FY26'!$B:$B,$C154,'Employee Detail FY26'!$C:$C,$D154,'Employee Detail FY26'!$E:$E,$F154,'Employee Detail FY26'!$F:$F,$G154,'Employee Detail FY26'!$G:$G,$H154),0)</f>
        <v>0</v>
      </c>
      <c r="V154" s="12">
        <f>ROUND(SUMIFS('Employee Detail FY27'!$AA:$AA,'Employee Detail FY27'!$B:$B,$C154,'Employee Detail FY27'!$C:$C,$D154,'Employee Detail FY27'!$E:$E,$F154,'Employee Detail FY27'!$F:$F,$G154,'Employee Detail FY27'!$G:$G,$H154),0)</f>
        <v>0</v>
      </c>
      <c r="W154" s="12">
        <f>ROUND(SUMIFS('Employee Detail FY28'!$AA:$AA,'Employee Detail FY28'!$B:$B,$C154,'Employee Detail FY28'!$C:$C,$D154,'Employee Detail FY28'!$E:$E,$F154,'Employee Detail FY28'!$F:$F,$G154,'Employee Detail FY28'!$G:$G,$H154),0)</f>
        <v>0</v>
      </c>
    </row>
    <row r="155" spans="1:37" outlineLevel="1" x14ac:dyDescent="0.2">
      <c r="A155" s="366" t="s">
        <v>696</v>
      </c>
      <c r="B155" s="82" t="s">
        <v>1050</v>
      </c>
      <c r="C155" s="839" t="s">
        <v>135</v>
      </c>
      <c r="D155" s="841" t="s">
        <v>242</v>
      </c>
      <c r="E155" s="841"/>
      <c r="F155" s="102" t="s">
        <v>532</v>
      </c>
      <c r="G155" s="102" t="s">
        <v>465</v>
      </c>
      <c r="H155" s="104" t="s">
        <v>993</v>
      </c>
      <c r="I155" s="104"/>
      <c r="J155" s="115"/>
      <c r="K155" s="115">
        <v>3806.87</v>
      </c>
      <c r="L155" s="115"/>
      <c r="M155" s="115"/>
      <c r="N155" s="115">
        <v>0</v>
      </c>
      <c r="O155" s="932">
        <f>ROUND(SUMIFS('Employee Detail FY22'!$AA:$AA,'Employee Detail FY22'!$B:$B,$C155,'Employee Detail FY22'!$C:$C,$D155,'Employee Detail FY22'!$E:$E,$F155,'Employee Detail FY22'!$F:$F,$G155,'Employee Detail FY22'!$G:$G,$H155),0)</f>
        <v>0</v>
      </c>
      <c r="P155" s="12">
        <f t="shared" ref="P155:P160" si="33">O155-N155</f>
        <v>0</v>
      </c>
      <c r="Q155" s="932">
        <f>ROUND(SUMIFS('Employee Detail FY23'!$AA:$AA,'Employee Detail FY23'!$B:$B,$C155,'Employee Detail FY23'!$C:$C,$D155,'Employee Detail FY23'!$E:$E,$F155,'Employee Detail FY23'!$F:$F,$G155,'Employee Detail FY23'!$G:$G,$H155),0)</f>
        <v>0</v>
      </c>
      <c r="R155" s="12">
        <f t="shared" si="28"/>
        <v>0</v>
      </c>
      <c r="S155" s="12">
        <f>ROUND(SUMIFS('Employee Detail FY24'!$AA:$AA,'Employee Detail FY24'!$B:$B,$C155,'Employee Detail FY24'!$C:$C,$D155,'Employee Detail FY24'!$E:$E,$F155,'Employee Detail FY24'!$F:$F,$G155,'Employee Detail FY24'!$G:$G,$H155),0)</f>
        <v>0</v>
      </c>
      <c r="T155" s="12">
        <f>ROUND(SUMIFS('Employee Detail FY25'!$AA:$AA,'Employee Detail FY25'!$B:$B,$C155,'Employee Detail FY25'!$C:$C,$D155,'Employee Detail FY25'!$E:$E,$F155,'Employee Detail FY25'!$F:$F,$G155,'Employee Detail FY25'!$G:$G,$H155),0)</f>
        <v>0</v>
      </c>
      <c r="U155" s="12">
        <f>ROUND(SUMIFS('Employee Detail FY26'!$AA:$AA,'Employee Detail FY26'!$B:$B,$C155,'Employee Detail FY26'!$C:$C,$D155,'Employee Detail FY26'!$E:$E,$F155,'Employee Detail FY26'!$F:$F,$G155,'Employee Detail FY26'!$G:$G,$H155),0)</f>
        <v>0</v>
      </c>
      <c r="V155" s="12">
        <f>ROUND(SUMIFS('Employee Detail FY27'!$AA:$AA,'Employee Detail FY27'!$B:$B,$C155,'Employee Detail FY27'!$C:$C,$D155,'Employee Detail FY27'!$E:$E,$F155,'Employee Detail FY27'!$F:$F,$G155,'Employee Detail FY27'!$G:$G,$H155),0)</f>
        <v>0</v>
      </c>
      <c r="W155" s="12">
        <f>ROUND(SUMIFS('Employee Detail FY28'!$AA:$AA,'Employee Detail FY28'!$B:$B,$C155,'Employee Detail FY28'!$C:$C,$D155,'Employee Detail FY28'!$E:$E,$F155,'Employee Detail FY28'!$F:$F,$G155,'Employee Detail FY28'!$G:$G,$H155),0)</f>
        <v>0</v>
      </c>
    </row>
    <row r="156" spans="1:37" outlineLevel="1" x14ac:dyDescent="0.2">
      <c r="A156" s="366" t="s">
        <v>697</v>
      </c>
      <c r="B156" s="82" t="s">
        <v>1050</v>
      </c>
      <c r="C156" s="839" t="s">
        <v>468</v>
      </c>
      <c r="D156" s="841" t="s">
        <v>145</v>
      </c>
      <c r="E156" s="841"/>
      <c r="F156" s="102" t="s">
        <v>468</v>
      </c>
      <c r="G156" s="102" t="s">
        <v>558</v>
      </c>
      <c r="H156" s="104" t="s">
        <v>993</v>
      </c>
      <c r="I156" s="104"/>
      <c r="J156" s="115"/>
      <c r="K156" s="115">
        <v>1567.47</v>
      </c>
      <c r="L156" s="115"/>
      <c r="M156" s="115">
        <v>0</v>
      </c>
      <c r="N156" s="115">
        <v>0</v>
      </c>
      <c r="O156" s="932">
        <f>ROUND(SUMIFS('Employee Detail FY22'!$AA:$AA,'Employee Detail FY22'!$B:$B,$C156,'Employee Detail FY22'!$C:$C,$D156,'Employee Detail FY22'!$E:$E,$F156,'Employee Detail FY22'!$F:$F,$G156,'Employee Detail FY22'!$G:$G,$H156),0)</f>
        <v>0</v>
      </c>
      <c r="P156" s="12">
        <f t="shared" si="33"/>
        <v>0</v>
      </c>
      <c r="Q156" s="932">
        <f>ROUND(SUMIFS('Employee Detail FY23'!$AA:$AA,'Employee Detail FY23'!$B:$B,$C156,'Employee Detail FY23'!$C:$C,$D156,'Employee Detail FY23'!$E:$E,$F156,'Employee Detail FY23'!$F:$F,$G156,'Employee Detail FY23'!$G:$G,$H156),0)</f>
        <v>0</v>
      </c>
      <c r="R156" s="12">
        <f t="shared" si="28"/>
        <v>0</v>
      </c>
      <c r="S156" s="12">
        <f>ROUND(SUMIFS('Employee Detail FY24'!$AA:$AA,'Employee Detail FY24'!$B:$B,$C156,'Employee Detail FY24'!$C:$C,$D156,'Employee Detail FY24'!$E:$E,$F156,'Employee Detail FY24'!$F:$F,$G156,'Employee Detail FY24'!$G:$G,$H156),0)</f>
        <v>0</v>
      </c>
      <c r="T156" s="12">
        <f>ROUND(SUMIFS('Employee Detail FY25'!$AA:$AA,'Employee Detail FY25'!$B:$B,$C156,'Employee Detail FY25'!$C:$C,$D156,'Employee Detail FY25'!$E:$E,$F156,'Employee Detail FY25'!$F:$F,$G156,'Employee Detail FY25'!$G:$G,$H156),0)</f>
        <v>0</v>
      </c>
      <c r="U156" s="12">
        <f>ROUND(SUMIFS('Employee Detail FY26'!$AA:$AA,'Employee Detail FY26'!$B:$B,$C156,'Employee Detail FY26'!$C:$C,$D156,'Employee Detail FY26'!$E:$E,$F156,'Employee Detail FY26'!$F:$F,$G156,'Employee Detail FY26'!$G:$G,$H156),0)</f>
        <v>0</v>
      </c>
      <c r="V156" s="12">
        <f>ROUND(SUMIFS('Employee Detail FY27'!$AA:$AA,'Employee Detail FY27'!$B:$B,$C156,'Employee Detail FY27'!$C:$C,$D156,'Employee Detail FY27'!$E:$E,$F156,'Employee Detail FY27'!$F:$F,$G156,'Employee Detail FY27'!$G:$G,$H156),0)</f>
        <v>0</v>
      </c>
      <c r="W156" s="12">
        <f>ROUND(SUMIFS('Employee Detail FY28'!$AA:$AA,'Employee Detail FY28'!$B:$B,$C156,'Employee Detail FY28'!$C:$C,$D156,'Employee Detail FY28'!$E:$E,$F156,'Employee Detail FY28'!$F:$F,$G156,'Employee Detail FY28'!$G:$G,$H156),0)</f>
        <v>0</v>
      </c>
    </row>
    <row r="157" spans="1:37" outlineLevel="1" x14ac:dyDescent="0.2">
      <c r="A157" s="366" t="s">
        <v>698</v>
      </c>
      <c r="B157" s="82" t="s">
        <v>1050</v>
      </c>
      <c r="C157" s="839" t="s">
        <v>135</v>
      </c>
      <c r="D157" s="841" t="s">
        <v>242</v>
      </c>
      <c r="E157" s="841"/>
      <c r="F157" s="102" t="s">
        <v>532</v>
      </c>
      <c r="G157" s="102" t="s">
        <v>558</v>
      </c>
      <c r="H157" s="104" t="s">
        <v>993</v>
      </c>
      <c r="I157" s="104"/>
      <c r="J157" s="115"/>
      <c r="K157" s="115">
        <v>925</v>
      </c>
      <c r="L157" s="115"/>
      <c r="M157" s="115"/>
      <c r="N157" s="115">
        <v>0</v>
      </c>
      <c r="O157" s="932">
        <f>ROUND(SUMIFS('Employee Detail FY22'!$AA:$AA,'Employee Detail FY22'!$B:$B,$C157,'Employee Detail FY22'!$C:$C,$D157,'Employee Detail FY22'!$E:$E,$F157,'Employee Detail FY22'!$F:$F,$G157,'Employee Detail FY22'!$G:$G,$H157),0)</f>
        <v>0</v>
      </c>
      <c r="P157" s="12">
        <f t="shared" si="33"/>
        <v>0</v>
      </c>
      <c r="Q157" s="932">
        <f>ROUND(SUMIFS('Employee Detail FY23'!$AA:$AA,'Employee Detail FY23'!$B:$B,$C157,'Employee Detail FY23'!$C:$C,$D157,'Employee Detail FY23'!$E:$E,$F157,'Employee Detail FY23'!$F:$F,$G157,'Employee Detail FY23'!$G:$G,$H157),0)</f>
        <v>0</v>
      </c>
      <c r="R157" s="12">
        <f t="shared" si="28"/>
        <v>0</v>
      </c>
      <c r="S157" s="12">
        <f>ROUND(SUMIFS('Employee Detail FY24'!$AA:$AA,'Employee Detail FY24'!$B:$B,$C157,'Employee Detail FY24'!$C:$C,$D157,'Employee Detail FY24'!$E:$E,$F157,'Employee Detail FY24'!$F:$F,$G157,'Employee Detail FY24'!$G:$G,$H157),0)</f>
        <v>0</v>
      </c>
      <c r="T157" s="12">
        <f>ROUND(SUMIFS('Employee Detail FY25'!$AA:$AA,'Employee Detail FY25'!$B:$B,$C157,'Employee Detail FY25'!$C:$C,$D157,'Employee Detail FY25'!$E:$E,$F157,'Employee Detail FY25'!$F:$F,$G157,'Employee Detail FY25'!$G:$G,$H157),0)</f>
        <v>0</v>
      </c>
      <c r="U157" s="12">
        <f>ROUND(SUMIFS('Employee Detail FY26'!$AA:$AA,'Employee Detail FY26'!$B:$B,$C157,'Employee Detail FY26'!$C:$C,$D157,'Employee Detail FY26'!$E:$E,$F157,'Employee Detail FY26'!$F:$F,$G157,'Employee Detail FY26'!$G:$G,$H157),0)</f>
        <v>0</v>
      </c>
      <c r="V157" s="12">
        <f>ROUND(SUMIFS('Employee Detail FY27'!$AA:$AA,'Employee Detail FY27'!$B:$B,$C157,'Employee Detail FY27'!$C:$C,$D157,'Employee Detail FY27'!$E:$E,$F157,'Employee Detail FY27'!$F:$F,$G157,'Employee Detail FY27'!$G:$G,$H157),0)</f>
        <v>0</v>
      </c>
      <c r="W157" s="12">
        <f>ROUND(SUMIFS('Employee Detail FY28'!$AA:$AA,'Employee Detail FY28'!$B:$B,$C157,'Employee Detail FY28'!$C:$C,$D157,'Employee Detail FY28'!$E:$E,$F157,'Employee Detail FY28'!$F:$F,$G157,'Employee Detail FY28'!$G:$G,$H157),0)</f>
        <v>0</v>
      </c>
    </row>
    <row r="158" spans="1:37" outlineLevel="1" x14ac:dyDescent="0.2">
      <c r="A158" s="366" t="s">
        <v>699</v>
      </c>
      <c r="B158" s="82" t="s">
        <v>1050</v>
      </c>
      <c r="C158" s="839" t="s">
        <v>135</v>
      </c>
      <c r="D158" s="841" t="s">
        <v>864</v>
      </c>
      <c r="E158" s="841"/>
      <c r="F158" s="102" t="s">
        <v>532</v>
      </c>
      <c r="G158" s="102" t="s">
        <v>558</v>
      </c>
      <c r="H158" s="104" t="s">
        <v>993</v>
      </c>
      <c r="I158" s="104"/>
      <c r="J158" s="115"/>
      <c r="K158" s="115">
        <v>0</v>
      </c>
      <c r="L158" s="115"/>
      <c r="M158" s="115"/>
      <c r="N158" s="115">
        <v>0</v>
      </c>
      <c r="O158" s="932">
        <f>ROUND(SUMIFS('Employee Detail FY22'!$AA:$AA,'Employee Detail FY22'!$B:$B,$C158,'Employee Detail FY22'!$C:$C,$D158,'Employee Detail FY22'!$E:$E,$F158,'Employee Detail FY22'!$F:$F,$G158,'Employee Detail FY22'!$G:$G,$H158),0)</f>
        <v>0</v>
      </c>
      <c r="P158" s="12">
        <f t="shared" si="33"/>
        <v>0</v>
      </c>
      <c r="Q158" s="932">
        <f>ROUND(SUMIFS('Employee Detail FY23'!$AA:$AA,'Employee Detail FY23'!$B:$B,$C158,'Employee Detail FY23'!$C:$C,$D158,'Employee Detail FY23'!$E:$E,$F158,'Employee Detail FY23'!$F:$F,$G158,'Employee Detail FY23'!$G:$G,$H158),0)</f>
        <v>0</v>
      </c>
      <c r="R158" s="12">
        <f t="shared" si="28"/>
        <v>0</v>
      </c>
      <c r="S158" s="12">
        <f>ROUND(SUMIFS('Employee Detail FY24'!$AA:$AA,'Employee Detail FY24'!$B:$B,$C158,'Employee Detail FY24'!$C:$C,$D158,'Employee Detail FY24'!$E:$E,$F158,'Employee Detail FY24'!$F:$F,$G158,'Employee Detail FY24'!$G:$G,$H158),0)</f>
        <v>0</v>
      </c>
      <c r="T158" s="12">
        <f>ROUND(SUMIFS('Employee Detail FY25'!$AA:$AA,'Employee Detail FY25'!$B:$B,$C158,'Employee Detail FY25'!$C:$C,$D158,'Employee Detail FY25'!$E:$E,$F158,'Employee Detail FY25'!$F:$F,$G158,'Employee Detail FY25'!$G:$G,$H158),0)</f>
        <v>0</v>
      </c>
      <c r="U158" s="12">
        <f>ROUND(SUMIFS('Employee Detail FY26'!$AA:$AA,'Employee Detail FY26'!$B:$B,$C158,'Employee Detail FY26'!$C:$C,$D158,'Employee Detail FY26'!$E:$E,$F158,'Employee Detail FY26'!$F:$F,$G158,'Employee Detail FY26'!$G:$G,$H158),0)</f>
        <v>0</v>
      </c>
      <c r="V158" s="12">
        <f>ROUND(SUMIFS('Employee Detail FY27'!$AA:$AA,'Employee Detail FY27'!$B:$B,$C158,'Employee Detail FY27'!$C:$C,$D158,'Employee Detail FY27'!$E:$E,$F158,'Employee Detail FY27'!$F:$F,$G158,'Employee Detail FY27'!$G:$G,$H158),0)</f>
        <v>0</v>
      </c>
      <c r="W158" s="12">
        <f>ROUND(SUMIFS('Employee Detail FY28'!$AA:$AA,'Employee Detail FY28'!$B:$B,$C158,'Employee Detail FY28'!$C:$C,$D158,'Employee Detail FY28'!$E:$E,$F158,'Employee Detail FY28'!$F:$F,$G158,'Employee Detail FY28'!$G:$G,$H158),0)</f>
        <v>0</v>
      </c>
    </row>
    <row r="159" spans="1:37" s="332" customFormat="1" x14ac:dyDescent="0.2">
      <c r="A159" s="366" t="s">
        <v>700</v>
      </c>
      <c r="B159" s="212" t="s">
        <v>175</v>
      </c>
      <c r="C159" s="846"/>
      <c r="D159" s="847"/>
      <c r="E159" s="847"/>
      <c r="F159" s="331"/>
      <c r="G159" s="331"/>
      <c r="H159" s="457"/>
      <c r="I159" s="458"/>
      <c r="J159" s="303">
        <f>SUM(J123:J158)</f>
        <v>651133.57000000007</v>
      </c>
      <c r="K159" s="939">
        <f>SUM(K123:K158)</f>
        <v>586758.08999999985</v>
      </c>
      <c r="L159" s="939">
        <v>873243</v>
      </c>
      <c r="M159" s="939">
        <v>852437</v>
      </c>
      <c r="N159" s="939">
        <f>SUM(N123:N158)</f>
        <v>901875</v>
      </c>
      <c r="O159" s="939">
        <f>SUM(O123:O158)</f>
        <v>825875</v>
      </c>
      <c r="P159" s="939">
        <f t="shared" si="33"/>
        <v>-76000</v>
      </c>
      <c r="Q159" s="939">
        <f t="shared" ref="Q159:W159" si="34">SUM(Q123:Q158)</f>
        <v>1016146</v>
      </c>
      <c r="R159" s="303">
        <f t="shared" si="28"/>
        <v>114271</v>
      </c>
      <c r="S159" s="303">
        <f t="shared" si="34"/>
        <v>1007431</v>
      </c>
      <c r="T159" s="303">
        <f t="shared" si="34"/>
        <v>1021229</v>
      </c>
      <c r="U159" s="303">
        <f t="shared" si="34"/>
        <v>1084617</v>
      </c>
      <c r="V159" s="303">
        <f t="shared" si="34"/>
        <v>1113669</v>
      </c>
      <c r="W159" s="303">
        <f t="shared" si="34"/>
        <v>1142720</v>
      </c>
      <c r="X159" s="92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s="332" customFormat="1" x14ac:dyDescent="0.2">
      <c r="A160" s="366" t="s">
        <v>701</v>
      </c>
      <c r="B160" s="213" t="s">
        <v>176</v>
      </c>
      <c r="C160" s="851"/>
      <c r="D160" s="852"/>
      <c r="E160" s="852"/>
      <c r="F160" s="334"/>
      <c r="G160" s="334"/>
      <c r="H160" s="427"/>
      <c r="I160" s="428"/>
      <c r="J160" s="304">
        <f>SUM(J159,J122)</f>
        <v>2005945.8299999998</v>
      </c>
      <c r="K160" s="939">
        <f>SUM(K159,K122)</f>
        <v>1866715.5899999999</v>
      </c>
      <c r="L160" s="939">
        <v>2715931</v>
      </c>
      <c r="M160" s="939">
        <v>2709592</v>
      </c>
      <c r="N160" s="939">
        <f>SUM(N159,N122)</f>
        <v>2724105</v>
      </c>
      <c r="O160" s="939">
        <f>SUM(O159,O122)</f>
        <v>2589105</v>
      </c>
      <c r="P160" s="939">
        <f t="shared" si="33"/>
        <v>-135000</v>
      </c>
      <c r="Q160" s="939">
        <f t="shared" ref="Q160:W160" si="35">SUM(Q159,Q122)</f>
        <v>2831507</v>
      </c>
      <c r="R160" s="304">
        <f t="shared" si="28"/>
        <v>107402</v>
      </c>
      <c r="S160" s="304">
        <f t="shared" si="35"/>
        <v>3031648</v>
      </c>
      <c r="T160" s="304">
        <f t="shared" si="35"/>
        <v>3320733</v>
      </c>
      <c r="U160" s="304">
        <f t="shared" si="35"/>
        <v>3572411</v>
      </c>
      <c r="V160" s="304">
        <f t="shared" si="35"/>
        <v>3720253</v>
      </c>
      <c r="W160" s="304">
        <f t="shared" si="35"/>
        <v>3817693</v>
      </c>
      <c r="X160" s="92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outlineLevel="1" x14ac:dyDescent="0.2">
      <c r="A161" s="366" t="s">
        <v>702</v>
      </c>
      <c r="B161" s="460"/>
      <c r="C161" s="853"/>
      <c r="D161" s="853"/>
      <c r="E161" s="853"/>
      <c r="F161" s="132"/>
      <c r="G161" s="132"/>
      <c r="H161" s="132"/>
      <c r="I161" s="152"/>
      <c r="J161" s="271"/>
      <c r="K161" s="271"/>
      <c r="L161" s="271"/>
      <c r="M161" s="271"/>
      <c r="N161" s="271"/>
      <c r="O161" s="271"/>
      <c r="P161" s="271">
        <f t="shared" si="31"/>
        <v>0</v>
      </c>
      <c r="Q161" s="271"/>
      <c r="R161" s="271"/>
      <c r="S161" s="271"/>
      <c r="T161" s="271"/>
      <c r="U161" s="271"/>
      <c r="V161" s="271"/>
      <c r="W161" s="272"/>
      <c r="X161" s="923"/>
    </row>
    <row r="162" spans="1:37" outlineLevel="1" x14ac:dyDescent="0.2">
      <c r="A162" s="366" t="s">
        <v>703</v>
      </c>
      <c r="B162" s="82" t="s">
        <v>177</v>
      </c>
      <c r="C162" s="854"/>
      <c r="D162" s="855"/>
      <c r="E162" s="855"/>
      <c r="F162" s="123"/>
      <c r="G162" s="124"/>
      <c r="H162" s="103" t="s">
        <v>178</v>
      </c>
      <c r="I162" s="103"/>
      <c r="J162" s="115">
        <v>0</v>
      </c>
      <c r="K162" s="115">
        <v>222268.37000000002</v>
      </c>
      <c r="L162" s="115">
        <v>373357</v>
      </c>
      <c r="M162" s="115">
        <v>373357</v>
      </c>
      <c r="N162" s="115">
        <v>357469</v>
      </c>
      <c r="O162" s="606">
        <f>ROUND('Employee Detail FY22'!$AC130,0)</f>
        <v>329666</v>
      </c>
      <c r="P162" s="12">
        <f t="shared" ref="P162:P172" si="36">O162-N162</f>
        <v>-27803</v>
      </c>
      <c r="Q162" s="12">
        <f>ROUND('Employee Detail FY23'!$AC131,0)</f>
        <v>373357</v>
      </c>
      <c r="R162" s="12">
        <f t="shared" si="28"/>
        <v>15888</v>
      </c>
      <c r="S162" s="12">
        <f>ROUND('Employee Detail FY24'!$AC131,0)</f>
        <v>397188</v>
      </c>
      <c r="T162" s="12">
        <f>ROUND('Employee Detail FY25'!$AC131,0)</f>
        <v>436907</v>
      </c>
      <c r="U162" s="12">
        <f>ROUND('Employee Detail FY26'!$AC131,0)</f>
        <v>468682</v>
      </c>
      <c r="V162" s="12">
        <f>ROUND('Employee Detail FY27'!$AC131,0)</f>
        <v>476626</v>
      </c>
      <c r="W162" s="12">
        <f>ROUND('Employee Detail FY28'!$AC131,0)</f>
        <v>476626</v>
      </c>
    </row>
    <row r="163" spans="1:37" outlineLevel="1" x14ac:dyDescent="0.2">
      <c r="A163" s="366" t="s">
        <v>704</v>
      </c>
      <c r="B163" s="82" t="s">
        <v>179</v>
      </c>
      <c r="C163" s="854"/>
      <c r="D163" s="855"/>
      <c r="E163" s="855"/>
      <c r="F163" s="123"/>
      <c r="G163" s="124"/>
      <c r="H163" s="103" t="s">
        <v>180</v>
      </c>
      <c r="I163" s="103"/>
      <c r="J163" s="115">
        <v>0</v>
      </c>
      <c r="K163" s="115">
        <v>1953.69</v>
      </c>
      <c r="L163" s="115">
        <v>0</v>
      </c>
      <c r="M163" s="115">
        <v>0</v>
      </c>
      <c r="N163" s="115">
        <v>2184</v>
      </c>
      <c r="O163" s="606">
        <f>ROUND('Employee Detail FY22'!$AD130,0)</f>
        <v>2184</v>
      </c>
      <c r="P163" s="12">
        <f t="shared" si="36"/>
        <v>0</v>
      </c>
      <c r="Q163" s="12">
        <f>ROUND('Employee Detail FY23'!$AD131,0)</f>
        <v>4155</v>
      </c>
      <c r="R163" s="12">
        <f t="shared" si="28"/>
        <v>1971</v>
      </c>
      <c r="S163" s="12">
        <f>ROUND('Employee Detail FY24'!$AD131,0)</f>
        <v>2754</v>
      </c>
      <c r="T163" s="12">
        <f>ROUND('Employee Detail FY25'!$AD131,0)</f>
        <v>2832</v>
      </c>
      <c r="U163" s="12">
        <f>ROUND('Employee Detail FY26'!$AD131,0)</f>
        <v>2910</v>
      </c>
      <c r="V163" s="12">
        <f>ROUND('Employee Detail FY27'!$AD131,0)</f>
        <v>2988</v>
      </c>
      <c r="W163" s="12">
        <f>ROUND('Employee Detail FY28'!$AD131,0)</f>
        <v>3066</v>
      </c>
    </row>
    <row r="164" spans="1:37" outlineLevel="1" x14ac:dyDescent="0.2">
      <c r="A164" s="366" t="s">
        <v>705</v>
      </c>
      <c r="B164" s="82" t="s">
        <v>181</v>
      </c>
      <c r="C164" s="854"/>
      <c r="D164" s="855"/>
      <c r="E164" s="855"/>
      <c r="F164" s="123"/>
      <c r="G164" s="124"/>
      <c r="H164" s="103" t="s">
        <v>182</v>
      </c>
      <c r="I164" s="103"/>
      <c r="J164" s="115">
        <v>0</v>
      </c>
      <c r="K164" s="115">
        <v>368771.73000000004</v>
      </c>
      <c r="L164" s="115">
        <v>727637</v>
      </c>
      <c r="M164" s="115">
        <v>724973</v>
      </c>
      <c r="N164" s="115">
        <v>606388</v>
      </c>
      <c r="O164" s="606">
        <f>ROUND('Employee Detail FY22'!$AE130,0)</f>
        <v>570242</v>
      </c>
      <c r="P164" s="12">
        <f t="shared" si="36"/>
        <v>-36146</v>
      </c>
      <c r="Q164" s="12">
        <f>ROUND('Employee Detail FY23'!$AE131,0)</f>
        <v>635482</v>
      </c>
      <c r="R164" s="12">
        <f t="shared" si="28"/>
        <v>29094</v>
      </c>
      <c r="S164" s="12">
        <f>ROUND('Employee Detail FY24'!$AE131,0)</f>
        <v>700981</v>
      </c>
      <c r="T164" s="12">
        <f>ROUND('Employee Detail FY25'!$AE131,0)</f>
        <v>780281</v>
      </c>
      <c r="U164" s="12">
        <f>ROUND('Employee Detail FY26'!$AE131,0)</f>
        <v>848638</v>
      </c>
      <c r="V164" s="12">
        <f>ROUND('Employee Detail FY27'!$AE131,0)</f>
        <v>886624</v>
      </c>
      <c r="W164" s="12">
        <f>ROUND('Employee Detail FY28'!$AE131,0)</f>
        <v>909868</v>
      </c>
    </row>
    <row r="165" spans="1:37" outlineLevel="1" x14ac:dyDescent="0.2">
      <c r="A165" s="366" t="s">
        <v>706</v>
      </c>
      <c r="B165" s="82" t="s">
        <v>183</v>
      </c>
      <c r="C165" s="854"/>
      <c r="D165" s="855"/>
      <c r="E165" s="855"/>
      <c r="F165" s="123"/>
      <c r="G165" s="124"/>
      <c r="H165" s="103" t="s">
        <v>184</v>
      </c>
      <c r="I165" s="103"/>
      <c r="J165" s="115">
        <v>0</v>
      </c>
      <c r="K165" s="115">
        <v>26797.189999999995</v>
      </c>
      <c r="L165" s="115">
        <v>39381</v>
      </c>
      <c r="M165" s="115">
        <v>39695</v>
      </c>
      <c r="N165" s="115">
        <v>39500</v>
      </c>
      <c r="O165" s="606">
        <f>ROUND('Employee Detail FY22'!$AF130,0)</f>
        <v>37542</v>
      </c>
      <c r="P165" s="12">
        <f t="shared" si="36"/>
        <v>-1958</v>
      </c>
      <c r="Q165" s="12">
        <f>ROUND('Employee Detail FY23'!$AF131,0)</f>
        <v>41057</v>
      </c>
      <c r="R165" s="12">
        <f t="shared" si="28"/>
        <v>1557</v>
      </c>
      <c r="S165" s="12">
        <f>ROUND('Employee Detail FY24'!$AF131,0)</f>
        <v>43959</v>
      </c>
      <c r="T165" s="12">
        <f>ROUND('Employee Detail FY25'!$AF131,0)</f>
        <v>48151</v>
      </c>
      <c r="U165" s="12">
        <f>ROUND('Employee Detail FY26'!$AF131,0)</f>
        <v>51800</v>
      </c>
      <c r="V165" s="12">
        <f>ROUND('Employee Detail FY27'!$AF131,0)</f>
        <v>53944</v>
      </c>
      <c r="W165" s="12">
        <f>ROUND('Employee Detail FY28'!$AF131,0)</f>
        <v>55357</v>
      </c>
    </row>
    <row r="166" spans="1:37" outlineLevel="1" x14ac:dyDescent="0.2">
      <c r="A166" s="366" t="s">
        <v>707</v>
      </c>
      <c r="B166" s="82" t="s">
        <v>185</v>
      </c>
      <c r="C166" s="854"/>
      <c r="D166" s="855"/>
      <c r="E166" s="855"/>
      <c r="F166" s="123"/>
      <c r="G166" s="124"/>
      <c r="H166" s="103" t="s">
        <v>186</v>
      </c>
      <c r="I166" s="103"/>
      <c r="J166" s="115">
        <v>0</v>
      </c>
      <c r="K166" s="115">
        <v>0</v>
      </c>
      <c r="L166" s="115">
        <v>0</v>
      </c>
      <c r="M166" s="115">
        <v>0</v>
      </c>
      <c r="N166" s="115">
        <v>0</v>
      </c>
      <c r="O166" s="606">
        <f>ROUND('Employee Detail FY22'!$AG130,0)</f>
        <v>0</v>
      </c>
      <c r="P166" s="12">
        <f t="shared" si="36"/>
        <v>0</v>
      </c>
      <c r="Q166" s="12">
        <f>ROUND('Employee Detail FY23'!$AG131,0)</f>
        <v>0</v>
      </c>
      <c r="R166" s="12">
        <f t="shared" si="28"/>
        <v>0</v>
      </c>
      <c r="S166" s="12">
        <f>ROUND('Employee Detail FY24'!$AG131,0)</f>
        <v>0</v>
      </c>
      <c r="T166" s="12">
        <f>ROUND('Employee Detail FY25'!$AG131,0)</f>
        <v>0</v>
      </c>
      <c r="U166" s="12">
        <f>ROUND('Employee Detail FY26'!$AG131,0)</f>
        <v>0</v>
      </c>
      <c r="V166" s="12">
        <f>ROUND('Employee Detail FY27'!$AG131,0)</f>
        <v>0</v>
      </c>
      <c r="W166" s="12">
        <f>ROUND('Employee Detail FY28'!$AG131,0)</f>
        <v>0</v>
      </c>
    </row>
    <row r="167" spans="1:37" outlineLevel="1" x14ac:dyDescent="0.2">
      <c r="A167" s="366" t="s">
        <v>708</v>
      </c>
      <c r="B167" s="82" t="s">
        <v>187</v>
      </c>
      <c r="C167" s="854"/>
      <c r="D167" s="855"/>
      <c r="E167" s="855"/>
      <c r="F167" s="123"/>
      <c r="G167" s="124"/>
      <c r="H167" s="103" t="s">
        <v>188</v>
      </c>
      <c r="I167" s="103"/>
      <c r="J167" s="115">
        <v>0</v>
      </c>
      <c r="K167" s="115">
        <v>14383.750000000002</v>
      </c>
      <c r="L167" s="115">
        <v>24721</v>
      </c>
      <c r="M167" s="115">
        <v>24918</v>
      </c>
      <c r="N167" s="115">
        <v>24796</v>
      </c>
      <c r="O167" s="606">
        <f>ROUND('Employee Detail FY22'!$AH130,0)</f>
        <v>23567</v>
      </c>
      <c r="P167" s="12">
        <f t="shared" si="36"/>
        <v>-1229</v>
      </c>
      <c r="Q167" s="12">
        <f>ROUND('Employee Detail FY23'!$AH131,0)</f>
        <v>25773</v>
      </c>
      <c r="R167" s="12">
        <f t="shared" si="28"/>
        <v>977</v>
      </c>
      <c r="S167" s="12">
        <f>ROUND('Employee Detail FY24'!$AH131,0)</f>
        <v>27595</v>
      </c>
      <c r="T167" s="12">
        <f>ROUND('Employee Detail FY25'!$AH131,0)</f>
        <v>30226</v>
      </c>
      <c r="U167" s="12">
        <f>ROUND('Employee Detail FY26'!$AH131,0)</f>
        <v>32517</v>
      </c>
      <c r="V167" s="12">
        <f>ROUND('Employee Detail FY27'!$AH131,0)</f>
        <v>33863</v>
      </c>
      <c r="W167" s="12">
        <f>ROUND('Employee Detail FY28'!$AH131,0)</f>
        <v>34750</v>
      </c>
    </row>
    <row r="168" spans="1:37" outlineLevel="1" x14ac:dyDescent="0.2">
      <c r="A168" s="366" t="s">
        <v>709</v>
      </c>
      <c r="B168" s="82" t="s">
        <v>189</v>
      </c>
      <c r="C168" s="854"/>
      <c r="D168" s="855"/>
      <c r="E168" s="855"/>
      <c r="F168" s="123"/>
      <c r="G168" s="124"/>
      <c r="H168" s="103" t="s">
        <v>190</v>
      </c>
      <c r="I168" s="103"/>
      <c r="J168" s="115">
        <v>0</v>
      </c>
      <c r="K168" s="115">
        <v>4943.99</v>
      </c>
      <c r="L168" s="115">
        <v>7805</v>
      </c>
      <c r="M168" s="115">
        <v>7869</v>
      </c>
      <c r="N168" s="115">
        <v>5505</v>
      </c>
      <c r="O168" s="606">
        <f>ROUND('Employee Detail FY22'!$AI130,0)</f>
        <v>5232</v>
      </c>
      <c r="P168" s="12">
        <f t="shared" si="36"/>
        <v>-273</v>
      </c>
      <c r="Q168" s="12">
        <f>ROUND('Employee Detail FY23'!$AI131,0)</f>
        <v>8339</v>
      </c>
      <c r="R168" s="12">
        <f t="shared" si="28"/>
        <v>2834</v>
      </c>
      <c r="S168" s="12">
        <f>ROUND('Employee Detail FY24'!$AI131,0)</f>
        <v>8929</v>
      </c>
      <c r="T168" s="12">
        <f>ROUND('Employee Detail FY25'!$AI131,0)</f>
        <v>9780</v>
      </c>
      <c r="U168" s="12">
        <f>ROUND('Employee Detail FY26'!$AI131,0)</f>
        <v>10521</v>
      </c>
      <c r="V168" s="12">
        <f>ROUND('Employee Detail FY27'!$AI131,0)</f>
        <v>10957</v>
      </c>
      <c r="W168" s="12">
        <f>ROUND('Employee Detail FY28'!$AI131,0)</f>
        <v>11244</v>
      </c>
    </row>
    <row r="169" spans="1:37" outlineLevel="1" x14ac:dyDescent="0.2">
      <c r="A169" s="366" t="s">
        <v>710</v>
      </c>
      <c r="B169" s="82" t="s">
        <v>191</v>
      </c>
      <c r="C169" s="854"/>
      <c r="D169" s="855"/>
      <c r="E169" s="855"/>
      <c r="F169" s="123"/>
      <c r="G169" s="124"/>
      <c r="H169" s="103" t="s">
        <v>192</v>
      </c>
      <c r="I169" s="103"/>
      <c r="J169" s="115">
        <v>0</v>
      </c>
      <c r="K169" s="115">
        <v>0</v>
      </c>
      <c r="L169" s="115">
        <v>0</v>
      </c>
      <c r="M169" s="115">
        <v>0</v>
      </c>
      <c r="N169" s="115">
        <v>0</v>
      </c>
      <c r="O169" s="606">
        <f>ROUND('Employee Detail FY22'!$AJ130,0)</f>
        <v>0</v>
      </c>
      <c r="P169" s="12">
        <f t="shared" si="36"/>
        <v>0</v>
      </c>
      <c r="Q169" s="12">
        <f>ROUND('Employee Detail FY23'!$AJ131,0)</f>
        <v>0</v>
      </c>
      <c r="R169" s="12">
        <f t="shared" si="28"/>
        <v>0</v>
      </c>
      <c r="S169" s="12">
        <f>ROUND('Employee Detail FY24'!$AJ131,0)</f>
        <v>0</v>
      </c>
      <c r="T169" s="12">
        <f>ROUND('Employee Detail FY25'!$AJ131,0)</f>
        <v>0</v>
      </c>
      <c r="U169" s="12">
        <f>ROUND('Employee Detail FY26'!$AJ131,0)</f>
        <v>0</v>
      </c>
      <c r="V169" s="12">
        <f>ROUND('Employee Detail FY27'!$AJ131,0)</f>
        <v>0</v>
      </c>
      <c r="W169" s="12">
        <f>ROUND('Employee Detail FY28'!$AJ131,0)</f>
        <v>0</v>
      </c>
    </row>
    <row r="170" spans="1:37" outlineLevel="1" x14ac:dyDescent="0.2">
      <c r="A170" s="366" t="s">
        <v>711</v>
      </c>
      <c r="B170" s="82" t="s">
        <v>193</v>
      </c>
      <c r="C170" s="854"/>
      <c r="D170" s="855"/>
      <c r="E170" s="855"/>
      <c r="F170" s="123"/>
      <c r="G170" s="124"/>
      <c r="H170" s="103" t="s">
        <v>194</v>
      </c>
      <c r="I170" s="103"/>
      <c r="J170" s="115">
        <v>704725.46999999939</v>
      </c>
      <c r="K170" s="115">
        <v>0</v>
      </c>
      <c r="L170" s="115">
        <v>0</v>
      </c>
      <c r="M170" s="115">
        <v>0</v>
      </c>
      <c r="N170" s="115">
        <v>0</v>
      </c>
      <c r="O170" s="606">
        <f>ROUND('Employee Detail FY22'!$AK130,0)</f>
        <v>0</v>
      </c>
      <c r="P170" s="12">
        <f t="shared" si="36"/>
        <v>0</v>
      </c>
      <c r="Q170" s="12">
        <f>ROUND('Employee Detail FY23'!$AK131,0)</f>
        <v>0</v>
      </c>
      <c r="R170" s="12">
        <f t="shared" si="28"/>
        <v>0</v>
      </c>
      <c r="S170" s="12">
        <f>ROUND('Employee Detail FY24'!$AK131,0)</f>
        <v>0</v>
      </c>
      <c r="T170" s="12">
        <f>ROUND('Employee Detail FY25'!$AK131,0)</f>
        <v>0</v>
      </c>
      <c r="U170" s="12">
        <f>ROUND('Employee Detail FY26'!$AK131,0)</f>
        <v>0</v>
      </c>
      <c r="V170" s="12">
        <f>ROUND('Employee Detail FY27'!$AK131,0)</f>
        <v>0</v>
      </c>
      <c r="W170" s="12">
        <f>ROUND('Employee Detail FY28'!$AK131,0)</f>
        <v>0</v>
      </c>
    </row>
    <row r="171" spans="1:37" s="332" customFormat="1" x14ac:dyDescent="0.2">
      <c r="A171" s="366" t="s">
        <v>712</v>
      </c>
      <c r="B171" s="213" t="s">
        <v>195</v>
      </c>
      <c r="C171" s="851"/>
      <c r="D171" s="852"/>
      <c r="E171" s="852"/>
      <c r="F171" s="334"/>
      <c r="G171" s="334"/>
      <c r="H171" s="427"/>
      <c r="I171" s="428"/>
      <c r="J171" s="304">
        <f>SUM(J162:J170)</f>
        <v>704725.46999999939</v>
      </c>
      <c r="K171" s="939">
        <f t="shared" ref="K171:V171" si="37">SUM(K162:K170)</f>
        <v>639118.72</v>
      </c>
      <c r="L171" s="939">
        <v>1172901</v>
      </c>
      <c r="M171" s="939">
        <v>1170812</v>
      </c>
      <c r="N171" s="939">
        <f>SUM(N162:N170)</f>
        <v>1035842</v>
      </c>
      <c r="O171" s="939">
        <f>SUM(O162:O170)</f>
        <v>968433</v>
      </c>
      <c r="P171" s="939">
        <f t="shared" si="36"/>
        <v>-67409</v>
      </c>
      <c r="Q171" s="939">
        <f t="shared" si="37"/>
        <v>1088163</v>
      </c>
      <c r="R171" s="304">
        <f t="shared" si="28"/>
        <v>52321</v>
      </c>
      <c r="S171" s="304">
        <f t="shared" ref="S171" si="38">SUM(S162:S170)</f>
        <v>1181406</v>
      </c>
      <c r="T171" s="304">
        <f t="shared" si="37"/>
        <v>1308177</v>
      </c>
      <c r="U171" s="304">
        <f t="shared" si="37"/>
        <v>1415068</v>
      </c>
      <c r="V171" s="304">
        <f t="shared" si="37"/>
        <v>1465002</v>
      </c>
      <c r="W171" s="304">
        <f t="shared" ref="W171" si="39">SUM(W162:W170)</f>
        <v>1490911</v>
      </c>
      <c r="X171" s="92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s="332" customFormat="1" x14ac:dyDescent="0.2">
      <c r="A172" s="366" t="s">
        <v>713</v>
      </c>
      <c r="B172" s="213" t="s">
        <v>196</v>
      </c>
      <c r="C172" s="851"/>
      <c r="D172" s="852"/>
      <c r="E172" s="852"/>
      <c r="F172" s="334"/>
      <c r="G172" s="334"/>
      <c r="H172" s="427"/>
      <c r="I172" s="428"/>
      <c r="J172" s="304">
        <f>SUM(J171,J160)</f>
        <v>2710671.2999999993</v>
      </c>
      <c r="K172" s="939">
        <f t="shared" ref="K172:V172" si="40">SUM(K171,K160)</f>
        <v>2505834.3099999996</v>
      </c>
      <c r="L172" s="939">
        <v>3888832</v>
      </c>
      <c r="M172" s="939">
        <f t="shared" si="40"/>
        <v>3880404</v>
      </c>
      <c r="N172" s="939">
        <f t="shared" si="40"/>
        <v>3759947</v>
      </c>
      <c r="O172" s="939">
        <f t="shared" si="40"/>
        <v>3557538</v>
      </c>
      <c r="P172" s="939">
        <f t="shared" si="36"/>
        <v>-202409</v>
      </c>
      <c r="Q172" s="939">
        <f t="shared" si="40"/>
        <v>3919670</v>
      </c>
      <c r="R172" s="304">
        <f t="shared" si="28"/>
        <v>159723</v>
      </c>
      <c r="S172" s="304">
        <f t="shared" ref="S172" si="41">SUM(S171,S160)</f>
        <v>4213054</v>
      </c>
      <c r="T172" s="304">
        <f t="shared" si="40"/>
        <v>4628910</v>
      </c>
      <c r="U172" s="304">
        <f t="shared" si="40"/>
        <v>4987479</v>
      </c>
      <c r="V172" s="304">
        <f t="shared" si="40"/>
        <v>5185255</v>
      </c>
      <c r="W172" s="304">
        <f t="shared" ref="W172" si="42">SUM(W171,W160)</f>
        <v>5308604</v>
      </c>
      <c r="X172" s="92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outlineLevel="1" x14ac:dyDescent="0.2">
      <c r="A173" s="366" t="s">
        <v>714</v>
      </c>
      <c r="B173" s="460" t="s">
        <v>197</v>
      </c>
      <c r="C173" s="853"/>
      <c r="D173" s="853"/>
      <c r="E173" s="853"/>
      <c r="F173" s="132"/>
      <c r="G173" s="132"/>
      <c r="H173" s="132"/>
      <c r="I173" s="152"/>
      <c r="J173" s="271"/>
      <c r="K173" s="271"/>
      <c r="L173" s="271"/>
      <c r="M173" s="271"/>
      <c r="N173" s="271"/>
      <c r="O173" s="271"/>
      <c r="P173" s="271">
        <f t="shared" si="31"/>
        <v>0</v>
      </c>
      <c r="Q173" s="271"/>
      <c r="R173" s="271"/>
      <c r="S173" s="271"/>
      <c r="T173" s="271"/>
      <c r="U173" s="271"/>
      <c r="V173" s="271"/>
      <c r="W173" s="272"/>
    </row>
    <row r="174" spans="1:37" outlineLevel="1" x14ac:dyDescent="0.2">
      <c r="A174" s="366" t="s">
        <v>715</v>
      </c>
      <c r="B174" s="88" t="s">
        <v>517</v>
      </c>
      <c r="C174" s="839">
        <v>100</v>
      </c>
      <c r="D174" s="839" t="s">
        <v>145</v>
      </c>
      <c r="E174" s="839"/>
      <c r="F174" s="102">
        <v>100</v>
      </c>
      <c r="G174" s="102">
        <v>1000</v>
      </c>
      <c r="H174" s="102" t="s">
        <v>203</v>
      </c>
      <c r="I174" s="102"/>
      <c r="J174" s="115">
        <v>0</v>
      </c>
      <c r="K174" s="115">
        <v>13254.6</v>
      </c>
      <c r="L174" s="115">
        <v>45000</v>
      </c>
      <c r="M174" s="115">
        <v>45000</v>
      </c>
      <c r="N174" s="115">
        <v>45000</v>
      </c>
      <c r="O174" s="932">
        <f>'2022 Budget &amp; CF'!AA174</f>
        <v>45000</v>
      </c>
      <c r="P174" s="12">
        <f t="shared" ref="P174:P175" si="43">O174-N174</f>
        <v>0</v>
      </c>
      <c r="Q174" s="932">
        <f>45000+65000+61611</f>
        <v>171611</v>
      </c>
      <c r="R174" s="12">
        <f t="shared" si="28"/>
        <v>126611</v>
      </c>
      <c r="S174" s="12">
        <f>Q174</f>
        <v>171611</v>
      </c>
      <c r="T174" s="12">
        <f>S174</f>
        <v>171611</v>
      </c>
      <c r="U174" s="12">
        <f t="shared" ref="U174:W175" si="44">T174</f>
        <v>171611</v>
      </c>
      <c r="V174" s="12">
        <f t="shared" si="44"/>
        <v>171611</v>
      </c>
      <c r="W174" s="12">
        <f t="shared" si="44"/>
        <v>171611</v>
      </c>
      <c r="Y174" s="355"/>
    </row>
    <row r="175" spans="1:37" outlineLevel="1" x14ac:dyDescent="0.2">
      <c r="A175" s="366" t="s">
        <v>716</v>
      </c>
      <c r="B175" s="88" t="s">
        <v>943</v>
      </c>
      <c r="C175" s="839">
        <v>100</v>
      </c>
      <c r="D175" s="839" t="s">
        <v>145</v>
      </c>
      <c r="E175" s="839"/>
      <c r="F175" s="102">
        <v>100</v>
      </c>
      <c r="G175" s="102">
        <v>1000</v>
      </c>
      <c r="H175" s="102" t="s">
        <v>225</v>
      </c>
      <c r="I175" s="102"/>
      <c r="J175" s="115">
        <v>0</v>
      </c>
      <c r="K175" s="115">
        <v>1045.98</v>
      </c>
      <c r="L175" s="115">
        <v>1450</v>
      </c>
      <c r="M175" s="115">
        <v>22820</v>
      </c>
      <c r="N175" s="115">
        <v>22820</v>
      </c>
      <c r="O175" s="932">
        <f>'2022 Budget &amp; CF'!AA175</f>
        <v>22820</v>
      </c>
      <c r="P175" s="12">
        <f t="shared" si="43"/>
        <v>0</v>
      </c>
      <c r="Q175" s="932">
        <f>350*24</f>
        <v>8400</v>
      </c>
      <c r="R175" s="12">
        <f t="shared" si="28"/>
        <v>-14420</v>
      </c>
      <c r="S175" s="12">
        <f>Q175</f>
        <v>8400</v>
      </c>
      <c r="T175" s="12">
        <f>S175</f>
        <v>8400</v>
      </c>
      <c r="U175" s="12">
        <f>ROUND(T175*1.05,0)</f>
        <v>8820</v>
      </c>
      <c r="V175" s="12">
        <f t="shared" si="44"/>
        <v>8820</v>
      </c>
      <c r="W175" s="12">
        <f t="shared" si="44"/>
        <v>8820</v>
      </c>
      <c r="Y175" s="355"/>
    </row>
    <row r="176" spans="1:37" outlineLevel="1" x14ac:dyDescent="0.2">
      <c r="A176" s="366" t="s">
        <v>717</v>
      </c>
      <c r="B176" s="460" t="s">
        <v>204</v>
      </c>
      <c r="C176" s="853"/>
      <c r="D176" s="853"/>
      <c r="E176" s="853"/>
      <c r="F176" s="132"/>
      <c r="G176" s="132"/>
      <c r="H176" s="132"/>
      <c r="I176" s="152"/>
      <c r="J176" s="271"/>
      <c r="K176" s="271"/>
      <c r="L176" s="271"/>
      <c r="M176" s="271"/>
      <c r="N176" s="271"/>
      <c r="O176" s="271"/>
      <c r="P176" s="271">
        <f t="shared" si="31"/>
        <v>0</v>
      </c>
      <c r="Q176" s="271"/>
      <c r="R176" s="271">
        <f t="shared" si="28"/>
        <v>0</v>
      </c>
      <c r="S176" s="271"/>
      <c r="T176" s="271"/>
      <c r="U176" s="271"/>
      <c r="V176" s="271"/>
      <c r="W176" s="272"/>
      <c r="Y176" s="355"/>
    </row>
    <row r="177" spans="1:25" outlineLevel="1" x14ac:dyDescent="0.2">
      <c r="A177" s="366" t="s">
        <v>718</v>
      </c>
      <c r="B177" s="88" t="s">
        <v>474</v>
      </c>
      <c r="C177" s="839">
        <v>100</v>
      </c>
      <c r="D177" s="839" t="s">
        <v>145</v>
      </c>
      <c r="E177" s="839"/>
      <c r="F177" s="102">
        <v>100</v>
      </c>
      <c r="G177" s="102">
        <v>2213</v>
      </c>
      <c r="H177" s="104" t="s">
        <v>199</v>
      </c>
      <c r="I177" s="104"/>
      <c r="J177" s="115">
        <v>0</v>
      </c>
      <c r="K177" s="115">
        <v>2617.59</v>
      </c>
      <c r="L177" s="115">
        <v>3178</v>
      </c>
      <c r="M177" s="115">
        <v>2618</v>
      </c>
      <c r="N177" s="115">
        <v>2618</v>
      </c>
      <c r="O177" s="932">
        <f>'2022 Budget &amp; CF'!AA177</f>
        <v>2618</v>
      </c>
      <c r="P177" s="12">
        <f t="shared" ref="P177:P179" si="45">O177-N177</f>
        <v>0</v>
      </c>
      <c r="Q177" s="932">
        <f>O177</f>
        <v>2618</v>
      </c>
      <c r="R177" s="12">
        <f t="shared" si="28"/>
        <v>0</v>
      </c>
      <c r="S177" s="12">
        <f t="shared" ref="S177:S179" si="46">Q177</f>
        <v>2618</v>
      </c>
      <c r="T177" s="12">
        <f>S177</f>
        <v>2618</v>
      </c>
      <c r="U177" s="12">
        <f t="shared" ref="U177:W178" si="47">T177</f>
        <v>2618</v>
      </c>
      <c r="V177" s="12">
        <f t="shared" si="47"/>
        <v>2618</v>
      </c>
      <c r="W177" s="12">
        <f t="shared" si="47"/>
        <v>2618</v>
      </c>
      <c r="Y177" s="355"/>
    </row>
    <row r="178" spans="1:25" outlineLevel="1" x14ac:dyDescent="0.2">
      <c r="A178" s="366" t="s">
        <v>719</v>
      </c>
      <c r="B178" s="88" t="s">
        <v>205</v>
      </c>
      <c r="C178" s="839">
        <v>100</v>
      </c>
      <c r="D178" s="839" t="s">
        <v>145</v>
      </c>
      <c r="E178" s="839"/>
      <c r="F178" s="102">
        <v>100</v>
      </c>
      <c r="G178" s="102" t="s">
        <v>534</v>
      </c>
      <c r="H178" s="102" t="s">
        <v>201</v>
      </c>
      <c r="I178" s="102"/>
      <c r="J178" s="115">
        <v>0</v>
      </c>
      <c r="K178" s="115">
        <v>0</v>
      </c>
      <c r="L178" s="115">
        <v>0</v>
      </c>
      <c r="M178" s="115">
        <v>0</v>
      </c>
      <c r="N178" s="115">
        <v>0</v>
      </c>
      <c r="O178" s="932">
        <f>'2022 Budget &amp; CF'!AA178</f>
        <v>0</v>
      </c>
      <c r="P178" s="12">
        <f t="shared" ref="P178" si="48">O178-N178</f>
        <v>0</v>
      </c>
      <c r="Q178" s="932">
        <f>200*10</f>
        <v>2000</v>
      </c>
      <c r="R178" s="12">
        <f t="shared" si="28"/>
        <v>2000</v>
      </c>
      <c r="S178" s="12">
        <f t="shared" ref="S178" si="49">Q178</f>
        <v>2000</v>
      </c>
      <c r="T178" s="12">
        <f>S178</f>
        <v>2000</v>
      </c>
      <c r="U178" s="12">
        <f t="shared" si="47"/>
        <v>2000</v>
      </c>
      <c r="V178" s="12">
        <f t="shared" si="47"/>
        <v>2000</v>
      </c>
      <c r="W178" s="12">
        <f t="shared" si="47"/>
        <v>2000</v>
      </c>
      <c r="Y178" s="355"/>
    </row>
    <row r="179" spans="1:25" outlineLevel="1" x14ac:dyDescent="0.2">
      <c r="A179" s="366" t="s">
        <v>720</v>
      </c>
      <c r="B179" s="88" t="s">
        <v>205</v>
      </c>
      <c r="C179" s="839">
        <v>100</v>
      </c>
      <c r="D179" s="839" t="s">
        <v>145</v>
      </c>
      <c r="E179" s="839"/>
      <c r="F179" s="102">
        <v>100</v>
      </c>
      <c r="G179" s="102">
        <v>2213</v>
      </c>
      <c r="H179" s="102" t="s">
        <v>201</v>
      </c>
      <c r="I179" s="102"/>
      <c r="J179" s="115">
        <v>0</v>
      </c>
      <c r="K179" s="115">
        <v>0</v>
      </c>
      <c r="L179" s="115">
        <v>0</v>
      </c>
      <c r="M179" s="115">
        <v>0</v>
      </c>
      <c r="N179" s="115">
        <v>0</v>
      </c>
      <c r="O179" s="932">
        <f>'2022 Budget &amp; CF'!AA179</f>
        <v>0</v>
      </c>
      <c r="P179" s="12">
        <f t="shared" si="45"/>
        <v>0</v>
      </c>
      <c r="Q179" s="932">
        <f>O179</f>
        <v>0</v>
      </c>
      <c r="R179" s="12">
        <f t="shared" si="28"/>
        <v>0</v>
      </c>
      <c r="S179" s="12">
        <f t="shared" si="46"/>
        <v>0</v>
      </c>
      <c r="T179" s="12">
        <f>S179</f>
        <v>0</v>
      </c>
      <c r="U179" s="12">
        <f t="shared" ref="U179:W179" si="50">T179</f>
        <v>0</v>
      </c>
      <c r="V179" s="12">
        <f t="shared" si="50"/>
        <v>0</v>
      </c>
      <c r="W179" s="12">
        <f t="shared" si="50"/>
        <v>0</v>
      </c>
      <c r="Y179" s="355"/>
    </row>
    <row r="180" spans="1:25" outlineLevel="1" x14ac:dyDescent="0.2">
      <c r="A180" s="366" t="s">
        <v>721</v>
      </c>
      <c r="B180" s="460" t="s">
        <v>206</v>
      </c>
      <c r="C180" s="853"/>
      <c r="D180" s="853"/>
      <c r="E180" s="853"/>
      <c r="F180" s="132"/>
      <c r="G180" s="132"/>
      <c r="H180" s="132"/>
      <c r="I180" s="152"/>
      <c r="J180" s="271"/>
      <c r="K180" s="271"/>
      <c r="L180" s="271"/>
      <c r="M180" s="271"/>
      <c r="N180" s="271"/>
      <c r="O180" s="271"/>
      <c r="P180" s="271">
        <f t="shared" si="31"/>
        <v>0</v>
      </c>
      <c r="Q180" s="271"/>
      <c r="R180" s="271">
        <f t="shared" si="28"/>
        <v>0</v>
      </c>
      <c r="S180" s="271"/>
      <c r="T180" s="271"/>
      <c r="U180" s="271"/>
      <c r="V180" s="271"/>
      <c r="W180" s="272"/>
      <c r="Y180" s="355"/>
    </row>
    <row r="181" spans="1:25" outlineLevel="1" x14ac:dyDescent="0.2">
      <c r="A181" s="366" t="s">
        <v>722</v>
      </c>
      <c r="B181" s="88" t="s">
        <v>208</v>
      </c>
      <c r="C181" s="839">
        <v>100</v>
      </c>
      <c r="D181" s="839" t="s">
        <v>145</v>
      </c>
      <c r="E181" s="839"/>
      <c r="F181" s="102">
        <v>100</v>
      </c>
      <c r="G181" s="102" t="s">
        <v>464</v>
      </c>
      <c r="H181" s="102" t="s">
        <v>201</v>
      </c>
      <c r="I181" s="102"/>
      <c r="J181" s="115">
        <v>0</v>
      </c>
      <c r="K181" s="115">
        <v>0</v>
      </c>
      <c r="L181" s="115">
        <v>6000</v>
      </c>
      <c r="M181" s="115">
        <v>6288</v>
      </c>
      <c r="N181" s="115">
        <v>6288</v>
      </c>
      <c r="O181" s="932">
        <f>'2022 Budget &amp; CF'!AA181</f>
        <v>6288</v>
      </c>
      <c r="P181" s="12">
        <f t="shared" ref="P181:P184" si="51">O181-N181</f>
        <v>0</v>
      </c>
      <c r="Q181" s="932">
        <v>4000</v>
      </c>
      <c r="R181" s="12">
        <f t="shared" si="28"/>
        <v>-2288</v>
      </c>
      <c r="S181" s="12">
        <f>Q181</f>
        <v>4000</v>
      </c>
      <c r="T181" s="12">
        <f>S181</f>
        <v>4000</v>
      </c>
      <c r="U181" s="12">
        <f>T181</f>
        <v>4000</v>
      </c>
      <c r="V181" s="12">
        <f>U181</f>
        <v>4000</v>
      </c>
      <c r="W181" s="12">
        <f>V181</f>
        <v>4000</v>
      </c>
      <c r="Y181" s="355"/>
    </row>
    <row r="182" spans="1:25" outlineLevel="1" x14ac:dyDescent="0.2">
      <c r="A182" s="366" t="s">
        <v>723</v>
      </c>
      <c r="B182" s="88" t="s">
        <v>994</v>
      </c>
      <c r="C182" s="839">
        <v>100</v>
      </c>
      <c r="D182" s="839" t="s">
        <v>145</v>
      </c>
      <c r="E182" s="839"/>
      <c r="F182" s="102">
        <v>100</v>
      </c>
      <c r="G182" s="102" t="s">
        <v>518</v>
      </c>
      <c r="H182" s="104" t="s">
        <v>226</v>
      </c>
      <c r="I182" s="102"/>
      <c r="J182" s="115"/>
      <c r="K182" s="115">
        <v>381.28</v>
      </c>
      <c r="L182" s="115">
        <v>0</v>
      </c>
      <c r="M182" s="115">
        <v>0</v>
      </c>
      <c r="N182" s="115">
        <v>0</v>
      </c>
      <c r="O182" s="932">
        <f>'2022 Budget &amp; CF'!AA182</f>
        <v>0</v>
      </c>
      <c r="P182" s="12">
        <f t="shared" si="51"/>
        <v>0</v>
      </c>
      <c r="Q182" s="932">
        <v>500</v>
      </c>
      <c r="R182" s="12">
        <f t="shared" si="28"/>
        <v>500</v>
      </c>
      <c r="S182" s="12">
        <f>Q182</f>
        <v>500</v>
      </c>
      <c r="T182" s="12">
        <f t="shared" ref="T182:T183" si="52">S182</f>
        <v>500</v>
      </c>
      <c r="U182" s="12">
        <f t="shared" ref="U182:W182" si="53">T182</f>
        <v>500</v>
      </c>
      <c r="V182" s="12">
        <f t="shared" si="53"/>
        <v>500</v>
      </c>
      <c r="W182" s="12">
        <f t="shared" si="53"/>
        <v>500</v>
      </c>
      <c r="Y182" s="355"/>
    </row>
    <row r="183" spans="1:25" outlineLevel="1" x14ac:dyDescent="0.2">
      <c r="A183" s="366" t="s">
        <v>724</v>
      </c>
      <c r="B183" s="88" t="s">
        <v>519</v>
      </c>
      <c r="C183" s="839">
        <v>100</v>
      </c>
      <c r="D183" s="839" t="s">
        <v>145</v>
      </c>
      <c r="E183" s="839"/>
      <c r="F183" s="102">
        <v>100</v>
      </c>
      <c r="G183" s="102" t="s">
        <v>518</v>
      </c>
      <c r="H183" s="104" t="s">
        <v>203</v>
      </c>
      <c r="I183" s="104"/>
      <c r="J183" s="115">
        <v>0</v>
      </c>
      <c r="K183" s="115">
        <v>6287.5</v>
      </c>
      <c r="L183" s="115">
        <v>3000</v>
      </c>
      <c r="M183" s="115">
        <v>0</v>
      </c>
      <c r="N183" s="115">
        <v>0</v>
      </c>
      <c r="O183" s="932">
        <f>'2022 Budget &amp; CF'!AA183</f>
        <v>0</v>
      </c>
      <c r="P183" s="12">
        <f t="shared" si="51"/>
        <v>0</v>
      </c>
      <c r="Q183" s="932">
        <f>O183</f>
        <v>0</v>
      </c>
      <c r="R183" s="12">
        <f t="shared" si="28"/>
        <v>0</v>
      </c>
      <c r="S183" s="12">
        <f>Q183</f>
        <v>0</v>
      </c>
      <c r="T183" s="12">
        <f t="shared" si="52"/>
        <v>0</v>
      </c>
      <c r="U183" s="12">
        <f t="shared" ref="U183:W183" si="54">T183</f>
        <v>0</v>
      </c>
      <c r="V183" s="12">
        <f t="shared" si="54"/>
        <v>0</v>
      </c>
      <c r="W183" s="12">
        <f t="shared" si="54"/>
        <v>0</v>
      </c>
      <c r="Y183" s="355"/>
    </row>
    <row r="184" spans="1:25" outlineLevel="1" x14ac:dyDescent="0.2">
      <c r="A184" s="366" t="s">
        <v>725</v>
      </c>
      <c r="B184" s="88" t="s">
        <v>944</v>
      </c>
      <c r="C184" s="839">
        <v>100</v>
      </c>
      <c r="D184" s="834">
        <v>201</v>
      </c>
      <c r="E184" s="839"/>
      <c r="F184" s="102">
        <v>100</v>
      </c>
      <c r="G184" s="102" t="s">
        <v>475</v>
      </c>
      <c r="H184" s="102" t="s">
        <v>210</v>
      </c>
      <c r="I184" s="102"/>
      <c r="J184" s="115">
        <v>0</v>
      </c>
      <c r="K184" s="115">
        <v>34035</v>
      </c>
      <c r="L184" s="115">
        <v>47441</v>
      </c>
      <c r="M184" s="115">
        <v>52518</v>
      </c>
      <c r="N184" s="115">
        <v>38090</v>
      </c>
      <c r="O184" s="932">
        <f>'2022 Budget &amp; CF'!AA184</f>
        <v>40159</v>
      </c>
      <c r="P184" s="12">
        <f t="shared" si="51"/>
        <v>2069</v>
      </c>
      <c r="Q184" s="932">
        <f t="shared" ref="Q184:W184" si="55">ROUND(Q9*0.0125,0)</f>
        <v>53659</v>
      </c>
      <c r="R184" s="12">
        <f t="shared" si="28"/>
        <v>15569</v>
      </c>
      <c r="S184" s="12">
        <f t="shared" si="55"/>
        <v>60217</v>
      </c>
      <c r="T184" s="12">
        <f t="shared" si="55"/>
        <v>65498</v>
      </c>
      <c r="U184" s="12">
        <f t="shared" si="55"/>
        <v>69461</v>
      </c>
      <c r="V184" s="12">
        <f t="shared" si="55"/>
        <v>70633</v>
      </c>
      <c r="W184" s="12">
        <f t="shared" si="55"/>
        <v>70857</v>
      </c>
      <c r="Y184" s="355"/>
    </row>
    <row r="185" spans="1:25" outlineLevel="1" x14ac:dyDescent="0.2">
      <c r="A185" s="366" t="s">
        <v>726</v>
      </c>
      <c r="B185" s="460" t="s">
        <v>211</v>
      </c>
      <c r="C185" s="853"/>
      <c r="D185" s="853"/>
      <c r="E185" s="853"/>
      <c r="F185" s="132"/>
      <c r="G185" s="132"/>
      <c r="H185" s="132"/>
      <c r="I185" s="152"/>
      <c r="J185" s="271"/>
      <c r="K185" s="271"/>
      <c r="L185" s="271"/>
      <c r="M185" s="271"/>
      <c r="N185" s="271"/>
      <c r="O185" s="271"/>
      <c r="P185" s="271">
        <f t="shared" si="31"/>
        <v>0</v>
      </c>
      <c r="Q185" s="271"/>
      <c r="R185" s="271">
        <f t="shared" si="28"/>
        <v>0</v>
      </c>
      <c r="S185" s="271"/>
      <c r="T185" s="271"/>
      <c r="U185" s="271"/>
      <c r="V185" s="271"/>
      <c r="W185" s="272"/>
      <c r="Y185" s="355"/>
    </row>
    <row r="186" spans="1:25" outlineLevel="1" x14ac:dyDescent="0.2">
      <c r="A186" s="366" t="s">
        <v>727</v>
      </c>
      <c r="B186" s="88" t="s">
        <v>212</v>
      </c>
      <c r="C186" s="839">
        <v>100</v>
      </c>
      <c r="D186" s="839" t="s">
        <v>145</v>
      </c>
      <c r="E186" s="839"/>
      <c r="F186" s="102">
        <v>100</v>
      </c>
      <c r="G186" s="102" t="s">
        <v>460</v>
      </c>
      <c r="H186" s="102" t="s">
        <v>199</v>
      </c>
      <c r="I186" s="102"/>
      <c r="J186" s="115">
        <v>0</v>
      </c>
      <c r="K186" s="115">
        <v>256</v>
      </c>
      <c r="L186" s="115">
        <v>1000</v>
      </c>
      <c r="M186" s="115">
        <v>256</v>
      </c>
      <c r="N186" s="115">
        <v>256</v>
      </c>
      <c r="O186" s="932">
        <f>'2022 Budget &amp; CF'!AA186</f>
        <v>0</v>
      </c>
      <c r="P186" s="12">
        <f t="shared" ref="P186:P187" si="56">O186-N186</f>
        <v>-256</v>
      </c>
      <c r="Q186" s="932">
        <f>O186</f>
        <v>0</v>
      </c>
      <c r="R186" s="12">
        <f t="shared" si="28"/>
        <v>-256</v>
      </c>
      <c r="S186" s="12">
        <f>Q186</f>
        <v>0</v>
      </c>
      <c r="T186" s="12">
        <f t="shared" ref="T186:T187" si="57">S186</f>
        <v>0</v>
      </c>
      <c r="U186" s="12">
        <f t="shared" ref="U186:W186" si="58">T186</f>
        <v>0</v>
      </c>
      <c r="V186" s="12">
        <f t="shared" si="58"/>
        <v>0</v>
      </c>
      <c r="W186" s="12">
        <f t="shared" si="58"/>
        <v>0</v>
      </c>
      <c r="Y186" s="355"/>
    </row>
    <row r="187" spans="1:25" outlineLevel="1" x14ac:dyDescent="0.2">
      <c r="A187" s="366" t="s">
        <v>728</v>
      </c>
      <c r="B187" s="88" t="s">
        <v>213</v>
      </c>
      <c r="C187" s="839">
        <v>100</v>
      </c>
      <c r="D187" s="839" t="s">
        <v>145</v>
      </c>
      <c r="E187" s="839"/>
      <c r="F187" s="102">
        <v>100</v>
      </c>
      <c r="G187" s="102" t="s">
        <v>460</v>
      </c>
      <c r="H187" s="102" t="s">
        <v>201</v>
      </c>
      <c r="I187" s="102"/>
      <c r="J187" s="115">
        <v>0</v>
      </c>
      <c r="K187" s="115">
        <v>0</v>
      </c>
      <c r="L187" s="115">
        <v>0</v>
      </c>
      <c r="M187" s="115">
        <v>0</v>
      </c>
      <c r="N187" s="115">
        <v>0</v>
      </c>
      <c r="O187" s="932">
        <f>'2022 Budget &amp; CF'!AA187</f>
        <v>256</v>
      </c>
      <c r="P187" s="12">
        <f t="shared" si="56"/>
        <v>256</v>
      </c>
      <c r="Q187" s="932">
        <f>200*10</f>
        <v>2000</v>
      </c>
      <c r="R187" s="12">
        <f t="shared" si="28"/>
        <v>2000</v>
      </c>
      <c r="S187" s="12">
        <f>Q187</f>
        <v>2000</v>
      </c>
      <c r="T187" s="12">
        <f t="shared" si="57"/>
        <v>2000</v>
      </c>
      <c r="U187" s="12">
        <f t="shared" ref="U187:W187" si="59">T187</f>
        <v>2000</v>
      </c>
      <c r="V187" s="12">
        <f t="shared" si="59"/>
        <v>2000</v>
      </c>
      <c r="W187" s="12">
        <f t="shared" si="59"/>
        <v>2000</v>
      </c>
      <c r="Y187" s="355"/>
    </row>
    <row r="188" spans="1:25" outlineLevel="1" x14ac:dyDescent="0.2">
      <c r="A188" s="366" t="s">
        <v>729</v>
      </c>
      <c r="B188" s="460" t="s">
        <v>214</v>
      </c>
      <c r="C188" s="853"/>
      <c r="D188" s="853"/>
      <c r="E188" s="853"/>
      <c r="F188" s="132"/>
      <c r="G188" s="132"/>
      <c r="H188" s="132"/>
      <c r="I188" s="152"/>
      <c r="J188" s="271"/>
      <c r="K188" s="271"/>
      <c r="L188" s="271"/>
      <c r="M188" s="271"/>
      <c r="N188" s="271"/>
      <c r="O188" s="271"/>
      <c r="P188" s="271">
        <f t="shared" si="31"/>
        <v>0</v>
      </c>
      <c r="Q188" s="271"/>
      <c r="R188" s="271">
        <f t="shared" si="28"/>
        <v>0</v>
      </c>
      <c r="S188" s="271"/>
      <c r="T188" s="271"/>
      <c r="U188" s="271"/>
      <c r="V188" s="271"/>
      <c r="W188" s="272"/>
      <c r="Y188" s="355"/>
    </row>
    <row r="189" spans="1:25" outlineLevel="1" x14ac:dyDescent="0.2">
      <c r="A189" s="366" t="s">
        <v>730</v>
      </c>
      <c r="B189" s="88" t="s">
        <v>945</v>
      </c>
      <c r="C189" s="839">
        <v>100</v>
      </c>
      <c r="D189" s="839" t="s">
        <v>145</v>
      </c>
      <c r="E189" s="839"/>
      <c r="F189" s="102">
        <v>100</v>
      </c>
      <c r="G189" s="102" t="s">
        <v>477</v>
      </c>
      <c r="H189" s="102" t="s">
        <v>207</v>
      </c>
      <c r="I189" s="102"/>
      <c r="J189" s="115">
        <v>0</v>
      </c>
      <c r="K189" s="115">
        <v>504</v>
      </c>
      <c r="L189" s="115">
        <v>1224</v>
      </c>
      <c r="M189" s="115">
        <v>1224</v>
      </c>
      <c r="N189" s="115">
        <v>1224</v>
      </c>
      <c r="O189" s="932">
        <f>'2022 Budget &amp; CF'!AA189</f>
        <v>1224</v>
      </c>
      <c r="P189" s="12">
        <f t="shared" ref="P189:P205" si="60">O189-N189</f>
        <v>0</v>
      </c>
      <c r="Q189" s="932">
        <f t="shared" ref="Q189:Q200" si="61">O189</f>
        <v>1224</v>
      </c>
      <c r="R189" s="12">
        <f t="shared" si="28"/>
        <v>0</v>
      </c>
      <c r="S189" s="12">
        <f>Q189</f>
        <v>1224</v>
      </c>
      <c r="T189" s="12">
        <f t="shared" ref="T189:T238" si="62">S189</f>
        <v>1224</v>
      </c>
      <c r="U189" s="12">
        <f t="shared" ref="U189:W189" si="63">T189</f>
        <v>1224</v>
      </c>
      <c r="V189" s="12">
        <f t="shared" si="63"/>
        <v>1224</v>
      </c>
      <c r="W189" s="12">
        <f t="shared" si="63"/>
        <v>1224</v>
      </c>
      <c r="Y189" s="355"/>
    </row>
    <row r="190" spans="1:25" outlineLevel="1" x14ac:dyDescent="0.2">
      <c r="A190" s="366" t="s">
        <v>731</v>
      </c>
      <c r="B190" s="88" t="s">
        <v>819</v>
      </c>
      <c r="C190" s="839" t="s">
        <v>468</v>
      </c>
      <c r="D190" s="839" t="s">
        <v>145</v>
      </c>
      <c r="E190" s="839"/>
      <c r="F190" s="102" t="s">
        <v>468</v>
      </c>
      <c r="G190" s="102" t="s">
        <v>477</v>
      </c>
      <c r="H190" s="102" t="s">
        <v>199</v>
      </c>
      <c r="I190" s="102"/>
      <c r="J190" s="115"/>
      <c r="K190" s="115">
        <v>1575</v>
      </c>
      <c r="L190" s="115">
        <v>0</v>
      </c>
      <c r="M190" s="115"/>
      <c r="N190" s="115">
        <v>0</v>
      </c>
      <c r="O190" s="932">
        <f>'2022 Budget &amp; CF'!AA190</f>
        <v>0</v>
      </c>
      <c r="P190" s="12">
        <f t="shared" si="60"/>
        <v>0</v>
      </c>
      <c r="Q190" s="932">
        <f t="shared" ref="Q190:Q191" si="64">O190</f>
        <v>0</v>
      </c>
      <c r="R190" s="12">
        <f t="shared" si="28"/>
        <v>0</v>
      </c>
      <c r="S190" s="12">
        <f t="shared" ref="S190:S238" si="65">Q190</f>
        <v>0</v>
      </c>
      <c r="T190" s="12">
        <f t="shared" si="62"/>
        <v>0</v>
      </c>
      <c r="U190" s="12">
        <f t="shared" ref="U190:U191" si="66">T190</f>
        <v>0</v>
      </c>
      <c r="V190" s="12">
        <f t="shared" ref="V190:V191" si="67">U190</f>
        <v>0</v>
      </c>
      <c r="W190" s="12">
        <f t="shared" ref="W190:W191" si="68">V190</f>
        <v>0</v>
      </c>
      <c r="Y190" s="355"/>
    </row>
    <row r="191" spans="1:25" outlineLevel="1" x14ac:dyDescent="0.2">
      <c r="A191" s="366" t="s">
        <v>732</v>
      </c>
      <c r="B191" s="88" t="s">
        <v>819</v>
      </c>
      <c r="C191" s="839" t="s">
        <v>468</v>
      </c>
      <c r="D191" s="839" t="s">
        <v>145</v>
      </c>
      <c r="E191" s="839"/>
      <c r="F191" s="102" t="s">
        <v>468</v>
      </c>
      <c r="G191" s="102" t="s">
        <v>479</v>
      </c>
      <c r="H191" s="102" t="s">
        <v>199</v>
      </c>
      <c r="I191" s="102"/>
      <c r="J191" s="115"/>
      <c r="K191" s="115">
        <v>300</v>
      </c>
      <c r="L191" s="115">
        <v>0</v>
      </c>
      <c r="M191" s="115"/>
      <c r="N191" s="115">
        <v>0</v>
      </c>
      <c r="O191" s="932">
        <f>'2022 Budget &amp; CF'!AA191</f>
        <v>0</v>
      </c>
      <c r="P191" s="12">
        <f t="shared" si="60"/>
        <v>0</v>
      </c>
      <c r="Q191" s="932">
        <f t="shared" si="64"/>
        <v>0</v>
      </c>
      <c r="R191" s="12">
        <f t="shared" si="28"/>
        <v>0</v>
      </c>
      <c r="S191" s="12">
        <f t="shared" si="65"/>
        <v>0</v>
      </c>
      <c r="T191" s="12">
        <f t="shared" si="62"/>
        <v>0</v>
      </c>
      <c r="U191" s="12">
        <f t="shared" si="66"/>
        <v>0</v>
      </c>
      <c r="V191" s="12">
        <f t="shared" si="67"/>
        <v>0</v>
      </c>
      <c r="W191" s="12">
        <f t="shared" si="68"/>
        <v>0</v>
      </c>
      <c r="Y191" s="355"/>
    </row>
    <row r="192" spans="1:25" outlineLevel="1" x14ac:dyDescent="0.2">
      <c r="A192" s="366" t="s">
        <v>733</v>
      </c>
      <c r="B192" s="88" t="s">
        <v>946</v>
      </c>
      <c r="C192" s="839">
        <v>100</v>
      </c>
      <c r="D192" s="839" t="s">
        <v>145</v>
      </c>
      <c r="E192" s="839"/>
      <c r="F192" s="102">
        <v>100</v>
      </c>
      <c r="G192" s="102" t="s">
        <v>458</v>
      </c>
      <c r="H192" s="102" t="s">
        <v>203</v>
      </c>
      <c r="I192" s="102"/>
      <c r="J192" s="115">
        <v>0</v>
      </c>
      <c r="K192" s="115">
        <v>104900</v>
      </c>
      <c r="L192" s="115">
        <v>124500</v>
      </c>
      <c r="M192" s="115">
        <v>124500</v>
      </c>
      <c r="N192" s="115">
        <v>124500</v>
      </c>
      <c r="O192" s="932">
        <f>'2022 Budget &amp; CF'!AA192</f>
        <v>124500</v>
      </c>
      <c r="P192" s="12">
        <f t="shared" si="60"/>
        <v>0</v>
      </c>
      <c r="Q192" s="932">
        <f>144000+25000</f>
        <v>169000</v>
      </c>
      <c r="R192" s="12">
        <f t="shared" si="28"/>
        <v>44500</v>
      </c>
      <c r="S192" s="12">
        <f>144000+25000</f>
        <v>169000</v>
      </c>
      <c r="T192" s="12">
        <f>162000+25000</f>
        <v>187000</v>
      </c>
      <c r="U192" s="12">
        <f t="shared" ref="U192:W192" si="69">T192</f>
        <v>187000</v>
      </c>
      <c r="V192" s="12">
        <f t="shared" si="69"/>
        <v>187000</v>
      </c>
      <c r="W192" s="12">
        <f t="shared" si="69"/>
        <v>187000</v>
      </c>
      <c r="Y192" s="355"/>
    </row>
    <row r="193" spans="1:25" outlineLevel="1" x14ac:dyDescent="0.2">
      <c r="A193" s="366" t="s">
        <v>734</v>
      </c>
      <c r="B193" s="88" t="s">
        <v>519</v>
      </c>
      <c r="C193" s="839">
        <v>100</v>
      </c>
      <c r="D193" s="839" t="s">
        <v>145</v>
      </c>
      <c r="E193" s="839"/>
      <c r="F193" s="102">
        <v>100</v>
      </c>
      <c r="G193" s="102" t="s">
        <v>1207</v>
      </c>
      <c r="H193" s="104" t="s">
        <v>203</v>
      </c>
      <c r="I193" s="102"/>
      <c r="J193" s="115"/>
      <c r="K193" s="115">
        <v>434.88</v>
      </c>
      <c r="L193" s="115"/>
      <c r="M193" s="115"/>
      <c r="N193" s="115"/>
      <c r="O193" s="932">
        <f>'2022 Budget &amp; CF'!AA193</f>
        <v>399</v>
      </c>
      <c r="P193" s="12"/>
      <c r="Q193" s="932">
        <v>0</v>
      </c>
      <c r="R193" s="12">
        <f t="shared" si="28"/>
        <v>0</v>
      </c>
      <c r="S193" s="12">
        <f t="shared" si="65"/>
        <v>0</v>
      </c>
      <c r="T193" s="12">
        <f t="shared" si="62"/>
        <v>0</v>
      </c>
      <c r="U193" s="12">
        <f t="shared" ref="U193" si="70">T193</f>
        <v>0</v>
      </c>
      <c r="V193" s="12">
        <f t="shared" ref="V193" si="71">U193</f>
        <v>0</v>
      </c>
      <c r="W193" s="12">
        <f t="shared" ref="W193" si="72">V193</f>
        <v>0</v>
      </c>
      <c r="Y193" s="355"/>
    </row>
    <row r="194" spans="1:25" outlineLevel="1" x14ac:dyDescent="0.2">
      <c r="A194" s="366" t="s">
        <v>735</v>
      </c>
      <c r="B194" s="88" t="s">
        <v>927</v>
      </c>
      <c r="C194" s="839">
        <v>100</v>
      </c>
      <c r="D194" s="839" t="s">
        <v>145</v>
      </c>
      <c r="E194" s="839"/>
      <c r="F194" s="102">
        <v>100</v>
      </c>
      <c r="G194" s="102" t="s">
        <v>476</v>
      </c>
      <c r="H194" s="102" t="s">
        <v>217</v>
      </c>
      <c r="I194" s="102"/>
      <c r="J194" s="115">
        <v>0</v>
      </c>
      <c r="K194" s="115">
        <v>3600</v>
      </c>
      <c r="L194" s="115">
        <v>5600</v>
      </c>
      <c r="M194" s="115">
        <v>5600</v>
      </c>
      <c r="N194" s="115">
        <v>5600</v>
      </c>
      <c r="O194" s="932">
        <f>'2022 Budget &amp; CF'!AA194</f>
        <v>5600</v>
      </c>
      <c r="P194" s="12">
        <f t="shared" si="60"/>
        <v>0</v>
      </c>
      <c r="Q194" s="932">
        <f t="shared" si="61"/>
        <v>5600</v>
      </c>
      <c r="R194" s="12">
        <f t="shared" si="28"/>
        <v>0</v>
      </c>
      <c r="S194" s="12">
        <f t="shared" si="65"/>
        <v>5600</v>
      </c>
      <c r="T194" s="12">
        <f t="shared" si="62"/>
        <v>5600</v>
      </c>
      <c r="U194" s="12">
        <f t="shared" ref="U194:W194" si="73">T194</f>
        <v>5600</v>
      </c>
      <c r="V194" s="12">
        <f t="shared" si="73"/>
        <v>5600</v>
      </c>
      <c r="W194" s="12">
        <f t="shared" si="73"/>
        <v>5600</v>
      </c>
      <c r="Y194" s="355"/>
    </row>
    <row r="195" spans="1:25" outlineLevel="1" x14ac:dyDescent="0.2">
      <c r="A195" s="366" t="s">
        <v>736</v>
      </c>
      <c r="B195" s="88" t="s">
        <v>218</v>
      </c>
      <c r="C195" s="839">
        <v>100</v>
      </c>
      <c r="D195" s="839" t="s">
        <v>145</v>
      </c>
      <c r="E195" s="839"/>
      <c r="F195" s="102">
        <v>100</v>
      </c>
      <c r="G195" s="102" t="s">
        <v>520</v>
      </c>
      <c r="H195" s="102" t="s">
        <v>200</v>
      </c>
      <c r="I195" s="102"/>
      <c r="J195" s="115">
        <v>0</v>
      </c>
      <c r="K195" s="115">
        <v>10824.84</v>
      </c>
      <c r="L195" s="115">
        <v>18508</v>
      </c>
      <c r="M195" s="115">
        <v>18508</v>
      </c>
      <c r="N195" s="115">
        <v>18508</v>
      </c>
      <c r="O195" s="932">
        <f>'2022 Budget &amp; CF'!AA195</f>
        <v>18508</v>
      </c>
      <c r="P195" s="12">
        <f t="shared" si="60"/>
        <v>0</v>
      </c>
      <c r="Q195" s="932">
        <f t="shared" si="61"/>
        <v>18508</v>
      </c>
      <c r="R195" s="12">
        <f t="shared" si="28"/>
        <v>0</v>
      </c>
      <c r="S195" s="12">
        <f t="shared" si="65"/>
        <v>18508</v>
      </c>
      <c r="T195" s="12">
        <f t="shared" si="62"/>
        <v>18508</v>
      </c>
      <c r="U195" s="12">
        <f t="shared" ref="U195:W195" si="74">T195</f>
        <v>18508</v>
      </c>
      <c r="V195" s="12">
        <f t="shared" si="74"/>
        <v>18508</v>
      </c>
      <c r="W195" s="12">
        <f t="shared" si="74"/>
        <v>18508</v>
      </c>
      <c r="Y195" s="355"/>
    </row>
    <row r="196" spans="1:25" outlineLevel="1" x14ac:dyDescent="0.2">
      <c r="A196" s="366" t="s">
        <v>737</v>
      </c>
      <c r="B196" s="88" t="s">
        <v>521</v>
      </c>
      <c r="C196" s="839">
        <v>100</v>
      </c>
      <c r="D196" s="839" t="s">
        <v>145</v>
      </c>
      <c r="E196" s="839"/>
      <c r="F196" s="102">
        <v>100</v>
      </c>
      <c r="G196" s="102" t="s">
        <v>478</v>
      </c>
      <c r="H196" s="102" t="s">
        <v>219</v>
      </c>
      <c r="I196" s="102"/>
      <c r="J196" s="115">
        <v>0</v>
      </c>
      <c r="K196" s="115">
        <v>5862.4299999999994</v>
      </c>
      <c r="L196" s="115">
        <v>8508</v>
      </c>
      <c r="M196" s="115">
        <v>8508</v>
      </c>
      <c r="N196" s="115">
        <v>8508</v>
      </c>
      <c r="O196" s="932">
        <f>'2022 Budget &amp; CF'!AA196</f>
        <v>8508</v>
      </c>
      <c r="P196" s="12">
        <f t="shared" si="60"/>
        <v>0</v>
      </c>
      <c r="Q196" s="932">
        <f t="shared" si="61"/>
        <v>8508</v>
      </c>
      <c r="R196" s="12">
        <f t="shared" si="28"/>
        <v>0</v>
      </c>
      <c r="S196" s="12">
        <f t="shared" si="65"/>
        <v>8508</v>
      </c>
      <c r="T196" s="12">
        <f t="shared" si="62"/>
        <v>8508</v>
      </c>
      <c r="U196" s="12">
        <f t="shared" ref="U196:W198" si="75">T196</f>
        <v>8508</v>
      </c>
      <c r="V196" s="12">
        <f t="shared" si="75"/>
        <v>8508</v>
      </c>
      <c r="W196" s="12">
        <f t="shared" si="75"/>
        <v>8508</v>
      </c>
      <c r="Y196" s="355"/>
    </row>
    <row r="197" spans="1:25" outlineLevel="1" x14ac:dyDescent="0.2">
      <c r="A197" s="366" t="s">
        <v>738</v>
      </c>
      <c r="B197" s="88" t="s">
        <v>947</v>
      </c>
      <c r="C197" s="839">
        <v>100</v>
      </c>
      <c r="D197" s="839" t="s">
        <v>145</v>
      </c>
      <c r="E197" s="839"/>
      <c r="F197" s="102">
        <v>100</v>
      </c>
      <c r="G197" s="102" t="s">
        <v>479</v>
      </c>
      <c r="H197" s="102" t="s">
        <v>219</v>
      </c>
      <c r="I197" s="102"/>
      <c r="J197" s="115">
        <v>0</v>
      </c>
      <c r="K197" s="115">
        <v>4105.92</v>
      </c>
      <c r="L197" s="115">
        <v>4275</v>
      </c>
      <c r="M197" s="115">
        <v>4275</v>
      </c>
      <c r="N197" s="115">
        <v>4275</v>
      </c>
      <c r="O197" s="932">
        <f>'2022 Budget &amp; CF'!AA197</f>
        <v>4275</v>
      </c>
      <c r="P197" s="12">
        <f t="shared" si="60"/>
        <v>0</v>
      </c>
      <c r="Q197" s="932">
        <f t="shared" si="61"/>
        <v>4275</v>
      </c>
      <c r="R197" s="12">
        <f t="shared" si="28"/>
        <v>0</v>
      </c>
      <c r="S197" s="12">
        <f t="shared" si="65"/>
        <v>4275</v>
      </c>
      <c r="T197" s="12">
        <f t="shared" si="62"/>
        <v>4275</v>
      </c>
      <c r="U197" s="12">
        <f t="shared" si="75"/>
        <v>4275</v>
      </c>
      <c r="V197" s="12">
        <f t="shared" si="75"/>
        <v>4275</v>
      </c>
      <c r="W197" s="12">
        <f t="shared" si="75"/>
        <v>4275</v>
      </c>
      <c r="Y197" s="355"/>
    </row>
    <row r="198" spans="1:25" outlineLevel="1" x14ac:dyDescent="0.2">
      <c r="A198" s="366" t="s">
        <v>739</v>
      </c>
      <c r="B198" s="88" t="s">
        <v>948</v>
      </c>
      <c r="C198" s="839">
        <v>100</v>
      </c>
      <c r="D198" s="839" t="s">
        <v>145</v>
      </c>
      <c r="E198" s="839"/>
      <c r="F198" s="102">
        <v>100</v>
      </c>
      <c r="G198" s="102" t="s">
        <v>520</v>
      </c>
      <c r="H198" s="102" t="s">
        <v>219</v>
      </c>
      <c r="I198" s="102"/>
      <c r="J198" s="115">
        <v>0</v>
      </c>
      <c r="K198" s="115">
        <v>11735.03</v>
      </c>
      <c r="L198" s="115">
        <v>11543</v>
      </c>
      <c r="M198" s="115">
        <v>11543</v>
      </c>
      <c r="N198" s="115">
        <v>11543</v>
      </c>
      <c r="O198" s="932">
        <f>'2022 Budget &amp; CF'!AA198</f>
        <v>11543</v>
      </c>
      <c r="P198" s="12">
        <f t="shared" si="60"/>
        <v>0</v>
      </c>
      <c r="Q198" s="932">
        <f t="shared" si="61"/>
        <v>11543</v>
      </c>
      <c r="R198" s="12">
        <f t="shared" si="28"/>
        <v>0</v>
      </c>
      <c r="S198" s="12">
        <f t="shared" si="65"/>
        <v>11543</v>
      </c>
      <c r="T198" s="12">
        <f t="shared" si="62"/>
        <v>11543</v>
      </c>
      <c r="U198" s="12">
        <f t="shared" si="75"/>
        <v>11543</v>
      </c>
      <c r="V198" s="12">
        <f t="shared" si="75"/>
        <v>11543</v>
      </c>
      <c r="W198" s="12">
        <f t="shared" si="75"/>
        <v>11543</v>
      </c>
      <c r="Y198" s="355"/>
    </row>
    <row r="199" spans="1:25" outlineLevel="1" x14ac:dyDescent="0.2">
      <c r="A199" s="366" t="s">
        <v>740</v>
      </c>
      <c r="B199" s="88" t="s">
        <v>220</v>
      </c>
      <c r="C199" s="839">
        <v>100</v>
      </c>
      <c r="D199" s="839" t="s">
        <v>145</v>
      </c>
      <c r="E199" s="839"/>
      <c r="F199" s="102">
        <v>100</v>
      </c>
      <c r="G199" s="102" t="s">
        <v>458</v>
      </c>
      <c r="H199" s="102" t="s">
        <v>221</v>
      </c>
      <c r="I199" s="102"/>
      <c r="J199" s="115">
        <v>0</v>
      </c>
      <c r="K199" s="115">
        <v>5250</v>
      </c>
      <c r="L199" s="115">
        <v>10000</v>
      </c>
      <c r="M199" s="115">
        <v>10000</v>
      </c>
      <c r="N199" s="115">
        <v>10000</v>
      </c>
      <c r="O199" s="932">
        <f>'2022 Budget &amp; CF'!AA199</f>
        <v>10000</v>
      </c>
      <c r="P199" s="12">
        <f t="shared" si="60"/>
        <v>0</v>
      </c>
      <c r="Q199" s="932">
        <f>ROUND(O199*1.25,0)</f>
        <v>12500</v>
      </c>
      <c r="R199" s="12">
        <f t="shared" si="28"/>
        <v>2500</v>
      </c>
      <c r="S199" s="12">
        <f>ROUND(Q199*1.25,0)</f>
        <v>15625</v>
      </c>
      <c r="T199" s="12">
        <f t="shared" si="62"/>
        <v>15625</v>
      </c>
      <c r="U199" s="12">
        <f>T199</f>
        <v>15625</v>
      </c>
      <c r="V199" s="12">
        <f>ROUND(U199*1.25,0)</f>
        <v>19531</v>
      </c>
      <c r="W199" s="12">
        <f t="shared" ref="W199" si="76">V199</f>
        <v>19531</v>
      </c>
      <c r="Y199" s="355"/>
    </row>
    <row r="200" spans="1:25" outlineLevel="1" x14ac:dyDescent="0.2">
      <c r="A200" s="366" t="s">
        <v>741</v>
      </c>
      <c r="B200" s="88" t="s">
        <v>222</v>
      </c>
      <c r="C200" s="839">
        <v>100</v>
      </c>
      <c r="D200" s="839" t="s">
        <v>145</v>
      </c>
      <c r="E200" s="839"/>
      <c r="F200" s="102">
        <v>100</v>
      </c>
      <c r="G200" s="102" t="s">
        <v>479</v>
      </c>
      <c r="H200" s="102" t="s">
        <v>223</v>
      </c>
      <c r="I200" s="102"/>
      <c r="J200" s="115">
        <v>0</v>
      </c>
      <c r="K200" s="115">
        <v>5589.19</v>
      </c>
      <c r="L200" s="115">
        <v>7272</v>
      </c>
      <c r="M200" s="115">
        <v>7272</v>
      </c>
      <c r="N200" s="115">
        <v>7272</v>
      </c>
      <c r="O200" s="932">
        <f>'2022 Budget &amp; CF'!AA200</f>
        <v>7272</v>
      </c>
      <c r="P200" s="12">
        <f t="shared" si="60"/>
        <v>0</v>
      </c>
      <c r="Q200" s="932">
        <f t="shared" si="61"/>
        <v>7272</v>
      </c>
      <c r="R200" s="12">
        <f t="shared" si="28"/>
        <v>0</v>
      </c>
      <c r="S200" s="12">
        <f t="shared" si="65"/>
        <v>7272</v>
      </c>
      <c r="T200" s="12">
        <f t="shared" si="62"/>
        <v>7272</v>
      </c>
      <c r="U200" s="12">
        <f t="shared" ref="U200:W200" si="77">T200</f>
        <v>7272</v>
      </c>
      <c r="V200" s="12">
        <f t="shared" si="77"/>
        <v>7272</v>
      </c>
      <c r="W200" s="12">
        <f t="shared" si="77"/>
        <v>7272</v>
      </c>
      <c r="Y200" s="355"/>
    </row>
    <row r="201" spans="1:25" outlineLevel="1" x14ac:dyDescent="0.2">
      <c r="A201" s="366" t="s">
        <v>742</v>
      </c>
      <c r="B201" s="88" t="s">
        <v>949</v>
      </c>
      <c r="C201" s="839">
        <v>100</v>
      </c>
      <c r="D201" s="839" t="s">
        <v>145</v>
      </c>
      <c r="E201" s="839"/>
      <c r="F201" s="102">
        <v>100</v>
      </c>
      <c r="G201" s="102" t="s">
        <v>479</v>
      </c>
      <c r="H201" s="102" t="s">
        <v>225</v>
      </c>
      <c r="I201" s="102"/>
      <c r="J201" s="115">
        <v>0</v>
      </c>
      <c r="K201" s="115">
        <v>1901.68</v>
      </c>
      <c r="L201" s="115">
        <v>4175</v>
      </c>
      <c r="M201" s="115">
        <v>4175</v>
      </c>
      <c r="N201" s="115">
        <v>4175</v>
      </c>
      <c r="O201" s="932">
        <f>'2022 Budget &amp; CF'!AA201</f>
        <v>4175</v>
      </c>
      <c r="P201" s="12">
        <f t="shared" si="60"/>
        <v>0</v>
      </c>
      <c r="Q201" s="932">
        <f>O201</f>
        <v>4175</v>
      </c>
      <c r="R201" s="12">
        <f t="shared" si="28"/>
        <v>0</v>
      </c>
      <c r="S201" s="12">
        <f t="shared" si="65"/>
        <v>4175</v>
      </c>
      <c r="T201" s="12">
        <f t="shared" si="62"/>
        <v>4175</v>
      </c>
      <c r="U201" s="12">
        <f t="shared" ref="U201:W201" si="78">T201</f>
        <v>4175</v>
      </c>
      <c r="V201" s="12">
        <f t="shared" si="78"/>
        <v>4175</v>
      </c>
      <c r="W201" s="12">
        <f t="shared" si="78"/>
        <v>4175</v>
      </c>
      <c r="Y201" s="355"/>
    </row>
    <row r="202" spans="1:25" outlineLevel="1" x14ac:dyDescent="0.2">
      <c r="A202" s="366" t="s">
        <v>743</v>
      </c>
      <c r="B202" s="88" t="s">
        <v>1304</v>
      </c>
      <c r="C202" s="839">
        <v>100</v>
      </c>
      <c r="D202" s="839" t="s">
        <v>145</v>
      </c>
      <c r="E202" s="839"/>
      <c r="F202" s="102">
        <v>100</v>
      </c>
      <c r="G202" s="102" t="s">
        <v>476</v>
      </c>
      <c r="H202" s="102" t="s">
        <v>226</v>
      </c>
      <c r="I202" s="102"/>
      <c r="J202" s="115">
        <v>0</v>
      </c>
      <c r="K202" s="115">
        <v>1016.96</v>
      </c>
      <c r="L202" s="115">
        <v>40000</v>
      </c>
      <c r="M202" s="115">
        <v>40000</v>
      </c>
      <c r="N202" s="115">
        <v>40000</v>
      </c>
      <c r="O202" s="932">
        <f>'2022 Budget &amp; CF'!AA202</f>
        <v>29000</v>
      </c>
      <c r="P202" s="12">
        <f t="shared" si="60"/>
        <v>-11000</v>
      </c>
      <c r="Q202" s="932">
        <v>20000</v>
      </c>
      <c r="R202" s="12">
        <f t="shared" ref="R202:R265" si="79">Q202-N202</f>
        <v>-20000</v>
      </c>
      <c r="S202" s="12">
        <f t="shared" si="65"/>
        <v>20000</v>
      </c>
      <c r="T202" s="12">
        <f t="shared" si="62"/>
        <v>20000</v>
      </c>
      <c r="U202" s="12">
        <f t="shared" ref="U202:W202" si="80">T202</f>
        <v>20000</v>
      </c>
      <c r="V202" s="12">
        <f t="shared" si="80"/>
        <v>20000</v>
      </c>
      <c r="W202" s="12">
        <f t="shared" si="80"/>
        <v>20000</v>
      </c>
      <c r="Y202" s="355"/>
    </row>
    <row r="203" spans="1:25" outlineLevel="1" x14ac:dyDescent="0.2">
      <c r="A203" s="366" t="s">
        <v>744</v>
      </c>
      <c r="B203" s="88" t="s">
        <v>1123</v>
      </c>
      <c r="C203" s="839">
        <v>100</v>
      </c>
      <c r="D203" s="839" t="s">
        <v>145</v>
      </c>
      <c r="E203" s="839"/>
      <c r="F203" s="102">
        <v>100</v>
      </c>
      <c r="G203" s="102" t="s">
        <v>477</v>
      </c>
      <c r="H203" s="102" t="s">
        <v>226</v>
      </c>
      <c r="I203" s="102"/>
      <c r="J203" s="115"/>
      <c r="K203" s="115">
        <v>1742.7</v>
      </c>
      <c r="L203" s="115">
        <v>0</v>
      </c>
      <c r="M203" s="115">
        <v>0</v>
      </c>
      <c r="N203" s="115">
        <v>0</v>
      </c>
      <c r="O203" s="932">
        <f>'2022 Budget &amp; CF'!AA203</f>
        <v>1000</v>
      </c>
      <c r="P203" s="12">
        <f t="shared" si="60"/>
        <v>1000</v>
      </c>
      <c r="Q203" s="932">
        <v>10000</v>
      </c>
      <c r="R203" s="12">
        <f t="shared" si="79"/>
        <v>10000</v>
      </c>
      <c r="S203" s="12">
        <f t="shared" si="65"/>
        <v>10000</v>
      </c>
      <c r="T203" s="12">
        <f t="shared" si="62"/>
        <v>10000</v>
      </c>
      <c r="U203" s="12">
        <f t="shared" ref="U203:U204" si="81">T203</f>
        <v>10000</v>
      </c>
      <c r="V203" s="12">
        <f t="shared" ref="V203:V204" si="82">U203</f>
        <v>10000</v>
      </c>
      <c r="W203" s="12">
        <f t="shared" ref="W203:W204" si="83">V203</f>
        <v>10000</v>
      </c>
      <c r="Y203" s="355"/>
    </row>
    <row r="204" spans="1:25" outlineLevel="1" x14ac:dyDescent="0.2">
      <c r="A204" s="366" t="s">
        <v>745</v>
      </c>
      <c r="B204" s="88" t="s">
        <v>1124</v>
      </c>
      <c r="C204" s="839">
        <v>100</v>
      </c>
      <c r="D204" s="839" t="s">
        <v>145</v>
      </c>
      <c r="E204" s="839"/>
      <c r="F204" s="102">
        <v>100</v>
      </c>
      <c r="G204" s="102" t="s">
        <v>1051</v>
      </c>
      <c r="H204" s="104" t="s">
        <v>226</v>
      </c>
      <c r="I204" s="102"/>
      <c r="J204" s="115"/>
      <c r="K204" s="115">
        <v>2616.3200000000002</v>
      </c>
      <c r="L204" s="115"/>
      <c r="M204" s="115"/>
      <c r="N204" s="115">
        <v>0</v>
      </c>
      <c r="O204" s="932">
        <f>'2022 Budget &amp; CF'!AA204</f>
        <v>1172</v>
      </c>
      <c r="P204" s="12">
        <f t="shared" si="60"/>
        <v>1172</v>
      </c>
      <c r="Q204" s="932">
        <f t="shared" ref="Q204" si="84">O204</f>
        <v>1172</v>
      </c>
      <c r="R204" s="12">
        <f t="shared" si="79"/>
        <v>1172</v>
      </c>
      <c r="S204" s="12">
        <f t="shared" si="65"/>
        <v>1172</v>
      </c>
      <c r="T204" s="12">
        <f t="shared" si="62"/>
        <v>1172</v>
      </c>
      <c r="U204" s="12">
        <f t="shared" si="81"/>
        <v>1172</v>
      </c>
      <c r="V204" s="12">
        <f t="shared" si="82"/>
        <v>1172</v>
      </c>
      <c r="W204" s="12">
        <f t="shared" si="83"/>
        <v>1172</v>
      </c>
      <c r="Y204" s="355"/>
    </row>
    <row r="205" spans="1:25" outlineLevel="1" x14ac:dyDescent="0.2">
      <c r="A205" s="366" t="s">
        <v>746</v>
      </c>
      <c r="B205" s="88" t="s">
        <v>951</v>
      </c>
      <c r="C205" s="839">
        <v>100</v>
      </c>
      <c r="D205" s="839" t="s">
        <v>145</v>
      </c>
      <c r="E205" s="839"/>
      <c r="F205" s="102">
        <v>100</v>
      </c>
      <c r="G205" s="102" t="s">
        <v>478</v>
      </c>
      <c r="H205" s="102" t="s">
        <v>227</v>
      </c>
      <c r="I205" s="102"/>
      <c r="J205" s="115">
        <v>0</v>
      </c>
      <c r="K205" s="115">
        <v>801.88</v>
      </c>
      <c r="L205" s="115">
        <v>2000</v>
      </c>
      <c r="M205" s="115">
        <v>2000</v>
      </c>
      <c r="N205" s="115">
        <v>2000</v>
      </c>
      <c r="O205" s="932">
        <f>'2022 Budget &amp; CF'!AA205</f>
        <v>2000</v>
      </c>
      <c r="P205" s="12">
        <f t="shared" si="60"/>
        <v>0</v>
      </c>
      <c r="Q205" s="932">
        <f>625*4*2</f>
        <v>5000</v>
      </c>
      <c r="R205" s="12">
        <f t="shared" si="79"/>
        <v>3000</v>
      </c>
      <c r="S205" s="12">
        <f t="shared" si="65"/>
        <v>5000</v>
      </c>
      <c r="T205" s="12">
        <f t="shared" si="62"/>
        <v>5000</v>
      </c>
      <c r="U205" s="12">
        <f t="shared" ref="U205:W205" si="85">T205</f>
        <v>5000</v>
      </c>
      <c r="V205" s="12">
        <f t="shared" si="85"/>
        <v>5000</v>
      </c>
      <c r="W205" s="12">
        <f t="shared" si="85"/>
        <v>5000</v>
      </c>
      <c r="Y205" s="355"/>
    </row>
    <row r="206" spans="1:25" outlineLevel="1" x14ac:dyDescent="0.2">
      <c r="A206" s="366" t="s">
        <v>747</v>
      </c>
      <c r="B206" s="460" t="s">
        <v>228</v>
      </c>
      <c r="C206" s="853"/>
      <c r="D206" s="853"/>
      <c r="E206" s="853"/>
      <c r="F206" s="132"/>
      <c r="G206" s="132"/>
      <c r="H206" s="132"/>
      <c r="I206" s="152"/>
      <c r="J206" s="271"/>
      <c r="K206" s="271"/>
      <c r="L206" s="271"/>
      <c r="M206" s="271"/>
      <c r="N206" s="271"/>
      <c r="O206" s="271"/>
      <c r="P206" s="271">
        <f t="shared" ref="P206:P255" si="86">O206-M206</f>
        <v>0</v>
      </c>
      <c r="Q206" s="271"/>
      <c r="R206" s="271">
        <f t="shared" si="79"/>
        <v>0</v>
      </c>
      <c r="S206" s="271"/>
      <c r="T206" s="271"/>
      <c r="U206" s="271"/>
      <c r="V206" s="271"/>
      <c r="W206" s="272"/>
      <c r="Y206" s="355"/>
    </row>
    <row r="207" spans="1:25" outlineLevel="1" x14ac:dyDescent="0.2">
      <c r="A207" s="366" t="s">
        <v>748</v>
      </c>
      <c r="B207" s="88" t="s">
        <v>229</v>
      </c>
      <c r="C207" s="839">
        <v>100</v>
      </c>
      <c r="D207" s="839" t="s">
        <v>145</v>
      </c>
      <c r="E207" s="839"/>
      <c r="F207" s="102">
        <v>100</v>
      </c>
      <c r="G207" s="102" t="s">
        <v>481</v>
      </c>
      <c r="H207" s="102" t="s">
        <v>230</v>
      </c>
      <c r="I207" s="102"/>
      <c r="J207" s="115">
        <v>0</v>
      </c>
      <c r="K207" s="115">
        <v>4508.42</v>
      </c>
      <c r="L207" s="115">
        <v>8084</v>
      </c>
      <c r="M207" s="115">
        <v>9016</v>
      </c>
      <c r="N207" s="115">
        <v>8000</v>
      </c>
      <c r="O207" s="932">
        <f>'2022 Budget &amp; CF'!AA207</f>
        <v>8000</v>
      </c>
      <c r="P207" s="12">
        <f t="shared" ref="P207:P217" si="87">O207-N207</f>
        <v>0</v>
      </c>
      <c r="Q207" s="932">
        <f>170*24</f>
        <v>4080</v>
      </c>
      <c r="R207" s="12">
        <f t="shared" si="79"/>
        <v>-3920</v>
      </c>
      <c r="S207" s="12">
        <f>ROUND(Q207*1.02,0)</f>
        <v>4162</v>
      </c>
      <c r="T207" s="12">
        <f t="shared" ref="T207:W212" si="88">ROUND(S207*1.02,0)</f>
        <v>4245</v>
      </c>
      <c r="U207" s="12">
        <f t="shared" si="88"/>
        <v>4330</v>
      </c>
      <c r="V207" s="12">
        <f t="shared" si="88"/>
        <v>4417</v>
      </c>
      <c r="W207" s="12">
        <f t="shared" si="88"/>
        <v>4505</v>
      </c>
      <c r="Y207" s="355"/>
    </row>
    <row r="208" spans="1:25" outlineLevel="1" x14ac:dyDescent="0.2">
      <c r="A208" s="366" t="s">
        <v>463</v>
      </c>
      <c r="B208" s="88" t="s">
        <v>231</v>
      </c>
      <c r="C208" s="839">
        <v>100</v>
      </c>
      <c r="D208" s="839" t="s">
        <v>145</v>
      </c>
      <c r="E208" s="839"/>
      <c r="F208" s="102">
        <v>100</v>
      </c>
      <c r="G208" s="102" t="s">
        <v>481</v>
      </c>
      <c r="H208" s="102" t="s">
        <v>232</v>
      </c>
      <c r="I208" s="104"/>
      <c r="J208" s="115">
        <v>0</v>
      </c>
      <c r="K208" s="115">
        <v>2201.4699999999998</v>
      </c>
      <c r="L208" s="115">
        <v>8400</v>
      </c>
      <c r="M208" s="115">
        <v>4402</v>
      </c>
      <c r="N208" s="115">
        <v>8400</v>
      </c>
      <c r="O208" s="932">
        <f>'2022 Budget &amp; CF'!AA208</f>
        <v>4080</v>
      </c>
      <c r="P208" s="12">
        <f t="shared" si="87"/>
        <v>-4320</v>
      </c>
      <c r="Q208" s="932">
        <f>750*8</f>
        <v>6000</v>
      </c>
      <c r="R208" s="12">
        <f t="shared" si="79"/>
        <v>-2400</v>
      </c>
      <c r="S208" s="12">
        <f>ROUND(Q208*1.02,0)</f>
        <v>6120</v>
      </c>
      <c r="T208" s="12">
        <f t="shared" si="88"/>
        <v>6242</v>
      </c>
      <c r="U208" s="12">
        <f t="shared" si="88"/>
        <v>6367</v>
      </c>
      <c r="V208" s="12">
        <f t="shared" si="88"/>
        <v>6494</v>
      </c>
      <c r="W208" s="12">
        <f t="shared" si="88"/>
        <v>6624</v>
      </c>
      <c r="Y208" s="355"/>
    </row>
    <row r="209" spans="1:25" outlineLevel="1" x14ac:dyDescent="0.2">
      <c r="A209" s="366" t="s">
        <v>130</v>
      </c>
      <c r="B209" s="88" t="s">
        <v>233</v>
      </c>
      <c r="C209" s="839">
        <v>100</v>
      </c>
      <c r="D209" s="839" t="s">
        <v>145</v>
      </c>
      <c r="E209" s="839"/>
      <c r="F209" s="102">
        <v>100</v>
      </c>
      <c r="G209" s="102" t="s">
        <v>528</v>
      </c>
      <c r="H209" s="104" t="s">
        <v>234</v>
      </c>
      <c r="I209" s="102"/>
      <c r="J209" s="115">
        <v>0</v>
      </c>
      <c r="K209" s="115">
        <v>15050.28</v>
      </c>
      <c r="L209" s="115">
        <v>36290</v>
      </c>
      <c r="M209" s="115">
        <v>36290</v>
      </c>
      <c r="N209" s="115">
        <v>36290</v>
      </c>
      <c r="O209" s="932">
        <f>'2022 Budget &amp; CF'!AA209</f>
        <v>26854.6</v>
      </c>
      <c r="P209" s="12">
        <f t="shared" si="87"/>
        <v>-9435.4000000000015</v>
      </c>
      <c r="Q209" s="932">
        <f>ROUND(40600*0.74,0)</f>
        <v>30044</v>
      </c>
      <c r="R209" s="12">
        <f t="shared" si="79"/>
        <v>-6246</v>
      </c>
      <c r="S209" s="12">
        <f>ROUND(41100*0.74,0)</f>
        <v>30414</v>
      </c>
      <c r="T209" s="12">
        <f>ROUND(41600*0.74,0)</f>
        <v>30784</v>
      </c>
      <c r="U209" s="12">
        <f>ROUND(T209*1.02,0)</f>
        <v>31400</v>
      </c>
      <c r="V209" s="12">
        <f t="shared" si="88"/>
        <v>32028</v>
      </c>
      <c r="W209" s="12">
        <f t="shared" si="88"/>
        <v>32669</v>
      </c>
      <c r="Y209" s="355"/>
    </row>
    <row r="210" spans="1:25" outlineLevel="1" x14ac:dyDescent="0.2">
      <c r="A210" s="366" t="s">
        <v>749</v>
      </c>
      <c r="B210" s="88" t="s">
        <v>821</v>
      </c>
      <c r="C210" s="839">
        <v>100</v>
      </c>
      <c r="D210" s="839" t="s">
        <v>145</v>
      </c>
      <c r="E210" s="839"/>
      <c r="F210" s="102">
        <v>100</v>
      </c>
      <c r="G210" s="102" t="s">
        <v>481</v>
      </c>
      <c r="H210" s="104" t="s">
        <v>480</v>
      </c>
      <c r="I210" s="102"/>
      <c r="J210" s="115">
        <v>0</v>
      </c>
      <c r="K210" s="115">
        <v>776.3</v>
      </c>
      <c r="L210" s="115">
        <v>1680</v>
      </c>
      <c r="M210" s="115">
        <v>1552</v>
      </c>
      <c r="N210" s="115">
        <v>1680</v>
      </c>
      <c r="O210" s="932">
        <f>'2022 Budget &amp; CF'!AA210</f>
        <v>1680</v>
      </c>
      <c r="P210" s="12">
        <f t="shared" si="87"/>
        <v>0</v>
      </c>
      <c r="Q210" s="932">
        <v>7000</v>
      </c>
      <c r="R210" s="12">
        <f t="shared" si="79"/>
        <v>5320</v>
      </c>
      <c r="S210" s="12">
        <f>ROUND(Q210*1.02,0)</f>
        <v>7140</v>
      </c>
      <c r="T210" s="12">
        <f t="shared" si="88"/>
        <v>7283</v>
      </c>
      <c r="U210" s="12">
        <f t="shared" si="88"/>
        <v>7429</v>
      </c>
      <c r="V210" s="12">
        <f t="shared" si="88"/>
        <v>7578</v>
      </c>
      <c r="W210" s="12">
        <f t="shared" si="88"/>
        <v>7730</v>
      </c>
      <c r="Y210" s="355"/>
    </row>
    <row r="211" spans="1:25" outlineLevel="1" x14ac:dyDescent="0.2">
      <c r="A211" s="366" t="s">
        <v>750</v>
      </c>
      <c r="B211" s="88" t="s">
        <v>822</v>
      </c>
      <c r="C211" s="839">
        <v>100</v>
      </c>
      <c r="D211" s="839" t="s">
        <v>145</v>
      </c>
      <c r="E211" s="839"/>
      <c r="F211" s="102" t="s">
        <v>468</v>
      </c>
      <c r="G211" s="102" t="s">
        <v>528</v>
      </c>
      <c r="H211" s="104" t="s">
        <v>480</v>
      </c>
      <c r="I211" s="102"/>
      <c r="J211" s="115"/>
      <c r="K211" s="115">
        <v>645</v>
      </c>
      <c r="L211" s="115">
        <v>10000</v>
      </c>
      <c r="M211" s="115">
        <v>10000</v>
      </c>
      <c r="N211" s="115">
        <v>10000</v>
      </c>
      <c r="O211" s="932">
        <f>'2022 Budget &amp; CF'!AA211</f>
        <v>10000</v>
      </c>
      <c r="P211" s="12">
        <f t="shared" si="87"/>
        <v>0</v>
      </c>
      <c r="Q211" s="932">
        <f t="shared" ref="Q211" si="89">O211*1.02</f>
        <v>10200</v>
      </c>
      <c r="R211" s="12">
        <f t="shared" si="79"/>
        <v>200</v>
      </c>
      <c r="S211" s="12">
        <f>ROUND(Q211*1.02,0)</f>
        <v>10404</v>
      </c>
      <c r="T211" s="12">
        <f t="shared" si="88"/>
        <v>10612</v>
      </c>
      <c r="U211" s="12">
        <f t="shared" si="88"/>
        <v>10824</v>
      </c>
      <c r="V211" s="12">
        <f t="shared" si="88"/>
        <v>11040</v>
      </c>
      <c r="W211" s="12">
        <f t="shared" si="88"/>
        <v>11261</v>
      </c>
      <c r="Y211" s="355"/>
    </row>
    <row r="212" spans="1:25" outlineLevel="1" x14ac:dyDescent="0.2">
      <c r="A212" s="366" t="s">
        <v>751</v>
      </c>
      <c r="B212" s="88" t="s">
        <v>1301</v>
      </c>
      <c r="C212" s="839">
        <v>100</v>
      </c>
      <c r="D212" s="839" t="s">
        <v>145</v>
      </c>
      <c r="E212" s="839"/>
      <c r="F212" s="102" t="s">
        <v>468</v>
      </c>
      <c r="G212" s="102" t="s">
        <v>1300</v>
      </c>
      <c r="H212" s="104" t="s">
        <v>480</v>
      </c>
      <c r="I212" s="102"/>
      <c r="J212" s="115"/>
      <c r="K212" s="115">
        <v>0</v>
      </c>
      <c r="L212" s="115"/>
      <c r="M212" s="115"/>
      <c r="N212" s="115"/>
      <c r="O212" s="932">
        <f>'2022 Budget &amp; CF'!AA212</f>
        <v>0</v>
      </c>
      <c r="P212" s="12"/>
      <c r="Q212" s="932">
        <v>2500</v>
      </c>
      <c r="R212" s="12">
        <f t="shared" si="79"/>
        <v>2500</v>
      </c>
      <c r="S212" s="12">
        <f>ROUND(Q212*1.02,0)</f>
        <v>2550</v>
      </c>
      <c r="T212" s="12">
        <f t="shared" si="88"/>
        <v>2601</v>
      </c>
      <c r="U212" s="12">
        <f t="shared" si="88"/>
        <v>2653</v>
      </c>
      <c r="V212" s="12">
        <f t="shared" si="88"/>
        <v>2706</v>
      </c>
      <c r="W212" s="12">
        <f t="shared" si="88"/>
        <v>2760</v>
      </c>
      <c r="Y212" s="355"/>
    </row>
    <row r="213" spans="1:25" outlineLevel="1" x14ac:dyDescent="0.2">
      <c r="A213" s="366" t="s">
        <v>132</v>
      </c>
      <c r="B213" s="88" t="s">
        <v>823</v>
      </c>
      <c r="C213" s="839">
        <v>100</v>
      </c>
      <c r="D213" s="839" t="s">
        <v>145</v>
      </c>
      <c r="E213" s="839"/>
      <c r="F213" s="102" t="s">
        <v>468</v>
      </c>
      <c r="G213" s="102" t="s">
        <v>540</v>
      </c>
      <c r="H213" s="104" t="s">
        <v>480</v>
      </c>
      <c r="I213" s="102"/>
      <c r="J213" s="115"/>
      <c r="K213" s="115">
        <v>1231</v>
      </c>
      <c r="L213" s="115">
        <v>840</v>
      </c>
      <c r="M213" s="115">
        <v>840</v>
      </c>
      <c r="N213" s="115">
        <v>840</v>
      </c>
      <c r="O213" s="932">
        <f>'2022 Budget &amp; CF'!AA213</f>
        <v>840</v>
      </c>
      <c r="P213" s="12">
        <f t="shared" si="87"/>
        <v>0</v>
      </c>
      <c r="Q213" s="932">
        <f>ROUND(O213*1.02,0)</f>
        <v>857</v>
      </c>
      <c r="R213" s="12">
        <f t="shared" si="79"/>
        <v>17</v>
      </c>
      <c r="S213" s="12">
        <f>ROUND(Q213*1.02,0)</f>
        <v>874</v>
      </c>
      <c r="T213" s="12">
        <f t="shared" ref="T213:W213" si="90">ROUND(S213*1.02,0)</f>
        <v>891</v>
      </c>
      <c r="U213" s="12">
        <f t="shared" si="90"/>
        <v>909</v>
      </c>
      <c r="V213" s="12">
        <f t="shared" si="90"/>
        <v>927</v>
      </c>
      <c r="W213" s="12">
        <f t="shared" si="90"/>
        <v>946</v>
      </c>
      <c r="Y213" s="355"/>
    </row>
    <row r="214" spans="1:25" outlineLevel="1" x14ac:dyDescent="0.2">
      <c r="A214" s="366" t="s">
        <v>752</v>
      </c>
      <c r="B214" s="88" t="s">
        <v>820</v>
      </c>
      <c r="C214" s="839">
        <v>100</v>
      </c>
      <c r="D214" s="839" t="s">
        <v>145</v>
      </c>
      <c r="E214" s="839"/>
      <c r="F214" s="102">
        <v>100</v>
      </c>
      <c r="G214" s="102" t="s">
        <v>542</v>
      </c>
      <c r="H214" s="104" t="s">
        <v>480</v>
      </c>
      <c r="I214" s="102"/>
      <c r="J214" s="115"/>
      <c r="K214" s="115">
        <v>375</v>
      </c>
      <c r="L214" s="115">
        <v>562.5</v>
      </c>
      <c r="M214" s="115">
        <v>562.5</v>
      </c>
      <c r="N214" s="115">
        <v>563</v>
      </c>
      <c r="O214" s="932">
        <f>'2022 Budget &amp; CF'!AA214</f>
        <v>563</v>
      </c>
      <c r="P214" s="12">
        <f t="shared" si="87"/>
        <v>0</v>
      </c>
      <c r="Q214" s="932">
        <f>ROUND(O214*1.02,0)</f>
        <v>574</v>
      </c>
      <c r="R214" s="12">
        <f t="shared" si="79"/>
        <v>11</v>
      </c>
      <c r="S214" s="12">
        <f>ROUND(Q214*1.02,0)</f>
        <v>585</v>
      </c>
      <c r="T214" s="12">
        <f t="shared" ref="T214:W214" si="91">ROUND(S214*1.02,0)</f>
        <v>597</v>
      </c>
      <c r="U214" s="12">
        <f t="shared" si="91"/>
        <v>609</v>
      </c>
      <c r="V214" s="12">
        <f t="shared" si="91"/>
        <v>621</v>
      </c>
      <c r="W214" s="12">
        <f t="shared" si="91"/>
        <v>633</v>
      </c>
      <c r="Y214" s="355"/>
    </row>
    <row r="215" spans="1:25" outlineLevel="1" x14ac:dyDescent="0.2">
      <c r="A215" s="366" t="s">
        <v>753</v>
      </c>
      <c r="B215" s="88" t="s">
        <v>235</v>
      </c>
      <c r="C215" s="839">
        <v>100</v>
      </c>
      <c r="D215" s="839" t="s">
        <v>145</v>
      </c>
      <c r="E215" s="839"/>
      <c r="F215" s="102">
        <v>100</v>
      </c>
      <c r="G215" s="102" t="s">
        <v>481</v>
      </c>
      <c r="H215" s="102" t="s">
        <v>236</v>
      </c>
      <c r="I215" s="102"/>
      <c r="J215" s="115">
        <v>0</v>
      </c>
      <c r="K215" s="115">
        <v>177815.04000000001</v>
      </c>
      <c r="L215" s="115">
        <v>169758</v>
      </c>
      <c r="M215" s="115">
        <v>155683</v>
      </c>
      <c r="N215" s="115">
        <v>169758</v>
      </c>
      <c r="O215" s="932">
        <f>'2022 Budget &amp; CF'!AA215</f>
        <v>169481</v>
      </c>
      <c r="P215" s="12">
        <f t="shared" si="87"/>
        <v>-277</v>
      </c>
      <c r="Q215" s="932">
        <f>ROUND((19117+19500*11)*0.74,0)</f>
        <v>172877</v>
      </c>
      <c r="R215" s="12">
        <f t="shared" si="79"/>
        <v>3119</v>
      </c>
      <c r="S215" s="12">
        <f>ROUND((19500+19890*11)*0.74,0)</f>
        <v>176335</v>
      </c>
      <c r="T215" s="12">
        <f>ROUND((19890+20288*11)*0.74,0)</f>
        <v>179863</v>
      </c>
      <c r="U215" s="12">
        <f>ROUND(T215*1.03,0)</f>
        <v>185259</v>
      </c>
      <c r="V215" s="12">
        <f t="shared" ref="V215:W215" si="92">ROUND(U215*1.03,0)</f>
        <v>190817</v>
      </c>
      <c r="W215" s="12">
        <f t="shared" si="92"/>
        <v>196542</v>
      </c>
      <c r="Y215" s="355"/>
    </row>
    <row r="216" spans="1:25" outlineLevel="1" x14ac:dyDescent="0.2">
      <c r="A216" s="366" t="s">
        <v>754</v>
      </c>
      <c r="B216" s="88" t="s">
        <v>950</v>
      </c>
      <c r="C216" s="839">
        <v>100</v>
      </c>
      <c r="D216" s="839" t="s">
        <v>145</v>
      </c>
      <c r="E216" s="839"/>
      <c r="F216" s="102">
        <v>100</v>
      </c>
      <c r="G216" s="102" t="s">
        <v>524</v>
      </c>
      <c r="H216" s="104" t="s">
        <v>219</v>
      </c>
      <c r="I216" s="102"/>
      <c r="J216" s="115">
        <v>0</v>
      </c>
      <c r="K216" s="115">
        <v>2100</v>
      </c>
      <c r="L216" s="115">
        <v>2520</v>
      </c>
      <c r="M216" s="115">
        <v>2100</v>
      </c>
      <c r="N216" s="115">
        <v>2520</v>
      </c>
      <c r="O216" s="932">
        <f>'2022 Budget &amp; CF'!AA216</f>
        <v>2520</v>
      </c>
      <c r="P216" s="12">
        <f t="shared" si="87"/>
        <v>0</v>
      </c>
      <c r="Q216" s="932">
        <f>O216</f>
        <v>2520</v>
      </c>
      <c r="R216" s="12">
        <f t="shared" si="79"/>
        <v>0</v>
      </c>
      <c r="S216" s="12">
        <f t="shared" si="65"/>
        <v>2520</v>
      </c>
      <c r="T216" s="12">
        <f t="shared" si="62"/>
        <v>2520</v>
      </c>
      <c r="U216" s="12">
        <f t="shared" ref="U216:W216" si="93">T216</f>
        <v>2520</v>
      </c>
      <c r="V216" s="12">
        <f t="shared" si="93"/>
        <v>2520</v>
      </c>
      <c r="W216" s="12">
        <f t="shared" si="93"/>
        <v>2520</v>
      </c>
      <c r="Y216" s="355"/>
    </row>
    <row r="217" spans="1:25" outlineLevel="1" x14ac:dyDescent="0.2">
      <c r="A217" s="366" t="s">
        <v>755</v>
      </c>
      <c r="B217" s="88" t="s">
        <v>237</v>
      </c>
      <c r="C217" s="839">
        <v>100</v>
      </c>
      <c r="D217" s="839" t="s">
        <v>145</v>
      </c>
      <c r="E217" s="839"/>
      <c r="F217" s="102">
        <v>100</v>
      </c>
      <c r="G217" s="102" t="s">
        <v>481</v>
      </c>
      <c r="H217" s="102" t="s">
        <v>238</v>
      </c>
      <c r="I217" s="102"/>
      <c r="J217" s="115">
        <v>0</v>
      </c>
      <c r="K217" s="115">
        <v>34403.599999999999</v>
      </c>
      <c r="L217" s="115">
        <v>64033.5</v>
      </c>
      <c r="M217" s="115">
        <v>51606</v>
      </c>
      <c r="N217" s="115">
        <v>64034</v>
      </c>
      <c r="O217" s="932">
        <f>'2022 Budget &amp; CF'!AA217</f>
        <v>60329</v>
      </c>
      <c r="P217" s="12">
        <f t="shared" si="87"/>
        <v>-3705</v>
      </c>
      <c r="Q217" s="932">
        <f>ROUND(O217*1.02,0)</f>
        <v>61536</v>
      </c>
      <c r="R217" s="12">
        <f t="shared" si="79"/>
        <v>-2498</v>
      </c>
      <c r="S217" s="12">
        <f>ROUND(Q217*1.02,0)</f>
        <v>62767</v>
      </c>
      <c r="T217" s="12">
        <f t="shared" ref="T217:W217" si="94">ROUND(S217*1.02,0)</f>
        <v>64022</v>
      </c>
      <c r="U217" s="12">
        <f t="shared" si="94"/>
        <v>65302</v>
      </c>
      <c r="V217" s="12">
        <f t="shared" si="94"/>
        <v>66608</v>
      </c>
      <c r="W217" s="12">
        <f t="shared" si="94"/>
        <v>67940</v>
      </c>
      <c r="Y217" s="355"/>
    </row>
    <row r="218" spans="1:25" outlineLevel="1" x14ac:dyDescent="0.2">
      <c r="A218" s="366" t="s">
        <v>756</v>
      </c>
      <c r="B218" s="460" t="s">
        <v>239</v>
      </c>
      <c r="C218" s="853"/>
      <c r="D218" s="853"/>
      <c r="E218" s="853"/>
      <c r="F218" s="132"/>
      <c r="G218" s="132"/>
      <c r="H218" s="132"/>
      <c r="I218" s="152"/>
      <c r="J218" s="271"/>
      <c r="K218" s="271"/>
      <c r="L218" s="271"/>
      <c r="M218" s="271"/>
      <c r="N218" s="271"/>
      <c r="O218" s="271"/>
      <c r="P218" s="271">
        <f t="shared" si="86"/>
        <v>0</v>
      </c>
      <c r="Q218" s="271"/>
      <c r="R218" s="271">
        <f t="shared" si="79"/>
        <v>0</v>
      </c>
      <c r="S218" s="271"/>
      <c r="T218" s="271"/>
      <c r="U218" s="271"/>
      <c r="V218" s="271"/>
      <c r="W218" s="272"/>
      <c r="Y218" s="355"/>
    </row>
    <row r="219" spans="1:25" outlineLevel="1" x14ac:dyDescent="0.2">
      <c r="A219" s="366" t="s">
        <v>757</v>
      </c>
      <c r="B219" s="88" t="s">
        <v>239</v>
      </c>
      <c r="C219" s="839">
        <v>100</v>
      </c>
      <c r="D219" s="839" t="s">
        <v>145</v>
      </c>
      <c r="E219" s="839"/>
      <c r="F219" s="102">
        <v>100</v>
      </c>
      <c r="G219" s="102">
        <v>2700</v>
      </c>
      <c r="H219" s="102" t="s">
        <v>240</v>
      </c>
      <c r="I219" s="102"/>
      <c r="J219" s="115">
        <v>0</v>
      </c>
      <c r="K219" s="115">
        <v>12569</v>
      </c>
      <c r="L219" s="115">
        <v>50000</v>
      </c>
      <c r="M219" s="115">
        <v>50000</v>
      </c>
      <c r="N219" s="115">
        <v>50000</v>
      </c>
      <c r="O219" s="932">
        <f>'2022 Budget &amp; CF'!AA219</f>
        <v>25000</v>
      </c>
      <c r="P219" s="12">
        <f>O219-N219</f>
        <v>-25000</v>
      </c>
      <c r="Q219" s="932">
        <v>40000</v>
      </c>
      <c r="R219" s="12">
        <f t="shared" si="79"/>
        <v>-10000</v>
      </c>
      <c r="S219" s="12">
        <f>ROUND(Q219*1.1,0)</f>
        <v>44000</v>
      </c>
      <c r="T219" s="12">
        <f>ROUND(S219*1.1,0)</f>
        <v>48400</v>
      </c>
      <c r="U219" s="12">
        <f t="shared" ref="U219:W219" si="95">ROUND(T219*1.1,0)</f>
        <v>53240</v>
      </c>
      <c r="V219" s="12">
        <f t="shared" si="95"/>
        <v>58564</v>
      </c>
      <c r="W219" s="12">
        <f t="shared" si="95"/>
        <v>64420</v>
      </c>
      <c r="Y219" s="355"/>
    </row>
    <row r="220" spans="1:25" outlineLevel="1" x14ac:dyDescent="0.2">
      <c r="A220" s="366" t="s">
        <v>758</v>
      </c>
      <c r="B220" s="460" t="s">
        <v>525</v>
      </c>
      <c r="C220" s="853"/>
      <c r="D220" s="853"/>
      <c r="E220" s="853"/>
      <c r="F220" s="132"/>
      <c r="G220" s="132"/>
      <c r="H220" s="132"/>
      <c r="I220" s="152"/>
      <c r="J220" s="271"/>
      <c r="K220" s="271">
        <v>0</v>
      </c>
      <c r="L220" s="271"/>
      <c r="M220" s="271"/>
      <c r="N220" s="271"/>
      <c r="O220" s="271"/>
      <c r="P220" s="271">
        <f t="shared" si="86"/>
        <v>0</v>
      </c>
      <c r="Q220" s="271"/>
      <c r="R220" s="271">
        <f t="shared" si="79"/>
        <v>0</v>
      </c>
      <c r="S220" s="271"/>
      <c r="T220" s="271"/>
      <c r="U220" s="271"/>
      <c r="V220" s="271"/>
      <c r="W220" s="272"/>
      <c r="Y220" s="355"/>
    </row>
    <row r="221" spans="1:25" outlineLevel="1" x14ac:dyDescent="0.2">
      <c r="A221" s="366" t="s">
        <v>759</v>
      </c>
      <c r="B221" s="88" t="s">
        <v>527</v>
      </c>
      <c r="C221" s="839">
        <v>100</v>
      </c>
      <c r="D221" s="839" t="s">
        <v>145</v>
      </c>
      <c r="E221" s="839"/>
      <c r="F221" s="102">
        <v>100</v>
      </c>
      <c r="G221" s="102" t="s">
        <v>526</v>
      </c>
      <c r="H221" s="102" t="s">
        <v>480</v>
      </c>
      <c r="I221" s="102"/>
      <c r="J221" s="115">
        <v>0</v>
      </c>
      <c r="K221" s="115">
        <v>0</v>
      </c>
      <c r="L221" s="115">
        <v>0</v>
      </c>
      <c r="M221" s="115">
        <v>0</v>
      </c>
      <c r="N221" s="115">
        <v>0</v>
      </c>
      <c r="O221" s="932">
        <f>'2022 Budget &amp; CF'!AA221</f>
        <v>0</v>
      </c>
      <c r="P221" s="12">
        <f>O221-N221</f>
        <v>0</v>
      </c>
      <c r="Q221" s="932">
        <f t="shared" ref="Q221" si="96">O221</f>
        <v>0</v>
      </c>
      <c r="R221" s="12">
        <f t="shared" si="79"/>
        <v>0</v>
      </c>
      <c r="S221" s="12">
        <f t="shared" si="65"/>
        <v>0</v>
      </c>
      <c r="T221" s="12">
        <f t="shared" si="62"/>
        <v>0</v>
      </c>
      <c r="U221" s="12">
        <f t="shared" ref="U221" si="97">T221</f>
        <v>0</v>
      </c>
      <c r="V221" s="12">
        <f t="shared" ref="V221" si="98">U221</f>
        <v>0</v>
      </c>
      <c r="W221" s="12">
        <f t="shared" ref="W221" si="99">V221</f>
        <v>0</v>
      </c>
      <c r="Y221" s="355"/>
    </row>
    <row r="222" spans="1:25" outlineLevel="1" x14ac:dyDescent="0.2">
      <c r="A222" s="366" t="s">
        <v>760</v>
      </c>
      <c r="B222" s="460" t="s">
        <v>469</v>
      </c>
      <c r="C222" s="853"/>
      <c r="D222" s="853"/>
      <c r="E222" s="853"/>
      <c r="F222" s="132"/>
      <c r="G222" s="132"/>
      <c r="H222" s="132"/>
      <c r="I222" s="152"/>
      <c r="J222" s="271"/>
      <c r="K222" s="271">
        <v>0</v>
      </c>
      <c r="L222" s="271"/>
      <c r="M222" s="271"/>
      <c r="N222" s="271"/>
      <c r="O222" s="271"/>
      <c r="P222" s="271">
        <f t="shared" si="86"/>
        <v>0</v>
      </c>
      <c r="Q222" s="271"/>
      <c r="R222" s="271">
        <f t="shared" si="79"/>
        <v>0</v>
      </c>
      <c r="S222" s="271"/>
      <c r="T222" s="271"/>
      <c r="U222" s="271"/>
      <c r="V222" s="271"/>
      <c r="W222" s="272"/>
      <c r="Y222" s="355"/>
    </row>
    <row r="223" spans="1:25" outlineLevel="1" x14ac:dyDescent="0.2">
      <c r="A223" s="366" t="s">
        <v>761</v>
      </c>
      <c r="B223" s="88" t="s">
        <v>926</v>
      </c>
      <c r="C223" s="839" t="s">
        <v>473</v>
      </c>
      <c r="D223" s="839" t="s">
        <v>470</v>
      </c>
      <c r="E223" s="839"/>
      <c r="F223" s="102" t="s">
        <v>557</v>
      </c>
      <c r="G223" s="102" t="s">
        <v>461</v>
      </c>
      <c r="H223" s="102" t="s">
        <v>203</v>
      </c>
      <c r="I223" s="102"/>
      <c r="J223" s="115">
        <v>0</v>
      </c>
      <c r="K223" s="115">
        <v>28394.899999999998</v>
      </c>
      <c r="L223" s="115">
        <v>0</v>
      </c>
      <c r="M223" s="115">
        <v>0</v>
      </c>
      <c r="N223" s="115">
        <v>0</v>
      </c>
      <c r="O223" s="932">
        <f>'2022 Budget &amp; CF'!AA223</f>
        <v>0</v>
      </c>
      <c r="P223" s="12">
        <f>O223-N223</f>
        <v>0</v>
      </c>
      <c r="Q223" s="932">
        <f t="shared" ref="Q223" si="100">O223</f>
        <v>0</v>
      </c>
      <c r="R223" s="115">
        <f t="shared" si="79"/>
        <v>0</v>
      </c>
      <c r="S223" s="115">
        <f t="shared" si="65"/>
        <v>0</v>
      </c>
      <c r="T223" s="115">
        <f t="shared" si="62"/>
        <v>0</v>
      </c>
      <c r="U223" s="115">
        <f t="shared" ref="U223" si="101">T223</f>
        <v>0</v>
      </c>
      <c r="V223" s="115">
        <f t="shared" ref="V223" si="102">U223</f>
        <v>0</v>
      </c>
      <c r="W223" s="115">
        <f t="shared" ref="W223" si="103">V223</f>
        <v>0</v>
      </c>
      <c r="Y223" s="355"/>
    </row>
    <row r="224" spans="1:25" outlineLevel="1" x14ac:dyDescent="0.2">
      <c r="A224" s="366" t="s">
        <v>762</v>
      </c>
      <c r="B224" s="460" t="s">
        <v>512</v>
      </c>
      <c r="C224" s="853"/>
      <c r="D224" s="853"/>
      <c r="E224" s="853"/>
      <c r="F224" s="132"/>
      <c r="G224" s="132"/>
      <c r="H224" s="132"/>
      <c r="I224" s="152"/>
      <c r="J224" s="271"/>
      <c r="K224" s="271">
        <v>0</v>
      </c>
      <c r="L224" s="271"/>
      <c r="M224" s="271"/>
      <c r="N224" s="271"/>
      <c r="O224" s="271"/>
      <c r="P224" s="271">
        <f t="shared" si="86"/>
        <v>0</v>
      </c>
      <c r="Q224" s="271"/>
      <c r="R224" s="271">
        <f t="shared" si="79"/>
        <v>0</v>
      </c>
      <c r="S224" s="271"/>
      <c r="T224" s="271"/>
      <c r="U224" s="271"/>
      <c r="V224" s="271"/>
      <c r="W224" s="272"/>
      <c r="Y224" s="355"/>
    </row>
    <row r="225" spans="1:25" outlineLevel="1" x14ac:dyDescent="0.2">
      <c r="A225" s="366" t="s">
        <v>763</v>
      </c>
      <c r="B225" s="88" t="s">
        <v>825</v>
      </c>
      <c r="C225" s="839" t="s">
        <v>473</v>
      </c>
      <c r="D225" s="833">
        <v>390</v>
      </c>
      <c r="E225" s="839"/>
      <c r="F225" s="102">
        <v>100</v>
      </c>
      <c r="G225" s="102" t="s">
        <v>479</v>
      </c>
      <c r="H225" s="104" t="s">
        <v>225</v>
      </c>
      <c r="I225" s="102"/>
      <c r="J225" s="115">
        <v>0</v>
      </c>
      <c r="K225" s="115">
        <v>8102.2</v>
      </c>
      <c r="L225" s="115">
        <v>0</v>
      </c>
      <c r="M225" s="115">
        <v>0</v>
      </c>
      <c r="N225" s="115">
        <v>0</v>
      </c>
      <c r="O225" s="932">
        <f>'2022 Budget &amp; CF'!AA225</f>
        <v>0</v>
      </c>
      <c r="P225" s="12">
        <f t="shared" ref="P225:P226" si="104">O225-N225</f>
        <v>0</v>
      </c>
      <c r="Q225" s="932">
        <f t="shared" ref="Q225" si="105">O225</f>
        <v>0</v>
      </c>
      <c r="R225" s="115">
        <f t="shared" si="79"/>
        <v>0</v>
      </c>
      <c r="S225" s="115">
        <f t="shared" si="65"/>
        <v>0</v>
      </c>
      <c r="T225" s="115">
        <f t="shared" si="62"/>
        <v>0</v>
      </c>
      <c r="U225" s="115">
        <f t="shared" ref="U225:U226" si="106">T225</f>
        <v>0</v>
      </c>
      <c r="V225" s="115">
        <f t="shared" ref="V225:V226" si="107">U225</f>
        <v>0</v>
      </c>
      <c r="W225" s="115">
        <f t="shared" ref="W225:W226" si="108">V225</f>
        <v>0</v>
      </c>
      <c r="Y225" s="355"/>
    </row>
    <row r="226" spans="1:25" outlineLevel="1" x14ac:dyDescent="0.2">
      <c r="A226" s="366" t="s">
        <v>764</v>
      </c>
      <c r="B226" s="88" t="s">
        <v>1052</v>
      </c>
      <c r="C226" s="839" t="s">
        <v>473</v>
      </c>
      <c r="D226" s="833">
        <v>390</v>
      </c>
      <c r="E226" s="839"/>
      <c r="F226" s="102">
        <v>100</v>
      </c>
      <c r="G226" s="102" t="s">
        <v>477</v>
      </c>
      <c r="H226" s="104" t="s">
        <v>226</v>
      </c>
      <c r="I226" s="102"/>
      <c r="J226" s="115">
        <v>0</v>
      </c>
      <c r="K226" s="115">
        <v>2500</v>
      </c>
      <c r="L226" s="115">
        <v>0</v>
      </c>
      <c r="M226" s="115">
        <v>2500</v>
      </c>
      <c r="N226" s="115">
        <v>0</v>
      </c>
      <c r="O226" s="932">
        <f>'2022 Budget &amp; CF'!AA226</f>
        <v>0</v>
      </c>
      <c r="P226" s="12">
        <f t="shared" si="104"/>
        <v>0</v>
      </c>
      <c r="Q226" s="932">
        <f>O226</f>
        <v>0</v>
      </c>
      <c r="R226" s="115">
        <f t="shared" si="79"/>
        <v>0</v>
      </c>
      <c r="S226" s="115">
        <f t="shared" si="65"/>
        <v>0</v>
      </c>
      <c r="T226" s="115">
        <f t="shared" si="62"/>
        <v>0</v>
      </c>
      <c r="U226" s="115">
        <f t="shared" si="106"/>
        <v>0</v>
      </c>
      <c r="V226" s="115">
        <f t="shared" si="107"/>
        <v>0</v>
      </c>
      <c r="W226" s="115">
        <f t="shared" si="108"/>
        <v>0</v>
      </c>
      <c r="Y226" s="355"/>
    </row>
    <row r="227" spans="1:25" outlineLevel="1" x14ac:dyDescent="0.2">
      <c r="A227" s="366" t="s">
        <v>765</v>
      </c>
      <c r="B227" s="460" t="s">
        <v>42</v>
      </c>
      <c r="C227" s="853"/>
      <c r="D227" s="853"/>
      <c r="E227" s="853"/>
      <c r="F227" s="132"/>
      <c r="G227" s="132"/>
      <c r="H227" s="132"/>
      <c r="I227" s="152"/>
      <c r="J227" s="271"/>
      <c r="K227" s="271"/>
      <c r="L227" s="271"/>
      <c r="M227" s="271"/>
      <c r="N227" s="271"/>
      <c r="O227" s="271"/>
      <c r="P227" s="271">
        <f t="shared" si="86"/>
        <v>0</v>
      </c>
      <c r="Q227" s="271"/>
      <c r="R227" s="271">
        <f t="shared" si="79"/>
        <v>0</v>
      </c>
      <c r="S227" s="271"/>
      <c r="T227" s="271"/>
      <c r="U227" s="271"/>
      <c r="V227" s="271"/>
      <c r="W227" s="272"/>
      <c r="Y227" s="355"/>
    </row>
    <row r="228" spans="1:25" outlineLevel="1" x14ac:dyDescent="0.2">
      <c r="A228" s="366" t="s">
        <v>766</v>
      </c>
      <c r="B228" s="88" t="s">
        <v>945</v>
      </c>
      <c r="C228" s="839" t="s">
        <v>462</v>
      </c>
      <c r="D228" s="839">
        <v>205</v>
      </c>
      <c r="E228" s="839"/>
      <c r="F228" s="102" t="s">
        <v>463</v>
      </c>
      <c r="G228" s="102" t="s">
        <v>477</v>
      </c>
      <c r="H228" s="102" t="s">
        <v>207</v>
      </c>
      <c r="I228" s="102"/>
      <c r="J228" s="115">
        <v>0</v>
      </c>
      <c r="K228" s="115">
        <v>253</v>
      </c>
      <c r="L228" s="115">
        <v>253</v>
      </c>
      <c r="M228" s="115">
        <v>253</v>
      </c>
      <c r="N228" s="115">
        <v>253</v>
      </c>
      <c r="O228" s="932">
        <f>'2022 Budget &amp; CF'!AA228</f>
        <v>253</v>
      </c>
      <c r="P228" s="12">
        <f t="shared" ref="P228:P236" si="109">O228-N228</f>
        <v>0</v>
      </c>
      <c r="Q228" s="932">
        <f>O228</f>
        <v>253</v>
      </c>
      <c r="R228" s="12">
        <f t="shared" si="79"/>
        <v>0</v>
      </c>
      <c r="S228" s="12">
        <f t="shared" si="65"/>
        <v>253</v>
      </c>
      <c r="T228" s="12">
        <f t="shared" si="62"/>
        <v>253</v>
      </c>
      <c r="U228" s="12">
        <f t="shared" ref="U228:W244" si="110">T228</f>
        <v>253</v>
      </c>
      <c r="V228" s="12">
        <f t="shared" si="110"/>
        <v>253</v>
      </c>
      <c r="W228" s="12">
        <f t="shared" si="110"/>
        <v>253</v>
      </c>
      <c r="Y228" s="355"/>
    </row>
    <row r="229" spans="1:25" outlineLevel="1" x14ac:dyDescent="0.2">
      <c r="A229" s="366" t="s">
        <v>767</v>
      </c>
      <c r="B229" s="88" t="s">
        <v>827</v>
      </c>
      <c r="C229" s="839">
        <v>250</v>
      </c>
      <c r="D229" s="839" t="s">
        <v>145</v>
      </c>
      <c r="E229" s="839"/>
      <c r="F229" s="102">
        <v>200</v>
      </c>
      <c r="G229" s="102" t="s">
        <v>484</v>
      </c>
      <c r="H229" s="102" t="s">
        <v>203</v>
      </c>
      <c r="I229" s="102"/>
      <c r="J229" s="115">
        <v>0</v>
      </c>
      <c r="K229" s="115">
        <v>0</v>
      </c>
      <c r="L229" s="115">
        <v>0</v>
      </c>
      <c r="M229" s="115">
        <v>0</v>
      </c>
      <c r="N229" s="115">
        <v>0</v>
      </c>
      <c r="O229" s="932">
        <f>'2022 Budget &amp; CF'!AA229</f>
        <v>0</v>
      </c>
      <c r="P229" s="12">
        <f t="shared" si="109"/>
        <v>0</v>
      </c>
      <c r="Q229" s="932">
        <f t="shared" ref="Q229:Q232" si="111">O229</f>
        <v>0</v>
      </c>
      <c r="R229" s="12">
        <f t="shared" si="79"/>
        <v>0</v>
      </c>
      <c r="S229" s="12">
        <f t="shared" si="65"/>
        <v>0</v>
      </c>
      <c r="T229" s="12">
        <f t="shared" si="62"/>
        <v>0</v>
      </c>
      <c r="U229" s="12">
        <f t="shared" ref="U229:U232" si="112">T229</f>
        <v>0</v>
      </c>
      <c r="V229" s="12">
        <f t="shared" ref="V229:V232" si="113">U229</f>
        <v>0</v>
      </c>
      <c r="W229" s="12">
        <f t="shared" ref="W229:W232" si="114">V229</f>
        <v>0</v>
      </c>
      <c r="Y229" s="355"/>
    </row>
    <row r="230" spans="1:25" outlineLevel="1" x14ac:dyDescent="0.2">
      <c r="A230" s="366" t="s">
        <v>768</v>
      </c>
      <c r="B230" s="88" t="s">
        <v>828</v>
      </c>
      <c r="C230" s="839">
        <v>250</v>
      </c>
      <c r="D230" s="839" t="s">
        <v>145</v>
      </c>
      <c r="E230" s="839"/>
      <c r="F230" s="102">
        <v>200</v>
      </c>
      <c r="G230" s="102" t="s">
        <v>485</v>
      </c>
      <c r="H230" s="102" t="s">
        <v>203</v>
      </c>
      <c r="I230" s="102"/>
      <c r="J230" s="115">
        <v>0</v>
      </c>
      <c r="K230" s="115">
        <v>0</v>
      </c>
      <c r="L230" s="115">
        <v>0</v>
      </c>
      <c r="M230" s="115">
        <v>0</v>
      </c>
      <c r="N230" s="115">
        <v>0</v>
      </c>
      <c r="O230" s="932">
        <f>'2022 Budget &amp; CF'!AA230</f>
        <v>0</v>
      </c>
      <c r="P230" s="12">
        <f t="shared" si="109"/>
        <v>0</v>
      </c>
      <c r="Q230" s="932">
        <f t="shared" si="111"/>
        <v>0</v>
      </c>
      <c r="R230" s="12">
        <f t="shared" si="79"/>
        <v>0</v>
      </c>
      <c r="S230" s="12">
        <f t="shared" si="65"/>
        <v>0</v>
      </c>
      <c r="T230" s="12">
        <f t="shared" si="62"/>
        <v>0</v>
      </c>
      <c r="U230" s="12">
        <f t="shared" si="112"/>
        <v>0</v>
      </c>
      <c r="V230" s="12">
        <f t="shared" si="113"/>
        <v>0</v>
      </c>
      <c r="W230" s="12">
        <f t="shared" si="114"/>
        <v>0</v>
      </c>
      <c r="Y230" s="355"/>
    </row>
    <row r="231" spans="1:25" outlineLevel="1" x14ac:dyDescent="0.2">
      <c r="A231" s="366" t="s">
        <v>769</v>
      </c>
      <c r="B231" s="88" t="s">
        <v>829</v>
      </c>
      <c r="C231" s="839">
        <v>250</v>
      </c>
      <c r="D231" s="839" t="s">
        <v>132</v>
      </c>
      <c r="E231" s="839"/>
      <c r="F231" s="102">
        <v>200</v>
      </c>
      <c r="G231" s="102" t="s">
        <v>486</v>
      </c>
      <c r="H231" s="102" t="s">
        <v>203</v>
      </c>
      <c r="I231" s="102"/>
      <c r="J231" s="115">
        <v>0</v>
      </c>
      <c r="K231" s="115">
        <v>1837.5</v>
      </c>
      <c r="L231" s="115">
        <v>15000</v>
      </c>
      <c r="M231" s="115">
        <v>15000</v>
      </c>
      <c r="N231" s="115">
        <v>15000</v>
      </c>
      <c r="O231" s="932">
        <f>'2022 Budget &amp; CF'!AA231</f>
        <v>15980</v>
      </c>
      <c r="P231" s="12">
        <f t="shared" si="109"/>
        <v>980</v>
      </c>
      <c r="Q231" s="932">
        <f>ROUND(O231*1.02,0)</f>
        <v>16300</v>
      </c>
      <c r="R231" s="12">
        <f t="shared" si="79"/>
        <v>1300</v>
      </c>
      <c r="S231" s="12">
        <f>ROUND(Q231*1.02,0)</f>
        <v>16626</v>
      </c>
      <c r="T231" s="12">
        <f t="shared" ref="T231:W231" si="115">ROUND(S231*1.02,0)</f>
        <v>16959</v>
      </c>
      <c r="U231" s="12">
        <f t="shared" si="115"/>
        <v>17298</v>
      </c>
      <c r="V231" s="12">
        <f t="shared" si="115"/>
        <v>17644</v>
      </c>
      <c r="W231" s="12">
        <f t="shared" si="115"/>
        <v>17997</v>
      </c>
      <c r="Y231" s="355"/>
    </row>
    <row r="232" spans="1:25" outlineLevel="1" x14ac:dyDescent="0.2">
      <c r="A232" s="366" t="s">
        <v>770</v>
      </c>
      <c r="B232" s="88" t="s">
        <v>830</v>
      </c>
      <c r="C232" s="839">
        <v>250</v>
      </c>
      <c r="D232" s="839" t="s">
        <v>132</v>
      </c>
      <c r="E232" s="839"/>
      <c r="F232" s="102">
        <v>200</v>
      </c>
      <c r="G232" s="102" t="s">
        <v>487</v>
      </c>
      <c r="H232" s="102" t="s">
        <v>203</v>
      </c>
      <c r="I232" s="102"/>
      <c r="J232" s="115">
        <v>0</v>
      </c>
      <c r="K232" s="115">
        <v>0</v>
      </c>
      <c r="L232" s="115">
        <v>980</v>
      </c>
      <c r="M232" s="115">
        <v>980</v>
      </c>
      <c r="N232" s="115">
        <v>980</v>
      </c>
      <c r="O232" s="932">
        <f>'2022 Budget &amp; CF'!AA232</f>
        <v>0</v>
      </c>
      <c r="P232" s="12">
        <f t="shared" si="109"/>
        <v>-980</v>
      </c>
      <c r="Q232" s="932">
        <f t="shared" si="111"/>
        <v>0</v>
      </c>
      <c r="R232" s="12">
        <f t="shared" si="79"/>
        <v>-980</v>
      </c>
      <c r="S232" s="12">
        <f t="shared" si="65"/>
        <v>0</v>
      </c>
      <c r="T232" s="12">
        <f t="shared" si="62"/>
        <v>0</v>
      </c>
      <c r="U232" s="12">
        <f t="shared" si="112"/>
        <v>0</v>
      </c>
      <c r="V232" s="12">
        <f t="shared" si="113"/>
        <v>0</v>
      </c>
      <c r="W232" s="12">
        <f t="shared" si="114"/>
        <v>0</v>
      </c>
      <c r="Y232" s="355"/>
    </row>
    <row r="233" spans="1:25" outlineLevel="1" x14ac:dyDescent="0.2">
      <c r="A233" s="366" t="s">
        <v>771</v>
      </c>
      <c r="B233" s="88" t="s">
        <v>952</v>
      </c>
      <c r="C233" s="839" t="s">
        <v>462</v>
      </c>
      <c r="D233" s="839">
        <v>205</v>
      </c>
      <c r="E233" s="839"/>
      <c r="F233" s="102" t="s">
        <v>463</v>
      </c>
      <c r="G233" s="102" t="s">
        <v>481</v>
      </c>
      <c r="H233" s="104" t="s">
        <v>234</v>
      </c>
      <c r="I233" s="102"/>
      <c r="J233" s="115">
        <v>0</v>
      </c>
      <c r="K233" s="115">
        <v>4373.7199999999993</v>
      </c>
      <c r="L233" s="115">
        <v>5946</v>
      </c>
      <c r="M233" s="115">
        <v>5946</v>
      </c>
      <c r="N233" s="115">
        <v>5946</v>
      </c>
      <c r="O233" s="932">
        <f>'2022 Budget &amp; CF'!AA233</f>
        <v>9435.4</v>
      </c>
      <c r="P233" s="12">
        <f t="shared" si="109"/>
        <v>3489.3999999999996</v>
      </c>
      <c r="Q233" s="932">
        <f>40600*0.26</f>
        <v>10556</v>
      </c>
      <c r="R233" s="606">
        <f t="shared" si="79"/>
        <v>4610</v>
      </c>
      <c r="S233" s="12">
        <f>41100*0.26</f>
        <v>10686</v>
      </c>
      <c r="T233" s="12">
        <f>41600*0.26</f>
        <v>10816</v>
      </c>
      <c r="U233" s="12">
        <f>ROUND(T233*1.02,0)</f>
        <v>11032</v>
      </c>
      <c r="V233" s="12">
        <f t="shared" ref="V233:W233" si="116">ROUND(U233*1.02,0)</f>
        <v>11253</v>
      </c>
      <c r="W233" s="12">
        <f t="shared" si="116"/>
        <v>11478</v>
      </c>
      <c r="Y233" s="355"/>
    </row>
    <row r="234" spans="1:25" outlineLevel="1" x14ac:dyDescent="0.2">
      <c r="A234" s="366" t="s">
        <v>772</v>
      </c>
      <c r="B234" s="88" t="s">
        <v>953</v>
      </c>
      <c r="C234" s="839" t="s">
        <v>462</v>
      </c>
      <c r="D234" s="839">
        <v>205</v>
      </c>
      <c r="E234" s="839"/>
      <c r="F234" s="102" t="s">
        <v>463</v>
      </c>
      <c r="G234" s="102" t="s">
        <v>481</v>
      </c>
      <c r="H234" s="102" t="s">
        <v>236</v>
      </c>
      <c r="I234" s="102"/>
      <c r="J234" s="115">
        <v>0</v>
      </c>
      <c r="K234" s="115">
        <v>57725.36</v>
      </c>
      <c r="L234" s="115">
        <v>59645</v>
      </c>
      <c r="M234" s="115">
        <v>59645</v>
      </c>
      <c r="N234" s="115">
        <v>59645</v>
      </c>
      <c r="O234" s="932">
        <f>'2022 Budget &amp; CF'!AA234</f>
        <v>59548</v>
      </c>
      <c r="P234" s="12">
        <f t="shared" si="109"/>
        <v>-97</v>
      </c>
      <c r="Q234" s="932">
        <f>ROUND((19117+19500*11)*0.26,0)</f>
        <v>60740</v>
      </c>
      <c r="R234" s="12">
        <f t="shared" si="79"/>
        <v>1095</v>
      </c>
      <c r="S234" s="12">
        <f>ROUND((19500+19890*11)*0.26,0)</f>
        <v>61955</v>
      </c>
      <c r="T234" s="12">
        <f>ROUND((19890+20288*11)*0.26,0)</f>
        <v>63195</v>
      </c>
      <c r="U234" s="12">
        <f>ROUND(T234*1.03,0)</f>
        <v>65091</v>
      </c>
      <c r="V234" s="12">
        <f t="shared" ref="V234:W234" si="117">ROUND(U234*1.03,0)</f>
        <v>67044</v>
      </c>
      <c r="W234" s="12">
        <f t="shared" si="117"/>
        <v>69055</v>
      </c>
      <c r="X234" s="923"/>
      <c r="Y234" s="355"/>
    </row>
    <row r="235" spans="1:25" outlineLevel="1" x14ac:dyDescent="0.2">
      <c r="A235" s="366" t="s">
        <v>773</v>
      </c>
      <c r="B235" s="88" t="s">
        <v>521</v>
      </c>
      <c r="C235" s="839" t="s">
        <v>462</v>
      </c>
      <c r="D235" s="839">
        <v>205</v>
      </c>
      <c r="E235" s="839"/>
      <c r="F235" s="102" t="s">
        <v>463</v>
      </c>
      <c r="G235" s="102" t="s">
        <v>478</v>
      </c>
      <c r="H235" s="102" t="s">
        <v>219</v>
      </c>
      <c r="I235" s="102"/>
      <c r="J235" s="115">
        <v>0</v>
      </c>
      <c r="K235" s="115">
        <v>1616.1999999999998</v>
      </c>
      <c r="L235" s="115">
        <v>2040</v>
      </c>
      <c r="M235" s="115">
        <v>2040</v>
      </c>
      <c r="N235" s="115">
        <v>2040</v>
      </c>
      <c r="O235" s="932">
        <f>'2022 Budget &amp; CF'!AA235</f>
        <v>2040</v>
      </c>
      <c r="P235" s="12">
        <f t="shared" si="109"/>
        <v>0</v>
      </c>
      <c r="Q235" s="932">
        <f>ROUND(O235*1.02,0)</f>
        <v>2081</v>
      </c>
      <c r="R235" s="12">
        <f t="shared" si="79"/>
        <v>41</v>
      </c>
      <c r="S235" s="12">
        <f>ROUND(Q235*1.02,0)</f>
        <v>2123</v>
      </c>
      <c r="T235" s="12">
        <f t="shared" ref="T235:W235" si="118">ROUND(S235*1.02,0)</f>
        <v>2165</v>
      </c>
      <c r="U235" s="12">
        <f t="shared" si="118"/>
        <v>2208</v>
      </c>
      <c r="V235" s="12">
        <f t="shared" si="118"/>
        <v>2252</v>
      </c>
      <c r="W235" s="12">
        <f t="shared" si="118"/>
        <v>2297</v>
      </c>
      <c r="Y235" s="355"/>
    </row>
    <row r="236" spans="1:25" outlineLevel="1" x14ac:dyDescent="0.2">
      <c r="A236" s="366" t="s">
        <v>774</v>
      </c>
      <c r="B236" s="88" t="s">
        <v>529</v>
      </c>
      <c r="C236" s="839" t="s">
        <v>462</v>
      </c>
      <c r="D236" s="839">
        <v>205</v>
      </c>
      <c r="E236" s="839"/>
      <c r="F236" s="102" t="s">
        <v>463</v>
      </c>
      <c r="G236" s="102" t="s">
        <v>478</v>
      </c>
      <c r="H236" s="102" t="s">
        <v>227</v>
      </c>
      <c r="I236" s="102"/>
      <c r="J236" s="115">
        <v>0</v>
      </c>
      <c r="K236" s="115">
        <v>228.24</v>
      </c>
      <c r="L236" s="115">
        <v>260</v>
      </c>
      <c r="M236" s="115">
        <v>260</v>
      </c>
      <c r="N236" s="115">
        <v>260</v>
      </c>
      <c r="O236" s="932">
        <f>'2022 Budget &amp; CF'!AA236</f>
        <v>2000</v>
      </c>
      <c r="P236" s="12">
        <f t="shared" si="109"/>
        <v>1740</v>
      </c>
      <c r="Q236" s="932">
        <f>ROUND(O236*1.02,0)</f>
        <v>2040</v>
      </c>
      <c r="R236" s="12">
        <f t="shared" si="79"/>
        <v>1780</v>
      </c>
      <c r="S236" s="12">
        <f>ROUND(Q236*1.02,0)</f>
        <v>2081</v>
      </c>
      <c r="T236" s="12">
        <f t="shared" ref="T236:W236" si="119">ROUND(S236*1.02,0)</f>
        <v>2123</v>
      </c>
      <c r="U236" s="12">
        <f t="shared" si="119"/>
        <v>2165</v>
      </c>
      <c r="V236" s="12">
        <f t="shared" si="119"/>
        <v>2208</v>
      </c>
      <c r="W236" s="12">
        <f t="shared" si="119"/>
        <v>2252</v>
      </c>
      <c r="Y236" s="355"/>
    </row>
    <row r="237" spans="1:25" outlineLevel="1" x14ac:dyDescent="0.2">
      <c r="A237" s="366" t="s">
        <v>775</v>
      </c>
      <c r="B237" s="460" t="s">
        <v>148</v>
      </c>
      <c r="C237" s="853"/>
      <c r="D237" s="853"/>
      <c r="E237" s="853"/>
      <c r="F237" s="132"/>
      <c r="G237" s="132"/>
      <c r="H237" s="132"/>
      <c r="I237" s="152"/>
      <c r="J237" s="271"/>
      <c r="K237" s="271"/>
      <c r="L237" s="271"/>
      <c r="M237" s="271"/>
      <c r="N237" s="271"/>
      <c r="O237" s="271"/>
      <c r="P237" s="271">
        <f t="shared" si="86"/>
        <v>0</v>
      </c>
      <c r="Q237" s="271"/>
      <c r="R237" s="271">
        <f t="shared" si="79"/>
        <v>0</v>
      </c>
      <c r="S237" s="271"/>
      <c r="T237" s="271"/>
      <c r="U237" s="271"/>
      <c r="V237" s="271"/>
      <c r="W237" s="272"/>
      <c r="Y237" s="355"/>
    </row>
    <row r="238" spans="1:25" outlineLevel="1" x14ac:dyDescent="0.2">
      <c r="A238" s="366" t="s">
        <v>133</v>
      </c>
      <c r="B238" s="88" t="s">
        <v>831</v>
      </c>
      <c r="C238" s="839" t="s">
        <v>832</v>
      </c>
      <c r="D238" s="841" t="s">
        <v>145</v>
      </c>
      <c r="E238" s="839"/>
      <c r="F238" s="102" t="s">
        <v>468</v>
      </c>
      <c r="G238" s="102" t="s">
        <v>489</v>
      </c>
      <c r="H238" s="104" t="s">
        <v>199</v>
      </c>
      <c r="I238" s="102"/>
      <c r="J238" s="115">
        <v>0</v>
      </c>
      <c r="K238" s="115">
        <v>2500</v>
      </c>
      <c r="L238" s="115">
        <v>0</v>
      </c>
      <c r="M238" s="115">
        <v>0</v>
      </c>
      <c r="N238" s="115">
        <v>0</v>
      </c>
      <c r="O238" s="932">
        <f>'2022 Budget &amp; CF'!AA238</f>
        <v>0</v>
      </c>
      <c r="P238" s="12">
        <f>O238-N238</f>
        <v>0</v>
      </c>
      <c r="Q238" s="932">
        <f t="shared" ref="Q238" si="120">O238</f>
        <v>0</v>
      </c>
      <c r="R238" s="12">
        <f t="shared" si="79"/>
        <v>0</v>
      </c>
      <c r="S238" s="12">
        <f t="shared" si="65"/>
        <v>0</v>
      </c>
      <c r="T238" s="12">
        <f t="shared" si="62"/>
        <v>0</v>
      </c>
      <c r="U238" s="12">
        <f t="shared" ref="U238" si="121">T238</f>
        <v>0</v>
      </c>
      <c r="V238" s="12">
        <f t="shared" ref="V238" si="122">U238</f>
        <v>0</v>
      </c>
      <c r="W238" s="12">
        <f t="shared" ref="W238" si="123">V238</f>
        <v>0</v>
      </c>
      <c r="Y238" s="355"/>
    </row>
    <row r="239" spans="1:25" outlineLevel="1" x14ac:dyDescent="0.2">
      <c r="A239" s="366" t="s">
        <v>776</v>
      </c>
      <c r="B239" s="460" t="s">
        <v>530</v>
      </c>
      <c r="C239" s="853"/>
      <c r="D239" s="853"/>
      <c r="E239" s="853"/>
      <c r="F239" s="132"/>
      <c r="G239" s="132"/>
      <c r="H239" s="132"/>
      <c r="I239" s="152"/>
      <c r="J239" s="271"/>
      <c r="K239" s="271">
        <v>0</v>
      </c>
      <c r="L239" s="271"/>
      <c r="M239" s="271"/>
      <c r="N239" s="271"/>
      <c r="O239" s="271"/>
      <c r="P239" s="271">
        <f t="shared" si="86"/>
        <v>0</v>
      </c>
      <c r="Q239" s="271"/>
      <c r="R239" s="271">
        <f t="shared" si="79"/>
        <v>0</v>
      </c>
      <c r="S239" s="271"/>
      <c r="T239" s="271"/>
      <c r="U239" s="271"/>
      <c r="V239" s="271"/>
      <c r="W239" s="272"/>
      <c r="Y239" s="355"/>
    </row>
    <row r="240" spans="1:25" outlineLevel="1" x14ac:dyDescent="0.2">
      <c r="A240" s="366" t="s">
        <v>777</v>
      </c>
      <c r="B240" s="88" t="s">
        <v>224</v>
      </c>
      <c r="C240" s="839">
        <v>280</v>
      </c>
      <c r="D240" s="841" t="s">
        <v>145</v>
      </c>
      <c r="E240" s="839"/>
      <c r="F240" s="102" t="s">
        <v>468</v>
      </c>
      <c r="G240" s="102" t="s">
        <v>461</v>
      </c>
      <c r="H240" s="104" t="s">
        <v>225</v>
      </c>
      <c r="I240" s="104"/>
      <c r="J240" s="115">
        <v>0</v>
      </c>
      <c r="K240" s="115">
        <v>2416</v>
      </c>
      <c r="L240" s="115">
        <v>5798</v>
      </c>
      <c r="M240" s="115">
        <v>4832</v>
      </c>
      <c r="N240" s="115">
        <v>4832</v>
      </c>
      <c r="O240" s="932">
        <f>'2022 Budget &amp; CF'!AA240</f>
        <v>4832</v>
      </c>
      <c r="P240" s="12">
        <f>O240-N240</f>
        <v>0</v>
      </c>
      <c r="Q240" s="932">
        <f>Q37</f>
        <v>4832</v>
      </c>
      <c r="R240" s="12">
        <f t="shared" si="79"/>
        <v>0</v>
      </c>
      <c r="S240" s="12">
        <f t="shared" ref="S240:W240" si="124">S37</f>
        <v>4832</v>
      </c>
      <c r="T240" s="12">
        <f t="shared" si="124"/>
        <v>4832</v>
      </c>
      <c r="U240" s="12">
        <f t="shared" si="124"/>
        <v>4832</v>
      </c>
      <c r="V240" s="12">
        <f t="shared" si="124"/>
        <v>4832</v>
      </c>
      <c r="W240" s="12">
        <f t="shared" si="124"/>
        <v>4832</v>
      </c>
      <c r="Y240" s="355"/>
    </row>
    <row r="241" spans="1:25" outlineLevel="1" x14ac:dyDescent="0.2">
      <c r="A241" s="366" t="s">
        <v>778</v>
      </c>
      <c r="B241" s="460" t="s">
        <v>376</v>
      </c>
      <c r="C241" s="853"/>
      <c r="D241" s="856"/>
      <c r="E241" s="853"/>
      <c r="F241" s="132"/>
      <c r="G241" s="132"/>
      <c r="H241" s="132"/>
      <c r="I241" s="152"/>
      <c r="J241" s="271"/>
      <c r="K241" s="271">
        <v>0</v>
      </c>
      <c r="L241" s="271"/>
      <c r="M241" s="271"/>
      <c r="N241" s="271"/>
      <c r="O241" s="271"/>
      <c r="P241" s="271">
        <f t="shared" si="86"/>
        <v>0</v>
      </c>
      <c r="Q241" s="271"/>
      <c r="R241" s="271">
        <f t="shared" si="79"/>
        <v>0</v>
      </c>
      <c r="S241" s="271"/>
      <c r="T241" s="271"/>
      <c r="U241" s="271"/>
      <c r="V241" s="271"/>
      <c r="W241" s="272"/>
      <c r="Y241" s="355"/>
    </row>
    <row r="242" spans="1:25" outlineLevel="1" x14ac:dyDescent="0.2">
      <c r="A242" s="366" t="s">
        <v>779</v>
      </c>
      <c r="B242" s="88" t="s">
        <v>224</v>
      </c>
      <c r="C242" s="839">
        <v>280</v>
      </c>
      <c r="D242" s="837">
        <v>340</v>
      </c>
      <c r="E242" s="839"/>
      <c r="F242" s="102">
        <v>100</v>
      </c>
      <c r="G242" s="102" t="s">
        <v>461</v>
      </c>
      <c r="H242" s="104" t="s">
        <v>225</v>
      </c>
      <c r="I242" s="102"/>
      <c r="J242" s="115">
        <v>0</v>
      </c>
      <c r="K242" s="115">
        <v>4084.5</v>
      </c>
      <c r="L242" s="115">
        <v>0</v>
      </c>
      <c r="M242" s="115">
        <v>0</v>
      </c>
      <c r="N242" s="115">
        <v>0</v>
      </c>
      <c r="O242" s="932">
        <f>'2022 Budget &amp; CF'!AA242</f>
        <v>0</v>
      </c>
      <c r="P242" s="12">
        <f>O242-N242</f>
        <v>0</v>
      </c>
      <c r="Q242" s="932">
        <v>0</v>
      </c>
      <c r="R242" s="115">
        <f t="shared" si="79"/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Y242" s="355"/>
    </row>
    <row r="243" spans="1:25" outlineLevel="1" x14ac:dyDescent="0.2">
      <c r="A243" s="366" t="s">
        <v>780</v>
      </c>
      <c r="B243" s="460" t="s">
        <v>139</v>
      </c>
      <c r="C243" s="853"/>
      <c r="D243" s="853"/>
      <c r="E243" s="853"/>
      <c r="F243" s="132"/>
      <c r="G243" s="132"/>
      <c r="H243" s="132"/>
      <c r="I243" s="152"/>
      <c r="J243" s="271"/>
      <c r="K243" s="271">
        <v>0</v>
      </c>
      <c r="L243" s="271"/>
      <c r="M243" s="271"/>
      <c r="N243" s="271"/>
      <c r="O243" s="271"/>
      <c r="P243" s="271">
        <f t="shared" si="86"/>
        <v>0</v>
      </c>
      <c r="Q243" s="271"/>
      <c r="R243" s="271">
        <f t="shared" si="79"/>
        <v>0</v>
      </c>
      <c r="S243" s="271"/>
      <c r="T243" s="271"/>
      <c r="U243" s="271"/>
      <c r="V243" s="271"/>
      <c r="W243" s="272"/>
      <c r="Y243" s="355"/>
    </row>
    <row r="244" spans="1:25" outlineLevel="1" x14ac:dyDescent="0.2">
      <c r="A244" s="366" t="s">
        <v>781</v>
      </c>
      <c r="B244" s="88" t="s">
        <v>243</v>
      </c>
      <c r="C244" s="839">
        <v>280</v>
      </c>
      <c r="D244" s="837">
        <v>624</v>
      </c>
      <c r="E244" s="839"/>
      <c r="F244" s="102">
        <v>430</v>
      </c>
      <c r="G244" s="102" t="s">
        <v>489</v>
      </c>
      <c r="H244" s="102" t="s">
        <v>199</v>
      </c>
      <c r="I244" s="102"/>
      <c r="J244" s="115">
        <v>0</v>
      </c>
      <c r="K244" s="115">
        <v>37500</v>
      </c>
      <c r="L244" s="115">
        <v>37500</v>
      </c>
      <c r="M244" s="115">
        <v>37500</v>
      </c>
      <c r="N244" s="115">
        <v>37500</v>
      </c>
      <c r="O244" s="932">
        <f>'2022 Budget &amp; CF'!AA244</f>
        <v>37500</v>
      </c>
      <c r="P244" s="12">
        <f t="shared" ref="P244:P247" si="125">O244-N244</f>
        <v>0</v>
      </c>
      <c r="Q244" s="932">
        <f>O244</f>
        <v>37500</v>
      </c>
      <c r="R244" s="12">
        <f t="shared" si="79"/>
        <v>0</v>
      </c>
      <c r="S244" s="12">
        <f>Q244</f>
        <v>37500</v>
      </c>
      <c r="T244" s="12">
        <f t="shared" ref="T244:T259" si="126">S244</f>
        <v>37500</v>
      </c>
      <c r="U244" s="12">
        <f t="shared" si="110"/>
        <v>37500</v>
      </c>
      <c r="V244" s="12">
        <f t="shared" si="110"/>
        <v>37500</v>
      </c>
      <c r="W244" s="12">
        <f t="shared" si="110"/>
        <v>37500</v>
      </c>
      <c r="Y244" s="355"/>
    </row>
    <row r="245" spans="1:25" outlineLevel="1" x14ac:dyDescent="0.2">
      <c r="A245" s="366" t="s">
        <v>782</v>
      </c>
      <c r="B245" s="88"/>
      <c r="C245" s="839" t="s">
        <v>135</v>
      </c>
      <c r="D245" s="837" t="s">
        <v>242</v>
      </c>
      <c r="E245" s="839"/>
      <c r="F245" s="102" t="s">
        <v>532</v>
      </c>
      <c r="G245" s="102" t="s">
        <v>461</v>
      </c>
      <c r="H245" s="102" t="s">
        <v>203</v>
      </c>
      <c r="I245" s="102"/>
      <c r="J245" s="115"/>
      <c r="K245" s="115">
        <v>65820</v>
      </c>
      <c r="L245" s="115"/>
      <c r="M245" s="115"/>
      <c r="N245" s="115">
        <v>62820</v>
      </c>
      <c r="O245" s="932">
        <f>'2022 Budget &amp; CF'!AA245</f>
        <v>62820</v>
      </c>
      <c r="P245" s="12">
        <f t="shared" si="125"/>
        <v>0</v>
      </c>
      <c r="Q245" s="932">
        <f t="shared" ref="Q245:Q247" si="127">O245</f>
        <v>62820</v>
      </c>
      <c r="R245" s="12">
        <f t="shared" si="79"/>
        <v>0</v>
      </c>
      <c r="S245" s="12">
        <f>Q245</f>
        <v>62820</v>
      </c>
      <c r="T245" s="12">
        <f t="shared" si="126"/>
        <v>62820</v>
      </c>
      <c r="U245" s="12">
        <f t="shared" ref="U245:U246" si="128">T245</f>
        <v>62820</v>
      </c>
      <c r="V245" s="12">
        <f t="shared" ref="V245:V246" si="129">U245</f>
        <v>62820</v>
      </c>
      <c r="W245" s="12">
        <f t="shared" ref="W245:W246" si="130">V245</f>
        <v>62820</v>
      </c>
      <c r="Y245" s="355"/>
    </row>
    <row r="246" spans="1:25" outlineLevel="1" x14ac:dyDescent="0.2">
      <c r="A246" s="366" t="s">
        <v>783</v>
      </c>
      <c r="B246" s="88"/>
      <c r="C246" s="839" t="s">
        <v>135</v>
      </c>
      <c r="D246" s="837" t="s">
        <v>242</v>
      </c>
      <c r="E246" s="839"/>
      <c r="F246" s="102" t="s">
        <v>468</v>
      </c>
      <c r="G246" s="102" t="s">
        <v>489</v>
      </c>
      <c r="H246" s="102" t="s">
        <v>203</v>
      </c>
      <c r="I246" s="102"/>
      <c r="J246" s="115"/>
      <c r="K246" s="115">
        <v>0</v>
      </c>
      <c r="L246" s="115"/>
      <c r="M246" s="115"/>
      <c r="N246" s="115">
        <v>0</v>
      </c>
      <c r="O246" s="932">
        <f>'2022 Budget &amp; CF'!AA246</f>
        <v>0</v>
      </c>
      <c r="P246" s="12">
        <f t="shared" si="125"/>
        <v>0</v>
      </c>
      <c r="Q246" s="932">
        <f t="shared" si="127"/>
        <v>0</v>
      </c>
      <c r="R246" s="12">
        <f t="shared" si="79"/>
        <v>0</v>
      </c>
      <c r="S246" s="12">
        <f>Q246</f>
        <v>0</v>
      </c>
      <c r="T246" s="12">
        <f t="shared" si="126"/>
        <v>0</v>
      </c>
      <c r="U246" s="12">
        <f t="shared" si="128"/>
        <v>0</v>
      </c>
      <c r="V246" s="12">
        <f t="shared" si="129"/>
        <v>0</v>
      </c>
      <c r="W246" s="12">
        <f t="shared" si="130"/>
        <v>0</v>
      </c>
      <c r="Y246" s="355"/>
    </row>
    <row r="247" spans="1:25" outlineLevel="1" x14ac:dyDescent="0.2">
      <c r="A247" s="366" t="s">
        <v>784</v>
      </c>
      <c r="B247" s="88" t="s">
        <v>488</v>
      </c>
      <c r="C247" s="839">
        <v>280</v>
      </c>
      <c r="D247" s="837">
        <v>624</v>
      </c>
      <c r="E247" s="839"/>
      <c r="F247" s="102">
        <v>430</v>
      </c>
      <c r="G247" s="102" t="s">
        <v>489</v>
      </c>
      <c r="H247" s="104" t="s">
        <v>201</v>
      </c>
      <c r="I247" s="102"/>
      <c r="J247" s="115">
        <v>0</v>
      </c>
      <c r="K247" s="115">
        <v>0</v>
      </c>
      <c r="L247" s="115">
        <v>0</v>
      </c>
      <c r="M247" s="115">
        <v>0</v>
      </c>
      <c r="N247" s="115">
        <v>0</v>
      </c>
      <c r="O247" s="932">
        <f>'2022 Budget &amp; CF'!AA247</f>
        <v>0</v>
      </c>
      <c r="P247" s="12">
        <f t="shared" si="125"/>
        <v>0</v>
      </c>
      <c r="Q247" s="932">
        <f t="shared" si="127"/>
        <v>0</v>
      </c>
      <c r="R247" s="12">
        <f t="shared" si="79"/>
        <v>0</v>
      </c>
      <c r="S247" s="12">
        <f>Q247</f>
        <v>0</v>
      </c>
      <c r="T247" s="12">
        <f t="shared" si="126"/>
        <v>0</v>
      </c>
      <c r="U247" s="12">
        <f t="shared" ref="U247" si="131">T247</f>
        <v>0</v>
      </c>
      <c r="V247" s="12">
        <f t="shared" ref="V247" si="132">U247</f>
        <v>0</v>
      </c>
      <c r="W247" s="12">
        <f t="shared" ref="W247" si="133">V247</f>
        <v>0</v>
      </c>
      <c r="Y247" s="355"/>
    </row>
    <row r="248" spans="1:25" outlineLevel="1" x14ac:dyDescent="0.2">
      <c r="A248" s="366" t="s">
        <v>473</v>
      </c>
      <c r="B248" s="460" t="s">
        <v>140</v>
      </c>
      <c r="C248" s="853"/>
      <c r="D248" s="853"/>
      <c r="E248" s="853"/>
      <c r="F248" s="132"/>
      <c r="G248" s="132"/>
      <c r="H248" s="132"/>
      <c r="I248" s="152"/>
      <c r="J248" s="271"/>
      <c r="K248" s="271">
        <v>0</v>
      </c>
      <c r="L248" s="271"/>
      <c r="M248" s="271"/>
      <c r="N248" s="271"/>
      <c r="O248" s="271"/>
      <c r="P248" s="271">
        <f t="shared" si="86"/>
        <v>0</v>
      </c>
      <c r="Q248" s="271"/>
      <c r="R248" s="271">
        <f t="shared" si="79"/>
        <v>0</v>
      </c>
      <c r="S248" s="271"/>
      <c r="T248" s="271"/>
      <c r="U248" s="271"/>
      <c r="V248" s="271"/>
      <c r="W248" s="272"/>
      <c r="Y248" s="355"/>
    </row>
    <row r="249" spans="1:25" outlineLevel="1" x14ac:dyDescent="0.2">
      <c r="A249" s="366" t="s">
        <v>785</v>
      </c>
      <c r="B249" s="88" t="s">
        <v>244</v>
      </c>
      <c r="C249" s="839">
        <v>280</v>
      </c>
      <c r="D249" s="837">
        <v>633</v>
      </c>
      <c r="E249" s="839"/>
      <c r="F249" s="102">
        <v>430</v>
      </c>
      <c r="G249" s="102" t="s">
        <v>484</v>
      </c>
      <c r="H249" s="104" t="s">
        <v>203</v>
      </c>
      <c r="I249" s="102"/>
      <c r="J249" s="115">
        <v>0</v>
      </c>
      <c r="K249" s="115">
        <v>0</v>
      </c>
      <c r="L249" s="115">
        <v>0</v>
      </c>
      <c r="M249" s="115">
        <v>0</v>
      </c>
      <c r="N249" s="115">
        <v>0</v>
      </c>
      <c r="O249" s="932">
        <f>'2022 Budget &amp; CF'!AA249</f>
        <v>0</v>
      </c>
      <c r="P249" s="12">
        <f t="shared" ref="P249:P250" si="134">O249-N249</f>
        <v>0</v>
      </c>
      <c r="Q249" s="932">
        <f t="shared" ref="Q249:Q250" si="135">O249</f>
        <v>0</v>
      </c>
      <c r="R249" s="12">
        <f t="shared" si="79"/>
        <v>0</v>
      </c>
      <c r="S249" s="12">
        <f t="shared" ref="S249:S250" si="136">Q249</f>
        <v>0</v>
      </c>
      <c r="T249" s="12">
        <f t="shared" si="126"/>
        <v>0</v>
      </c>
      <c r="U249" s="12">
        <f t="shared" ref="U249:W249" si="137">T249</f>
        <v>0</v>
      </c>
      <c r="V249" s="12">
        <f t="shared" si="137"/>
        <v>0</v>
      </c>
      <c r="W249" s="12">
        <f t="shared" si="137"/>
        <v>0</v>
      </c>
      <c r="Y249" s="355"/>
    </row>
    <row r="250" spans="1:25" outlineLevel="1" x14ac:dyDescent="0.2">
      <c r="A250" s="366" t="s">
        <v>786</v>
      </c>
      <c r="B250" s="88" t="s">
        <v>246</v>
      </c>
      <c r="C250" s="839">
        <v>280</v>
      </c>
      <c r="D250" s="837">
        <v>633</v>
      </c>
      <c r="E250" s="839"/>
      <c r="F250" s="102">
        <v>430</v>
      </c>
      <c r="G250" s="102" t="s">
        <v>490</v>
      </c>
      <c r="H250" s="104" t="s">
        <v>203</v>
      </c>
      <c r="I250" s="102"/>
      <c r="J250" s="115">
        <v>0</v>
      </c>
      <c r="K250" s="115">
        <v>0</v>
      </c>
      <c r="L250" s="115">
        <v>0</v>
      </c>
      <c r="M250" s="115">
        <v>0</v>
      </c>
      <c r="N250" s="115">
        <v>0</v>
      </c>
      <c r="O250" s="932">
        <f>'2022 Budget &amp; CF'!AA250</f>
        <v>0</v>
      </c>
      <c r="P250" s="12">
        <f t="shared" si="134"/>
        <v>0</v>
      </c>
      <c r="Q250" s="932">
        <f t="shared" si="135"/>
        <v>0</v>
      </c>
      <c r="R250" s="12">
        <f t="shared" si="79"/>
        <v>0</v>
      </c>
      <c r="S250" s="12">
        <f t="shared" si="136"/>
        <v>0</v>
      </c>
      <c r="T250" s="12">
        <f t="shared" si="126"/>
        <v>0</v>
      </c>
      <c r="U250" s="12">
        <f t="shared" ref="U250:W250" si="138">T250</f>
        <v>0</v>
      </c>
      <c r="V250" s="12">
        <f t="shared" si="138"/>
        <v>0</v>
      </c>
      <c r="W250" s="12">
        <f t="shared" si="138"/>
        <v>0</v>
      </c>
      <c r="Y250" s="355"/>
    </row>
    <row r="251" spans="1:25" outlineLevel="1" x14ac:dyDescent="0.2">
      <c r="A251" s="366" t="s">
        <v>787</v>
      </c>
      <c r="B251" s="460" t="s">
        <v>141</v>
      </c>
      <c r="C251" s="853"/>
      <c r="D251" s="853"/>
      <c r="E251" s="853"/>
      <c r="F251" s="132"/>
      <c r="G251" s="132"/>
      <c r="H251" s="132"/>
      <c r="I251" s="152"/>
      <c r="J251" s="271"/>
      <c r="K251" s="271">
        <v>0</v>
      </c>
      <c r="L251" s="271"/>
      <c r="M251" s="271"/>
      <c r="N251" s="271"/>
      <c r="O251" s="271"/>
      <c r="P251" s="271">
        <f t="shared" si="86"/>
        <v>0</v>
      </c>
      <c r="Q251" s="271"/>
      <c r="R251" s="271">
        <f t="shared" si="79"/>
        <v>0</v>
      </c>
      <c r="S251" s="271"/>
      <c r="T251" s="271"/>
      <c r="U251" s="271"/>
      <c r="V251" s="271"/>
      <c r="W251" s="272"/>
      <c r="Y251" s="355"/>
    </row>
    <row r="252" spans="1:25" outlineLevel="1" x14ac:dyDescent="0.2">
      <c r="A252" s="366" t="s">
        <v>788</v>
      </c>
      <c r="B252" s="88" t="s">
        <v>241</v>
      </c>
      <c r="C252" s="839">
        <v>280</v>
      </c>
      <c r="D252" s="837">
        <v>639</v>
      </c>
      <c r="E252" s="839"/>
      <c r="F252" s="102">
        <v>200</v>
      </c>
      <c r="G252" s="102" t="s">
        <v>484</v>
      </c>
      <c r="H252" s="102" t="s">
        <v>203</v>
      </c>
      <c r="I252" s="102"/>
      <c r="J252" s="115">
        <v>0</v>
      </c>
      <c r="K252" s="115">
        <v>0</v>
      </c>
      <c r="L252" s="115">
        <v>0</v>
      </c>
      <c r="M252" s="115">
        <v>0</v>
      </c>
      <c r="N252" s="115">
        <v>0</v>
      </c>
      <c r="O252" s="932">
        <f>'2022 Budget &amp; CF'!AA252</f>
        <v>0</v>
      </c>
      <c r="P252" s="12">
        <f t="shared" ref="P252:P254" si="139">O252-N252</f>
        <v>0</v>
      </c>
      <c r="Q252" s="932">
        <f t="shared" ref="Q252:Q254" si="140">O252</f>
        <v>0</v>
      </c>
      <c r="R252" s="12">
        <f t="shared" si="79"/>
        <v>0</v>
      </c>
      <c r="S252" s="12">
        <f t="shared" ref="S252:S254" si="141">Q252</f>
        <v>0</v>
      </c>
      <c r="T252" s="12">
        <f t="shared" si="126"/>
        <v>0</v>
      </c>
      <c r="U252" s="12">
        <f t="shared" ref="U252:W252" si="142">T252</f>
        <v>0</v>
      </c>
      <c r="V252" s="12">
        <f t="shared" si="142"/>
        <v>0</v>
      </c>
      <c r="W252" s="12">
        <f t="shared" si="142"/>
        <v>0</v>
      </c>
      <c r="Y252" s="355"/>
    </row>
    <row r="253" spans="1:25" outlineLevel="1" x14ac:dyDescent="0.2">
      <c r="A253" s="366" t="s">
        <v>789</v>
      </c>
      <c r="B253" s="88" t="s">
        <v>248</v>
      </c>
      <c r="C253" s="839">
        <v>280</v>
      </c>
      <c r="D253" s="837">
        <v>639</v>
      </c>
      <c r="E253" s="839"/>
      <c r="F253" s="102">
        <v>200</v>
      </c>
      <c r="G253" s="102" t="s">
        <v>490</v>
      </c>
      <c r="H253" s="104" t="s">
        <v>203</v>
      </c>
      <c r="I253" s="102"/>
      <c r="J253" s="115">
        <v>0</v>
      </c>
      <c r="K253" s="115">
        <v>0</v>
      </c>
      <c r="L253" s="115">
        <v>0</v>
      </c>
      <c r="M253" s="115">
        <v>0</v>
      </c>
      <c r="N253" s="115">
        <v>0</v>
      </c>
      <c r="O253" s="932">
        <f>'2022 Budget &amp; CF'!AA253</f>
        <v>0</v>
      </c>
      <c r="P253" s="12">
        <f t="shared" si="139"/>
        <v>0</v>
      </c>
      <c r="Q253" s="932">
        <f t="shared" si="140"/>
        <v>0</v>
      </c>
      <c r="R253" s="12">
        <f t="shared" si="79"/>
        <v>0</v>
      </c>
      <c r="S253" s="12">
        <f t="shared" si="141"/>
        <v>0</v>
      </c>
      <c r="T253" s="12">
        <f t="shared" si="126"/>
        <v>0</v>
      </c>
      <c r="U253" s="12">
        <f t="shared" ref="U253:W254" si="143">T253</f>
        <v>0</v>
      </c>
      <c r="V253" s="12">
        <f t="shared" si="143"/>
        <v>0</v>
      </c>
      <c r="W253" s="12">
        <f t="shared" si="143"/>
        <v>0</v>
      </c>
      <c r="Y253" s="355"/>
    </row>
    <row r="254" spans="1:25" outlineLevel="1" x14ac:dyDescent="0.2">
      <c r="A254" s="366" t="s">
        <v>790</v>
      </c>
      <c r="B254" s="88" t="s">
        <v>239</v>
      </c>
      <c r="C254" s="839">
        <v>280</v>
      </c>
      <c r="D254" s="837">
        <v>639</v>
      </c>
      <c r="E254" s="839"/>
      <c r="F254" s="102" t="s">
        <v>473</v>
      </c>
      <c r="G254" s="102" t="s">
        <v>813</v>
      </c>
      <c r="H254" s="104" t="s">
        <v>240</v>
      </c>
      <c r="I254" s="102"/>
      <c r="J254" s="115"/>
      <c r="K254" s="115">
        <v>0</v>
      </c>
      <c r="L254" s="115">
        <v>0</v>
      </c>
      <c r="M254" s="115">
        <v>0</v>
      </c>
      <c r="N254" s="115">
        <v>0</v>
      </c>
      <c r="O254" s="932">
        <f>'2022 Budget &amp; CF'!AA254</f>
        <v>625</v>
      </c>
      <c r="P254" s="12">
        <f t="shared" si="139"/>
        <v>625</v>
      </c>
      <c r="Q254" s="932">
        <f t="shared" si="140"/>
        <v>625</v>
      </c>
      <c r="R254" s="12">
        <f t="shared" si="79"/>
        <v>625</v>
      </c>
      <c r="S254" s="12">
        <f t="shared" si="141"/>
        <v>625</v>
      </c>
      <c r="T254" s="12">
        <f t="shared" si="126"/>
        <v>625</v>
      </c>
      <c r="U254" s="12"/>
      <c r="V254" s="12"/>
      <c r="W254" s="12">
        <f t="shared" si="143"/>
        <v>0</v>
      </c>
      <c r="Y254" s="355"/>
    </row>
    <row r="255" spans="1:25" outlineLevel="1" x14ac:dyDescent="0.2">
      <c r="A255" s="366" t="s">
        <v>791</v>
      </c>
      <c r="B255" s="460" t="s">
        <v>531</v>
      </c>
      <c r="C255" s="853"/>
      <c r="D255" s="853"/>
      <c r="E255" s="853"/>
      <c r="F255" s="132"/>
      <c r="G255" s="132"/>
      <c r="H255" s="132"/>
      <c r="I255" s="152"/>
      <c r="J255" s="271"/>
      <c r="K255" s="271">
        <v>0</v>
      </c>
      <c r="L255" s="271"/>
      <c r="M255" s="271"/>
      <c r="N255" s="271"/>
      <c r="O255" s="271"/>
      <c r="P255" s="271">
        <f t="shared" si="86"/>
        <v>0</v>
      </c>
      <c r="Q255" s="271"/>
      <c r="R255" s="271">
        <f t="shared" si="79"/>
        <v>0</v>
      </c>
      <c r="S255" s="271"/>
      <c r="T255" s="271"/>
      <c r="U255" s="271"/>
      <c r="V255" s="271"/>
      <c r="W255" s="272"/>
      <c r="Y255" s="355"/>
    </row>
    <row r="256" spans="1:25" outlineLevel="1" x14ac:dyDescent="0.2">
      <c r="A256" s="366" t="s">
        <v>792</v>
      </c>
      <c r="B256" s="88" t="s">
        <v>224</v>
      </c>
      <c r="C256" s="839">
        <v>280</v>
      </c>
      <c r="D256" s="837">
        <v>650</v>
      </c>
      <c r="E256" s="839"/>
      <c r="F256" s="102" t="s">
        <v>532</v>
      </c>
      <c r="G256" s="102" t="s">
        <v>461</v>
      </c>
      <c r="H256" s="102" t="s">
        <v>225</v>
      </c>
      <c r="I256" s="102"/>
      <c r="J256" s="115">
        <v>0</v>
      </c>
      <c r="K256" s="115">
        <v>10363.700000000001</v>
      </c>
      <c r="L256" s="115">
        <v>0</v>
      </c>
      <c r="M256" s="115">
        <v>0</v>
      </c>
      <c r="N256" s="115">
        <v>0</v>
      </c>
      <c r="O256" s="932">
        <f>'2022 Budget &amp; CF'!AA256</f>
        <v>0</v>
      </c>
      <c r="P256" s="12">
        <f t="shared" ref="P256:P257" si="144">O256-N256</f>
        <v>0</v>
      </c>
      <c r="Q256" s="932">
        <f t="shared" ref="Q256:Q257" si="145">O256</f>
        <v>0</v>
      </c>
      <c r="R256" s="12">
        <f t="shared" si="79"/>
        <v>0</v>
      </c>
      <c r="S256" s="12">
        <f t="shared" ref="S256:S257" si="146">Q256</f>
        <v>0</v>
      </c>
      <c r="T256" s="12">
        <f t="shared" si="126"/>
        <v>0</v>
      </c>
      <c r="U256" s="12">
        <f t="shared" ref="U256:W256" si="147">T256</f>
        <v>0</v>
      </c>
      <c r="V256" s="12">
        <f t="shared" si="147"/>
        <v>0</v>
      </c>
      <c r="W256" s="12">
        <f t="shared" si="147"/>
        <v>0</v>
      </c>
      <c r="Y256" s="355"/>
    </row>
    <row r="257" spans="1:25" outlineLevel="1" x14ac:dyDescent="0.2">
      <c r="A257" s="366" t="s">
        <v>793</v>
      </c>
      <c r="B257" s="485" t="s">
        <v>239</v>
      </c>
      <c r="C257" s="839" t="s">
        <v>135</v>
      </c>
      <c r="D257" s="837" t="s">
        <v>533</v>
      </c>
      <c r="E257" s="839"/>
      <c r="F257" s="102" t="s">
        <v>532</v>
      </c>
      <c r="G257" s="102" t="s">
        <v>813</v>
      </c>
      <c r="H257" s="102" t="s">
        <v>240</v>
      </c>
      <c r="I257" s="102"/>
      <c r="J257" s="202"/>
      <c r="K257" s="115">
        <v>7300</v>
      </c>
      <c r="L257" s="115">
        <v>0</v>
      </c>
      <c r="M257" s="115">
        <v>0</v>
      </c>
      <c r="N257" s="115">
        <v>0</v>
      </c>
      <c r="O257" s="932">
        <f>'2022 Budget &amp; CF'!AA257</f>
        <v>0</v>
      </c>
      <c r="P257" s="12">
        <f t="shared" si="144"/>
        <v>0</v>
      </c>
      <c r="Q257" s="932">
        <f t="shared" si="145"/>
        <v>0</v>
      </c>
      <c r="R257" s="12">
        <f t="shared" si="79"/>
        <v>0</v>
      </c>
      <c r="S257" s="12">
        <f t="shared" si="146"/>
        <v>0</v>
      </c>
      <c r="T257" s="12">
        <f t="shared" si="126"/>
        <v>0</v>
      </c>
      <c r="U257" s="12">
        <f t="shared" ref="U257" si="148">T257</f>
        <v>0</v>
      </c>
      <c r="V257" s="12">
        <f t="shared" ref="V257" si="149">U257</f>
        <v>0</v>
      </c>
      <c r="W257" s="12">
        <f t="shared" ref="W257" si="150">V257</f>
        <v>0</v>
      </c>
      <c r="Y257" s="355"/>
    </row>
    <row r="258" spans="1:25" outlineLevel="1" x14ac:dyDescent="0.2">
      <c r="A258" s="366" t="s">
        <v>462</v>
      </c>
      <c r="B258" s="460" t="s">
        <v>922</v>
      </c>
      <c r="C258" s="853"/>
      <c r="D258" s="853"/>
      <c r="E258" s="853"/>
      <c r="F258" s="132"/>
      <c r="G258" s="132"/>
      <c r="H258" s="132"/>
      <c r="I258" s="152"/>
      <c r="J258" s="271"/>
      <c r="K258" s="271">
        <v>0</v>
      </c>
      <c r="L258" s="271"/>
      <c r="M258" s="271"/>
      <c r="N258" s="271"/>
      <c r="O258" s="271"/>
      <c r="P258" s="271">
        <f t="shared" ref="P258:P318" si="151">O258-M258</f>
        <v>0</v>
      </c>
      <c r="Q258" s="271"/>
      <c r="R258" s="271">
        <f t="shared" si="79"/>
        <v>0</v>
      </c>
      <c r="S258" s="271"/>
      <c r="T258" s="271"/>
      <c r="U258" s="271"/>
      <c r="V258" s="271"/>
      <c r="W258" s="272"/>
      <c r="Y258" s="355"/>
    </row>
    <row r="259" spans="1:25" outlineLevel="1" x14ac:dyDescent="0.2">
      <c r="A259" s="366" t="s">
        <v>794</v>
      </c>
      <c r="B259" s="88" t="s">
        <v>831</v>
      </c>
      <c r="C259" s="839">
        <v>280</v>
      </c>
      <c r="D259" s="837">
        <v>661</v>
      </c>
      <c r="E259" s="839"/>
      <c r="F259" s="102" t="s">
        <v>468</v>
      </c>
      <c r="G259" s="102" t="s">
        <v>489</v>
      </c>
      <c r="H259" s="104" t="s">
        <v>199</v>
      </c>
      <c r="I259" s="102"/>
      <c r="J259" s="115">
        <v>0</v>
      </c>
      <c r="K259" s="115">
        <v>0</v>
      </c>
      <c r="L259" s="115">
        <v>35000</v>
      </c>
      <c r="M259" s="115">
        <v>35000</v>
      </c>
      <c r="N259" s="115">
        <v>35000</v>
      </c>
      <c r="O259" s="932">
        <f>'2022 Budget &amp; CF'!AA259</f>
        <v>35000</v>
      </c>
      <c r="P259" s="12">
        <f t="shared" ref="P259:P265" si="152">O259-N259</f>
        <v>0</v>
      </c>
      <c r="Q259" s="932">
        <v>0</v>
      </c>
      <c r="R259" s="115">
        <f t="shared" si="79"/>
        <v>-35000</v>
      </c>
      <c r="S259" s="115">
        <f t="shared" ref="S259:S265" si="153">Q259</f>
        <v>0</v>
      </c>
      <c r="T259" s="115">
        <f t="shared" si="126"/>
        <v>0</v>
      </c>
      <c r="U259" s="115">
        <f t="shared" ref="U259" si="154">T259</f>
        <v>0</v>
      </c>
      <c r="V259" s="115">
        <f t="shared" ref="V259" si="155">U259</f>
        <v>0</v>
      </c>
      <c r="W259" s="115">
        <f t="shared" ref="W259" si="156">V259</f>
        <v>0</v>
      </c>
      <c r="Y259" s="355"/>
    </row>
    <row r="260" spans="1:25" outlineLevel="1" x14ac:dyDescent="0.2">
      <c r="A260" s="366" t="s">
        <v>795</v>
      </c>
      <c r="B260" s="88" t="s">
        <v>926</v>
      </c>
      <c r="C260" s="839">
        <v>280</v>
      </c>
      <c r="D260" s="837">
        <v>661</v>
      </c>
      <c r="E260" s="839"/>
      <c r="F260" s="102" t="s">
        <v>468</v>
      </c>
      <c r="G260" s="102" t="s">
        <v>461</v>
      </c>
      <c r="H260" s="104" t="s">
        <v>203</v>
      </c>
      <c r="I260" s="102"/>
      <c r="J260" s="115">
        <v>0</v>
      </c>
      <c r="K260" s="115">
        <v>0</v>
      </c>
      <c r="L260" s="115">
        <v>127820</v>
      </c>
      <c r="M260" s="115">
        <v>127820</v>
      </c>
      <c r="N260" s="115">
        <v>127820</v>
      </c>
      <c r="O260" s="932">
        <f>'2022 Budget &amp; CF'!AA260</f>
        <v>61611</v>
      </c>
      <c r="P260" s="12">
        <f t="shared" si="152"/>
        <v>-66209</v>
      </c>
      <c r="Q260" s="932">
        <v>0</v>
      </c>
      <c r="R260" s="115">
        <f t="shared" si="79"/>
        <v>-127820</v>
      </c>
      <c r="S260" s="115">
        <f t="shared" si="153"/>
        <v>0</v>
      </c>
      <c r="T260" s="115">
        <f t="shared" ref="T260:T265" si="157">S260</f>
        <v>0</v>
      </c>
      <c r="U260" s="115">
        <f t="shared" ref="U260:U261" si="158">T260</f>
        <v>0</v>
      </c>
      <c r="V260" s="115">
        <f t="shared" ref="V260:V261" si="159">U260</f>
        <v>0</v>
      </c>
      <c r="W260" s="115">
        <f t="shared" ref="W260:W261" si="160">V260</f>
        <v>0</v>
      </c>
      <c r="Y260" s="355"/>
    </row>
    <row r="261" spans="1:25" outlineLevel="1" x14ac:dyDescent="0.2">
      <c r="A261" s="366" t="s">
        <v>796</v>
      </c>
      <c r="B261" s="88" t="s">
        <v>926</v>
      </c>
      <c r="C261" s="839">
        <v>280</v>
      </c>
      <c r="D261" s="837">
        <v>661</v>
      </c>
      <c r="E261" s="839"/>
      <c r="F261" s="102" t="s">
        <v>468</v>
      </c>
      <c r="G261" s="102" t="s">
        <v>556</v>
      </c>
      <c r="H261" s="104" t="s">
        <v>203</v>
      </c>
      <c r="I261" s="102"/>
      <c r="J261" s="115">
        <v>0</v>
      </c>
      <c r="K261" s="115">
        <v>13255</v>
      </c>
      <c r="L261" s="115">
        <v>35000</v>
      </c>
      <c r="M261" s="115">
        <v>35000</v>
      </c>
      <c r="N261" s="115">
        <v>35000</v>
      </c>
      <c r="O261" s="932">
        <f>'2022 Budget &amp; CF'!AA261</f>
        <v>65000</v>
      </c>
      <c r="P261" s="12">
        <f t="shared" si="152"/>
        <v>30000</v>
      </c>
      <c r="Q261" s="932">
        <v>0</v>
      </c>
      <c r="R261" s="115">
        <f t="shared" si="79"/>
        <v>-35000</v>
      </c>
      <c r="S261" s="115">
        <f t="shared" si="153"/>
        <v>0</v>
      </c>
      <c r="T261" s="115">
        <f t="shared" si="157"/>
        <v>0</v>
      </c>
      <c r="U261" s="115">
        <f t="shared" si="158"/>
        <v>0</v>
      </c>
      <c r="V261" s="115">
        <f t="shared" si="159"/>
        <v>0</v>
      </c>
      <c r="W261" s="115">
        <f t="shared" si="160"/>
        <v>0</v>
      </c>
      <c r="Y261" s="355"/>
    </row>
    <row r="262" spans="1:25" outlineLevel="1" x14ac:dyDescent="0.2">
      <c r="A262" s="366" t="s">
        <v>797</v>
      </c>
      <c r="B262" s="88" t="s">
        <v>927</v>
      </c>
      <c r="C262" s="839">
        <v>280</v>
      </c>
      <c r="D262" s="837">
        <v>661</v>
      </c>
      <c r="E262" s="839"/>
      <c r="F262" s="102" t="s">
        <v>468</v>
      </c>
      <c r="G262" s="102" t="s">
        <v>476</v>
      </c>
      <c r="H262" s="104" t="s">
        <v>217</v>
      </c>
      <c r="I262" s="102"/>
      <c r="J262" s="115">
        <v>0</v>
      </c>
      <c r="K262" s="115">
        <v>23.96</v>
      </c>
      <c r="L262" s="115">
        <v>0</v>
      </c>
      <c r="M262" s="115">
        <v>0</v>
      </c>
      <c r="N262" s="115">
        <v>0</v>
      </c>
      <c r="O262" s="932">
        <f>'2022 Budget &amp; CF'!AA262</f>
        <v>0</v>
      </c>
      <c r="P262" s="12">
        <f t="shared" si="152"/>
        <v>0</v>
      </c>
      <c r="Q262" s="932">
        <v>0</v>
      </c>
      <c r="R262" s="115">
        <f t="shared" si="79"/>
        <v>0</v>
      </c>
      <c r="S262" s="115">
        <f t="shared" si="153"/>
        <v>0</v>
      </c>
      <c r="T262" s="115">
        <f t="shared" si="157"/>
        <v>0</v>
      </c>
      <c r="U262" s="115">
        <f t="shared" ref="U262:U264" si="161">T262</f>
        <v>0</v>
      </c>
      <c r="V262" s="115">
        <f t="shared" ref="V262:V264" si="162">U262</f>
        <v>0</v>
      </c>
      <c r="W262" s="115">
        <f t="shared" ref="W262:W264" si="163">V262</f>
        <v>0</v>
      </c>
      <c r="Y262" s="355"/>
    </row>
    <row r="263" spans="1:25" outlineLevel="1" x14ac:dyDescent="0.2">
      <c r="A263" s="366" t="s">
        <v>798</v>
      </c>
      <c r="B263" s="88" t="s">
        <v>1224</v>
      </c>
      <c r="C263" s="839" t="s">
        <v>135</v>
      </c>
      <c r="D263" s="837" t="s">
        <v>923</v>
      </c>
      <c r="E263" s="839"/>
      <c r="F263" s="102" t="s">
        <v>468</v>
      </c>
      <c r="G263" s="102" t="s">
        <v>542</v>
      </c>
      <c r="H263" s="104" t="s">
        <v>480</v>
      </c>
      <c r="I263" s="102"/>
      <c r="J263" s="115"/>
      <c r="K263" s="115">
        <v>0</v>
      </c>
      <c r="L263" s="115"/>
      <c r="M263" s="115"/>
      <c r="N263" s="115">
        <v>0</v>
      </c>
      <c r="O263" s="932">
        <f>'2022 Budget &amp; CF'!AA263</f>
        <v>0</v>
      </c>
      <c r="P263" s="12">
        <f t="shared" si="152"/>
        <v>0</v>
      </c>
      <c r="Q263" s="932">
        <f t="shared" ref="Q263" si="164">O263</f>
        <v>0</v>
      </c>
      <c r="R263" s="115">
        <f t="shared" si="79"/>
        <v>0</v>
      </c>
      <c r="S263" s="115">
        <f t="shared" si="153"/>
        <v>0</v>
      </c>
      <c r="T263" s="115">
        <f t="shared" si="157"/>
        <v>0</v>
      </c>
      <c r="U263" s="115">
        <f t="shared" si="161"/>
        <v>0</v>
      </c>
      <c r="V263" s="115">
        <f t="shared" si="162"/>
        <v>0</v>
      </c>
      <c r="W263" s="115">
        <f t="shared" si="163"/>
        <v>0</v>
      </c>
      <c r="Y263" s="355"/>
    </row>
    <row r="264" spans="1:25" outlineLevel="1" x14ac:dyDescent="0.2">
      <c r="A264" s="366" t="s">
        <v>799</v>
      </c>
      <c r="B264" s="88" t="s">
        <v>1052</v>
      </c>
      <c r="C264" s="839" t="s">
        <v>135</v>
      </c>
      <c r="D264" s="837" t="s">
        <v>923</v>
      </c>
      <c r="E264" s="839"/>
      <c r="F264" s="102" t="s">
        <v>468</v>
      </c>
      <c r="G264" s="102" t="s">
        <v>478</v>
      </c>
      <c r="H264" s="104" t="s">
        <v>226</v>
      </c>
      <c r="I264" s="102"/>
      <c r="J264" s="115"/>
      <c r="K264" s="115">
        <v>0</v>
      </c>
      <c r="L264" s="115"/>
      <c r="M264" s="115"/>
      <c r="N264" s="115"/>
      <c r="O264" s="932"/>
      <c r="P264" s="12"/>
      <c r="Q264" s="932">
        <v>0</v>
      </c>
      <c r="R264" s="115">
        <f t="shared" si="79"/>
        <v>0</v>
      </c>
      <c r="S264" s="115">
        <f t="shared" si="153"/>
        <v>0</v>
      </c>
      <c r="T264" s="115">
        <f t="shared" si="157"/>
        <v>0</v>
      </c>
      <c r="U264" s="115">
        <f t="shared" si="161"/>
        <v>0</v>
      </c>
      <c r="V264" s="115">
        <f t="shared" si="162"/>
        <v>0</v>
      </c>
      <c r="W264" s="115">
        <f t="shared" si="163"/>
        <v>0</v>
      </c>
      <c r="Y264" s="355"/>
    </row>
    <row r="265" spans="1:25" outlineLevel="1" x14ac:dyDescent="0.2">
      <c r="A265" s="366" t="s">
        <v>800</v>
      </c>
      <c r="B265" s="88" t="s">
        <v>929</v>
      </c>
      <c r="C265" s="839">
        <v>280</v>
      </c>
      <c r="D265" s="837">
        <v>661</v>
      </c>
      <c r="E265" s="839"/>
      <c r="F265" s="102" t="s">
        <v>468</v>
      </c>
      <c r="G265" s="102" t="s">
        <v>526</v>
      </c>
      <c r="H265" s="104" t="s">
        <v>928</v>
      </c>
      <c r="I265" s="102"/>
      <c r="J265" s="115">
        <v>0</v>
      </c>
      <c r="K265" s="115">
        <v>0</v>
      </c>
      <c r="L265" s="115">
        <v>0</v>
      </c>
      <c r="M265" s="115">
        <v>0</v>
      </c>
      <c r="N265" s="115">
        <v>0</v>
      </c>
      <c r="O265" s="932">
        <f>'2022 Budget &amp; CF'!AA265</f>
        <v>0</v>
      </c>
      <c r="P265" s="12">
        <f t="shared" si="152"/>
        <v>0</v>
      </c>
      <c r="Q265" s="932">
        <v>0</v>
      </c>
      <c r="R265" s="115">
        <f t="shared" si="79"/>
        <v>0</v>
      </c>
      <c r="S265" s="115">
        <f t="shared" si="153"/>
        <v>0</v>
      </c>
      <c r="T265" s="115">
        <f t="shared" si="157"/>
        <v>0</v>
      </c>
      <c r="U265" s="115">
        <f t="shared" ref="U265" si="165">T265</f>
        <v>0</v>
      </c>
      <c r="V265" s="115">
        <f t="shared" ref="V265" si="166">U265</f>
        <v>0</v>
      </c>
      <c r="W265" s="115">
        <f t="shared" ref="W265" si="167">V265</f>
        <v>0</v>
      </c>
      <c r="Y265" s="355"/>
    </row>
    <row r="266" spans="1:25" outlineLevel="1" x14ac:dyDescent="0.2">
      <c r="A266" s="366" t="s">
        <v>835</v>
      </c>
      <c r="B266" s="460" t="s">
        <v>142</v>
      </c>
      <c r="C266" s="853"/>
      <c r="D266" s="856"/>
      <c r="E266" s="853"/>
      <c r="F266" s="132"/>
      <c r="G266" s="132"/>
      <c r="H266" s="132"/>
      <c r="I266" s="152"/>
      <c r="J266" s="271"/>
      <c r="K266" s="271">
        <v>0</v>
      </c>
      <c r="L266" s="271"/>
      <c r="M266" s="271"/>
      <c r="N266" s="271"/>
      <c r="O266" s="271"/>
      <c r="P266" s="271">
        <f t="shared" si="151"/>
        <v>0</v>
      </c>
      <c r="Q266" s="271"/>
      <c r="R266" s="271">
        <f t="shared" ref="R266:R329" si="168">Q266-N266</f>
        <v>0</v>
      </c>
      <c r="S266" s="271"/>
      <c r="T266" s="271"/>
      <c r="U266" s="271"/>
      <c r="V266" s="271"/>
      <c r="W266" s="272"/>
      <c r="Y266" s="355"/>
    </row>
    <row r="267" spans="1:25" outlineLevel="1" x14ac:dyDescent="0.2">
      <c r="A267" s="366" t="s">
        <v>836</v>
      </c>
      <c r="B267" s="88" t="s">
        <v>955</v>
      </c>
      <c r="C267" s="839">
        <v>280</v>
      </c>
      <c r="D267" s="839">
        <v>709</v>
      </c>
      <c r="E267" s="839"/>
      <c r="F267" s="102">
        <v>100</v>
      </c>
      <c r="G267" s="102" t="s">
        <v>489</v>
      </c>
      <c r="H267" s="104" t="s">
        <v>199</v>
      </c>
      <c r="I267" s="102"/>
      <c r="J267" s="115">
        <v>0</v>
      </c>
      <c r="K267" s="115">
        <v>0</v>
      </c>
      <c r="L267" s="115">
        <v>0</v>
      </c>
      <c r="M267" s="115">
        <v>3194</v>
      </c>
      <c r="N267" s="115">
        <v>2599</v>
      </c>
      <c r="O267" s="932">
        <f>'2022 Budget &amp; CF'!AA267</f>
        <v>2599</v>
      </c>
      <c r="P267" s="12">
        <f t="shared" ref="P267:P270" si="169">O267-N267</f>
        <v>0</v>
      </c>
      <c r="Q267" s="932">
        <v>2599</v>
      </c>
      <c r="R267" s="12">
        <f t="shared" si="168"/>
        <v>0</v>
      </c>
      <c r="S267" s="12">
        <f>Q267</f>
        <v>2599</v>
      </c>
      <c r="T267" s="12">
        <f t="shared" ref="T267:W282" si="170">S267</f>
        <v>2599</v>
      </c>
      <c r="U267" s="12">
        <f t="shared" si="170"/>
        <v>2599</v>
      </c>
      <c r="V267" s="12">
        <f t="shared" si="170"/>
        <v>2599</v>
      </c>
      <c r="W267" s="12">
        <f t="shared" si="170"/>
        <v>2599</v>
      </c>
      <c r="Y267" s="355"/>
    </row>
    <row r="268" spans="1:25" outlineLevel="1" x14ac:dyDescent="0.2">
      <c r="A268" s="366" t="s">
        <v>832</v>
      </c>
      <c r="B268" s="88" t="s">
        <v>954</v>
      </c>
      <c r="C268" s="839">
        <v>280</v>
      </c>
      <c r="D268" s="839">
        <v>709</v>
      </c>
      <c r="E268" s="839"/>
      <c r="F268" s="102">
        <v>100</v>
      </c>
      <c r="G268" s="102" t="s">
        <v>477</v>
      </c>
      <c r="H268" s="104" t="s">
        <v>226</v>
      </c>
      <c r="I268" s="102"/>
      <c r="J268" s="115">
        <v>0</v>
      </c>
      <c r="K268" s="115">
        <v>1000</v>
      </c>
      <c r="L268" s="115">
        <v>0</v>
      </c>
      <c r="M268" s="115">
        <v>1000</v>
      </c>
      <c r="N268" s="115">
        <v>1000</v>
      </c>
      <c r="O268" s="932">
        <f>'2022 Budget &amp; CF'!AA268</f>
        <v>1000</v>
      </c>
      <c r="P268" s="12">
        <f t="shared" si="169"/>
        <v>0</v>
      </c>
      <c r="Q268" s="932">
        <v>1000</v>
      </c>
      <c r="R268" s="12">
        <f t="shared" si="168"/>
        <v>0</v>
      </c>
      <c r="S268" s="12">
        <f>Q268</f>
        <v>1000</v>
      </c>
      <c r="T268" s="12">
        <f t="shared" si="170"/>
        <v>1000</v>
      </c>
      <c r="U268" s="12">
        <f t="shared" ref="U268:W270" si="171">T268</f>
        <v>1000</v>
      </c>
      <c r="V268" s="12">
        <f t="shared" si="171"/>
        <v>1000</v>
      </c>
      <c r="W268" s="12">
        <f t="shared" si="171"/>
        <v>1000</v>
      </c>
      <c r="Y268" s="355"/>
    </row>
    <row r="269" spans="1:25" outlineLevel="1" x14ac:dyDescent="0.2">
      <c r="A269" s="366" t="s">
        <v>837</v>
      </c>
      <c r="B269" s="88" t="s">
        <v>250</v>
      </c>
      <c r="C269" s="839">
        <v>280</v>
      </c>
      <c r="D269" s="839">
        <v>709</v>
      </c>
      <c r="E269" s="839"/>
      <c r="F269" s="102">
        <v>100</v>
      </c>
      <c r="G269" s="102" t="s">
        <v>489</v>
      </c>
      <c r="H269" s="102" t="s">
        <v>201</v>
      </c>
      <c r="I269" s="102"/>
      <c r="J269" s="115">
        <v>0</v>
      </c>
      <c r="K269" s="115">
        <v>0</v>
      </c>
      <c r="L269" s="115">
        <v>0</v>
      </c>
      <c r="M269" s="115">
        <v>0</v>
      </c>
      <c r="N269" s="115">
        <v>0</v>
      </c>
      <c r="O269" s="932">
        <f>'2022 Budget &amp; CF'!AA269</f>
        <v>0</v>
      </c>
      <c r="P269" s="12">
        <f t="shared" si="169"/>
        <v>0</v>
      </c>
      <c r="Q269" s="932">
        <v>0</v>
      </c>
      <c r="R269" s="12">
        <f t="shared" si="168"/>
        <v>0</v>
      </c>
      <c r="S269" s="12">
        <f t="shared" ref="S269:S270" si="172">Q269</f>
        <v>0</v>
      </c>
      <c r="T269" s="12">
        <f t="shared" si="170"/>
        <v>0</v>
      </c>
      <c r="U269" s="12">
        <v>0</v>
      </c>
      <c r="V269" s="12">
        <f t="shared" si="171"/>
        <v>0</v>
      </c>
      <c r="W269" s="12">
        <f t="shared" si="171"/>
        <v>0</v>
      </c>
      <c r="Y269" s="355"/>
    </row>
    <row r="270" spans="1:25" outlineLevel="1" x14ac:dyDescent="0.2">
      <c r="A270" s="366" t="s">
        <v>838</v>
      </c>
      <c r="B270" s="88" t="s">
        <v>251</v>
      </c>
      <c r="C270" s="839">
        <v>280</v>
      </c>
      <c r="D270" s="839">
        <v>709</v>
      </c>
      <c r="E270" s="839"/>
      <c r="F270" s="102">
        <v>100</v>
      </c>
      <c r="G270" s="102" t="s">
        <v>464</v>
      </c>
      <c r="H270" s="102" t="s">
        <v>201</v>
      </c>
      <c r="I270" s="102"/>
      <c r="J270" s="115">
        <v>0</v>
      </c>
      <c r="K270" s="115">
        <v>0</v>
      </c>
      <c r="L270" s="115"/>
      <c r="M270" s="115"/>
      <c r="N270" s="115">
        <v>0</v>
      </c>
      <c r="O270" s="932">
        <f>'2022 Budget &amp; CF'!AA270</f>
        <v>0</v>
      </c>
      <c r="P270" s="12">
        <f t="shared" si="169"/>
        <v>0</v>
      </c>
      <c r="Q270" s="932">
        <v>0</v>
      </c>
      <c r="R270" s="12">
        <f t="shared" si="168"/>
        <v>0</v>
      </c>
      <c r="S270" s="12">
        <f t="shared" si="172"/>
        <v>0</v>
      </c>
      <c r="T270" s="12">
        <f t="shared" si="170"/>
        <v>0</v>
      </c>
      <c r="U270" s="12">
        <v>0</v>
      </c>
      <c r="V270" s="12">
        <f t="shared" si="171"/>
        <v>0</v>
      </c>
      <c r="W270" s="12">
        <f t="shared" si="171"/>
        <v>0</v>
      </c>
      <c r="Y270" s="355"/>
    </row>
    <row r="271" spans="1:25" outlineLevel="1" x14ac:dyDescent="0.2">
      <c r="A271" s="366" t="s">
        <v>839</v>
      </c>
      <c r="B271" s="460" t="s">
        <v>555</v>
      </c>
      <c r="C271" s="853"/>
      <c r="D271" s="856"/>
      <c r="E271" s="853"/>
      <c r="F271" s="132"/>
      <c r="G271" s="132"/>
      <c r="H271" s="132"/>
      <c r="I271" s="152"/>
      <c r="J271" s="271"/>
      <c r="K271" s="271">
        <v>0</v>
      </c>
      <c r="L271" s="271"/>
      <c r="M271" s="271"/>
      <c r="N271" s="271"/>
      <c r="O271" s="271"/>
      <c r="P271" s="271">
        <f t="shared" si="151"/>
        <v>0</v>
      </c>
      <c r="Q271" s="271"/>
      <c r="R271" s="271">
        <f t="shared" si="168"/>
        <v>0</v>
      </c>
      <c r="S271" s="271"/>
      <c r="T271" s="271"/>
      <c r="U271" s="271"/>
      <c r="V271" s="271"/>
      <c r="W271" s="272"/>
      <c r="Y271" s="355"/>
    </row>
    <row r="272" spans="1:25" outlineLevel="1" x14ac:dyDescent="0.2">
      <c r="A272" s="366" t="s">
        <v>840</v>
      </c>
      <c r="B272" s="88" t="s">
        <v>483</v>
      </c>
      <c r="C272" s="839">
        <v>280</v>
      </c>
      <c r="D272" s="837">
        <v>729</v>
      </c>
      <c r="E272" s="839"/>
      <c r="F272" s="102" t="s">
        <v>532</v>
      </c>
      <c r="G272" s="102" t="s">
        <v>534</v>
      </c>
      <c r="H272" s="102" t="s">
        <v>203</v>
      </c>
      <c r="I272" s="102"/>
      <c r="J272" s="115">
        <v>0</v>
      </c>
      <c r="K272" s="115">
        <v>2000</v>
      </c>
      <c r="L272" s="115">
        <v>0</v>
      </c>
      <c r="M272" s="115">
        <v>0</v>
      </c>
      <c r="N272" s="115">
        <v>0</v>
      </c>
      <c r="O272" s="932">
        <f>'2022 Budget &amp; CF'!AA272</f>
        <v>0</v>
      </c>
      <c r="P272" s="12">
        <f>O272-N272</f>
        <v>0</v>
      </c>
      <c r="Q272" s="932">
        <f t="shared" ref="Q272" si="173">O272</f>
        <v>0</v>
      </c>
      <c r="R272" s="115">
        <f t="shared" si="168"/>
        <v>0</v>
      </c>
      <c r="S272" s="115">
        <f>Q272</f>
        <v>0</v>
      </c>
      <c r="T272" s="115">
        <f t="shared" si="170"/>
        <v>0</v>
      </c>
      <c r="U272" s="115">
        <f t="shared" ref="U272" si="174">T272</f>
        <v>0</v>
      </c>
      <c r="V272" s="115">
        <f t="shared" ref="V272" si="175">U272</f>
        <v>0</v>
      </c>
      <c r="W272" s="115">
        <f t="shared" ref="W272" si="176">V272</f>
        <v>0</v>
      </c>
      <c r="Y272" s="355"/>
    </row>
    <row r="273" spans="1:37" outlineLevel="1" x14ac:dyDescent="0.2">
      <c r="A273" s="366" t="s">
        <v>841</v>
      </c>
      <c r="B273" s="460" t="s">
        <v>549</v>
      </c>
      <c r="C273" s="853"/>
      <c r="D273" s="853"/>
      <c r="E273" s="853"/>
      <c r="F273" s="132"/>
      <c r="G273" s="132"/>
      <c r="H273" s="132"/>
      <c r="I273" s="152"/>
      <c r="J273" s="271"/>
      <c r="K273" s="271">
        <v>0</v>
      </c>
      <c r="L273" s="271"/>
      <c r="M273" s="271"/>
      <c r="N273" s="271"/>
      <c r="O273" s="271"/>
      <c r="P273" s="271">
        <f t="shared" si="151"/>
        <v>0</v>
      </c>
      <c r="Q273" s="271"/>
      <c r="R273" s="271">
        <f t="shared" si="168"/>
        <v>0</v>
      </c>
      <c r="S273" s="271"/>
      <c r="T273" s="271"/>
      <c r="U273" s="271"/>
      <c r="V273" s="271"/>
      <c r="W273" s="272"/>
      <c r="Y273" s="355"/>
    </row>
    <row r="274" spans="1:37" outlineLevel="1" x14ac:dyDescent="0.2">
      <c r="A274" s="366" t="s">
        <v>842</v>
      </c>
      <c r="B274" s="88" t="s">
        <v>819</v>
      </c>
      <c r="C274" s="839">
        <v>280</v>
      </c>
      <c r="D274" s="839">
        <v>740</v>
      </c>
      <c r="E274" s="839"/>
      <c r="F274" s="102" t="s">
        <v>468</v>
      </c>
      <c r="G274" s="102" t="s">
        <v>489</v>
      </c>
      <c r="H274" s="104" t="s">
        <v>199</v>
      </c>
      <c r="I274" s="102"/>
      <c r="J274" s="115">
        <v>0</v>
      </c>
      <c r="K274" s="115">
        <v>0</v>
      </c>
      <c r="L274" s="115">
        <v>0</v>
      </c>
      <c r="M274" s="115">
        <v>0</v>
      </c>
      <c r="N274" s="115">
        <v>0</v>
      </c>
      <c r="O274" s="932">
        <f>'2022 Budget &amp; CF'!AA274</f>
        <v>0</v>
      </c>
      <c r="P274" s="12">
        <f t="shared" ref="P274:P275" si="177">O274-N274</f>
        <v>0</v>
      </c>
      <c r="Q274" s="932">
        <f t="shared" ref="Q274:Q275" si="178">O274</f>
        <v>0</v>
      </c>
      <c r="R274" s="115">
        <f t="shared" si="168"/>
        <v>0</v>
      </c>
      <c r="S274" s="115">
        <f>Q274</f>
        <v>0</v>
      </c>
      <c r="T274" s="115">
        <f t="shared" si="170"/>
        <v>0</v>
      </c>
      <c r="U274" s="115">
        <f t="shared" ref="U274:U275" si="179">T274</f>
        <v>0</v>
      </c>
      <c r="V274" s="115">
        <f t="shared" ref="V274:V275" si="180">U274</f>
        <v>0</v>
      </c>
      <c r="W274" s="115">
        <f t="shared" ref="W274:W275" si="181">V274</f>
        <v>0</v>
      </c>
      <c r="Y274" s="355"/>
    </row>
    <row r="275" spans="1:37" outlineLevel="1" x14ac:dyDescent="0.2">
      <c r="A275" s="366" t="s">
        <v>843</v>
      </c>
      <c r="B275" s="88" t="s">
        <v>818</v>
      </c>
      <c r="C275" s="839">
        <v>280</v>
      </c>
      <c r="D275" s="839">
        <v>740</v>
      </c>
      <c r="E275" s="839"/>
      <c r="F275" s="102" t="s">
        <v>468</v>
      </c>
      <c r="G275" s="102" t="s">
        <v>485</v>
      </c>
      <c r="H275" s="104" t="s">
        <v>203</v>
      </c>
      <c r="I275" s="102"/>
      <c r="J275" s="115">
        <v>0</v>
      </c>
      <c r="K275" s="115">
        <v>0</v>
      </c>
      <c r="L275" s="115">
        <v>0</v>
      </c>
      <c r="M275" s="115">
        <v>0</v>
      </c>
      <c r="N275" s="115">
        <v>0</v>
      </c>
      <c r="O275" s="932">
        <f>'2022 Budget &amp; CF'!AA275</f>
        <v>0</v>
      </c>
      <c r="P275" s="12">
        <f t="shared" si="177"/>
        <v>0</v>
      </c>
      <c r="Q275" s="932">
        <f t="shared" si="178"/>
        <v>0</v>
      </c>
      <c r="R275" s="115">
        <f t="shared" si="168"/>
        <v>0</v>
      </c>
      <c r="S275" s="115">
        <f>Q275</f>
        <v>0</v>
      </c>
      <c r="T275" s="115">
        <f t="shared" si="170"/>
        <v>0</v>
      </c>
      <c r="U275" s="115">
        <f t="shared" si="179"/>
        <v>0</v>
      </c>
      <c r="V275" s="115">
        <f t="shared" si="180"/>
        <v>0</v>
      </c>
      <c r="W275" s="115">
        <f t="shared" si="181"/>
        <v>0</v>
      </c>
      <c r="Y275" s="355"/>
    </row>
    <row r="276" spans="1:37" outlineLevel="1" x14ac:dyDescent="0.2">
      <c r="A276" s="366" t="s">
        <v>844</v>
      </c>
      <c r="B276" s="460" t="s">
        <v>549</v>
      </c>
      <c r="C276" s="853"/>
      <c r="D276" s="853"/>
      <c r="E276" s="853"/>
      <c r="F276" s="132"/>
      <c r="G276" s="132"/>
      <c r="H276" s="132"/>
      <c r="I276" s="152"/>
      <c r="J276" s="271"/>
      <c r="K276" s="271">
        <v>0</v>
      </c>
      <c r="L276" s="271"/>
      <c r="M276" s="271"/>
      <c r="N276" s="271"/>
      <c r="O276" s="271"/>
      <c r="P276" s="271">
        <f t="shared" si="151"/>
        <v>0</v>
      </c>
      <c r="Q276" s="271"/>
      <c r="R276" s="271">
        <f t="shared" si="168"/>
        <v>0</v>
      </c>
      <c r="S276" s="271"/>
      <c r="T276" s="271"/>
      <c r="U276" s="271"/>
      <c r="V276" s="271"/>
      <c r="W276" s="272"/>
      <c r="Y276" s="355"/>
    </row>
    <row r="277" spans="1:37" outlineLevel="1" x14ac:dyDescent="0.2">
      <c r="A277" s="366" t="s">
        <v>845</v>
      </c>
      <c r="B277" s="88" t="s">
        <v>819</v>
      </c>
      <c r="C277" s="839">
        <v>280</v>
      </c>
      <c r="D277" s="839" t="s">
        <v>1031</v>
      </c>
      <c r="E277" s="839"/>
      <c r="F277" s="102" t="s">
        <v>468</v>
      </c>
      <c r="G277" s="102" t="s">
        <v>489</v>
      </c>
      <c r="H277" s="104" t="s">
        <v>199</v>
      </c>
      <c r="I277" s="102"/>
      <c r="J277" s="115">
        <v>0</v>
      </c>
      <c r="K277" s="115">
        <v>5957.96</v>
      </c>
      <c r="L277" s="115">
        <v>0</v>
      </c>
      <c r="M277" s="115">
        <v>0</v>
      </c>
      <c r="N277" s="115">
        <v>0</v>
      </c>
      <c r="O277" s="932">
        <f>'2022 Budget &amp; CF'!AA277</f>
        <v>5688</v>
      </c>
      <c r="P277" s="12">
        <f>O277-N277</f>
        <v>5688</v>
      </c>
      <c r="Q277" s="932">
        <f t="shared" ref="Q277" si="182">O277</f>
        <v>5688</v>
      </c>
      <c r="R277" s="115">
        <f t="shared" si="168"/>
        <v>5688</v>
      </c>
      <c r="S277" s="115">
        <f>Q277</f>
        <v>5688</v>
      </c>
      <c r="T277" s="115">
        <f t="shared" si="170"/>
        <v>5688</v>
      </c>
      <c r="U277" s="115">
        <f t="shared" ref="U277" si="183">T277</f>
        <v>5688</v>
      </c>
      <c r="V277" s="115">
        <f t="shared" ref="V277" si="184">U277</f>
        <v>5688</v>
      </c>
      <c r="W277" s="115">
        <f t="shared" ref="W277" si="185">V277</f>
        <v>5688</v>
      </c>
      <c r="X277" s="923"/>
      <c r="Y277" s="355"/>
    </row>
    <row r="278" spans="1:37" outlineLevel="1" x14ac:dyDescent="0.2">
      <c r="A278" s="366" t="s">
        <v>846</v>
      </c>
      <c r="B278" s="460" t="s">
        <v>536</v>
      </c>
      <c r="C278" s="853"/>
      <c r="D278" s="856"/>
      <c r="E278" s="853"/>
      <c r="F278" s="132"/>
      <c r="G278" s="132"/>
      <c r="H278" s="132"/>
      <c r="I278" s="152"/>
      <c r="J278" s="271"/>
      <c r="K278" s="271">
        <v>0</v>
      </c>
      <c r="L278" s="271"/>
      <c r="M278" s="271"/>
      <c r="N278" s="271"/>
      <c r="O278" s="271"/>
      <c r="P278" s="271">
        <f t="shared" si="151"/>
        <v>0</v>
      </c>
      <c r="Q278" s="271"/>
      <c r="R278" s="271">
        <f t="shared" si="168"/>
        <v>0</v>
      </c>
      <c r="S278" s="271"/>
      <c r="T278" s="271"/>
      <c r="U278" s="271"/>
      <c r="V278" s="271"/>
      <c r="W278" s="272"/>
      <c r="Y278" s="355"/>
    </row>
    <row r="279" spans="1:37" outlineLevel="1" x14ac:dyDescent="0.2">
      <c r="A279" s="366" t="s">
        <v>847</v>
      </c>
      <c r="B279" s="88" t="s">
        <v>483</v>
      </c>
      <c r="C279" s="839" t="s">
        <v>537</v>
      </c>
      <c r="D279" s="839" t="s">
        <v>145</v>
      </c>
      <c r="E279" s="839"/>
      <c r="F279" s="102" t="s">
        <v>145</v>
      </c>
      <c r="G279" s="102" t="s">
        <v>518</v>
      </c>
      <c r="H279" s="102" t="s">
        <v>203</v>
      </c>
      <c r="I279" s="102"/>
      <c r="J279" s="115">
        <v>0</v>
      </c>
      <c r="K279" s="115">
        <v>4098</v>
      </c>
      <c r="L279" s="115">
        <v>0</v>
      </c>
      <c r="M279" s="115">
        <v>0</v>
      </c>
      <c r="N279" s="115">
        <v>0</v>
      </c>
      <c r="O279" s="606">
        <f>'2022 Budget &amp; CF'!AA279</f>
        <v>0</v>
      </c>
      <c r="P279" s="12">
        <f t="shared" ref="P279:P283" si="186">O279-N279</f>
        <v>0</v>
      </c>
      <c r="Q279" s="12">
        <v>0</v>
      </c>
      <c r="R279" s="12">
        <f t="shared" si="168"/>
        <v>0</v>
      </c>
      <c r="S279" s="12">
        <f t="shared" ref="S279:S280" si="187">Q279</f>
        <v>0</v>
      </c>
      <c r="T279" s="12">
        <f t="shared" si="170"/>
        <v>0</v>
      </c>
      <c r="U279" s="12">
        <f t="shared" ref="U279:U282" si="188">T279</f>
        <v>0</v>
      </c>
      <c r="V279" s="12">
        <f t="shared" ref="V279:V282" si="189">U279</f>
        <v>0</v>
      </c>
      <c r="W279" s="12">
        <f t="shared" ref="W279:W282" si="190">V279</f>
        <v>0</v>
      </c>
      <c r="Y279" s="355"/>
    </row>
    <row r="280" spans="1:37" outlineLevel="1" x14ac:dyDescent="0.2">
      <c r="A280" s="366" t="s">
        <v>848</v>
      </c>
      <c r="B280" s="88" t="s">
        <v>483</v>
      </c>
      <c r="C280" s="839" t="s">
        <v>537</v>
      </c>
      <c r="D280" s="839" t="s">
        <v>145</v>
      </c>
      <c r="E280" s="839"/>
      <c r="F280" s="102" t="s">
        <v>468</v>
      </c>
      <c r="G280" s="102" t="s">
        <v>1053</v>
      </c>
      <c r="H280" s="104" t="s">
        <v>203</v>
      </c>
      <c r="I280" s="102"/>
      <c r="J280" s="115"/>
      <c r="K280" s="115">
        <v>10706.41</v>
      </c>
      <c r="L280" s="115"/>
      <c r="M280" s="115"/>
      <c r="N280" s="115">
        <v>0</v>
      </c>
      <c r="O280" s="932">
        <f>'2022 Budget &amp; CF'!AA280</f>
        <v>0</v>
      </c>
      <c r="P280" s="12">
        <f t="shared" si="186"/>
        <v>0</v>
      </c>
      <c r="Q280" s="932">
        <v>0</v>
      </c>
      <c r="R280" s="12">
        <f t="shared" si="168"/>
        <v>0</v>
      </c>
      <c r="S280" s="12">
        <f t="shared" si="187"/>
        <v>0</v>
      </c>
      <c r="T280" s="12">
        <f t="shared" si="170"/>
        <v>0</v>
      </c>
      <c r="U280" s="12">
        <f t="shared" si="188"/>
        <v>0</v>
      </c>
      <c r="V280" s="12">
        <f t="shared" si="189"/>
        <v>0</v>
      </c>
      <c r="W280" s="12">
        <f t="shared" si="190"/>
        <v>0</v>
      </c>
      <c r="Y280" s="355"/>
    </row>
    <row r="281" spans="1:37" outlineLevel="1" x14ac:dyDescent="0.2">
      <c r="A281" s="366" t="s">
        <v>849</v>
      </c>
      <c r="B281" s="88" t="s">
        <v>539</v>
      </c>
      <c r="C281" s="839" t="s">
        <v>537</v>
      </c>
      <c r="D281" s="839" t="s">
        <v>145</v>
      </c>
      <c r="E281" s="839"/>
      <c r="F281" s="102" t="s">
        <v>145</v>
      </c>
      <c r="G281" s="102" t="s">
        <v>526</v>
      </c>
      <c r="H281" s="102" t="s">
        <v>480</v>
      </c>
      <c r="I281" s="102"/>
      <c r="J281" s="115">
        <v>868788.00999999966</v>
      </c>
      <c r="K281" s="115">
        <v>7000.27</v>
      </c>
      <c r="L281" s="115">
        <v>0</v>
      </c>
      <c r="M281" s="115">
        <v>0</v>
      </c>
      <c r="N281" s="115">
        <v>0</v>
      </c>
      <c r="O281" s="932">
        <f>'2022 Budget &amp; CF'!AA281</f>
        <v>0</v>
      </c>
      <c r="P281" s="12">
        <f t="shared" si="186"/>
        <v>0</v>
      </c>
      <c r="Q281" s="932">
        <v>50000</v>
      </c>
      <c r="R281" s="12">
        <f t="shared" si="168"/>
        <v>50000</v>
      </c>
      <c r="S281" s="12">
        <f>Q281</f>
        <v>50000</v>
      </c>
      <c r="T281" s="12">
        <f t="shared" si="170"/>
        <v>50000</v>
      </c>
      <c r="U281" s="12">
        <f t="shared" si="188"/>
        <v>50000</v>
      </c>
      <c r="V281" s="12">
        <f t="shared" si="189"/>
        <v>50000</v>
      </c>
      <c r="W281" s="12">
        <f t="shared" si="190"/>
        <v>50000</v>
      </c>
      <c r="Y281" s="355"/>
    </row>
    <row r="282" spans="1:37" outlineLevel="1" x14ac:dyDescent="0.2">
      <c r="A282" s="366" t="s">
        <v>850</v>
      </c>
      <c r="B282" s="88" t="s">
        <v>997</v>
      </c>
      <c r="C282" s="839" t="s">
        <v>537</v>
      </c>
      <c r="D282" s="841" t="s">
        <v>145</v>
      </c>
      <c r="E282" s="839"/>
      <c r="F282" s="104" t="s">
        <v>145</v>
      </c>
      <c r="G282" s="102" t="s">
        <v>538</v>
      </c>
      <c r="H282" s="104" t="s">
        <v>238</v>
      </c>
      <c r="I282" s="102"/>
      <c r="J282" s="115"/>
      <c r="K282" s="115">
        <v>0</v>
      </c>
      <c r="L282" s="115"/>
      <c r="M282" s="115"/>
      <c r="N282" s="115">
        <v>0</v>
      </c>
      <c r="O282" s="932">
        <f>'2022 Budget &amp; CF'!AA282</f>
        <v>0</v>
      </c>
      <c r="P282" s="12">
        <f t="shared" si="186"/>
        <v>0</v>
      </c>
      <c r="Q282" s="932">
        <v>0</v>
      </c>
      <c r="R282" s="12">
        <f t="shared" si="168"/>
        <v>0</v>
      </c>
      <c r="S282" s="12">
        <f t="shared" ref="S282" si="191">Q282</f>
        <v>0</v>
      </c>
      <c r="T282" s="12">
        <f t="shared" si="170"/>
        <v>0</v>
      </c>
      <c r="U282" s="12">
        <f t="shared" si="188"/>
        <v>0</v>
      </c>
      <c r="V282" s="12">
        <f t="shared" si="189"/>
        <v>0</v>
      </c>
      <c r="W282" s="12">
        <f t="shared" si="190"/>
        <v>0</v>
      </c>
      <c r="Y282" s="355"/>
    </row>
    <row r="283" spans="1:37" s="332" customFormat="1" x14ac:dyDescent="0.2">
      <c r="A283" s="366" t="s">
        <v>851</v>
      </c>
      <c r="B283" s="213" t="s">
        <v>252</v>
      </c>
      <c r="C283" s="851"/>
      <c r="D283" s="852"/>
      <c r="E283" s="852"/>
      <c r="F283" s="334"/>
      <c r="G283" s="334"/>
      <c r="H283" s="427"/>
      <c r="I283" s="428"/>
      <c r="J283" s="304">
        <f>SUM(J173:J282)</f>
        <v>868788.00999999966</v>
      </c>
      <c r="K283" s="304">
        <f t="shared" ref="K283:N283" si="192">SUM(K173:K282)</f>
        <v>751370.80999999994</v>
      </c>
      <c r="L283" s="304">
        <f t="shared" si="192"/>
        <v>1022084</v>
      </c>
      <c r="M283" s="304">
        <f t="shared" si="192"/>
        <v>1020126.5</v>
      </c>
      <c r="N283" s="304">
        <f t="shared" si="192"/>
        <v>1095457</v>
      </c>
      <c r="O283" s="304">
        <f>SUM(O173:O282)</f>
        <v>1021596</v>
      </c>
      <c r="P283" s="304">
        <f t="shared" si="186"/>
        <v>-73861</v>
      </c>
      <c r="Q283" s="304">
        <f t="shared" ref="Q283:W283" si="193">SUM(Q173:Q282)</f>
        <v>1118787</v>
      </c>
      <c r="R283" s="304">
        <f t="shared" si="168"/>
        <v>23330</v>
      </c>
      <c r="S283" s="304">
        <f t="shared" si="193"/>
        <v>1139907</v>
      </c>
      <c r="T283" s="304">
        <f t="shared" si="193"/>
        <v>1175164</v>
      </c>
      <c r="U283" s="304">
        <f t="shared" si="193"/>
        <v>1194240</v>
      </c>
      <c r="V283" s="304">
        <f t="shared" si="193"/>
        <v>1215403</v>
      </c>
      <c r="W283" s="304">
        <f t="shared" si="193"/>
        <v>1232535</v>
      </c>
      <c r="X283" s="922"/>
      <c r="Y283" s="355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outlineLevel="1" x14ac:dyDescent="0.2">
      <c r="A284" s="366" t="s">
        <v>852</v>
      </c>
      <c r="B284" s="459" t="s">
        <v>197</v>
      </c>
      <c r="C284" s="857"/>
      <c r="D284" s="857"/>
      <c r="E284" s="857"/>
      <c r="F284" s="140"/>
      <c r="G284" s="140"/>
      <c r="H284" s="132"/>
      <c r="I284" s="152"/>
      <c r="J284" s="271"/>
      <c r="K284" s="271"/>
      <c r="L284" s="271"/>
      <c r="M284" s="271"/>
      <c r="N284" s="271"/>
      <c r="O284" s="271"/>
      <c r="P284" s="271">
        <f t="shared" si="151"/>
        <v>0</v>
      </c>
      <c r="Q284" s="271"/>
      <c r="R284" s="271"/>
      <c r="S284" s="271"/>
      <c r="T284" s="271"/>
      <c r="U284" s="271"/>
      <c r="V284" s="271"/>
      <c r="W284" s="272"/>
      <c r="Y284" s="355"/>
    </row>
    <row r="285" spans="1:37" outlineLevel="1" x14ac:dyDescent="0.2">
      <c r="A285" s="366" t="s">
        <v>853</v>
      </c>
      <c r="B285" s="142" t="s">
        <v>253</v>
      </c>
      <c r="C285" s="858">
        <v>100</v>
      </c>
      <c r="D285" s="859" t="s">
        <v>145</v>
      </c>
      <c r="E285" s="859"/>
      <c r="F285" s="143">
        <v>100</v>
      </c>
      <c r="G285" s="143">
        <v>1000</v>
      </c>
      <c r="H285" s="145" t="s">
        <v>254</v>
      </c>
      <c r="I285" s="145"/>
      <c r="J285" s="115">
        <v>0</v>
      </c>
      <c r="K285" s="115">
        <v>15151.079999999998</v>
      </c>
      <c r="L285" s="115">
        <v>2500</v>
      </c>
      <c r="M285" s="115">
        <v>2500</v>
      </c>
      <c r="N285" s="115">
        <v>2500</v>
      </c>
      <c r="O285" s="932">
        <f>'2022 Budget &amp; CF'!AA285</f>
        <v>500</v>
      </c>
      <c r="P285" s="12">
        <f t="shared" ref="P285:P290" si="194">O285-N285</f>
        <v>-2000</v>
      </c>
      <c r="Q285" s="932">
        <f>'Mandatory PP Spending'!Q23</f>
        <v>497</v>
      </c>
      <c r="R285" s="12">
        <f t="shared" si="168"/>
        <v>-2003</v>
      </c>
      <c r="S285" s="12">
        <f>'Mandatory PP Spending'!R23</f>
        <v>553</v>
      </c>
      <c r="T285" s="12">
        <f>'Mandatory PP Spending'!S23</f>
        <v>595</v>
      </c>
      <c r="U285" s="12">
        <f>'Mandatory PP Spending'!T23</f>
        <v>625</v>
      </c>
      <c r="V285" s="12">
        <f>'Mandatory PP Spending'!U23</f>
        <v>629</v>
      </c>
      <c r="W285" s="12">
        <f>'Mandatory PP Spending'!V23</f>
        <v>625</v>
      </c>
      <c r="X285" s="923"/>
      <c r="Y285" s="62"/>
    </row>
    <row r="286" spans="1:37" outlineLevel="1" x14ac:dyDescent="0.2">
      <c r="A286" s="366" t="s">
        <v>854</v>
      </c>
      <c r="B286" s="142" t="s">
        <v>255</v>
      </c>
      <c r="C286" s="858">
        <v>100</v>
      </c>
      <c r="D286" s="859" t="s">
        <v>145</v>
      </c>
      <c r="E286" s="859"/>
      <c r="F286" s="143">
        <v>100</v>
      </c>
      <c r="G286" s="143">
        <v>1000</v>
      </c>
      <c r="H286" s="145" t="s">
        <v>256</v>
      </c>
      <c r="I286" s="145"/>
      <c r="J286" s="115">
        <v>0</v>
      </c>
      <c r="K286" s="115">
        <v>0</v>
      </c>
      <c r="L286" s="115">
        <v>500</v>
      </c>
      <c r="M286" s="115">
        <v>500</v>
      </c>
      <c r="N286" s="115">
        <v>500</v>
      </c>
      <c r="O286" s="932">
        <f>'2022 Budget &amp; CF'!AA286</f>
        <v>500</v>
      </c>
      <c r="P286" s="12">
        <f t="shared" si="194"/>
        <v>0</v>
      </c>
      <c r="Q286" s="932">
        <v>500</v>
      </c>
      <c r="R286" s="12">
        <f t="shared" si="168"/>
        <v>0</v>
      </c>
      <c r="S286" s="12">
        <v>501</v>
      </c>
      <c r="T286" s="12">
        <v>502</v>
      </c>
      <c r="U286" s="12">
        <v>503</v>
      </c>
      <c r="V286" s="12">
        <v>504</v>
      </c>
      <c r="W286" s="12">
        <v>505</v>
      </c>
      <c r="Y286" s="62"/>
    </row>
    <row r="287" spans="1:37" outlineLevel="1" x14ac:dyDescent="0.2">
      <c r="A287" s="366" t="s">
        <v>814</v>
      </c>
      <c r="B287" s="142" t="s">
        <v>257</v>
      </c>
      <c r="C287" s="858">
        <v>100</v>
      </c>
      <c r="D287" s="859" t="s">
        <v>145</v>
      </c>
      <c r="E287" s="859"/>
      <c r="F287" s="143">
        <v>100</v>
      </c>
      <c r="G287" s="143">
        <v>1000</v>
      </c>
      <c r="H287" s="145" t="s">
        <v>258</v>
      </c>
      <c r="I287" s="145"/>
      <c r="J287" s="115">
        <v>0</v>
      </c>
      <c r="K287" s="115">
        <v>53.36</v>
      </c>
      <c r="L287" s="115">
        <v>2000</v>
      </c>
      <c r="M287" s="115">
        <v>2000</v>
      </c>
      <c r="N287" s="115">
        <v>2000</v>
      </c>
      <c r="O287" s="932">
        <f>'2022 Budget &amp; CF'!AA287</f>
        <v>500</v>
      </c>
      <c r="P287" s="12">
        <f t="shared" si="194"/>
        <v>-1500</v>
      </c>
      <c r="Q287" s="932">
        <f>'Mandatory PP Spending'!Q24</f>
        <v>497</v>
      </c>
      <c r="R287" s="12">
        <f t="shared" si="168"/>
        <v>-1503</v>
      </c>
      <c r="S287" s="12">
        <f>'Mandatory PP Spending'!R24</f>
        <v>553</v>
      </c>
      <c r="T287" s="12">
        <f>'Mandatory PP Spending'!S24</f>
        <v>595</v>
      </c>
      <c r="U287" s="12">
        <f>'Mandatory PP Spending'!T24</f>
        <v>625</v>
      </c>
      <c r="V287" s="12">
        <f>'Mandatory PP Spending'!U24</f>
        <v>629</v>
      </c>
      <c r="W287" s="12">
        <f>'Mandatory PP Spending'!V24</f>
        <v>625</v>
      </c>
      <c r="Y287" s="62"/>
    </row>
    <row r="288" spans="1:37" outlineLevel="1" x14ac:dyDescent="0.2">
      <c r="A288" s="366" t="s">
        <v>135</v>
      </c>
      <c r="B288" s="142" t="s">
        <v>259</v>
      </c>
      <c r="C288" s="858">
        <v>100</v>
      </c>
      <c r="D288" s="859" t="s">
        <v>145</v>
      </c>
      <c r="E288" s="859"/>
      <c r="F288" s="143">
        <v>100</v>
      </c>
      <c r="G288" s="143">
        <v>1000</v>
      </c>
      <c r="H288" s="145" t="s">
        <v>260</v>
      </c>
      <c r="I288" s="145"/>
      <c r="J288" s="115">
        <v>0</v>
      </c>
      <c r="K288" s="115">
        <v>11656.73</v>
      </c>
      <c r="L288" s="115">
        <v>12000</v>
      </c>
      <c r="M288" s="115">
        <v>12000</v>
      </c>
      <c r="N288" s="115">
        <v>12000</v>
      </c>
      <c r="O288" s="932">
        <f>'2022 Budget &amp; CF'!AA288</f>
        <v>6000</v>
      </c>
      <c r="P288" s="12">
        <f t="shared" si="194"/>
        <v>-6000</v>
      </c>
      <c r="Q288" s="932">
        <f>'Mandatory PP Spending'!Q25</f>
        <v>6002</v>
      </c>
      <c r="R288" s="12">
        <f t="shared" si="168"/>
        <v>-5998</v>
      </c>
      <c r="S288" s="12">
        <f>'Mandatory PP Spending'!R25</f>
        <v>6669</v>
      </c>
      <c r="T288" s="12">
        <f>'Mandatory PP Spending'!S25</f>
        <v>7182</v>
      </c>
      <c r="U288" s="12">
        <f>'Mandatory PP Spending'!T25</f>
        <v>7541</v>
      </c>
      <c r="V288" s="12">
        <f>'Mandatory PP Spending'!U25</f>
        <v>7592</v>
      </c>
      <c r="W288" s="12">
        <f>'Mandatory PP Spending'!V25</f>
        <v>7541</v>
      </c>
      <c r="Y288" s="62"/>
    </row>
    <row r="289" spans="1:25" outlineLevel="1" x14ac:dyDescent="0.2">
      <c r="A289" s="366" t="s">
        <v>855</v>
      </c>
      <c r="B289" s="142" t="s">
        <v>261</v>
      </c>
      <c r="C289" s="858">
        <v>100</v>
      </c>
      <c r="D289" s="859" t="s">
        <v>145</v>
      </c>
      <c r="E289" s="859"/>
      <c r="F289" s="143">
        <v>100</v>
      </c>
      <c r="G289" s="143">
        <v>1000</v>
      </c>
      <c r="H289" s="145" t="s">
        <v>262</v>
      </c>
      <c r="I289" s="145"/>
      <c r="J289" s="115">
        <v>0</v>
      </c>
      <c r="K289" s="115">
        <v>12757.119999999999</v>
      </c>
      <c r="L289" s="115">
        <v>16000</v>
      </c>
      <c r="M289" s="115">
        <v>16000</v>
      </c>
      <c r="N289" s="115">
        <v>7024</v>
      </c>
      <c r="O289" s="932">
        <f>'2022 Budget &amp; CF'!AA289</f>
        <v>137629</v>
      </c>
      <c r="P289" s="12">
        <f t="shared" si="194"/>
        <v>130605</v>
      </c>
      <c r="Q289" s="932">
        <f>'Mandatory PP Spending'!Q26</f>
        <v>20001</v>
      </c>
      <c r="R289" s="12">
        <f t="shared" si="168"/>
        <v>12977</v>
      </c>
      <c r="S289" s="12">
        <f>'Mandatory PP Spending'!R26</f>
        <v>22224</v>
      </c>
      <c r="T289" s="12">
        <f>'Mandatory PP Spending'!S26</f>
        <v>23933</v>
      </c>
      <c r="U289" s="12">
        <f>'Mandatory PP Spending'!T26</f>
        <v>25130</v>
      </c>
      <c r="V289" s="12">
        <f>'Mandatory PP Spending'!U26</f>
        <v>25301</v>
      </c>
      <c r="W289" s="12">
        <f>'Mandatory PP Spending'!V26</f>
        <v>25130</v>
      </c>
      <c r="Y289" s="62"/>
    </row>
    <row r="290" spans="1:25" outlineLevel="1" x14ac:dyDescent="0.2">
      <c r="A290" s="366" t="s">
        <v>865</v>
      </c>
      <c r="B290" s="142" t="s">
        <v>263</v>
      </c>
      <c r="C290" s="858">
        <v>100</v>
      </c>
      <c r="D290" s="859" t="s">
        <v>145</v>
      </c>
      <c r="E290" s="859"/>
      <c r="F290" s="143">
        <v>100</v>
      </c>
      <c r="G290" s="143">
        <v>1000</v>
      </c>
      <c r="H290" s="145" t="s">
        <v>264</v>
      </c>
      <c r="I290" s="145"/>
      <c r="J290" s="115">
        <v>0</v>
      </c>
      <c r="K290" s="115">
        <v>14418.18</v>
      </c>
      <c r="L290" s="115">
        <v>41386</v>
      </c>
      <c r="M290" s="115">
        <v>41386</v>
      </c>
      <c r="N290" s="115">
        <v>41386</v>
      </c>
      <c r="O290" s="932">
        <f>'2022 Budget &amp; CF'!AA290</f>
        <v>41386</v>
      </c>
      <c r="P290" s="12">
        <f t="shared" si="194"/>
        <v>0</v>
      </c>
      <c r="Q290" s="932">
        <f>'Mandatory PP Spending'!Q27</f>
        <v>48643</v>
      </c>
      <c r="R290" s="12">
        <f t="shared" si="168"/>
        <v>7257</v>
      </c>
      <c r="S290" s="12">
        <f>'Mandatory PP Spending'!R27</f>
        <v>54048</v>
      </c>
      <c r="T290" s="12">
        <f>'Mandatory PP Spending'!S27</f>
        <v>58205</v>
      </c>
      <c r="U290" s="12">
        <f>'Mandatory PP Spending'!T27</f>
        <v>61115</v>
      </c>
      <c r="V290" s="12">
        <f>'Mandatory PP Spending'!U27</f>
        <v>61531</v>
      </c>
      <c r="W290" s="12">
        <f>'Mandatory PP Spending'!V27</f>
        <v>61115</v>
      </c>
      <c r="X290" s="923"/>
      <c r="Y290" s="62"/>
    </row>
    <row r="291" spans="1:25" outlineLevel="1" x14ac:dyDescent="0.2">
      <c r="A291" s="366" t="s">
        <v>866</v>
      </c>
      <c r="B291" s="459" t="s">
        <v>202</v>
      </c>
      <c r="C291" s="860"/>
      <c r="D291" s="860"/>
      <c r="E291" s="860"/>
      <c r="F291" s="148"/>
      <c r="G291" s="148"/>
      <c r="H291" s="132"/>
      <c r="I291" s="152"/>
      <c r="J291" s="271"/>
      <c r="K291" s="271"/>
      <c r="L291" s="271"/>
      <c r="M291" s="271"/>
      <c r="N291" s="271"/>
      <c r="O291" s="271"/>
      <c r="P291" s="271">
        <f t="shared" si="151"/>
        <v>0</v>
      </c>
      <c r="Q291" s="271"/>
      <c r="R291" s="271">
        <f t="shared" si="168"/>
        <v>0</v>
      </c>
      <c r="S291" s="271"/>
      <c r="T291" s="271"/>
      <c r="U291" s="271"/>
      <c r="V291" s="271"/>
      <c r="W291" s="272"/>
      <c r="X291" s="923"/>
      <c r="Y291" s="355"/>
    </row>
    <row r="292" spans="1:25" outlineLevel="1" x14ac:dyDescent="0.2">
      <c r="A292" s="366" t="s">
        <v>867</v>
      </c>
      <c r="B292" s="142" t="s">
        <v>265</v>
      </c>
      <c r="C292" s="858">
        <v>100</v>
      </c>
      <c r="D292" s="859" t="s">
        <v>145</v>
      </c>
      <c r="E292" s="859"/>
      <c r="F292" s="143">
        <v>100</v>
      </c>
      <c r="G292" s="143">
        <v>2110</v>
      </c>
      <c r="H292" s="145" t="s">
        <v>254</v>
      </c>
      <c r="I292" s="145"/>
      <c r="J292" s="115">
        <v>0</v>
      </c>
      <c r="K292" s="115">
        <v>0</v>
      </c>
      <c r="L292" s="115">
        <v>0</v>
      </c>
      <c r="M292" s="115">
        <v>0</v>
      </c>
      <c r="N292" s="115">
        <v>0</v>
      </c>
      <c r="O292" s="932">
        <f>'2022 Budget &amp; CF'!AA292</f>
        <v>0</v>
      </c>
      <c r="P292" s="12">
        <f>O292-N292</f>
        <v>0</v>
      </c>
      <c r="Q292" s="932">
        <f>O292</f>
        <v>0</v>
      </c>
      <c r="R292" s="12">
        <f t="shared" si="168"/>
        <v>0</v>
      </c>
      <c r="S292" s="12">
        <f>Q292</f>
        <v>0</v>
      </c>
      <c r="T292" s="12">
        <f t="shared" ref="T292:T299" si="195">S292</f>
        <v>0</v>
      </c>
      <c r="U292" s="12">
        <f t="shared" ref="U292:W292" si="196">T292</f>
        <v>0</v>
      </c>
      <c r="V292" s="12">
        <f t="shared" si="196"/>
        <v>0</v>
      </c>
      <c r="W292" s="12">
        <f t="shared" si="196"/>
        <v>0</v>
      </c>
      <c r="Y292" s="355"/>
    </row>
    <row r="293" spans="1:25" outlineLevel="1" x14ac:dyDescent="0.2">
      <c r="A293" s="366" t="s">
        <v>868</v>
      </c>
      <c r="B293" s="142" t="s">
        <v>265</v>
      </c>
      <c r="C293" s="858" t="s">
        <v>468</v>
      </c>
      <c r="D293" s="859" t="s">
        <v>145</v>
      </c>
      <c r="E293" s="859"/>
      <c r="F293" s="143" t="s">
        <v>468</v>
      </c>
      <c r="G293" s="143" t="s">
        <v>484</v>
      </c>
      <c r="H293" s="145" t="s">
        <v>254</v>
      </c>
      <c r="I293" s="145"/>
      <c r="J293" s="115">
        <v>0</v>
      </c>
      <c r="K293" s="115">
        <v>0</v>
      </c>
      <c r="L293" s="115">
        <v>0</v>
      </c>
      <c r="M293" s="115">
        <v>0</v>
      </c>
      <c r="N293" s="115">
        <v>0</v>
      </c>
      <c r="O293" s="932">
        <f>'2022 Budget &amp; CF'!AA293</f>
        <v>0</v>
      </c>
      <c r="P293" s="12">
        <f t="shared" ref="P293:P294" si="197">O293-N293</f>
        <v>0</v>
      </c>
      <c r="Q293" s="932">
        <f t="shared" ref="Q293:Q294" si="198">O293</f>
        <v>0</v>
      </c>
      <c r="R293" s="12">
        <f t="shared" si="168"/>
        <v>0</v>
      </c>
      <c r="S293" s="12">
        <f t="shared" ref="S293:S294" si="199">Q293</f>
        <v>0</v>
      </c>
      <c r="T293" s="12">
        <f t="shared" si="195"/>
        <v>0</v>
      </c>
      <c r="U293" s="12">
        <f t="shared" ref="U293:U294" si="200">T293</f>
        <v>0</v>
      </c>
      <c r="V293" s="12">
        <f t="shared" ref="V293:V294" si="201">U293</f>
        <v>0</v>
      </c>
      <c r="W293" s="12">
        <f t="shared" ref="W293:W294" si="202">V293</f>
        <v>0</v>
      </c>
      <c r="Y293" s="355"/>
    </row>
    <row r="294" spans="1:25" outlineLevel="1" x14ac:dyDescent="0.2">
      <c r="A294" s="366" t="s">
        <v>869</v>
      </c>
      <c r="B294" s="142" t="s">
        <v>265</v>
      </c>
      <c r="C294" s="858" t="s">
        <v>468</v>
      </c>
      <c r="D294" s="859" t="s">
        <v>145</v>
      </c>
      <c r="E294" s="859"/>
      <c r="F294" s="143" t="s">
        <v>468</v>
      </c>
      <c r="G294" s="143" t="s">
        <v>490</v>
      </c>
      <c r="H294" s="145" t="s">
        <v>254</v>
      </c>
      <c r="I294" s="145"/>
      <c r="J294" s="115">
        <v>0</v>
      </c>
      <c r="K294" s="115">
        <v>0</v>
      </c>
      <c r="L294" s="115">
        <v>0</v>
      </c>
      <c r="M294" s="115">
        <v>0</v>
      </c>
      <c r="N294" s="115">
        <v>0</v>
      </c>
      <c r="O294" s="932">
        <f>'2022 Budget &amp; CF'!AA294</f>
        <v>0</v>
      </c>
      <c r="P294" s="12">
        <f t="shared" si="197"/>
        <v>0</v>
      </c>
      <c r="Q294" s="932">
        <f t="shared" si="198"/>
        <v>0</v>
      </c>
      <c r="R294" s="12">
        <f t="shared" si="168"/>
        <v>0</v>
      </c>
      <c r="S294" s="12">
        <f t="shared" si="199"/>
        <v>0</v>
      </c>
      <c r="T294" s="12">
        <f t="shared" si="195"/>
        <v>0</v>
      </c>
      <c r="U294" s="12">
        <f t="shared" si="200"/>
        <v>0</v>
      </c>
      <c r="V294" s="12">
        <f t="shared" si="201"/>
        <v>0</v>
      </c>
      <c r="W294" s="12">
        <f t="shared" si="202"/>
        <v>0</v>
      </c>
      <c r="Y294" s="355"/>
    </row>
    <row r="295" spans="1:25" outlineLevel="1" x14ac:dyDescent="0.2">
      <c r="A295" s="366" t="s">
        <v>870</v>
      </c>
      <c r="B295" s="459" t="s">
        <v>204</v>
      </c>
      <c r="C295" s="857"/>
      <c r="D295" s="857"/>
      <c r="E295" s="857"/>
      <c r="F295" s="140"/>
      <c r="G295" s="140"/>
      <c r="H295" s="132"/>
      <c r="I295" s="152"/>
      <c r="J295" s="271"/>
      <c r="K295" s="271"/>
      <c r="L295" s="271"/>
      <c r="M295" s="271"/>
      <c r="N295" s="271"/>
      <c r="O295" s="271"/>
      <c r="P295" s="271">
        <f t="shared" si="151"/>
        <v>0</v>
      </c>
      <c r="Q295" s="271"/>
      <c r="R295" s="271">
        <f t="shared" si="168"/>
        <v>0</v>
      </c>
      <c r="S295" s="271"/>
      <c r="T295" s="271"/>
      <c r="U295" s="271"/>
      <c r="V295" s="271"/>
      <c r="W295" s="272"/>
      <c r="Y295" s="355"/>
    </row>
    <row r="296" spans="1:25" outlineLevel="1" x14ac:dyDescent="0.2">
      <c r="A296" s="366" t="s">
        <v>871</v>
      </c>
      <c r="B296" s="142" t="s">
        <v>266</v>
      </c>
      <c r="C296" s="858">
        <v>100</v>
      </c>
      <c r="D296" s="859" t="s">
        <v>145</v>
      </c>
      <c r="E296" s="859"/>
      <c r="F296" s="143">
        <v>100</v>
      </c>
      <c r="G296" s="143">
        <v>2239</v>
      </c>
      <c r="H296" s="145" t="s">
        <v>254</v>
      </c>
      <c r="I296" s="145"/>
      <c r="J296" s="115">
        <v>0</v>
      </c>
      <c r="K296" s="115">
        <v>36.99</v>
      </c>
      <c r="L296" s="115">
        <v>0</v>
      </c>
      <c r="M296" s="115">
        <v>37</v>
      </c>
      <c r="N296" s="115">
        <v>37</v>
      </c>
      <c r="O296" s="932">
        <f>'2022 Budget &amp; CF'!AA296</f>
        <v>37</v>
      </c>
      <c r="P296" s="12">
        <f t="shared" ref="P296:P297" si="203">O296-N296</f>
        <v>0</v>
      </c>
      <c r="Q296" s="932">
        <f>O296</f>
        <v>37</v>
      </c>
      <c r="R296" s="12">
        <f t="shared" si="168"/>
        <v>0</v>
      </c>
      <c r="S296" s="12">
        <f>Q296</f>
        <v>37</v>
      </c>
      <c r="T296" s="12">
        <f t="shared" si="195"/>
        <v>37</v>
      </c>
      <c r="U296" s="12">
        <f t="shared" ref="U296:W296" si="204">T296</f>
        <v>37</v>
      </c>
      <c r="V296" s="12">
        <f t="shared" si="204"/>
        <v>37</v>
      </c>
      <c r="W296" s="12">
        <f t="shared" si="204"/>
        <v>37</v>
      </c>
      <c r="Y296" s="355"/>
    </row>
    <row r="297" spans="1:25" outlineLevel="1" x14ac:dyDescent="0.2">
      <c r="A297" s="366" t="s">
        <v>470</v>
      </c>
      <c r="B297" s="142" t="s">
        <v>509</v>
      </c>
      <c r="C297" s="858">
        <v>100</v>
      </c>
      <c r="D297" s="859" t="s">
        <v>145</v>
      </c>
      <c r="E297" s="859"/>
      <c r="F297" s="143">
        <v>100</v>
      </c>
      <c r="G297" s="143">
        <v>2213</v>
      </c>
      <c r="H297" s="145" t="s">
        <v>260</v>
      </c>
      <c r="I297" s="145"/>
      <c r="J297" s="115">
        <v>0</v>
      </c>
      <c r="K297" s="115">
        <v>0</v>
      </c>
      <c r="L297" s="115">
        <v>2000</v>
      </c>
      <c r="M297" s="115">
        <v>0</v>
      </c>
      <c r="N297" s="115">
        <v>0</v>
      </c>
      <c r="O297" s="932">
        <f>'2022 Budget &amp; CF'!AA297</f>
        <v>0</v>
      </c>
      <c r="P297" s="12">
        <f t="shared" si="203"/>
        <v>0</v>
      </c>
      <c r="Q297" s="932">
        <f>O297</f>
        <v>0</v>
      </c>
      <c r="R297" s="12">
        <f t="shared" si="168"/>
        <v>0</v>
      </c>
      <c r="S297" s="12">
        <f>Q297</f>
        <v>0</v>
      </c>
      <c r="T297" s="12">
        <f t="shared" si="195"/>
        <v>0</v>
      </c>
      <c r="U297" s="12">
        <f t="shared" ref="U297:W297" si="205">T297</f>
        <v>0</v>
      </c>
      <c r="V297" s="12">
        <f t="shared" si="205"/>
        <v>0</v>
      </c>
      <c r="W297" s="12">
        <f t="shared" si="205"/>
        <v>0</v>
      </c>
      <c r="Y297" s="355"/>
    </row>
    <row r="298" spans="1:25" outlineLevel="1" x14ac:dyDescent="0.2">
      <c r="A298" s="366" t="s">
        <v>872</v>
      </c>
      <c r="B298" s="459" t="s">
        <v>206</v>
      </c>
      <c r="C298" s="857"/>
      <c r="D298" s="857"/>
      <c r="E298" s="857"/>
      <c r="F298" s="140"/>
      <c r="G298" s="140"/>
      <c r="H298" s="132"/>
      <c r="I298" s="152"/>
      <c r="J298" s="271"/>
      <c r="K298" s="271"/>
      <c r="L298" s="271"/>
      <c r="M298" s="271"/>
      <c r="N298" s="271"/>
      <c r="O298" s="271"/>
      <c r="P298" s="271">
        <f t="shared" si="151"/>
        <v>0</v>
      </c>
      <c r="Q298" s="271"/>
      <c r="R298" s="271">
        <f t="shared" si="168"/>
        <v>0</v>
      </c>
      <c r="S298" s="271"/>
      <c r="T298" s="271"/>
      <c r="U298" s="271"/>
      <c r="V298" s="271"/>
      <c r="W298" s="272"/>
      <c r="Y298" s="355"/>
    </row>
    <row r="299" spans="1:25" outlineLevel="1" x14ac:dyDescent="0.2">
      <c r="A299" s="366" t="s">
        <v>873</v>
      </c>
      <c r="B299" s="150" t="s">
        <v>267</v>
      </c>
      <c r="C299" s="858">
        <v>100</v>
      </c>
      <c r="D299" s="859" t="s">
        <v>145</v>
      </c>
      <c r="E299" s="859"/>
      <c r="F299" s="143">
        <v>100</v>
      </c>
      <c r="G299" s="143">
        <v>2320</v>
      </c>
      <c r="H299" s="145" t="s">
        <v>254</v>
      </c>
      <c r="I299" s="145"/>
      <c r="J299" s="115">
        <v>0</v>
      </c>
      <c r="K299" s="115">
        <v>60.55</v>
      </c>
      <c r="L299" s="115">
        <v>200</v>
      </c>
      <c r="M299" s="115">
        <v>61</v>
      </c>
      <c r="N299" s="115">
        <v>100</v>
      </c>
      <c r="O299" s="932">
        <f>'2022 Budget &amp; CF'!AA299</f>
        <v>100</v>
      </c>
      <c r="P299" s="12">
        <f>O299-N299</f>
        <v>0</v>
      </c>
      <c r="Q299" s="932">
        <f>O299</f>
        <v>100</v>
      </c>
      <c r="R299" s="12">
        <f t="shared" si="168"/>
        <v>0</v>
      </c>
      <c r="S299" s="12">
        <f>Q299</f>
        <v>100</v>
      </c>
      <c r="T299" s="12">
        <f t="shared" si="195"/>
        <v>100</v>
      </c>
      <c r="U299" s="12">
        <f t="shared" ref="U299:W299" si="206">T299</f>
        <v>100</v>
      </c>
      <c r="V299" s="12">
        <f t="shared" si="206"/>
        <v>100</v>
      </c>
      <c r="W299" s="12">
        <f t="shared" si="206"/>
        <v>100</v>
      </c>
      <c r="Y299" s="355"/>
    </row>
    <row r="300" spans="1:25" outlineLevel="1" x14ac:dyDescent="0.2">
      <c r="A300" s="366" t="s">
        <v>874</v>
      </c>
      <c r="B300" s="459" t="s">
        <v>211</v>
      </c>
      <c r="C300" s="857"/>
      <c r="D300" s="857"/>
      <c r="E300" s="857"/>
      <c r="F300" s="140"/>
      <c r="G300" s="140"/>
      <c r="H300" s="152"/>
      <c r="I300" s="152"/>
      <c r="J300" s="271"/>
      <c r="K300" s="271"/>
      <c r="L300" s="271"/>
      <c r="M300" s="271"/>
      <c r="N300" s="271"/>
      <c r="O300" s="271"/>
      <c r="P300" s="271">
        <f t="shared" si="151"/>
        <v>0</v>
      </c>
      <c r="Q300" s="271"/>
      <c r="R300" s="271">
        <f t="shared" si="168"/>
        <v>0</v>
      </c>
      <c r="S300" s="271"/>
      <c r="T300" s="271"/>
      <c r="U300" s="271"/>
      <c r="V300" s="271"/>
      <c r="W300" s="272"/>
      <c r="Y300" s="355"/>
    </row>
    <row r="301" spans="1:25" outlineLevel="1" x14ac:dyDescent="0.2">
      <c r="A301" s="366" t="s">
        <v>875</v>
      </c>
      <c r="B301" s="142" t="s">
        <v>268</v>
      </c>
      <c r="C301" s="858">
        <v>100</v>
      </c>
      <c r="D301" s="859" t="s">
        <v>145</v>
      </c>
      <c r="E301" s="859"/>
      <c r="F301" s="143">
        <v>100</v>
      </c>
      <c r="G301" s="143">
        <v>2410</v>
      </c>
      <c r="H301" s="145" t="s">
        <v>254</v>
      </c>
      <c r="I301" s="145"/>
      <c r="J301" s="115">
        <v>0</v>
      </c>
      <c r="K301" s="115">
        <v>0</v>
      </c>
      <c r="L301" s="115">
        <v>0</v>
      </c>
      <c r="M301" s="115">
        <v>336</v>
      </c>
      <c r="N301" s="115">
        <v>0</v>
      </c>
      <c r="O301" s="932">
        <f>'2022 Budget &amp; CF'!AA301</f>
        <v>0</v>
      </c>
      <c r="P301" s="12">
        <f>O301-N301</f>
        <v>0</v>
      </c>
      <c r="Q301" s="932">
        <f>O301</f>
        <v>0</v>
      </c>
      <c r="R301" s="115">
        <f t="shared" si="168"/>
        <v>0</v>
      </c>
      <c r="S301" s="115">
        <f>Q301</f>
        <v>0</v>
      </c>
      <c r="T301" s="115">
        <f t="shared" ref="T301:T315" si="207">S301</f>
        <v>0</v>
      </c>
      <c r="U301" s="115">
        <f t="shared" ref="U301" si="208">T301</f>
        <v>0</v>
      </c>
      <c r="V301" s="115">
        <f t="shared" ref="V301" si="209">U301</f>
        <v>0</v>
      </c>
      <c r="W301" s="115">
        <f t="shared" ref="W301" si="210">V301</f>
        <v>0</v>
      </c>
      <c r="Y301" s="355"/>
    </row>
    <row r="302" spans="1:25" outlineLevel="1" x14ac:dyDescent="0.2">
      <c r="A302" s="366" t="s">
        <v>876</v>
      </c>
      <c r="B302" s="142" t="s">
        <v>268</v>
      </c>
      <c r="C302" s="858">
        <v>100</v>
      </c>
      <c r="D302" s="859" t="s">
        <v>145</v>
      </c>
      <c r="E302" s="859"/>
      <c r="F302" s="143">
        <v>100</v>
      </c>
      <c r="G302" s="143">
        <v>2490</v>
      </c>
      <c r="H302" s="145" t="s">
        <v>254</v>
      </c>
      <c r="I302" s="145"/>
      <c r="J302" s="115">
        <v>0</v>
      </c>
      <c r="K302" s="115">
        <v>3071.0600000000004</v>
      </c>
      <c r="L302" s="115">
        <v>20000</v>
      </c>
      <c r="M302" s="115">
        <v>3071</v>
      </c>
      <c r="N302" s="115">
        <v>16482</v>
      </c>
      <c r="O302" s="932">
        <f>'2022 Budget &amp; CF'!AA302</f>
        <v>16482</v>
      </c>
      <c r="P302" s="12">
        <f t="shared" ref="P302:P303" si="211">O302-N302</f>
        <v>0</v>
      </c>
      <c r="Q302" s="932">
        <f>O302</f>
        <v>16482</v>
      </c>
      <c r="R302" s="12">
        <f t="shared" si="168"/>
        <v>0</v>
      </c>
      <c r="S302" s="12">
        <f>Q302</f>
        <v>16482</v>
      </c>
      <c r="T302" s="12">
        <f t="shared" si="207"/>
        <v>16482</v>
      </c>
      <c r="U302" s="12">
        <f t="shared" ref="U302:W303" si="212">T302</f>
        <v>16482</v>
      </c>
      <c r="V302" s="12">
        <f t="shared" si="212"/>
        <v>16482</v>
      </c>
      <c r="W302" s="12">
        <f t="shared" si="212"/>
        <v>16482</v>
      </c>
      <c r="Y302" s="355"/>
    </row>
    <row r="303" spans="1:25" outlineLevel="1" x14ac:dyDescent="0.2">
      <c r="A303" s="366" t="s">
        <v>877</v>
      </c>
      <c r="B303" s="142" t="s">
        <v>1055</v>
      </c>
      <c r="C303" s="858">
        <v>100</v>
      </c>
      <c r="D303" s="859" t="s">
        <v>145</v>
      </c>
      <c r="E303" s="859"/>
      <c r="F303" s="143">
        <v>100</v>
      </c>
      <c r="G303" s="143">
        <v>2490</v>
      </c>
      <c r="H303" s="145" t="s">
        <v>1054</v>
      </c>
      <c r="I303" s="145"/>
      <c r="J303" s="115">
        <v>0</v>
      </c>
      <c r="K303" s="115">
        <v>3517.53</v>
      </c>
      <c r="L303" s="115">
        <v>0</v>
      </c>
      <c r="M303" s="115">
        <v>3518</v>
      </c>
      <c r="N303" s="115">
        <v>3518</v>
      </c>
      <c r="O303" s="932">
        <f>'2022 Budget &amp; CF'!AA303</f>
        <v>3518</v>
      </c>
      <c r="P303" s="12">
        <f t="shared" si="211"/>
        <v>0</v>
      </c>
      <c r="Q303" s="932">
        <f>O303</f>
        <v>3518</v>
      </c>
      <c r="R303" s="12">
        <f t="shared" si="168"/>
        <v>0</v>
      </c>
      <c r="S303" s="12">
        <f>Q303</f>
        <v>3518</v>
      </c>
      <c r="T303" s="12">
        <f t="shared" si="207"/>
        <v>3518</v>
      </c>
      <c r="U303" s="12">
        <f t="shared" si="212"/>
        <v>3518</v>
      </c>
      <c r="V303" s="12">
        <f t="shared" si="212"/>
        <v>3518</v>
      </c>
      <c r="W303" s="12">
        <f t="shared" si="212"/>
        <v>3518</v>
      </c>
      <c r="Y303" s="355"/>
    </row>
    <row r="304" spans="1:25" outlineLevel="1" x14ac:dyDescent="0.2">
      <c r="A304" s="366" t="s">
        <v>878</v>
      </c>
      <c r="B304" s="459" t="s">
        <v>214</v>
      </c>
      <c r="C304" s="860"/>
      <c r="D304" s="860"/>
      <c r="E304" s="860"/>
      <c r="F304" s="148"/>
      <c r="G304" s="148"/>
      <c r="H304" s="152"/>
      <c r="I304" s="152"/>
      <c r="J304" s="271"/>
      <c r="K304" s="271"/>
      <c r="L304" s="271"/>
      <c r="M304" s="271"/>
      <c r="N304" s="271"/>
      <c r="O304" s="271"/>
      <c r="P304" s="271">
        <f t="shared" si="151"/>
        <v>0</v>
      </c>
      <c r="Q304" s="271"/>
      <c r="R304" s="271">
        <f t="shared" si="168"/>
        <v>0</v>
      </c>
      <c r="S304" s="271"/>
      <c r="T304" s="271"/>
      <c r="U304" s="271"/>
      <c r="V304" s="271"/>
      <c r="W304" s="272"/>
      <c r="Y304" s="355"/>
    </row>
    <row r="305" spans="1:25" outlineLevel="1" x14ac:dyDescent="0.2">
      <c r="A305" s="366" t="s">
        <v>879</v>
      </c>
      <c r="B305" s="142" t="s">
        <v>268</v>
      </c>
      <c r="C305" s="858" t="s">
        <v>468</v>
      </c>
      <c r="D305" s="859" t="s">
        <v>145</v>
      </c>
      <c r="E305" s="859"/>
      <c r="F305" s="143" t="s">
        <v>468</v>
      </c>
      <c r="G305" s="143" t="s">
        <v>458</v>
      </c>
      <c r="H305" s="145" t="s">
        <v>254</v>
      </c>
      <c r="I305" s="145"/>
      <c r="J305" s="115">
        <v>0</v>
      </c>
      <c r="K305" s="115">
        <v>0</v>
      </c>
      <c r="L305" s="115">
        <v>0</v>
      </c>
      <c r="M305" s="115">
        <v>336</v>
      </c>
      <c r="N305" s="115">
        <v>0</v>
      </c>
      <c r="O305" s="932">
        <f>'2022 Budget &amp; CF'!AA305</f>
        <v>0</v>
      </c>
      <c r="P305" s="12">
        <f>O305-N305</f>
        <v>0</v>
      </c>
      <c r="Q305" s="932">
        <f>O305</f>
        <v>0</v>
      </c>
      <c r="R305" s="115">
        <f t="shared" si="168"/>
        <v>0</v>
      </c>
      <c r="S305" s="115">
        <f t="shared" ref="S305" si="213">Q305</f>
        <v>0</v>
      </c>
      <c r="T305" s="115">
        <f t="shared" si="207"/>
        <v>0</v>
      </c>
      <c r="U305" s="115">
        <f t="shared" ref="U305" si="214">T305</f>
        <v>0</v>
      </c>
      <c r="V305" s="115">
        <f t="shared" ref="V305" si="215">U305</f>
        <v>0</v>
      </c>
      <c r="W305" s="115">
        <f t="shared" ref="W305" si="216">V305</f>
        <v>0</v>
      </c>
      <c r="Y305" s="355"/>
    </row>
    <row r="306" spans="1:25" outlineLevel="1" x14ac:dyDescent="0.2">
      <c r="A306" s="366" t="s">
        <v>883</v>
      </c>
      <c r="B306" s="142" t="s">
        <v>545</v>
      </c>
      <c r="C306" s="858">
        <v>100</v>
      </c>
      <c r="D306" s="859" t="s">
        <v>145</v>
      </c>
      <c r="E306" s="859"/>
      <c r="F306" s="143">
        <v>100</v>
      </c>
      <c r="G306" s="143">
        <v>2570</v>
      </c>
      <c r="H306" s="145" t="s">
        <v>254</v>
      </c>
      <c r="I306" s="145"/>
      <c r="J306" s="115">
        <v>0</v>
      </c>
      <c r="K306" s="115">
        <v>135.9</v>
      </c>
      <c r="L306" s="115">
        <v>0</v>
      </c>
      <c r="M306" s="115">
        <v>136</v>
      </c>
      <c r="N306" s="115">
        <v>100</v>
      </c>
      <c r="O306" s="932">
        <f>'2022 Budget &amp; CF'!AA306</f>
        <v>100</v>
      </c>
      <c r="P306" s="12">
        <f t="shared" ref="P306:P309" si="217">O306-N306</f>
        <v>0</v>
      </c>
      <c r="Q306" s="932">
        <f>O306</f>
        <v>100</v>
      </c>
      <c r="R306" s="12">
        <f t="shared" si="168"/>
        <v>0</v>
      </c>
      <c r="S306" s="12">
        <f>Q306</f>
        <v>100</v>
      </c>
      <c r="T306" s="12">
        <f t="shared" si="207"/>
        <v>100</v>
      </c>
      <c r="U306" s="12">
        <f t="shared" ref="U306" si="218">T306</f>
        <v>100</v>
      </c>
      <c r="V306" s="12">
        <f t="shared" ref="V306" si="219">U306</f>
        <v>100</v>
      </c>
      <c r="W306" s="12">
        <f t="shared" ref="W306" si="220">V306</f>
        <v>100</v>
      </c>
      <c r="Y306" s="355"/>
    </row>
    <row r="307" spans="1:25" outlineLevel="1" x14ac:dyDescent="0.2">
      <c r="A307" s="366" t="s">
        <v>884</v>
      </c>
      <c r="B307" s="142" t="s">
        <v>269</v>
      </c>
      <c r="C307" s="858">
        <v>100</v>
      </c>
      <c r="D307" s="859" t="s">
        <v>145</v>
      </c>
      <c r="E307" s="859"/>
      <c r="F307" s="143">
        <v>100</v>
      </c>
      <c r="G307" s="143">
        <v>2580</v>
      </c>
      <c r="H307" s="145" t="s">
        <v>254</v>
      </c>
      <c r="I307" s="145"/>
      <c r="J307" s="115">
        <v>0</v>
      </c>
      <c r="K307" s="115">
        <v>299.22000000000003</v>
      </c>
      <c r="L307" s="115">
        <v>5500</v>
      </c>
      <c r="M307" s="115">
        <v>299</v>
      </c>
      <c r="N307" s="115">
        <v>5400</v>
      </c>
      <c r="O307" s="932">
        <f>'2022 Budget &amp; CF'!AA307</f>
        <v>5400</v>
      </c>
      <c r="P307" s="12">
        <f t="shared" si="217"/>
        <v>0</v>
      </c>
      <c r="Q307" s="932">
        <f>O307</f>
        <v>5400</v>
      </c>
      <c r="R307" s="12">
        <f t="shared" si="168"/>
        <v>0</v>
      </c>
      <c r="S307" s="12">
        <f>Q307</f>
        <v>5400</v>
      </c>
      <c r="T307" s="12">
        <f t="shared" si="207"/>
        <v>5400</v>
      </c>
      <c r="U307" s="12">
        <f t="shared" ref="U307:W307" si="221">T307</f>
        <v>5400</v>
      </c>
      <c r="V307" s="12">
        <f t="shared" si="221"/>
        <v>5400</v>
      </c>
      <c r="W307" s="12">
        <f t="shared" si="221"/>
        <v>5400</v>
      </c>
      <c r="Y307" s="355"/>
    </row>
    <row r="308" spans="1:25" outlineLevel="1" x14ac:dyDescent="0.2">
      <c r="A308" s="366" t="s">
        <v>537</v>
      </c>
      <c r="B308" s="142" t="s">
        <v>509</v>
      </c>
      <c r="C308" s="858">
        <v>100</v>
      </c>
      <c r="D308" s="859" t="s">
        <v>145</v>
      </c>
      <c r="E308" s="859"/>
      <c r="F308" s="143">
        <v>100</v>
      </c>
      <c r="G308" s="143">
        <v>2580</v>
      </c>
      <c r="H308" s="145" t="s">
        <v>260</v>
      </c>
      <c r="I308" s="145"/>
      <c r="J308" s="115">
        <v>0</v>
      </c>
      <c r="K308" s="115">
        <v>7678.88</v>
      </c>
      <c r="L308" s="115">
        <v>20000</v>
      </c>
      <c r="M308" s="115">
        <v>7679</v>
      </c>
      <c r="N308" s="115">
        <v>20000</v>
      </c>
      <c r="O308" s="932">
        <f>'2022 Budget &amp; CF'!AA308</f>
        <v>20000</v>
      </c>
      <c r="P308" s="12">
        <f t="shared" si="217"/>
        <v>0</v>
      </c>
      <c r="Q308" s="932">
        <f t="shared" ref="Q308" si="222">O308</f>
        <v>20000</v>
      </c>
      <c r="R308" s="12">
        <f t="shared" si="168"/>
        <v>0</v>
      </c>
      <c r="S308" s="12">
        <f>Q308</f>
        <v>20000</v>
      </c>
      <c r="T308" s="12">
        <f t="shared" si="207"/>
        <v>20000</v>
      </c>
      <c r="U308" s="12">
        <f t="shared" ref="U308" si="223">T308</f>
        <v>20000</v>
      </c>
      <c r="V308" s="12">
        <f t="shared" ref="V308" si="224">U308</f>
        <v>20000</v>
      </c>
      <c r="W308" s="12">
        <f t="shared" ref="W308" si="225">V308</f>
        <v>20000</v>
      </c>
      <c r="Y308" s="355"/>
    </row>
    <row r="309" spans="1:25" outlineLevel="1" x14ac:dyDescent="0.2">
      <c r="A309" s="366" t="s">
        <v>930</v>
      </c>
      <c r="B309" s="142" t="s">
        <v>270</v>
      </c>
      <c r="C309" s="858">
        <v>100</v>
      </c>
      <c r="D309" s="859" t="s">
        <v>145</v>
      </c>
      <c r="E309" s="859"/>
      <c r="F309" s="143">
        <v>100</v>
      </c>
      <c r="G309" s="143">
        <v>2580</v>
      </c>
      <c r="H309" s="145" t="s">
        <v>262</v>
      </c>
      <c r="I309" s="145"/>
      <c r="J309" s="115">
        <v>0</v>
      </c>
      <c r="K309" s="115">
        <v>627.48</v>
      </c>
      <c r="L309" s="115">
        <v>1000</v>
      </c>
      <c r="M309" s="115">
        <v>627</v>
      </c>
      <c r="N309" s="115">
        <v>1000</v>
      </c>
      <c r="O309" s="932">
        <f>'2022 Budget &amp; CF'!AA309</f>
        <v>1000</v>
      </c>
      <c r="P309" s="12">
        <f t="shared" si="217"/>
        <v>0</v>
      </c>
      <c r="Q309" s="932">
        <f>O309</f>
        <v>1000</v>
      </c>
      <c r="R309" s="12">
        <f t="shared" si="168"/>
        <v>0</v>
      </c>
      <c r="S309" s="12">
        <f>Q309</f>
        <v>1000</v>
      </c>
      <c r="T309" s="12">
        <f t="shared" si="207"/>
        <v>1000</v>
      </c>
      <c r="U309" s="12">
        <f t="shared" ref="U309:W309" si="226">T309</f>
        <v>1000</v>
      </c>
      <c r="V309" s="12">
        <f t="shared" si="226"/>
        <v>1000</v>
      </c>
      <c r="W309" s="12">
        <f t="shared" si="226"/>
        <v>1000</v>
      </c>
      <c r="Y309" s="355"/>
    </row>
    <row r="310" spans="1:25" outlineLevel="1" x14ac:dyDescent="0.2">
      <c r="A310" s="366" t="s">
        <v>931</v>
      </c>
      <c r="B310" s="459" t="s">
        <v>228</v>
      </c>
      <c r="C310" s="861"/>
      <c r="D310" s="861"/>
      <c r="E310" s="861"/>
      <c r="F310" s="152"/>
      <c r="G310" s="152"/>
      <c r="H310" s="152"/>
      <c r="I310" s="152"/>
      <c r="J310" s="271"/>
      <c r="K310" s="271"/>
      <c r="L310" s="271"/>
      <c r="M310" s="271"/>
      <c r="N310" s="271"/>
      <c r="O310" s="271"/>
      <c r="P310" s="271">
        <f t="shared" si="151"/>
        <v>0</v>
      </c>
      <c r="Q310" s="271"/>
      <c r="R310" s="271">
        <f t="shared" si="168"/>
        <v>0</v>
      </c>
      <c r="S310" s="271"/>
      <c r="T310" s="271"/>
      <c r="U310" s="271"/>
      <c r="V310" s="271"/>
      <c r="W310" s="272"/>
      <c r="Y310" s="355"/>
    </row>
    <row r="311" spans="1:25" outlineLevel="1" x14ac:dyDescent="0.2">
      <c r="A311" s="366" t="s">
        <v>932</v>
      </c>
      <c r="B311" s="142" t="s">
        <v>271</v>
      </c>
      <c r="C311" s="858">
        <v>100</v>
      </c>
      <c r="D311" s="859" t="s">
        <v>145</v>
      </c>
      <c r="E311" s="859"/>
      <c r="F311" s="143">
        <v>100</v>
      </c>
      <c r="G311" s="143">
        <v>2610</v>
      </c>
      <c r="H311" s="145" t="s">
        <v>254</v>
      </c>
      <c r="I311" s="145"/>
      <c r="J311" s="115">
        <v>0</v>
      </c>
      <c r="K311" s="115">
        <v>654.59999999999991</v>
      </c>
      <c r="L311" s="115">
        <v>8224</v>
      </c>
      <c r="M311" s="115">
        <v>1310</v>
      </c>
      <c r="N311" s="115">
        <v>8000</v>
      </c>
      <c r="O311" s="932">
        <f>'2022 Budget &amp; CF'!AA311</f>
        <v>8000</v>
      </c>
      <c r="P311" s="12">
        <f t="shared" ref="P311:P317" si="227">O311-N311</f>
        <v>0</v>
      </c>
      <c r="Q311" s="932">
        <f>O311*2</f>
        <v>16000</v>
      </c>
      <c r="R311" s="12">
        <f t="shared" si="168"/>
        <v>8000</v>
      </c>
      <c r="S311" s="12">
        <f>ROUND(Q311*1.02,0)</f>
        <v>16320</v>
      </c>
      <c r="T311" s="12">
        <f>ROUND(S311*1.02,0)</f>
        <v>16646</v>
      </c>
      <c r="U311" s="12">
        <f t="shared" ref="U311:W311" si="228">ROUND(T311*1.02,0)</f>
        <v>16979</v>
      </c>
      <c r="V311" s="12">
        <f t="shared" si="228"/>
        <v>17319</v>
      </c>
      <c r="W311" s="12">
        <f t="shared" si="228"/>
        <v>17665</v>
      </c>
      <c r="Y311" s="355"/>
    </row>
    <row r="312" spans="1:25" outlineLevel="1" x14ac:dyDescent="0.2">
      <c r="A312" s="366" t="s">
        <v>933</v>
      </c>
      <c r="B312" s="142" t="s">
        <v>271</v>
      </c>
      <c r="C312" s="858">
        <v>100</v>
      </c>
      <c r="D312" s="859" t="s">
        <v>145</v>
      </c>
      <c r="E312" s="859"/>
      <c r="F312" s="143">
        <v>100</v>
      </c>
      <c r="G312" s="143">
        <v>2620</v>
      </c>
      <c r="H312" s="145" t="s">
        <v>254</v>
      </c>
      <c r="I312" s="145"/>
      <c r="J312" s="115">
        <v>0</v>
      </c>
      <c r="K312" s="115">
        <v>49.61</v>
      </c>
      <c r="L312" s="115">
        <v>0</v>
      </c>
      <c r="M312" s="115">
        <v>0</v>
      </c>
      <c r="N312" s="115">
        <v>0</v>
      </c>
      <c r="O312" s="932">
        <f>'2022 Budget &amp; CF'!AA312</f>
        <v>0</v>
      </c>
      <c r="P312" s="12">
        <f t="shared" si="227"/>
        <v>0</v>
      </c>
      <c r="Q312" s="932">
        <f>O312</f>
        <v>0</v>
      </c>
      <c r="R312" s="12">
        <f t="shared" si="168"/>
        <v>0</v>
      </c>
      <c r="S312" s="12">
        <f>Q312</f>
        <v>0</v>
      </c>
      <c r="T312" s="12">
        <f t="shared" si="207"/>
        <v>0</v>
      </c>
      <c r="U312" s="12">
        <f t="shared" ref="U312:U315" si="229">T312</f>
        <v>0</v>
      </c>
      <c r="V312" s="12">
        <f t="shared" ref="V312:V315" si="230">U312</f>
        <v>0</v>
      </c>
      <c r="W312" s="12">
        <f t="shared" ref="W312:W315" si="231">V312</f>
        <v>0</v>
      </c>
      <c r="Y312" s="355"/>
    </row>
    <row r="313" spans="1:25" outlineLevel="1" x14ac:dyDescent="0.2">
      <c r="A313" s="366" t="s">
        <v>934</v>
      </c>
      <c r="B313" s="142" t="s">
        <v>271</v>
      </c>
      <c r="C313" s="858">
        <v>100</v>
      </c>
      <c r="D313" s="859" t="s">
        <v>145</v>
      </c>
      <c r="E313" s="859"/>
      <c r="F313" s="143">
        <v>100</v>
      </c>
      <c r="G313" s="143" t="s">
        <v>540</v>
      </c>
      <c r="H313" s="145" t="s">
        <v>254</v>
      </c>
      <c r="I313" s="145"/>
      <c r="J313" s="115">
        <v>0</v>
      </c>
      <c r="K313" s="115">
        <v>10</v>
      </c>
      <c r="L313" s="115">
        <v>0</v>
      </c>
      <c r="M313" s="115">
        <v>0</v>
      </c>
      <c r="N313" s="115">
        <v>0</v>
      </c>
      <c r="O313" s="932">
        <f>'2022 Budget &amp; CF'!AA313</f>
        <v>0</v>
      </c>
      <c r="P313" s="12">
        <f t="shared" si="227"/>
        <v>0</v>
      </c>
      <c r="Q313" s="932">
        <f t="shared" ref="Q313" si="232">O313</f>
        <v>0</v>
      </c>
      <c r="R313" s="114">
        <f t="shared" si="168"/>
        <v>0</v>
      </c>
      <c r="S313" s="12">
        <f>Q313</f>
        <v>0</v>
      </c>
      <c r="T313" s="114">
        <f t="shared" si="207"/>
        <v>0</v>
      </c>
      <c r="U313" s="114">
        <f t="shared" si="229"/>
        <v>0</v>
      </c>
      <c r="V313" s="114">
        <f t="shared" si="230"/>
        <v>0</v>
      </c>
      <c r="W313" s="114">
        <f t="shared" si="231"/>
        <v>0</v>
      </c>
      <c r="Y313" s="355"/>
    </row>
    <row r="314" spans="1:25" outlineLevel="1" x14ac:dyDescent="0.2">
      <c r="A314" s="366" t="s">
        <v>935</v>
      </c>
      <c r="B314" s="142" t="s">
        <v>271</v>
      </c>
      <c r="C314" s="858">
        <v>100</v>
      </c>
      <c r="D314" s="859" t="s">
        <v>145</v>
      </c>
      <c r="E314" s="859"/>
      <c r="F314" s="143">
        <v>100</v>
      </c>
      <c r="G314" s="143" t="s">
        <v>541</v>
      </c>
      <c r="H314" s="145" t="s">
        <v>254</v>
      </c>
      <c r="I314" s="145"/>
      <c r="J314" s="115">
        <v>0</v>
      </c>
      <c r="K314" s="115">
        <v>269.10000000000002</v>
      </c>
      <c r="L314" s="115">
        <v>0</v>
      </c>
      <c r="M314" s="115">
        <v>0</v>
      </c>
      <c r="N314" s="115">
        <v>0</v>
      </c>
      <c r="O314" s="932">
        <f>'2022 Budget &amp; CF'!AA314</f>
        <v>0</v>
      </c>
      <c r="P314" s="12">
        <f t="shared" si="227"/>
        <v>0</v>
      </c>
      <c r="Q314" s="932">
        <f>O314</f>
        <v>0</v>
      </c>
      <c r="R314" s="114">
        <f t="shared" si="168"/>
        <v>0</v>
      </c>
      <c r="S314" s="12">
        <f>Q314</f>
        <v>0</v>
      </c>
      <c r="T314" s="114">
        <f t="shared" si="207"/>
        <v>0</v>
      </c>
      <c r="U314" s="114">
        <f t="shared" si="229"/>
        <v>0</v>
      </c>
      <c r="V314" s="114">
        <f t="shared" si="230"/>
        <v>0</v>
      </c>
      <c r="W314" s="114">
        <f t="shared" si="231"/>
        <v>0</v>
      </c>
      <c r="Y314" s="355"/>
    </row>
    <row r="315" spans="1:25" outlineLevel="1" x14ac:dyDescent="0.2">
      <c r="A315" s="366" t="s">
        <v>936</v>
      </c>
      <c r="B315" s="142" t="s">
        <v>271</v>
      </c>
      <c r="C315" s="858">
        <v>100</v>
      </c>
      <c r="D315" s="859" t="s">
        <v>145</v>
      </c>
      <c r="E315" s="859"/>
      <c r="F315" s="143">
        <v>100</v>
      </c>
      <c r="G315" s="143" t="s">
        <v>542</v>
      </c>
      <c r="H315" s="145" t="s">
        <v>254</v>
      </c>
      <c r="I315" s="145"/>
      <c r="J315" s="115">
        <v>0</v>
      </c>
      <c r="K315" s="115">
        <v>262.47000000000003</v>
      </c>
      <c r="L315" s="115">
        <v>0</v>
      </c>
      <c r="M315" s="115">
        <v>0</v>
      </c>
      <c r="N315" s="115">
        <v>0</v>
      </c>
      <c r="O315" s="932">
        <f>'2022 Budget &amp; CF'!AA315</f>
        <v>0</v>
      </c>
      <c r="P315" s="12">
        <f t="shared" si="227"/>
        <v>0</v>
      </c>
      <c r="Q315" s="932">
        <f>O315</f>
        <v>0</v>
      </c>
      <c r="R315" s="114">
        <f t="shared" si="168"/>
        <v>0</v>
      </c>
      <c r="S315" s="12">
        <f>Q315</f>
        <v>0</v>
      </c>
      <c r="T315" s="114">
        <f t="shared" si="207"/>
        <v>0</v>
      </c>
      <c r="U315" s="114">
        <f t="shared" si="229"/>
        <v>0</v>
      </c>
      <c r="V315" s="114">
        <f t="shared" si="230"/>
        <v>0</v>
      </c>
      <c r="W315" s="114">
        <f t="shared" si="231"/>
        <v>0</v>
      </c>
      <c r="Y315" s="355"/>
    </row>
    <row r="316" spans="1:25" outlineLevel="1" x14ac:dyDescent="0.2">
      <c r="A316" s="366" t="s">
        <v>937</v>
      </c>
      <c r="B316" s="142" t="s">
        <v>272</v>
      </c>
      <c r="C316" s="858">
        <v>100</v>
      </c>
      <c r="D316" s="859" t="s">
        <v>145</v>
      </c>
      <c r="E316" s="859"/>
      <c r="F316" s="143">
        <v>100</v>
      </c>
      <c r="G316" s="143">
        <v>2610</v>
      </c>
      <c r="H316" s="145" t="s">
        <v>273</v>
      </c>
      <c r="I316" s="145"/>
      <c r="J316" s="115">
        <v>0</v>
      </c>
      <c r="K316" s="115">
        <v>1372.6699999999998</v>
      </c>
      <c r="L316" s="115">
        <v>2000</v>
      </c>
      <c r="M316" s="115">
        <v>2000</v>
      </c>
      <c r="N316" s="115">
        <v>2000</v>
      </c>
      <c r="O316" s="932">
        <f>'2022 Budget &amp; CF'!AA316</f>
        <v>2000</v>
      </c>
      <c r="P316" s="12">
        <f t="shared" si="227"/>
        <v>0</v>
      </c>
      <c r="Q316" s="932">
        <f>O316*2</f>
        <v>4000</v>
      </c>
      <c r="R316" s="114">
        <f t="shared" si="168"/>
        <v>2000</v>
      </c>
      <c r="S316" s="12">
        <f>ROUND(Q316*1.02,0)</f>
        <v>4080</v>
      </c>
      <c r="T316" s="12">
        <f>ROUND(S316*1.02,0)</f>
        <v>4162</v>
      </c>
      <c r="U316" s="12">
        <f t="shared" ref="U316:W316" si="233">ROUND(T316*1.02,0)</f>
        <v>4245</v>
      </c>
      <c r="V316" s="12">
        <f t="shared" si="233"/>
        <v>4330</v>
      </c>
      <c r="W316" s="12">
        <f t="shared" si="233"/>
        <v>4417</v>
      </c>
      <c r="X316" s="923"/>
      <c r="Y316" s="355"/>
    </row>
    <row r="317" spans="1:25" outlineLevel="1" x14ac:dyDescent="0.2">
      <c r="A317" s="366" t="s">
        <v>938</v>
      </c>
      <c r="B317" s="142" t="s">
        <v>510</v>
      </c>
      <c r="C317" s="858">
        <v>100</v>
      </c>
      <c r="D317" s="859" t="s">
        <v>145</v>
      </c>
      <c r="E317" s="859"/>
      <c r="F317" s="143">
        <v>100</v>
      </c>
      <c r="G317" s="143">
        <v>2610</v>
      </c>
      <c r="H317" s="145" t="s">
        <v>511</v>
      </c>
      <c r="I317" s="145"/>
      <c r="J317" s="115">
        <v>0</v>
      </c>
      <c r="K317" s="115">
        <v>11373.050000000001</v>
      </c>
      <c r="L317" s="115">
        <v>24000</v>
      </c>
      <c r="M317" s="115">
        <v>24000</v>
      </c>
      <c r="N317" s="115">
        <v>24000</v>
      </c>
      <c r="O317" s="932">
        <f>'2022 Budget &amp; CF'!AA317</f>
        <v>24000</v>
      </c>
      <c r="P317" s="12">
        <f t="shared" si="227"/>
        <v>0</v>
      </c>
      <c r="Q317" s="932">
        <f>O317*2</f>
        <v>48000</v>
      </c>
      <c r="R317" s="12">
        <f t="shared" si="168"/>
        <v>24000</v>
      </c>
      <c r="S317" s="12">
        <f>ROUND(Q317*1.02,0)</f>
        <v>48960</v>
      </c>
      <c r="T317" s="12">
        <f>ROUND(S317*1.02,0)</f>
        <v>49939</v>
      </c>
      <c r="U317" s="12">
        <f t="shared" ref="U317:W317" si="234">ROUND(T317*1.02,0)</f>
        <v>50938</v>
      </c>
      <c r="V317" s="12">
        <f t="shared" si="234"/>
        <v>51957</v>
      </c>
      <c r="W317" s="12">
        <f t="shared" si="234"/>
        <v>52996</v>
      </c>
      <c r="Y317" s="355"/>
    </row>
    <row r="318" spans="1:25" outlineLevel="1" x14ac:dyDescent="0.2">
      <c r="A318" s="366" t="s">
        <v>939</v>
      </c>
      <c r="B318" s="146" t="s">
        <v>274</v>
      </c>
      <c r="C318" s="862"/>
      <c r="D318" s="861"/>
      <c r="E318" s="861"/>
      <c r="F318" s="152"/>
      <c r="G318" s="152"/>
      <c r="H318" s="152"/>
      <c r="I318" s="152"/>
      <c r="J318" s="271"/>
      <c r="K318" s="271"/>
      <c r="L318" s="271"/>
      <c r="M318" s="271"/>
      <c r="N318" s="271"/>
      <c r="O318" s="271"/>
      <c r="P318" s="271">
        <f t="shared" si="151"/>
        <v>0</v>
      </c>
      <c r="Q318" s="271"/>
      <c r="R318" s="271">
        <f t="shared" si="168"/>
        <v>0</v>
      </c>
      <c r="S318" s="271"/>
      <c r="T318" s="271"/>
      <c r="U318" s="271"/>
      <c r="V318" s="271"/>
      <c r="W318" s="272"/>
      <c r="Y318" s="355"/>
    </row>
    <row r="319" spans="1:25" outlineLevel="1" x14ac:dyDescent="0.2">
      <c r="A319" s="366" t="s">
        <v>940</v>
      </c>
      <c r="B319" s="142" t="s">
        <v>275</v>
      </c>
      <c r="C319" s="858">
        <v>240</v>
      </c>
      <c r="D319" s="863">
        <v>325</v>
      </c>
      <c r="E319" s="859"/>
      <c r="F319" s="143">
        <v>100</v>
      </c>
      <c r="G319" s="143">
        <v>1000</v>
      </c>
      <c r="H319" s="145" t="s">
        <v>254</v>
      </c>
      <c r="I319" s="145"/>
      <c r="J319" s="115">
        <v>0</v>
      </c>
      <c r="K319" s="115">
        <v>335.85</v>
      </c>
      <c r="L319" s="115">
        <v>0</v>
      </c>
      <c r="M319" s="115">
        <v>336</v>
      </c>
      <c r="N319" s="115">
        <v>0</v>
      </c>
      <c r="O319" s="932">
        <f>'2022 Budget &amp; CF'!AA319</f>
        <v>0</v>
      </c>
      <c r="P319" s="12">
        <f>O319-N319</f>
        <v>0</v>
      </c>
      <c r="Q319" s="932">
        <f>O319</f>
        <v>0</v>
      </c>
      <c r="R319" s="115">
        <f t="shared" si="168"/>
        <v>0</v>
      </c>
      <c r="S319" s="115">
        <f>Q319</f>
        <v>0</v>
      </c>
      <c r="T319" s="115">
        <f t="shared" ref="T319" si="235">S319</f>
        <v>0</v>
      </c>
      <c r="U319" s="115">
        <f t="shared" ref="U319:W319" si="236">T319</f>
        <v>0</v>
      </c>
      <c r="V319" s="115">
        <f t="shared" si="236"/>
        <v>0</v>
      </c>
      <c r="W319" s="115">
        <f t="shared" si="236"/>
        <v>0</v>
      </c>
      <c r="Y319" s="355"/>
    </row>
    <row r="320" spans="1:25" outlineLevel="1" x14ac:dyDescent="0.2">
      <c r="A320" s="366" t="s">
        <v>941</v>
      </c>
      <c r="B320" s="459" t="s">
        <v>512</v>
      </c>
      <c r="C320" s="861"/>
      <c r="D320" s="861"/>
      <c r="E320" s="861"/>
      <c r="F320" s="152"/>
      <c r="G320" s="152"/>
      <c r="H320" s="152"/>
      <c r="I320" s="152"/>
      <c r="J320" s="271"/>
      <c r="K320" s="271"/>
      <c r="L320" s="271"/>
      <c r="M320" s="271"/>
      <c r="N320" s="271"/>
      <c r="O320" s="271"/>
      <c r="P320" s="271">
        <f t="shared" ref="P320:P388" si="237">O320-M320</f>
        <v>0</v>
      </c>
      <c r="Q320" s="271"/>
      <c r="R320" s="271">
        <f t="shared" si="168"/>
        <v>0</v>
      </c>
      <c r="S320" s="271"/>
      <c r="T320" s="271"/>
      <c r="U320" s="271"/>
      <c r="V320" s="271"/>
      <c r="W320" s="272"/>
      <c r="Y320" s="355"/>
    </row>
    <row r="321" spans="1:25" outlineLevel="1" x14ac:dyDescent="0.2">
      <c r="A321" s="366" t="s">
        <v>942</v>
      </c>
      <c r="B321" s="142" t="s">
        <v>513</v>
      </c>
      <c r="C321" s="858">
        <v>240</v>
      </c>
      <c r="D321" s="833">
        <v>390</v>
      </c>
      <c r="E321" s="859"/>
      <c r="F321" s="143">
        <v>100</v>
      </c>
      <c r="G321" s="143">
        <v>1000</v>
      </c>
      <c r="H321" s="145" t="s">
        <v>260</v>
      </c>
      <c r="I321" s="145"/>
      <c r="J321" s="115">
        <v>0</v>
      </c>
      <c r="K321" s="115">
        <v>0</v>
      </c>
      <c r="L321" s="115">
        <v>0</v>
      </c>
      <c r="M321" s="115">
        <v>0</v>
      </c>
      <c r="N321" s="115">
        <v>0</v>
      </c>
      <c r="O321" s="932">
        <f>'2022 Budget &amp; CF'!AA321</f>
        <v>0</v>
      </c>
      <c r="P321" s="12">
        <f t="shared" ref="P321:P322" si="238">O321-N321</f>
        <v>0</v>
      </c>
      <c r="Q321" s="932">
        <f t="shared" ref="Q321" si="239">O321</f>
        <v>0</v>
      </c>
      <c r="R321" s="115">
        <f t="shared" si="168"/>
        <v>0</v>
      </c>
      <c r="S321" s="115">
        <f>Q321</f>
        <v>0</v>
      </c>
      <c r="T321" s="115">
        <f t="shared" ref="T321:T322" si="240">S321</f>
        <v>0</v>
      </c>
      <c r="U321" s="115">
        <f t="shared" ref="U321" si="241">T321</f>
        <v>0</v>
      </c>
      <c r="V321" s="115">
        <f t="shared" ref="V321" si="242">U321</f>
        <v>0</v>
      </c>
      <c r="W321" s="115">
        <f t="shared" ref="W321" si="243">V321</f>
        <v>0</v>
      </c>
      <c r="Y321" s="355"/>
    </row>
    <row r="322" spans="1:25" outlineLevel="1" x14ac:dyDescent="0.2">
      <c r="A322" s="366" t="s">
        <v>1011</v>
      </c>
      <c r="B322" s="142" t="s">
        <v>1056</v>
      </c>
      <c r="C322" s="858">
        <v>240</v>
      </c>
      <c r="D322" s="833">
        <v>390</v>
      </c>
      <c r="E322" s="859"/>
      <c r="F322" s="143">
        <v>100</v>
      </c>
      <c r="G322" s="143">
        <v>1000</v>
      </c>
      <c r="H322" s="145" t="s">
        <v>264</v>
      </c>
      <c r="I322" s="145"/>
      <c r="J322" s="115">
        <v>0</v>
      </c>
      <c r="K322" s="115">
        <v>1159.7</v>
      </c>
      <c r="L322" s="115">
        <v>0</v>
      </c>
      <c r="M322" s="115">
        <v>0</v>
      </c>
      <c r="N322" s="115">
        <v>0</v>
      </c>
      <c r="O322" s="932">
        <f>'2022 Budget &amp; CF'!AA322</f>
        <v>0</v>
      </c>
      <c r="P322" s="12">
        <f t="shared" si="238"/>
        <v>0</v>
      </c>
      <c r="Q322" s="932">
        <f t="shared" ref="Q322" si="244">O322</f>
        <v>0</v>
      </c>
      <c r="R322" s="115">
        <f t="shared" si="168"/>
        <v>0</v>
      </c>
      <c r="S322" s="115">
        <f>Q322</f>
        <v>0</v>
      </c>
      <c r="T322" s="115">
        <f t="shared" si="240"/>
        <v>0</v>
      </c>
      <c r="U322" s="115">
        <f t="shared" ref="U322" si="245">T322</f>
        <v>0</v>
      </c>
      <c r="V322" s="115">
        <f t="shared" ref="V322" si="246">U322</f>
        <v>0</v>
      </c>
      <c r="W322" s="115">
        <f t="shared" ref="W322" si="247">V322</f>
        <v>0</v>
      </c>
      <c r="Y322" s="355"/>
    </row>
    <row r="323" spans="1:25" outlineLevel="1" x14ac:dyDescent="0.2">
      <c r="A323" s="366" t="s">
        <v>1012</v>
      </c>
      <c r="B323" s="459" t="s">
        <v>42</v>
      </c>
      <c r="C323" s="861"/>
      <c r="D323" s="861"/>
      <c r="E323" s="861"/>
      <c r="F323" s="152"/>
      <c r="G323" s="152"/>
      <c r="H323" s="152"/>
      <c r="I323" s="152"/>
      <c r="J323" s="271"/>
      <c r="K323" s="271"/>
      <c r="L323" s="271"/>
      <c r="M323" s="271"/>
      <c r="N323" s="271"/>
      <c r="O323" s="271"/>
      <c r="P323" s="271">
        <f t="shared" si="237"/>
        <v>0</v>
      </c>
      <c r="Q323" s="271"/>
      <c r="R323" s="271">
        <f t="shared" si="168"/>
        <v>0</v>
      </c>
      <c r="S323" s="271"/>
      <c r="T323" s="271"/>
      <c r="U323" s="271"/>
      <c r="V323" s="271"/>
      <c r="W323" s="272"/>
      <c r="Y323" s="355"/>
    </row>
    <row r="324" spans="1:25" outlineLevel="1" x14ac:dyDescent="0.2">
      <c r="A324" s="366" t="s">
        <v>1013</v>
      </c>
      <c r="B324" s="142" t="s">
        <v>545</v>
      </c>
      <c r="C324" s="858" t="s">
        <v>462</v>
      </c>
      <c r="D324" s="859" t="s">
        <v>132</v>
      </c>
      <c r="E324" s="859"/>
      <c r="F324" s="143" t="s">
        <v>463</v>
      </c>
      <c r="G324" s="143" t="s">
        <v>485</v>
      </c>
      <c r="H324" s="145" t="s">
        <v>254</v>
      </c>
      <c r="I324" s="145"/>
      <c r="J324" s="115">
        <v>0</v>
      </c>
      <c r="K324" s="115">
        <v>0</v>
      </c>
      <c r="L324" s="115">
        <v>0</v>
      </c>
      <c r="M324" s="115">
        <v>0</v>
      </c>
      <c r="N324" s="115">
        <v>0</v>
      </c>
      <c r="O324" s="932">
        <f>'2022 Budget &amp; CF'!AA324</f>
        <v>0</v>
      </c>
      <c r="P324" s="12">
        <f t="shared" ref="P324:P325" si="248">O324-N324</f>
        <v>0</v>
      </c>
      <c r="Q324" s="932">
        <f t="shared" ref="Q324:Q325" si="249">O324</f>
        <v>0</v>
      </c>
      <c r="R324" s="114">
        <f t="shared" si="168"/>
        <v>0</v>
      </c>
      <c r="S324" s="114">
        <f t="shared" ref="S324:S329" si="250">Q324</f>
        <v>0</v>
      </c>
      <c r="T324" s="114">
        <f t="shared" ref="T324:T329" si="251">S324</f>
        <v>0</v>
      </c>
      <c r="U324" s="114">
        <f t="shared" ref="U324:U325" si="252">T324</f>
        <v>0</v>
      </c>
      <c r="V324" s="114">
        <f t="shared" ref="V324:V325" si="253">U324</f>
        <v>0</v>
      </c>
      <c r="W324" s="114">
        <f t="shared" ref="W324:W325" si="254">V324</f>
        <v>0</v>
      </c>
      <c r="Y324" s="355"/>
    </row>
    <row r="325" spans="1:25" outlineLevel="1" x14ac:dyDescent="0.2">
      <c r="A325" s="366" t="s">
        <v>1014</v>
      </c>
      <c r="B325" s="142" t="s">
        <v>276</v>
      </c>
      <c r="C325" s="858">
        <v>250</v>
      </c>
      <c r="D325" s="859" t="s">
        <v>145</v>
      </c>
      <c r="E325" s="859"/>
      <c r="F325" s="143">
        <v>200</v>
      </c>
      <c r="G325" s="143">
        <v>2240</v>
      </c>
      <c r="H325" s="145" t="s">
        <v>254</v>
      </c>
      <c r="I325" s="145"/>
      <c r="J325" s="115">
        <v>0</v>
      </c>
      <c r="K325" s="115">
        <v>0</v>
      </c>
      <c r="L325" s="115">
        <v>0</v>
      </c>
      <c r="M325" s="115">
        <v>0</v>
      </c>
      <c r="N325" s="115">
        <v>0</v>
      </c>
      <c r="O325" s="932">
        <f>'2022 Budget &amp; CF'!AA325</f>
        <v>0</v>
      </c>
      <c r="P325" s="12">
        <f t="shared" si="248"/>
        <v>0</v>
      </c>
      <c r="Q325" s="932">
        <f t="shared" si="249"/>
        <v>0</v>
      </c>
      <c r="R325" s="114">
        <f t="shared" si="168"/>
        <v>0</v>
      </c>
      <c r="S325" s="114">
        <f t="shared" si="250"/>
        <v>0</v>
      </c>
      <c r="T325" s="114">
        <f t="shared" si="251"/>
        <v>0</v>
      </c>
      <c r="U325" s="114">
        <f t="shared" si="252"/>
        <v>0</v>
      </c>
      <c r="V325" s="114">
        <f t="shared" si="253"/>
        <v>0</v>
      </c>
      <c r="W325" s="114">
        <f t="shared" si="254"/>
        <v>0</v>
      </c>
      <c r="Y325" s="355"/>
    </row>
    <row r="326" spans="1:25" outlineLevel="1" x14ac:dyDescent="0.2">
      <c r="A326" s="366" t="s">
        <v>1015</v>
      </c>
      <c r="B326" s="142" t="s">
        <v>545</v>
      </c>
      <c r="C326" s="858" t="s">
        <v>462</v>
      </c>
      <c r="D326" s="859">
        <v>205</v>
      </c>
      <c r="E326" s="859"/>
      <c r="F326" s="143" t="s">
        <v>463</v>
      </c>
      <c r="G326" s="143" t="s">
        <v>543</v>
      </c>
      <c r="H326" s="145" t="s">
        <v>254</v>
      </c>
      <c r="I326" s="145"/>
      <c r="J326" s="115">
        <v>0</v>
      </c>
      <c r="K326" s="115">
        <v>49.99</v>
      </c>
      <c r="L326" s="115">
        <v>0</v>
      </c>
      <c r="M326" s="115">
        <v>0</v>
      </c>
      <c r="N326" s="115">
        <v>0</v>
      </c>
      <c r="O326" s="932">
        <f>'2022 Budget &amp; CF'!AA326</f>
        <v>0</v>
      </c>
      <c r="P326" s="12">
        <f t="shared" ref="P326:P330" si="255">O326-N326</f>
        <v>0</v>
      </c>
      <c r="Q326" s="932">
        <f>O326</f>
        <v>0</v>
      </c>
      <c r="R326" s="12">
        <f t="shared" si="168"/>
        <v>0</v>
      </c>
      <c r="S326" s="12">
        <f t="shared" si="250"/>
        <v>0</v>
      </c>
      <c r="T326" s="12">
        <f t="shared" si="251"/>
        <v>0</v>
      </c>
      <c r="U326" s="12">
        <f t="shared" ref="U326:W326" si="256">T326</f>
        <v>0</v>
      </c>
      <c r="V326" s="12">
        <f t="shared" si="256"/>
        <v>0</v>
      </c>
      <c r="W326" s="12">
        <f t="shared" si="256"/>
        <v>0</v>
      </c>
      <c r="Y326" s="355"/>
    </row>
    <row r="327" spans="1:25" outlineLevel="1" x14ac:dyDescent="0.2">
      <c r="A327" s="366" t="s">
        <v>1016</v>
      </c>
      <c r="B327" s="142" t="s">
        <v>545</v>
      </c>
      <c r="C327" s="858" t="s">
        <v>462</v>
      </c>
      <c r="D327" s="859">
        <v>205</v>
      </c>
      <c r="E327" s="859"/>
      <c r="F327" s="143" t="s">
        <v>463</v>
      </c>
      <c r="G327" s="143" t="s">
        <v>540</v>
      </c>
      <c r="H327" s="145" t="s">
        <v>254</v>
      </c>
      <c r="I327" s="145"/>
      <c r="J327" s="115">
        <v>0</v>
      </c>
      <c r="K327" s="115">
        <v>16</v>
      </c>
      <c r="L327" s="115">
        <v>0</v>
      </c>
      <c r="M327" s="115">
        <v>0</v>
      </c>
      <c r="N327" s="115">
        <v>0</v>
      </c>
      <c r="O327" s="932">
        <f>'2022 Budget &amp; CF'!AA327</f>
        <v>0</v>
      </c>
      <c r="P327" s="12">
        <f t="shared" si="255"/>
        <v>0</v>
      </c>
      <c r="Q327" s="932">
        <f t="shared" ref="Q327:Q332" si="257">O327</f>
        <v>0</v>
      </c>
      <c r="R327" s="114">
        <f t="shared" si="168"/>
        <v>0</v>
      </c>
      <c r="S327" s="114">
        <f t="shared" si="250"/>
        <v>0</v>
      </c>
      <c r="T327" s="114">
        <f t="shared" si="251"/>
        <v>0</v>
      </c>
      <c r="U327" s="114">
        <f t="shared" ref="U327:U332" si="258">T327</f>
        <v>0</v>
      </c>
      <c r="V327" s="114">
        <f t="shared" ref="V327:V332" si="259">U327</f>
        <v>0</v>
      </c>
      <c r="W327" s="114">
        <f t="shared" ref="W327:W332" si="260">V327</f>
        <v>0</v>
      </c>
      <c r="Y327" s="355"/>
    </row>
    <row r="328" spans="1:25" outlineLevel="1" x14ac:dyDescent="0.2">
      <c r="A328" s="366" t="s">
        <v>1017</v>
      </c>
      <c r="B328" s="142" t="s">
        <v>276</v>
      </c>
      <c r="C328" s="858">
        <v>250</v>
      </c>
      <c r="D328" s="859" t="s">
        <v>145</v>
      </c>
      <c r="E328" s="859"/>
      <c r="F328" s="143">
        <v>200</v>
      </c>
      <c r="G328" s="143">
        <v>1000</v>
      </c>
      <c r="H328" s="145" t="s">
        <v>256</v>
      </c>
      <c r="I328" s="145"/>
      <c r="J328" s="115">
        <v>0</v>
      </c>
      <c r="K328" s="115">
        <v>0</v>
      </c>
      <c r="L328" s="115">
        <v>0</v>
      </c>
      <c r="M328" s="115">
        <v>0</v>
      </c>
      <c r="N328" s="115">
        <v>0</v>
      </c>
      <c r="O328" s="932">
        <f>'2022 Budget &amp; CF'!AA328</f>
        <v>0</v>
      </c>
      <c r="P328" s="12">
        <f t="shared" si="255"/>
        <v>0</v>
      </c>
      <c r="Q328" s="932">
        <f t="shared" si="257"/>
        <v>0</v>
      </c>
      <c r="R328" s="114">
        <f t="shared" si="168"/>
        <v>0</v>
      </c>
      <c r="S328" s="114">
        <f t="shared" si="250"/>
        <v>0</v>
      </c>
      <c r="T328" s="114">
        <f t="shared" si="251"/>
        <v>0</v>
      </c>
      <c r="U328" s="114">
        <f t="shared" si="258"/>
        <v>0</v>
      </c>
      <c r="V328" s="114">
        <f t="shared" si="259"/>
        <v>0</v>
      </c>
      <c r="W328" s="114">
        <f t="shared" si="260"/>
        <v>0</v>
      </c>
      <c r="Y328" s="355"/>
    </row>
    <row r="329" spans="1:25" outlineLevel="1" x14ac:dyDescent="0.2">
      <c r="A329" s="366" t="s">
        <v>1018</v>
      </c>
      <c r="B329" s="142" t="s">
        <v>513</v>
      </c>
      <c r="C329" s="858" t="s">
        <v>462</v>
      </c>
      <c r="D329" s="859" t="s">
        <v>132</v>
      </c>
      <c r="E329" s="859"/>
      <c r="F329" s="143" t="s">
        <v>463</v>
      </c>
      <c r="G329" s="143" t="s">
        <v>485</v>
      </c>
      <c r="H329" s="145" t="s">
        <v>260</v>
      </c>
      <c r="I329" s="145"/>
      <c r="J329" s="115">
        <v>0</v>
      </c>
      <c r="K329" s="115">
        <v>0</v>
      </c>
      <c r="L329" s="115">
        <v>0</v>
      </c>
      <c r="M329" s="115">
        <v>0</v>
      </c>
      <c r="N329" s="115">
        <v>0</v>
      </c>
      <c r="O329" s="932">
        <f>'2022 Budget &amp; CF'!AA329</f>
        <v>0</v>
      </c>
      <c r="P329" s="12">
        <f t="shared" ref="P329" si="261">O329-N329</f>
        <v>0</v>
      </c>
      <c r="Q329" s="932">
        <f t="shared" ref="Q329" si="262">O329</f>
        <v>0</v>
      </c>
      <c r="R329" s="114">
        <f t="shared" si="168"/>
        <v>0</v>
      </c>
      <c r="S329" s="114">
        <f t="shared" si="250"/>
        <v>0</v>
      </c>
      <c r="T329" s="114">
        <f t="shared" si="251"/>
        <v>0</v>
      </c>
      <c r="U329" s="114">
        <f t="shared" ref="U329" si="263">T329</f>
        <v>0</v>
      </c>
      <c r="V329" s="114">
        <f t="shared" ref="V329" si="264">U329</f>
        <v>0</v>
      </c>
      <c r="W329" s="114">
        <f t="shared" ref="W329" si="265">V329</f>
        <v>0</v>
      </c>
      <c r="Y329" s="355"/>
    </row>
    <row r="330" spans="1:25" outlineLevel="1" x14ac:dyDescent="0.2">
      <c r="A330" s="366" t="s">
        <v>1019</v>
      </c>
      <c r="B330" s="142" t="s">
        <v>551</v>
      </c>
      <c r="C330" s="858" t="s">
        <v>462</v>
      </c>
      <c r="D330" s="859">
        <v>205</v>
      </c>
      <c r="E330" s="859"/>
      <c r="F330" s="143" t="s">
        <v>463</v>
      </c>
      <c r="G330" s="143" t="s">
        <v>461</v>
      </c>
      <c r="H330" s="145" t="s">
        <v>264</v>
      </c>
      <c r="I330" s="145"/>
      <c r="J330" s="115">
        <v>0</v>
      </c>
      <c r="K330" s="115">
        <v>765</v>
      </c>
      <c r="L330" s="115">
        <v>1000</v>
      </c>
      <c r="M330" s="115">
        <v>765</v>
      </c>
      <c r="N330" s="115">
        <v>1000</v>
      </c>
      <c r="O330" s="932">
        <f>'2022 Budget &amp; CF'!AA330</f>
        <v>1000</v>
      </c>
      <c r="P330" s="12">
        <f t="shared" si="255"/>
        <v>0</v>
      </c>
      <c r="Q330" s="932">
        <f>'Mandatory PP Spending'!Q28</f>
        <v>1000</v>
      </c>
      <c r="R330" s="114">
        <f t="shared" ref="R330:R395" si="266">Q330-N330</f>
        <v>0</v>
      </c>
      <c r="S330" s="114">
        <f>'Mandatory PP Spending'!R28</f>
        <v>1112</v>
      </c>
      <c r="T330" s="114">
        <f>'Mandatory PP Spending'!S28</f>
        <v>1197</v>
      </c>
      <c r="U330" s="114">
        <f>'Mandatory PP Spending'!T28</f>
        <v>1257</v>
      </c>
      <c r="V330" s="114">
        <f>'Mandatory PP Spending'!U28</f>
        <v>1265</v>
      </c>
      <c r="W330" s="114">
        <f>'Mandatory PP Spending'!V28</f>
        <v>1257</v>
      </c>
      <c r="Y330" s="355"/>
    </row>
    <row r="331" spans="1:25" outlineLevel="1" x14ac:dyDescent="0.2">
      <c r="A331" s="366" t="s">
        <v>1020</v>
      </c>
      <c r="B331" s="461" t="s">
        <v>376</v>
      </c>
      <c r="C331" s="861"/>
      <c r="D331" s="861"/>
      <c r="E331" s="861"/>
      <c r="F331" s="152"/>
      <c r="G331" s="152"/>
      <c r="H331" s="152"/>
      <c r="I331" s="152"/>
      <c r="J331" s="271"/>
      <c r="K331" s="271"/>
      <c r="L331" s="271"/>
      <c r="M331" s="271"/>
      <c r="N331" s="271"/>
      <c r="O331" s="271"/>
      <c r="P331" s="271">
        <f t="shared" si="237"/>
        <v>0</v>
      </c>
      <c r="Q331" s="271"/>
      <c r="R331" s="271">
        <f t="shared" si="266"/>
        <v>0</v>
      </c>
      <c r="S331" s="271"/>
      <c r="T331" s="271"/>
      <c r="U331" s="271"/>
      <c r="V331" s="271"/>
      <c r="W331" s="272"/>
      <c r="Y331" s="355"/>
    </row>
    <row r="332" spans="1:25" outlineLevel="1" x14ac:dyDescent="0.2">
      <c r="A332" s="366" t="s">
        <v>1021</v>
      </c>
      <c r="B332" s="142" t="s">
        <v>545</v>
      </c>
      <c r="C332" s="858" t="s">
        <v>135</v>
      </c>
      <c r="D332" s="837">
        <v>340</v>
      </c>
      <c r="E332" s="859"/>
      <c r="F332" s="143" t="s">
        <v>468</v>
      </c>
      <c r="G332" s="143" t="s">
        <v>542</v>
      </c>
      <c r="H332" s="145" t="s">
        <v>254</v>
      </c>
      <c r="I332" s="145"/>
      <c r="J332" s="115">
        <v>0</v>
      </c>
      <c r="K332" s="115">
        <v>9415.1999999999989</v>
      </c>
      <c r="L332" s="115">
        <v>0</v>
      </c>
      <c r="M332" s="115">
        <v>0</v>
      </c>
      <c r="N332" s="115">
        <v>0</v>
      </c>
      <c r="O332" s="932">
        <f>'2022 Budget &amp; CF'!AA332</f>
        <v>0</v>
      </c>
      <c r="P332" s="12">
        <f t="shared" ref="P332:P334" si="267">O332-N332</f>
        <v>0</v>
      </c>
      <c r="Q332" s="932">
        <f t="shared" si="257"/>
        <v>0</v>
      </c>
      <c r="R332" s="115">
        <f t="shared" si="266"/>
        <v>0</v>
      </c>
      <c r="S332" s="115">
        <f>Q332</f>
        <v>0</v>
      </c>
      <c r="T332" s="115">
        <f t="shared" ref="T332:T334" si="268">S332</f>
        <v>0</v>
      </c>
      <c r="U332" s="115">
        <f t="shared" si="258"/>
        <v>0</v>
      </c>
      <c r="V332" s="115">
        <f t="shared" si="259"/>
        <v>0</v>
      </c>
      <c r="W332" s="115">
        <f t="shared" si="260"/>
        <v>0</v>
      </c>
      <c r="Y332" s="355"/>
    </row>
    <row r="333" spans="1:25" outlineLevel="1" x14ac:dyDescent="0.2">
      <c r="A333" s="366" t="s">
        <v>137</v>
      </c>
      <c r="B333" s="142" t="s">
        <v>546</v>
      </c>
      <c r="C333" s="858" t="s">
        <v>135</v>
      </c>
      <c r="D333" s="837">
        <v>340</v>
      </c>
      <c r="E333" s="859"/>
      <c r="F333" s="143">
        <v>100</v>
      </c>
      <c r="G333" s="143">
        <v>1000</v>
      </c>
      <c r="H333" s="145" t="s">
        <v>262</v>
      </c>
      <c r="I333" s="145"/>
      <c r="J333" s="115">
        <v>0</v>
      </c>
      <c r="K333" s="115">
        <v>40535.5</v>
      </c>
      <c r="L333" s="115">
        <v>0</v>
      </c>
      <c r="M333" s="115">
        <v>0</v>
      </c>
      <c r="N333" s="115">
        <v>0</v>
      </c>
      <c r="O333" s="932">
        <f>'2022 Budget &amp; CF'!AA333</f>
        <v>0</v>
      </c>
      <c r="P333" s="12">
        <f t="shared" si="267"/>
        <v>0</v>
      </c>
      <c r="Q333" s="932">
        <f t="shared" ref="Q333:Q334" si="269">O333</f>
        <v>0</v>
      </c>
      <c r="R333" s="115">
        <f t="shared" si="266"/>
        <v>0</v>
      </c>
      <c r="S333" s="115">
        <f>Q333</f>
        <v>0</v>
      </c>
      <c r="T333" s="115">
        <f t="shared" si="268"/>
        <v>0</v>
      </c>
      <c r="U333" s="115">
        <f t="shared" ref="U333:W334" si="270">T333</f>
        <v>0</v>
      </c>
      <c r="V333" s="115">
        <f t="shared" si="270"/>
        <v>0</v>
      </c>
      <c r="W333" s="115">
        <f t="shared" si="270"/>
        <v>0</v>
      </c>
      <c r="Y333" s="355"/>
    </row>
    <row r="334" spans="1:25" outlineLevel="1" x14ac:dyDescent="0.2">
      <c r="A334" s="366" t="s">
        <v>1022</v>
      </c>
      <c r="B334" s="142" t="s">
        <v>551</v>
      </c>
      <c r="C334" s="858" t="s">
        <v>135</v>
      </c>
      <c r="D334" s="837">
        <v>340</v>
      </c>
      <c r="E334" s="859"/>
      <c r="F334" s="143">
        <v>100</v>
      </c>
      <c r="G334" s="143">
        <v>1000</v>
      </c>
      <c r="H334" s="145" t="s">
        <v>260</v>
      </c>
      <c r="I334" s="145"/>
      <c r="J334" s="115">
        <v>0</v>
      </c>
      <c r="K334" s="115">
        <v>3809.1</v>
      </c>
      <c r="L334" s="115">
        <v>0</v>
      </c>
      <c r="M334" s="115">
        <v>0</v>
      </c>
      <c r="N334" s="115">
        <v>0</v>
      </c>
      <c r="O334" s="932">
        <f>'2022 Budget &amp; CF'!AA334</f>
        <v>0</v>
      </c>
      <c r="P334" s="12">
        <f t="shared" si="267"/>
        <v>0</v>
      </c>
      <c r="Q334" s="932">
        <f t="shared" si="269"/>
        <v>0</v>
      </c>
      <c r="R334" s="115">
        <f t="shared" si="266"/>
        <v>0</v>
      </c>
      <c r="S334" s="115">
        <f>Q334</f>
        <v>0</v>
      </c>
      <c r="T334" s="115">
        <f t="shared" si="268"/>
        <v>0</v>
      </c>
      <c r="U334" s="115">
        <f t="shared" si="270"/>
        <v>0</v>
      </c>
      <c r="V334" s="115">
        <f t="shared" si="270"/>
        <v>0</v>
      </c>
      <c r="W334" s="115">
        <f t="shared" si="270"/>
        <v>0</v>
      </c>
      <c r="Y334" s="355"/>
    </row>
    <row r="335" spans="1:25" outlineLevel="1" x14ac:dyDescent="0.2">
      <c r="A335" s="366" t="s">
        <v>1023</v>
      </c>
      <c r="B335" s="459" t="s">
        <v>139</v>
      </c>
      <c r="C335" s="861"/>
      <c r="D335" s="861"/>
      <c r="E335" s="861"/>
      <c r="F335" s="152"/>
      <c r="G335" s="152"/>
      <c r="H335" s="152"/>
      <c r="I335" s="152"/>
      <c r="J335" s="271"/>
      <c r="K335" s="271"/>
      <c r="L335" s="271"/>
      <c r="M335" s="271"/>
      <c r="N335" s="271"/>
      <c r="O335" s="271"/>
      <c r="P335" s="271">
        <f t="shared" si="237"/>
        <v>0</v>
      </c>
      <c r="Q335" s="271"/>
      <c r="R335" s="271">
        <f t="shared" si="266"/>
        <v>0</v>
      </c>
      <c r="S335" s="271"/>
      <c r="T335" s="271"/>
      <c r="U335" s="271"/>
      <c r="V335" s="271"/>
      <c r="W335" s="272"/>
      <c r="Y335" s="355"/>
    </row>
    <row r="336" spans="1:25" outlineLevel="1" x14ac:dyDescent="0.2">
      <c r="A336" s="366" t="s">
        <v>1024</v>
      </c>
      <c r="B336" s="142" t="s">
        <v>546</v>
      </c>
      <c r="C336" s="858" t="s">
        <v>135</v>
      </c>
      <c r="D336" s="837">
        <v>624</v>
      </c>
      <c r="E336" s="859"/>
      <c r="F336" s="143">
        <v>430</v>
      </c>
      <c r="G336" s="143">
        <v>2580</v>
      </c>
      <c r="H336" s="145" t="s">
        <v>262</v>
      </c>
      <c r="I336" s="145"/>
      <c r="J336" s="115">
        <v>0</v>
      </c>
      <c r="K336" s="115">
        <v>8884.7000000000007</v>
      </c>
      <c r="L336" s="115">
        <v>0</v>
      </c>
      <c r="M336" s="115">
        <v>8885</v>
      </c>
      <c r="N336" s="115">
        <v>8885</v>
      </c>
      <c r="O336" s="932">
        <f>'2022 Budget &amp; CF'!AA336</f>
        <v>8885</v>
      </c>
      <c r="P336" s="12">
        <f t="shared" ref="P336:P337" si="271">O336-N336</f>
        <v>0</v>
      </c>
      <c r="Q336" s="932">
        <f t="shared" ref="Q336" si="272">O336</f>
        <v>8885</v>
      </c>
      <c r="R336" s="12">
        <f t="shared" si="266"/>
        <v>0</v>
      </c>
      <c r="S336" s="12">
        <f>Q336</f>
        <v>8885</v>
      </c>
      <c r="T336" s="12">
        <f t="shared" ref="T336:T337" si="273">S336</f>
        <v>8885</v>
      </c>
      <c r="U336" s="12">
        <f t="shared" ref="U336" si="274">T336</f>
        <v>8885</v>
      </c>
      <c r="V336" s="12">
        <f t="shared" ref="V336" si="275">U336</f>
        <v>8885</v>
      </c>
      <c r="W336" s="12">
        <f t="shared" ref="W336" si="276">V336</f>
        <v>8885</v>
      </c>
      <c r="Y336" s="355"/>
    </row>
    <row r="337" spans="1:25" outlineLevel="1" x14ac:dyDescent="0.2">
      <c r="A337" s="366" t="s">
        <v>1025</v>
      </c>
      <c r="B337" s="142" t="s">
        <v>514</v>
      </c>
      <c r="C337" s="858">
        <v>280</v>
      </c>
      <c r="D337" s="837">
        <v>624</v>
      </c>
      <c r="E337" s="859"/>
      <c r="F337" s="143">
        <v>430</v>
      </c>
      <c r="G337" s="143">
        <v>1000</v>
      </c>
      <c r="H337" s="145" t="s">
        <v>264</v>
      </c>
      <c r="I337" s="145"/>
      <c r="J337" s="115">
        <v>0</v>
      </c>
      <c r="K337" s="115">
        <v>0</v>
      </c>
      <c r="L337" s="115">
        <v>0</v>
      </c>
      <c r="M337" s="115">
        <v>0</v>
      </c>
      <c r="N337" s="115">
        <v>0</v>
      </c>
      <c r="O337" s="932">
        <f>'2022 Budget &amp; CF'!AA337</f>
        <v>0</v>
      </c>
      <c r="P337" s="12">
        <f t="shared" si="271"/>
        <v>0</v>
      </c>
      <c r="Q337" s="932">
        <f t="shared" ref="Q337" si="277">O337</f>
        <v>0</v>
      </c>
      <c r="R337" s="12">
        <f t="shared" si="266"/>
        <v>0</v>
      </c>
      <c r="S337" s="12">
        <f>Q337</f>
        <v>0</v>
      </c>
      <c r="T337" s="12">
        <f t="shared" si="273"/>
        <v>0</v>
      </c>
      <c r="U337" s="12">
        <f t="shared" ref="U337" si="278">T337</f>
        <v>0</v>
      </c>
      <c r="V337" s="12">
        <f t="shared" ref="V337" si="279">U337</f>
        <v>0</v>
      </c>
      <c r="W337" s="12">
        <f t="shared" ref="W337" si="280">V337</f>
        <v>0</v>
      </c>
      <c r="Y337" s="355"/>
    </row>
    <row r="338" spans="1:25" outlineLevel="1" x14ac:dyDescent="0.2">
      <c r="A338" s="366" t="s">
        <v>1026</v>
      </c>
      <c r="B338" s="460" t="s">
        <v>1306</v>
      </c>
      <c r="C338" s="853"/>
      <c r="D338" s="853"/>
      <c r="E338" s="853"/>
      <c r="F338" s="132"/>
      <c r="G338" s="132"/>
      <c r="H338" s="152"/>
      <c r="I338" s="152"/>
      <c r="J338" s="271"/>
      <c r="K338" s="271"/>
      <c r="L338" s="271"/>
      <c r="M338" s="271"/>
      <c r="N338" s="271"/>
      <c r="O338" s="271"/>
      <c r="P338" s="271">
        <f t="shared" ref="P338" si="281">O338-M338</f>
        <v>0</v>
      </c>
      <c r="Q338" s="271"/>
      <c r="R338" s="271">
        <f t="shared" ref="R338:R339" si="282">Q338-N338</f>
        <v>0</v>
      </c>
      <c r="S338" s="271"/>
      <c r="T338" s="271"/>
      <c r="U338" s="271"/>
      <c r="V338" s="271"/>
      <c r="W338" s="272"/>
      <c r="Y338" s="355"/>
    </row>
    <row r="339" spans="1:25" outlineLevel="1" x14ac:dyDescent="0.2">
      <c r="A339" s="366" t="s">
        <v>1165</v>
      </c>
      <c r="B339" s="142" t="s">
        <v>826</v>
      </c>
      <c r="C339" s="858">
        <v>280</v>
      </c>
      <c r="D339" s="837">
        <v>633</v>
      </c>
      <c r="E339" s="859"/>
      <c r="F339" s="143">
        <v>430</v>
      </c>
      <c r="G339" s="143">
        <v>1000</v>
      </c>
      <c r="H339" s="145" t="s">
        <v>254</v>
      </c>
      <c r="I339" s="145"/>
      <c r="J339" s="115">
        <v>0</v>
      </c>
      <c r="K339" s="115">
        <v>4500</v>
      </c>
      <c r="L339" s="115">
        <v>0</v>
      </c>
      <c r="M339" s="115">
        <v>0</v>
      </c>
      <c r="N339" s="115">
        <v>0</v>
      </c>
      <c r="O339" s="932">
        <f>'2022 Budget &amp; CF'!AA337</f>
        <v>0</v>
      </c>
      <c r="P339" s="12">
        <f>O339-N339</f>
        <v>0</v>
      </c>
      <c r="Q339" s="932">
        <f t="shared" ref="Q339" si="283">O339</f>
        <v>0</v>
      </c>
      <c r="R339" s="12">
        <f t="shared" si="282"/>
        <v>0</v>
      </c>
      <c r="S339" s="12">
        <f>Q339</f>
        <v>0</v>
      </c>
      <c r="T339" s="12">
        <f t="shared" ref="T339" si="284">S339</f>
        <v>0</v>
      </c>
      <c r="U339" s="12">
        <f t="shared" ref="U339" si="285">T339</f>
        <v>0</v>
      </c>
      <c r="V339" s="12">
        <f t="shared" ref="V339" si="286">U339</f>
        <v>0</v>
      </c>
      <c r="W339" s="12">
        <f t="shared" ref="W339" si="287">V339</f>
        <v>0</v>
      </c>
      <c r="Y339" s="355"/>
    </row>
    <row r="340" spans="1:25" outlineLevel="1" x14ac:dyDescent="0.2">
      <c r="A340" s="366" t="s">
        <v>1026</v>
      </c>
      <c r="B340" s="460" t="s">
        <v>531</v>
      </c>
      <c r="C340" s="853"/>
      <c r="D340" s="853"/>
      <c r="E340" s="853"/>
      <c r="F340" s="132"/>
      <c r="G340" s="132"/>
      <c r="H340" s="152"/>
      <c r="I340" s="152"/>
      <c r="J340" s="271"/>
      <c r="K340" s="271"/>
      <c r="L340" s="271"/>
      <c r="M340" s="271"/>
      <c r="N340" s="271"/>
      <c r="O340" s="271"/>
      <c r="P340" s="271">
        <f t="shared" si="237"/>
        <v>0</v>
      </c>
      <c r="Q340" s="271"/>
      <c r="R340" s="271">
        <f t="shared" si="266"/>
        <v>0</v>
      </c>
      <c r="S340" s="271"/>
      <c r="T340" s="271"/>
      <c r="U340" s="271"/>
      <c r="V340" s="271"/>
      <c r="W340" s="272"/>
      <c r="Y340" s="355"/>
    </row>
    <row r="341" spans="1:25" outlineLevel="1" x14ac:dyDescent="0.2">
      <c r="A341" s="366" t="s">
        <v>1165</v>
      </c>
      <c r="B341" s="142" t="s">
        <v>826</v>
      </c>
      <c r="C341" s="858">
        <v>280</v>
      </c>
      <c r="D341" s="837">
        <v>650</v>
      </c>
      <c r="E341" s="859"/>
      <c r="F341" s="143">
        <v>430</v>
      </c>
      <c r="G341" s="143">
        <v>1000</v>
      </c>
      <c r="H341" s="145" t="s">
        <v>254</v>
      </c>
      <c r="I341" s="145"/>
      <c r="J341" s="115">
        <v>0</v>
      </c>
      <c r="K341" s="115">
        <v>0</v>
      </c>
      <c r="L341" s="115">
        <v>0</v>
      </c>
      <c r="M341" s="115">
        <v>0</v>
      </c>
      <c r="N341" s="115">
        <v>0</v>
      </c>
      <c r="O341" s="932">
        <f>'2022 Budget &amp; CF'!AA341</f>
        <v>0</v>
      </c>
      <c r="P341" s="12">
        <f>O341-N341</f>
        <v>0</v>
      </c>
      <c r="Q341" s="932">
        <f t="shared" ref="Q341" si="288">O341</f>
        <v>0</v>
      </c>
      <c r="R341" s="12">
        <f t="shared" si="266"/>
        <v>0</v>
      </c>
      <c r="S341" s="12">
        <f>Q341</f>
        <v>0</v>
      </c>
      <c r="T341" s="12">
        <f t="shared" ref="T341" si="289">S341</f>
        <v>0</v>
      </c>
      <c r="U341" s="12">
        <f t="shared" ref="U341" si="290">T341</f>
        <v>0</v>
      </c>
      <c r="V341" s="12">
        <f t="shared" ref="V341" si="291">U341</f>
        <v>0</v>
      </c>
      <c r="W341" s="12">
        <f t="shared" ref="W341" si="292">V341</f>
        <v>0</v>
      </c>
      <c r="Y341" s="355"/>
    </row>
    <row r="342" spans="1:25" outlineLevel="1" x14ac:dyDescent="0.2">
      <c r="A342" s="366" t="s">
        <v>1166</v>
      </c>
      <c r="B342" s="460" t="s">
        <v>922</v>
      </c>
      <c r="C342" s="853"/>
      <c r="D342" s="853"/>
      <c r="E342" s="853"/>
      <c r="F342" s="132"/>
      <c r="G342" s="132"/>
      <c r="H342" s="152"/>
      <c r="I342" s="152"/>
      <c r="J342" s="271"/>
      <c r="K342" s="271"/>
      <c r="L342" s="271"/>
      <c r="M342" s="271"/>
      <c r="N342" s="271"/>
      <c r="O342" s="271"/>
      <c r="P342" s="271">
        <f t="shared" si="237"/>
        <v>0</v>
      </c>
      <c r="Q342" s="271"/>
      <c r="R342" s="271">
        <f t="shared" si="266"/>
        <v>0</v>
      </c>
      <c r="S342" s="271"/>
      <c r="T342" s="271"/>
      <c r="U342" s="271"/>
      <c r="V342" s="271"/>
      <c r="W342" s="272"/>
      <c r="Y342" s="355"/>
    </row>
    <row r="343" spans="1:25" outlineLevel="1" x14ac:dyDescent="0.2">
      <c r="A343" s="366" t="s">
        <v>1167</v>
      </c>
      <c r="B343" s="142" t="s">
        <v>826</v>
      </c>
      <c r="C343" s="858">
        <v>280</v>
      </c>
      <c r="D343" s="837">
        <v>661</v>
      </c>
      <c r="E343" s="859"/>
      <c r="F343" s="143">
        <v>100</v>
      </c>
      <c r="G343" s="143">
        <v>1000</v>
      </c>
      <c r="H343" s="145" t="s">
        <v>254</v>
      </c>
      <c r="I343" s="145"/>
      <c r="J343" s="115">
        <v>0</v>
      </c>
      <c r="K343" s="115">
        <v>0</v>
      </c>
      <c r="L343" s="115">
        <v>0</v>
      </c>
      <c r="M343" s="115">
        <v>0</v>
      </c>
      <c r="N343" s="115">
        <v>0</v>
      </c>
      <c r="O343" s="932">
        <f>'2022 Budget &amp; CF'!AA343</f>
        <v>0</v>
      </c>
      <c r="P343" s="12">
        <f t="shared" ref="P343:P348" si="293">O343-N343</f>
        <v>0</v>
      </c>
      <c r="Q343" s="932">
        <f t="shared" ref="Q343" si="294">O343</f>
        <v>0</v>
      </c>
      <c r="R343" s="115">
        <f t="shared" si="266"/>
        <v>0</v>
      </c>
      <c r="S343" s="115">
        <f t="shared" ref="S343:S349" si="295">Q343</f>
        <v>0</v>
      </c>
      <c r="T343" s="115">
        <f t="shared" ref="T343:T349" si="296">S343</f>
        <v>0</v>
      </c>
      <c r="U343" s="115">
        <f t="shared" ref="U343:U344" si="297">T343</f>
        <v>0</v>
      </c>
      <c r="V343" s="115">
        <f t="shared" ref="V343:V344" si="298">U343</f>
        <v>0</v>
      </c>
      <c r="W343" s="115">
        <f t="shared" ref="W343:W344" si="299">V343</f>
        <v>0</v>
      </c>
      <c r="Y343" s="355"/>
    </row>
    <row r="344" spans="1:25" outlineLevel="1" x14ac:dyDescent="0.2">
      <c r="A344" s="366" t="s">
        <v>1168</v>
      </c>
      <c r="B344" s="142" t="s">
        <v>826</v>
      </c>
      <c r="C344" s="858">
        <v>280</v>
      </c>
      <c r="D344" s="837">
        <v>661</v>
      </c>
      <c r="E344" s="859"/>
      <c r="F344" s="143">
        <v>100</v>
      </c>
      <c r="G344" s="143">
        <v>2410</v>
      </c>
      <c r="H344" s="145" t="s">
        <v>254</v>
      </c>
      <c r="I344" s="145"/>
      <c r="J344" s="115">
        <v>0</v>
      </c>
      <c r="K344" s="115">
        <v>0</v>
      </c>
      <c r="L344" s="115">
        <v>0</v>
      </c>
      <c r="M344" s="115">
        <v>0</v>
      </c>
      <c r="N344" s="115">
        <v>0</v>
      </c>
      <c r="O344" s="932">
        <f>'2022 Budget &amp; CF'!AA344</f>
        <v>0</v>
      </c>
      <c r="P344" s="12">
        <f t="shared" si="293"/>
        <v>0</v>
      </c>
      <c r="Q344" s="932">
        <v>0</v>
      </c>
      <c r="R344" s="115">
        <f t="shared" si="266"/>
        <v>0</v>
      </c>
      <c r="S344" s="115">
        <f t="shared" si="295"/>
        <v>0</v>
      </c>
      <c r="T344" s="115">
        <f t="shared" si="296"/>
        <v>0</v>
      </c>
      <c r="U344" s="115">
        <f t="shared" si="297"/>
        <v>0</v>
      </c>
      <c r="V344" s="115">
        <f t="shared" si="298"/>
        <v>0</v>
      </c>
      <c r="W344" s="115">
        <f t="shared" si="299"/>
        <v>0</v>
      </c>
      <c r="Y344" s="355"/>
    </row>
    <row r="345" spans="1:25" outlineLevel="1" x14ac:dyDescent="0.2">
      <c r="A345" s="366" t="s">
        <v>1169</v>
      </c>
      <c r="B345" s="142" t="s">
        <v>826</v>
      </c>
      <c r="C345" s="858">
        <v>280</v>
      </c>
      <c r="D345" s="837">
        <v>661</v>
      </c>
      <c r="E345" s="859"/>
      <c r="F345" s="143">
        <v>100</v>
      </c>
      <c r="G345" s="143">
        <v>2589</v>
      </c>
      <c r="H345" s="145" t="s">
        <v>254</v>
      </c>
      <c r="I345" s="145"/>
      <c r="J345" s="115">
        <v>0</v>
      </c>
      <c r="K345" s="115">
        <v>0</v>
      </c>
      <c r="L345" s="115">
        <v>0</v>
      </c>
      <c r="M345" s="115">
        <v>0</v>
      </c>
      <c r="N345" s="115">
        <v>0</v>
      </c>
      <c r="O345" s="932">
        <f>'2022 Budget &amp; CF'!AA345</f>
        <v>0</v>
      </c>
      <c r="P345" s="12">
        <f t="shared" ref="P345" si="300">O345-N345</f>
        <v>0</v>
      </c>
      <c r="Q345" s="932">
        <v>0</v>
      </c>
      <c r="R345" s="115">
        <f t="shared" si="266"/>
        <v>0</v>
      </c>
      <c r="S345" s="115">
        <f t="shared" si="295"/>
        <v>0</v>
      </c>
      <c r="T345" s="115">
        <f t="shared" si="296"/>
        <v>0</v>
      </c>
      <c r="U345" s="115">
        <f t="shared" ref="U345" si="301">T345</f>
        <v>0</v>
      </c>
      <c r="V345" s="115">
        <f t="shared" ref="V345" si="302">U345</f>
        <v>0</v>
      </c>
      <c r="W345" s="115">
        <f t="shared" ref="W345" si="303">V345</f>
        <v>0</v>
      </c>
      <c r="Y345" s="355"/>
    </row>
    <row r="346" spans="1:25" outlineLevel="1" x14ac:dyDescent="0.2">
      <c r="A346" s="366" t="s">
        <v>1170</v>
      </c>
      <c r="B346" s="142" t="s">
        <v>826</v>
      </c>
      <c r="C346" s="858">
        <v>280</v>
      </c>
      <c r="D346" s="837">
        <v>661</v>
      </c>
      <c r="E346" s="859"/>
      <c r="F346" s="143">
        <v>100</v>
      </c>
      <c r="G346" s="143">
        <v>2610</v>
      </c>
      <c r="H346" s="145" t="s">
        <v>254</v>
      </c>
      <c r="I346" s="145"/>
      <c r="J346" s="115">
        <v>0</v>
      </c>
      <c r="K346" s="115">
        <v>0</v>
      </c>
      <c r="L346" s="115">
        <v>0</v>
      </c>
      <c r="M346" s="115">
        <v>0</v>
      </c>
      <c r="N346" s="115">
        <v>0</v>
      </c>
      <c r="O346" s="932">
        <f>'2022 Budget &amp; CF'!AA346</f>
        <v>0</v>
      </c>
      <c r="P346" s="12">
        <f t="shared" si="293"/>
        <v>0</v>
      </c>
      <c r="Q346" s="932">
        <v>0</v>
      </c>
      <c r="R346" s="115">
        <f t="shared" si="266"/>
        <v>0</v>
      </c>
      <c r="S346" s="115">
        <f t="shared" si="295"/>
        <v>0</v>
      </c>
      <c r="T346" s="115">
        <f t="shared" si="296"/>
        <v>0</v>
      </c>
      <c r="U346" s="115">
        <f t="shared" ref="U346" si="304">T346</f>
        <v>0</v>
      </c>
      <c r="V346" s="115">
        <f t="shared" ref="V346" si="305">U346</f>
        <v>0</v>
      </c>
      <c r="W346" s="115">
        <f t="shared" ref="W346" si="306">V346</f>
        <v>0</v>
      </c>
      <c r="Y346" s="355"/>
    </row>
    <row r="347" spans="1:25" outlineLevel="1" x14ac:dyDescent="0.2">
      <c r="A347" s="366" t="s">
        <v>1171</v>
      </c>
      <c r="B347" s="142" t="s">
        <v>546</v>
      </c>
      <c r="C347" s="858">
        <v>280</v>
      </c>
      <c r="D347" s="837">
        <v>661</v>
      </c>
      <c r="E347" s="859"/>
      <c r="F347" s="143">
        <v>100</v>
      </c>
      <c r="G347" s="143">
        <v>1000</v>
      </c>
      <c r="H347" s="145" t="s">
        <v>262</v>
      </c>
      <c r="I347" s="145"/>
      <c r="J347" s="115">
        <v>0</v>
      </c>
      <c r="K347" s="115">
        <v>81592</v>
      </c>
      <c r="L347" s="115">
        <v>27208</v>
      </c>
      <c r="M347" s="115">
        <v>27208</v>
      </c>
      <c r="N347" s="115">
        <v>27208</v>
      </c>
      <c r="O347" s="932">
        <f>'2022 Budget &amp; CF'!AA347</f>
        <v>27208</v>
      </c>
      <c r="P347" s="12">
        <f t="shared" si="293"/>
        <v>0</v>
      </c>
      <c r="Q347" s="932">
        <v>0</v>
      </c>
      <c r="R347" s="115">
        <f t="shared" si="266"/>
        <v>-27208</v>
      </c>
      <c r="S347" s="115">
        <f t="shared" si="295"/>
        <v>0</v>
      </c>
      <c r="T347" s="115">
        <f t="shared" si="296"/>
        <v>0</v>
      </c>
      <c r="U347" s="115">
        <f t="shared" ref="U347" si="307">T347</f>
        <v>0</v>
      </c>
      <c r="V347" s="115">
        <f t="shared" ref="V347" si="308">U347</f>
        <v>0</v>
      </c>
      <c r="W347" s="115">
        <f t="shared" ref="W347" si="309">V347</f>
        <v>0</v>
      </c>
      <c r="Y347" s="355"/>
    </row>
    <row r="348" spans="1:25" outlineLevel="1" x14ac:dyDescent="0.2">
      <c r="A348" s="366" t="s">
        <v>1172</v>
      </c>
      <c r="B348" s="142" t="s">
        <v>546</v>
      </c>
      <c r="C348" s="858">
        <v>280</v>
      </c>
      <c r="D348" s="837">
        <v>661</v>
      </c>
      <c r="E348" s="859"/>
      <c r="F348" s="143">
        <v>100</v>
      </c>
      <c r="G348" s="143">
        <v>2410</v>
      </c>
      <c r="H348" s="145" t="s">
        <v>262</v>
      </c>
      <c r="I348" s="145"/>
      <c r="J348" s="115">
        <v>0</v>
      </c>
      <c r="K348" s="115">
        <v>0</v>
      </c>
      <c r="L348" s="115">
        <v>0</v>
      </c>
      <c r="M348" s="115">
        <v>0</v>
      </c>
      <c r="N348" s="115">
        <v>0</v>
      </c>
      <c r="O348" s="932">
        <f>'2022 Budget &amp; CF'!AA348</f>
        <v>0</v>
      </c>
      <c r="P348" s="12">
        <f t="shared" si="293"/>
        <v>0</v>
      </c>
      <c r="Q348" s="932">
        <v>0</v>
      </c>
      <c r="R348" s="115">
        <f t="shared" si="266"/>
        <v>0</v>
      </c>
      <c r="S348" s="115">
        <f t="shared" si="295"/>
        <v>0</v>
      </c>
      <c r="T348" s="115">
        <f t="shared" si="296"/>
        <v>0</v>
      </c>
      <c r="U348" s="115">
        <f t="shared" ref="U348:U349" si="310">T348</f>
        <v>0</v>
      </c>
      <c r="V348" s="115">
        <f t="shared" ref="V348:V349" si="311">U348</f>
        <v>0</v>
      </c>
      <c r="W348" s="115">
        <f t="shared" ref="W348:W349" si="312">V348</f>
        <v>0</v>
      </c>
      <c r="Y348" s="355"/>
    </row>
    <row r="349" spans="1:25" outlineLevel="1" x14ac:dyDescent="0.2">
      <c r="A349" s="366" t="s">
        <v>1173</v>
      </c>
      <c r="B349" s="142" t="s">
        <v>546</v>
      </c>
      <c r="C349" s="858">
        <v>280</v>
      </c>
      <c r="D349" s="837">
        <v>661</v>
      </c>
      <c r="E349" s="859"/>
      <c r="F349" s="143">
        <v>100</v>
      </c>
      <c r="G349" s="143">
        <v>2580</v>
      </c>
      <c r="H349" s="145" t="s">
        <v>262</v>
      </c>
      <c r="I349" s="145"/>
      <c r="J349" s="115">
        <v>0</v>
      </c>
      <c r="K349" s="115">
        <v>0</v>
      </c>
      <c r="L349" s="115">
        <v>0</v>
      </c>
      <c r="M349" s="115">
        <v>0</v>
      </c>
      <c r="N349" s="115">
        <v>0</v>
      </c>
      <c r="O349" s="932">
        <f>'2022 Budget &amp; CF'!AA349</f>
        <v>0</v>
      </c>
      <c r="P349" s="12">
        <f t="shared" ref="P349" si="313">O349-N349</f>
        <v>0</v>
      </c>
      <c r="Q349" s="932">
        <v>0</v>
      </c>
      <c r="R349" s="115">
        <f t="shared" si="266"/>
        <v>0</v>
      </c>
      <c r="S349" s="115">
        <f t="shared" si="295"/>
        <v>0</v>
      </c>
      <c r="T349" s="115">
        <f t="shared" si="296"/>
        <v>0</v>
      </c>
      <c r="U349" s="115">
        <f t="shared" si="310"/>
        <v>0</v>
      </c>
      <c r="V349" s="115">
        <f t="shared" si="311"/>
        <v>0</v>
      </c>
      <c r="W349" s="115">
        <f t="shared" si="312"/>
        <v>0</v>
      </c>
      <c r="Y349" s="355"/>
    </row>
    <row r="350" spans="1:25" outlineLevel="1" x14ac:dyDescent="0.2">
      <c r="A350" s="366" t="s">
        <v>544</v>
      </c>
      <c r="B350" s="461" t="s">
        <v>1041</v>
      </c>
      <c r="C350" s="861"/>
      <c r="D350" s="861"/>
      <c r="E350" s="861"/>
      <c r="F350" s="152"/>
      <c r="G350" s="152"/>
      <c r="H350" s="152"/>
      <c r="I350" s="152"/>
      <c r="J350" s="271"/>
      <c r="K350" s="271"/>
      <c r="L350" s="271"/>
      <c r="M350" s="271"/>
      <c r="N350" s="271"/>
      <c r="O350" s="271"/>
      <c r="P350" s="271">
        <f t="shared" ref="P350" si="314">O350-M350</f>
        <v>0</v>
      </c>
      <c r="Q350" s="271"/>
      <c r="R350" s="271">
        <f t="shared" si="266"/>
        <v>0</v>
      </c>
      <c r="S350" s="271"/>
      <c r="T350" s="271"/>
      <c r="U350" s="271"/>
      <c r="V350" s="271"/>
      <c r="W350" s="272"/>
      <c r="Y350" s="355"/>
    </row>
    <row r="351" spans="1:25" outlineLevel="1" x14ac:dyDescent="0.2">
      <c r="A351" s="366" t="s">
        <v>1174</v>
      </c>
      <c r="B351" s="142" t="s">
        <v>513</v>
      </c>
      <c r="C351" s="858" t="s">
        <v>135</v>
      </c>
      <c r="D351" s="859" t="s">
        <v>1042</v>
      </c>
      <c r="E351" s="859"/>
      <c r="F351" s="143" t="s">
        <v>468</v>
      </c>
      <c r="G351" s="143" t="s">
        <v>461</v>
      </c>
      <c r="H351" s="145" t="s">
        <v>260</v>
      </c>
      <c r="I351" s="145"/>
      <c r="J351" s="115">
        <v>0</v>
      </c>
      <c r="K351" s="115">
        <v>0</v>
      </c>
      <c r="L351" s="115">
        <v>0</v>
      </c>
      <c r="M351" s="115">
        <v>0</v>
      </c>
      <c r="N351" s="115">
        <v>0</v>
      </c>
      <c r="O351" s="932">
        <f>'2022 Budget &amp; CF'!AA351</f>
        <v>0</v>
      </c>
      <c r="P351" s="12">
        <f>O351-N351</f>
        <v>0</v>
      </c>
      <c r="Q351" s="932">
        <f t="shared" ref="Q351" si="315">O351</f>
        <v>0</v>
      </c>
      <c r="R351" s="12">
        <f t="shared" si="266"/>
        <v>0</v>
      </c>
      <c r="S351" s="12">
        <f>Q351</f>
        <v>0</v>
      </c>
      <c r="T351" s="12">
        <f t="shared" ref="T351" si="316">S351</f>
        <v>0</v>
      </c>
      <c r="U351" s="12">
        <f t="shared" ref="U351" si="317">T351</f>
        <v>0</v>
      </c>
      <c r="V351" s="12">
        <f t="shared" ref="V351" si="318">U351</f>
        <v>0</v>
      </c>
      <c r="W351" s="12">
        <f t="shared" ref="W351" si="319">V351</f>
        <v>0</v>
      </c>
      <c r="Y351" s="355"/>
    </row>
    <row r="352" spans="1:25" outlineLevel="1" x14ac:dyDescent="0.2">
      <c r="A352" s="366" t="s">
        <v>1175</v>
      </c>
      <c r="B352" s="461" t="s">
        <v>277</v>
      </c>
      <c r="C352" s="861"/>
      <c r="D352" s="861"/>
      <c r="E352" s="861"/>
      <c r="F352" s="152"/>
      <c r="G352" s="152"/>
      <c r="H352" s="152"/>
      <c r="I352" s="152"/>
      <c r="J352" s="271"/>
      <c r="K352" s="271"/>
      <c r="L352" s="271"/>
      <c r="M352" s="271"/>
      <c r="N352" s="271"/>
      <c r="O352" s="271"/>
      <c r="P352" s="271">
        <f t="shared" si="237"/>
        <v>0</v>
      </c>
      <c r="Q352" s="271"/>
      <c r="R352" s="271">
        <f t="shared" si="266"/>
        <v>0</v>
      </c>
      <c r="S352" s="271"/>
      <c r="T352" s="271"/>
      <c r="U352" s="271"/>
      <c r="V352" s="271"/>
      <c r="W352" s="272"/>
      <c r="Y352" s="355"/>
    </row>
    <row r="353" spans="1:25" outlineLevel="1" x14ac:dyDescent="0.2">
      <c r="A353" s="366" t="s">
        <v>1176</v>
      </c>
      <c r="B353" s="142" t="s">
        <v>278</v>
      </c>
      <c r="C353" s="858">
        <v>280</v>
      </c>
      <c r="D353" s="859">
        <v>709</v>
      </c>
      <c r="E353" s="859"/>
      <c r="F353" s="143">
        <v>100</v>
      </c>
      <c r="G353" s="143">
        <v>1000</v>
      </c>
      <c r="H353" s="145" t="s">
        <v>254</v>
      </c>
      <c r="I353" s="145"/>
      <c r="J353" s="115">
        <v>0</v>
      </c>
      <c r="K353" s="115">
        <v>0</v>
      </c>
      <c r="L353" s="115">
        <v>0</v>
      </c>
      <c r="M353" s="115">
        <v>0</v>
      </c>
      <c r="N353" s="115">
        <v>0</v>
      </c>
      <c r="O353" s="932">
        <f>'2022 Budget &amp; CF'!AA353</f>
        <v>0</v>
      </c>
      <c r="P353" s="12">
        <f>O353-N353</f>
        <v>0</v>
      </c>
      <c r="Q353" s="932">
        <f t="shared" ref="Q353" si="320">O353</f>
        <v>0</v>
      </c>
      <c r="R353" s="12">
        <f t="shared" si="266"/>
        <v>0</v>
      </c>
      <c r="S353" s="12">
        <f>Q353</f>
        <v>0</v>
      </c>
      <c r="T353" s="12">
        <f t="shared" ref="T353" si="321">S353</f>
        <v>0</v>
      </c>
      <c r="U353" s="12">
        <f t="shared" ref="U353" si="322">T353</f>
        <v>0</v>
      </c>
      <c r="V353" s="12">
        <f t="shared" ref="V353" si="323">U353</f>
        <v>0</v>
      </c>
      <c r="W353" s="12">
        <f t="shared" ref="W353" si="324">V353</f>
        <v>0</v>
      </c>
      <c r="Y353" s="355"/>
    </row>
    <row r="354" spans="1:25" outlineLevel="1" x14ac:dyDescent="0.2">
      <c r="A354" s="366" t="s">
        <v>1177</v>
      </c>
      <c r="B354" s="461" t="s">
        <v>547</v>
      </c>
      <c r="C354" s="861"/>
      <c r="D354" s="861"/>
      <c r="E354" s="861"/>
      <c r="F354" s="152"/>
      <c r="G354" s="152"/>
      <c r="H354" s="152"/>
      <c r="I354" s="152"/>
      <c r="J354" s="271"/>
      <c r="K354" s="271"/>
      <c r="L354" s="271"/>
      <c r="M354" s="271"/>
      <c r="N354" s="271"/>
      <c r="O354" s="271"/>
      <c r="P354" s="271">
        <f t="shared" si="237"/>
        <v>0</v>
      </c>
      <c r="Q354" s="271"/>
      <c r="R354" s="271">
        <f t="shared" si="266"/>
        <v>0</v>
      </c>
      <c r="S354" s="271"/>
      <c r="T354" s="271"/>
      <c r="U354" s="271"/>
      <c r="V354" s="271"/>
      <c r="W354" s="272"/>
      <c r="Y354" s="355"/>
    </row>
    <row r="355" spans="1:25" outlineLevel="1" x14ac:dyDescent="0.2">
      <c r="A355" s="366" t="s">
        <v>1178</v>
      </c>
      <c r="B355" s="142" t="s">
        <v>513</v>
      </c>
      <c r="C355" s="858">
        <v>280</v>
      </c>
      <c r="D355" s="859">
        <v>715</v>
      </c>
      <c r="E355" s="859"/>
      <c r="F355" s="143">
        <v>430</v>
      </c>
      <c r="G355" s="143">
        <v>1000</v>
      </c>
      <c r="H355" s="145" t="s">
        <v>260</v>
      </c>
      <c r="I355" s="145"/>
      <c r="J355" s="115">
        <v>0</v>
      </c>
      <c r="K355" s="115">
        <v>0</v>
      </c>
      <c r="L355" s="115">
        <v>0</v>
      </c>
      <c r="M355" s="115">
        <v>0</v>
      </c>
      <c r="N355" s="115">
        <v>0</v>
      </c>
      <c r="O355" s="932">
        <f>'2022 Budget &amp; CF'!AA355</f>
        <v>0</v>
      </c>
      <c r="P355" s="12">
        <f t="shared" ref="P355:P357" si="325">O355-N355</f>
        <v>0</v>
      </c>
      <c r="Q355" s="932">
        <f t="shared" ref="Q355" si="326">O355</f>
        <v>0</v>
      </c>
      <c r="R355" s="12">
        <f t="shared" si="266"/>
        <v>0</v>
      </c>
      <c r="S355" s="12">
        <f>Q355</f>
        <v>0</v>
      </c>
      <c r="T355" s="12">
        <f t="shared" ref="T355:T357" si="327">S355</f>
        <v>0</v>
      </c>
      <c r="U355" s="12">
        <f t="shared" ref="U355" si="328">T355</f>
        <v>0</v>
      </c>
      <c r="V355" s="12">
        <f t="shared" ref="V355" si="329">U355</f>
        <v>0</v>
      </c>
      <c r="W355" s="12">
        <f t="shared" ref="W355" si="330">V355</f>
        <v>0</v>
      </c>
      <c r="Y355" s="355"/>
    </row>
    <row r="356" spans="1:25" outlineLevel="1" x14ac:dyDescent="0.2">
      <c r="A356" s="366" t="s">
        <v>1179</v>
      </c>
      <c r="B356" s="142" t="s">
        <v>546</v>
      </c>
      <c r="C356" s="858">
        <v>280</v>
      </c>
      <c r="D356" s="859">
        <v>715</v>
      </c>
      <c r="E356" s="859"/>
      <c r="F356" s="143">
        <v>430</v>
      </c>
      <c r="G356" s="143">
        <v>2230</v>
      </c>
      <c r="H356" s="145" t="s">
        <v>262</v>
      </c>
      <c r="I356" s="145"/>
      <c r="J356" s="115">
        <v>0</v>
      </c>
      <c r="K356" s="115">
        <v>2936.96</v>
      </c>
      <c r="L356" s="115">
        <v>0</v>
      </c>
      <c r="M356" s="115">
        <v>0</v>
      </c>
      <c r="N356" s="115">
        <v>0</v>
      </c>
      <c r="O356" s="932">
        <f>'2022 Budget &amp; CF'!AA356</f>
        <v>0</v>
      </c>
      <c r="P356" s="12">
        <f t="shared" si="325"/>
        <v>0</v>
      </c>
      <c r="Q356" s="932">
        <f t="shared" ref="Q356:Q357" si="331">O356</f>
        <v>0</v>
      </c>
      <c r="R356" s="12">
        <f t="shared" si="266"/>
        <v>0</v>
      </c>
      <c r="S356" s="12">
        <f>Q356</f>
        <v>0</v>
      </c>
      <c r="T356" s="12">
        <f t="shared" si="327"/>
        <v>0</v>
      </c>
      <c r="U356" s="12">
        <f t="shared" ref="U356:U357" si="332">T356</f>
        <v>0</v>
      </c>
      <c r="V356" s="12">
        <f t="shared" ref="V356:V357" si="333">U356</f>
        <v>0</v>
      </c>
      <c r="W356" s="12">
        <f t="shared" ref="W356:W357" si="334">V356</f>
        <v>0</v>
      </c>
      <c r="Y356" s="355"/>
    </row>
    <row r="357" spans="1:25" outlineLevel="1" x14ac:dyDescent="0.2">
      <c r="A357" s="366" t="s">
        <v>1180</v>
      </c>
      <c r="B357" s="142" t="s">
        <v>551</v>
      </c>
      <c r="C357" s="858">
        <v>280</v>
      </c>
      <c r="D357" s="859">
        <v>715</v>
      </c>
      <c r="E357" s="859"/>
      <c r="F357" s="143">
        <v>430</v>
      </c>
      <c r="G357" s="143">
        <v>1000</v>
      </c>
      <c r="H357" s="145" t="s">
        <v>264</v>
      </c>
      <c r="I357" s="145"/>
      <c r="J357" s="115">
        <v>0</v>
      </c>
      <c r="K357" s="115">
        <v>0</v>
      </c>
      <c r="L357" s="115">
        <v>0</v>
      </c>
      <c r="M357" s="115">
        <v>0</v>
      </c>
      <c r="N357" s="115">
        <v>0</v>
      </c>
      <c r="O357" s="932">
        <f>'2022 Budget &amp; CF'!AA357</f>
        <v>0</v>
      </c>
      <c r="P357" s="12">
        <f t="shared" si="325"/>
        <v>0</v>
      </c>
      <c r="Q357" s="932">
        <f t="shared" si="331"/>
        <v>0</v>
      </c>
      <c r="R357" s="12">
        <f t="shared" si="266"/>
        <v>0</v>
      </c>
      <c r="S357" s="12">
        <f>Q357</f>
        <v>0</v>
      </c>
      <c r="T357" s="12">
        <f t="shared" si="327"/>
        <v>0</v>
      </c>
      <c r="U357" s="12">
        <f t="shared" si="332"/>
        <v>0</v>
      </c>
      <c r="V357" s="12">
        <f t="shared" si="333"/>
        <v>0</v>
      </c>
      <c r="W357" s="12">
        <f t="shared" si="334"/>
        <v>0</v>
      </c>
      <c r="Y357" s="355"/>
    </row>
    <row r="358" spans="1:25" outlineLevel="1" x14ac:dyDescent="0.2">
      <c r="A358" s="366" t="s">
        <v>1181</v>
      </c>
      <c r="B358" s="461" t="s">
        <v>549</v>
      </c>
      <c r="C358" s="861"/>
      <c r="D358" s="861"/>
      <c r="E358" s="861"/>
      <c r="F358" s="152"/>
      <c r="G358" s="152"/>
      <c r="H358" s="152"/>
      <c r="I358" s="152"/>
      <c r="J358" s="271"/>
      <c r="K358" s="271"/>
      <c r="L358" s="271"/>
      <c r="M358" s="271"/>
      <c r="N358" s="271"/>
      <c r="O358" s="271"/>
      <c r="P358" s="271">
        <f t="shared" si="237"/>
        <v>0</v>
      </c>
      <c r="Q358" s="271"/>
      <c r="R358" s="271">
        <f t="shared" si="266"/>
        <v>0</v>
      </c>
      <c r="S358" s="271"/>
      <c r="T358" s="271"/>
      <c r="U358" s="271"/>
      <c r="V358" s="271"/>
      <c r="W358" s="272"/>
      <c r="Y358" s="355"/>
    </row>
    <row r="359" spans="1:25" outlineLevel="1" x14ac:dyDescent="0.2">
      <c r="A359" s="366" t="s">
        <v>1182</v>
      </c>
      <c r="B359" s="142" t="s">
        <v>826</v>
      </c>
      <c r="C359" s="864" t="s">
        <v>135</v>
      </c>
      <c r="D359" s="865" t="s">
        <v>552</v>
      </c>
      <c r="E359" s="866"/>
      <c r="F359" s="479" t="s">
        <v>468</v>
      </c>
      <c r="G359" s="479" t="s">
        <v>520</v>
      </c>
      <c r="H359" s="484" t="s">
        <v>254</v>
      </c>
      <c r="I359" s="145"/>
      <c r="J359" s="115">
        <v>0</v>
      </c>
      <c r="K359" s="115">
        <v>0</v>
      </c>
      <c r="L359" s="115">
        <v>0</v>
      </c>
      <c r="M359" s="115">
        <v>0</v>
      </c>
      <c r="N359" s="115">
        <v>0</v>
      </c>
      <c r="O359" s="932">
        <f>'2022 Budget &amp; CF'!AA359</f>
        <v>0</v>
      </c>
      <c r="P359" s="12">
        <f t="shared" ref="P359" si="335">O359-N359</f>
        <v>0</v>
      </c>
      <c r="Q359" s="932">
        <f t="shared" ref="Q359" si="336">O359</f>
        <v>0</v>
      </c>
      <c r="R359" s="115">
        <f t="shared" si="266"/>
        <v>0</v>
      </c>
      <c r="S359" s="115">
        <f>Q359</f>
        <v>0</v>
      </c>
      <c r="T359" s="115">
        <f t="shared" ref="T359:T362" si="337">S359</f>
        <v>0</v>
      </c>
      <c r="U359" s="115">
        <f t="shared" ref="U359" si="338">T359</f>
        <v>0</v>
      </c>
      <c r="V359" s="115">
        <f t="shared" ref="V359" si="339">U359</f>
        <v>0</v>
      </c>
      <c r="W359" s="115">
        <f t="shared" ref="W359" si="340">V359</f>
        <v>0</v>
      </c>
      <c r="Y359" s="355"/>
    </row>
    <row r="360" spans="1:25" outlineLevel="1" x14ac:dyDescent="0.2">
      <c r="A360" s="366" t="s">
        <v>1183</v>
      </c>
      <c r="B360" s="478" t="s">
        <v>551</v>
      </c>
      <c r="C360" s="864">
        <v>280</v>
      </c>
      <c r="D360" s="865">
        <v>740</v>
      </c>
      <c r="E360" s="866"/>
      <c r="F360" s="479">
        <v>100</v>
      </c>
      <c r="G360" s="479">
        <v>1000</v>
      </c>
      <c r="H360" s="484" t="s">
        <v>264</v>
      </c>
      <c r="I360" s="145"/>
      <c r="J360" s="115">
        <v>0</v>
      </c>
      <c r="K360" s="115">
        <v>0</v>
      </c>
      <c r="L360" s="115">
        <v>0</v>
      </c>
      <c r="M360" s="115">
        <v>0</v>
      </c>
      <c r="N360" s="115">
        <v>0</v>
      </c>
      <c r="O360" s="932">
        <f>'2022 Budget &amp; CF'!AA360</f>
        <v>0</v>
      </c>
      <c r="P360" s="12">
        <f t="shared" ref="P360:P362" si="341">O360-N360</f>
        <v>0</v>
      </c>
      <c r="Q360" s="932">
        <f t="shared" ref="Q360" si="342">O360</f>
        <v>0</v>
      </c>
      <c r="R360" s="115">
        <f t="shared" si="266"/>
        <v>0</v>
      </c>
      <c r="S360" s="115">
        <f>Q360</f>
        <v>0</v>
      </c>
      <c r="T360" s="115">
        <f t="shared" si="337"/>
        <v>0</v>
      </c>
      <c r="U360" s="115">
        <f t="shared" ref="U360" si="343">T360</f>
        <v>0</v>
      </c>
      <c r="V360" s="115">
        <f t="shared" ref="V360" si="344">U360</f>
        <v>0</v>
      </c>
      <c r="W360" s="115">
        <f t="shared" ref="W360" si="345">V360</f>
        <v>0</v>
      </c>
      <c r="Y360" s="355"/>
    </row>
    <row r="361" spans="1:25" outlineLevel="1" x14ac:dyDescent="0.2">
      <c r="A361" s="366" t="s">
        <v>1184</v>
      </c>
      <c r="B361" s="478" t="s">
        <v>551</v>
      </c>
      <c r="C361" s="864">
        <v>280</v>
      </c>
      <c r="D361" s="865">
        <v>740</v>
      </c>
      <c r="E361" s="866"/>
      <c r="F361" s="479">
        <v>100</v>
      </c>
      <c r="G361" s="479">
        <v>2110</v>
      </c>
      <c r="H361" s="484" t="s">
        <v>264</v>
      </c>
      <c r="I361" s="145"/>
      <c r="J361" s="115">
        <v>0</v>
      </c>
      <c r="K361" s="115">
        <v>0</v>
      </c>
      <c r="L361" s="115">
        <v>0</v>
      </c>
      <c r="M361" s="115">
        <v>0</v>
      </c>
      <c r="N361" s="115">
        <v>0</v>
      </c>
      <c r="O361" s="932">
        <f>'2022 Budget &amp; CF'!AA361</f>
        <v>0</v>
      </c>
      <c r="P361" s="12">
        <f t="shared" si="341"/>
        <v>0</v>
      </c>
      <c r="Q361" s="932">
        <f t="shared" ref="Q361:Q362" si="346">O361</f>
        <v>0</v>
      </c>
      <c r="R361" s="115">
        <f t="shared" si="266"/>
        <v>0</v>
      </c>
      <c r="S361" s="115">
        <f>Q361</f>
        <v>0</v>
      </c>
      <c r="T361" s="115">
        <f t="shared" si="337"/>
        <v>0</v>
      </c>
      <c r="U361" s="115">
        <f t="shared" ref="U361:U362" si="347">T361</f>
        <v>0</v>
      </c>
      <c r="V361" s="115">
        <f t="shared" ref="V361:V362" si="348">U361</f>
        <v>0</v>
      </c>
      <c r="W361" s="115">
        <f t="shared" ref="W361:W362" si="349">V361</f>
        <v>0</v>
      </c>
      <c r="Y361" s="355"/>
    </row>
    <row r="362" spans="1:25" outlineLevel="1" x14ac:dyDescent="0.2">
      <c r="A362" s="366" t="s">
        <v>1185</v>
      </c>
      <c r="B362" s="478" t="s">
        <v>551</v>
      </c>
      <c r="C362" s="864">
        <v>280</v>
      </c>
      <c r="D362" s="865">
        <v>740</v>
      </c>
      <c r="E362" s="866"/>
      <c r="F362" s="479">
        <v>100</v>
      </c>
      <c r="G362" s="479">
        <v>2230</v>
      </c>
      <c r="H362" s="484" t="s">
        <v>264</v>
      </c>
      <c r="I362" s="145"/>
      <c r="J362" s="115">
        <v>0</v>
      </c>
      <c r="K362" s="115">
        <v>0</v>
      </c>
      <c r="L362" s="115">
        <v>0</v>
      </c>
      <c r="M362" s="115">
        <v>0</v>
      </c>
      <c r="N362" s="115">
        <v>0</v>
      </c>
      <c r="O362" s="932">
        <f>'2022 Budget &amp; CF'!AA362</f>
        <v>0</v>
      </c>
      <c r="P362" s="12">
        <f t="shared" si="341"/>
        <v>0</v>
      </c>
      <c r="Q362" s="932">
        <f t="shared" si="346"/>
        <v>0</v>
      </c>
      <c r="R362" s="115">
        <f t="shared" si="266"/>
        <v>0</v>
      </c>
      <c r="S362" s="115">
        <f>Q362</f>
        <v>0</v>
      </c>
      <c r="T362" s="115">
        <f t="shared" si="337"/>
        <v>0</v>
      </c>
      <c r="U362" s="115">
        <f t="shared" si="347"/>
        <v>0</v>
      </c>
      <c r="V362" s="115">
        <f t="shared" si="348"/>
        <v>0</v>
      </c>
      <c r="W362" s="115">
        <f t="shared" si="349"/>
        <v>0</v>
      </c>
      <c r="Y362" s="355"/>
    </row>
    <row r="363" spans="1:25" outlineLevel="1" x14ac:dyDescent="0.2">
      <c r="A363" s="366" t="s">
        <v>1186</v>
      </c>
      <c r="B363" s="461" t="s">
        <v>1057</v>
      </c>
      <c r="C363" s="861"/>
      <c r="D363" s="861"/>
      <c r="E363" s="861"/>
      <c r="F363" s="152"/>
      <c r="G363" s="152"/>
      <c r="H363" s="152"/>
      <c r="I363" s="152"/>
      <c r="J363" s="271"/>
      <c r="K363" s="271"/>
      <c r="L363" s="271"/>
      <c r="M363" s="271"/>
      <c r="N363" s="271"/>
      <c r="O363" s="271"/>
      <c r="P363" s="271">
        <f t="shared" si="237"/>
        <v>0</v>
      </c>
      <c r="Q363" s="271"/>
      <c r="R363" s="271">
        <f t="shared" si="266"/>
        <v>0</v>
      </c>
      <c r="S363" s="271"/>
      <c r="T363" s="271"/>
      <c r="U363" s="271"/>
      <c r="V363" s="271"/>
      <c r="W363" s="272"/>
      <c r="Y363" s="355"/>
    </row>
    <row r="364" spans="1:25" outlineLevel="1" x14ac:dyDescent="0.2">
      <c r="A364" s="366" t="s">
        <v>1187</v>
      </c>
      <c r="B364" s="478" t="s">
        <v>551</v>
      </c>
      <c r="C364" s="858">
        <v>280</v>
      </c>
      <c r="D364" s="859" t="s">
        <v>1032</v>
      </c>
      <c r="E364" s="859"/>
      <c r="F364" s="143">
        <v>100</v>
      </c>
      <c r="G364" s="143">
        <v>1000</v>
      </c>
      <c r="H364" s="145" t="s">
        <v>264</v>
      </c>
      <c r="I364" s="145"/>
      <c r="J364" s="115">
        <v>0</v>
      </c>
      <c r="K364" s="115">
        <v>16095.900000000001</v>
      </c>
      <c r="L364" s="115">
        <v>0</v>
      </c>
      <c r="M364" s="115">
        <v>30525</v>
      </c>
      <c r="N364" s="115">
        <v>10970</v>
      </c>
      <c r="O364" s="932">
        <f>'2022 Budget &amp; CF'!AA364</f>
        <v>10970</v>
      </c>
      <c r="P364" s="12">
        <f>O364-N364</f>
        <v>0</v>
      </c>
      <c r="Q364" s="932">
        <v>0</v>
      </c>
      <c r="R364" s="115">
        <f t="shared" si="266"/>
        <v>-10970</v>
      </c>
      <c r="S364" s="115">
        <f>Q364</f>
        <v>0</v>
      </c>
      <c r="T364" s="115">
        <f t="shared" ref="T364" si="350">S364</f>
        <v>0</v>
      </c>
      <c r="U364" s="115">
        <f t="shared" ref="U364" si="351">T364</f>
        <v>0</v>
      </c>
      <c r="V364" s="115">
        <f t="shared" ref="V364" si="352">U364</f>
        <v>0</v>
      </c>
      <c r="W364" s="115">
        <f t="shared" ref="W364" si="353">V364</f>
        <v>0</v>
      </c>
      <c r="Y364" s="355"/>
    </row>
    <row r="365" spans="1:25" outlineLevel="1" x14ac:dyDescent="0.2">
      <c r="A365" s="366" t="s">
        <v>1188</v>
      </c>
      <c r="B365" s="461" t="s">
        <v>1151</v>
      </c>
      <c r="C365" s="861"/>
      <c r="D365" s="861"/>
      <c r="E365" s="861"/>
      <c r="F365" s="152"/>
      <c r="G365" s="152"/>
      <c r="H365" s="152"/>
      <c r="I365" s="152"/>
      <c r="J365" s="271"/>
      <c r="K365" s="271"/>
      <c r="L365" s="271"/>
      <c r="M365" s="271"/>
      <c r="N365" s="271"/>
      <c r="O365" s="271"/>
      <c r="P365" s="271">
        <f t="shared" ref="P365" si="354">O365-M365</f>
        <v>0</v>
      </c>
      <c r="Q365" s="271"/>
      <c r="R365" s="271">
        <f t="shared" si="266"/>
        <v>0</v>
      </c>
      <c r="S365" s="271"/>
      <c r="T365" s="271"/>
      <c r="U365" s="271"/>
      <c r="V365" s="271"/>
      <c r="W365" s="272"/>
      <c r="Y365" s="355"/>
    </row>
    <row r="366" spans="1:25" outlineLevel="1" x14ac:dyDescent="0.2">
      <c r="A366" s="366" t="s">
        <v>1189</v>
      </c>
      <c r="B366" s="478" t="s">
        <v>1152</v>
      </c>
      <c r="C366" s="864">
        <v>280</v>
      </c>
      <c r="D366" s="867" t="s">
        <v>1153</v>
      </c>
      <c r="E366" s="866"/>
      <c r="F366" s="479">
        <v>100</v>
      </c>
      <c r="G366" s="479">
        <v>1000</v>
      </c>
      <c r="H366" s="484" t="s">
        <v>262</v>
      </c>
      <c r="I366" s="145"/>
      <c r="J366" s="115">
        <v>0</v>
      </c>
      <c r="K366" s="115">
        <v>0</v>
      </c>
      <c r="L366" s="115">
        <v>0</v>
      </c>
      <c r="M366" s="115">
        <v>0</v>
      </c>
      <c r="N366" s="115">
        <v>91</v>
      </c>
      <c r="O366" s="932">
        <f>'2022 Budget &amp; CF'!AA366</f>
        <v>91</v>
      </c>
      <c r="P366" s="12">
        <f>O366-N366</f>
        <v>0</v>
      </c>
      <c r="Q366" s="932">
        <v>0</v>
      </c>
      <c r="R366" s="115">
        <f t="shared" si="266"/>
        <v>-91</v>
      </c>
      <c r="S366" s="115">
        <f>Q366</f>
        <v>0</v>
      </c>
      <c r="T366" s="115">
        <f t="shared" ref="T366" si="355">S366</f>
        <v>0</v>
      </c>
      <c r="U366" s="115">
        <f t="shared" ref="U366" si="356">T366</f>
        <v>0</v>
      </c>
      <c r="V366" s="115">
        <f t="shared" ref="V366" si="357">U366</f>
        <v>0</v>
      </c>
      <c r="W366" s="115">
        <f t="shared" ref="W366" si="358">V366</f>
        <v>0</v>
      </c>
      <c r="Y366" s="355"/>
    </row>
    <row r="367" spans="1:25" outlineLevel="1" x14ac:dyDescent="0.2">
      <c r="A367" s="366" t="s">
        <v>1190</v>
      </c>
      <c r="B367" s="461" t="s">
        <v>548</v>
      </c>
      <c r="C367" s="861"/>
      <c r="D367" s="861"/>
      <c r="E367" s="861"/>
      <c r="F367" s="152"/>
      <c r="G367" s="152"/>
      <c r="H367" s="152"/>
      <c r="I367" s="152"/>
      <c r="J367" s="271"/>
      <c r="K367" s="271"/>
      <c r="L367" s="271"/>
      <c r="M367" s="271"/>
      <c r="N367" s="271"/>
      <c r="O367" s="271"/>
      <c r="P367" s="271">
        <f t="shared" si="237"/>
        <v>0</v>
      </c>
      <c r="Q367" s="271"/>
      <c r="R367" s="271">
        <f t="shared" si="266"/>
        <v>0</v>
      </c>
      <c r="S367" s="271"/>
      <c r="T367" s="271"/>
      <c r="U367" s="271"/>
      <c r="V367" s="271"/>
      <c r="W367" s="272"/>
      <c r="Y367" s="355"/>
    </row>
    <row r="368" spans="1:25" outlineLevel="1" x14ac:dyDescent="0.2">
      <c r="A368" s="366" t="s">
        <v>1191</v>
      </c>
      <c r="B368" s="142" t="s">
        <v>545</v>
      </c>
      <c r="C368" s="858">
        <v>279</v>
      </c>
      <c r="D368" s="859" t="s">
        <v>145</v>
      </c>
      <c r="E368" s="859"/>
      <c r="F368" s="143">
        <v>910</v>
      </c>
      <c r="G368" s="143">
        <v>6000</v>
      </c>
      <c r="H368" s="145" t="s">
        <v>254</v>
      </c>
      <c r="I368" s="145"/>
      <c r="J368" s="115">
        <v>195745.00999999998</v>
      </c>
      <c r="K368" s="932">
        <v>0</v>
      </c>
      <c r="L368" s="115">
        <v>0</v>
      </c>
      <c r="M368" s="115">
        <v>0</v>
      </c>
      <c r="N368" s="115">
        <v>0</v>
      </c>
      <c r="O368" s="932">
        <f>'2022 Budget &amp; CF'!AA368</f>
        <v>0</v>
      </c>
      <c r="P368" s="12">
        <f>O368-N368</f>
        <v>0</v>
      </c>
      <c r="Q368" s="932">
        <f t="shared" ref="Q368" si="359">O368</f>
        <v>0</v>
      </c>
      <c r="R368" s="115">
        <f t="shared" si="266"/>
        <v>0</v>
      </c>
      <c r="S368" s="115">
        <f>Q368</f>
        <v>0</v>
      </c>
      <c r="T368" s="115">
        <f t="shared" ref="T368" si="360">S368</f>
        <v>0</v>
      </c>
      <c r="U368" s="115">
        <f t="shared" ref="U368" si="361">T368</f>
        <v>0</v>
      </c>
      <c r="V368" s="115">
        <f t="shared" ref="V368" si="362">U368</f>
        <v>0</v>
      </c>
      <c r="W368" s="115">
        <f t="shared" ref="W368" si="363">V368</f>
        <v>0</v>
      </c>
      <c r="Y368" s="355"/>
    </row>
    <row r="369" spans="1:37" s="332" customFormat="1" x14ac:dyDescent="0.2">
      <c r="A369" s="366" t="s">
        <v>1192</v>
      </c>
      <c r="B369" s="207" t="s">
        <v>279</v>
      </c>
      <c r="C369" s="868"/>
      <c r="D369" s="869"/>
      <c r="E369" s="869"/>
      <c r="F369" s="155"/>
      <c r="G369" s="155"/>
      <c r="H369" s="155"/>
      <c r="I369" s="155"/>
      <c r="J369" s="304">
        <f>SUM(J284:J368)</f>
        <v>195745.00999999998</v>
      </c>
      <c r="K369" s="304">
        <f t="shared" ref="K369:N369" si="364">SUM(K284:K368)</f>
        <v>253551.48</v>
      </c>
      <c r="L369" s="304">
        <f t="shared" si="364"/>
        <v>185518</v>
      </c>
      <c r="M369" s="304">
        <f t="shared" si="364"/>
        <v>185515</v>
      </c>
      <c r="N369" s="304">
        <f t="shared" si="364"/>
        <v>194201</v>
      </c>
      <c r="O369" s="304">
        <f>SUM(O284:O368)</f>
        <v>315306</v>
      </c>
      <c r="P369" s="304">
        <f t="shared" ref="P369" si="365">O369-N369</f>
        <v>121105</v>
      </c>
      <c r="Q369" s="304">
        <f t="shared" ref="Q369:W369" si="366">SUM(Q284:Q368)</f>
        <v>200662</v>
      </c>
      <c r="R369" s="304">
        <f t="shared" si="266"/>
        <v>6461</v>
      </c>
      <c r="S369" s="304">
        <f t="shared" si="366"/>
        <v>210542</v>
      </c>
      <c r="T369" s="304">
        <f t="shared" si="366"/>
        <v>218478</v>
      </c>
      <c r="U369" s="304">
        <f t="shared" si="366"/>
        <v>224480</v>
      </c>
      <c r="V369" s="304">
        <f t="shared" si="366"/>
        <v>226579</v>
      </c>
      <c r="W369" s="304">
        <f t="shared" si="366"/>
        <v>227398</v>
      </c>
      <c r="X369" s="922"/>
      <c r="Y369" s="45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outlineLevel="1" x14ac:dyDescent="0.2">
      <c r="A370" s="366" t="s">
        <v>1193</v>
      </c>
      <c r="B370" s="459"/>
      <c r="C370" s="857"/>
      <c r="D370" s="857"/>
      <c r="E370" s="857"/>
      <c r="F370" s="140"/>
      <c r="G370" s="140"/>
      <c r="H370" s="152"/>
      <c r="I370" s="152"/>
      <c r="J370" s="271"/>
      <c r="K370" s="271"/>
      <c r="L370" s="271"/>
      <c r="M370" s="271"/>
      <c r="N370" s="271"/>
      <c r="O370" s="271"/>
      <c r="P370" s="271">
        <f t="shared" si="237"/>
        <v>0</v>
      </c>
      <c r="Q370" s="271"/>
      <c r="R370" s="271"/>
      <c r="S370" s="271"/>
      <c r="T370" s="271"/>
      <c r="U370" s="271"/>
      <c r="V370" s="271"/>
      <c r="W370" s="272"/>
      <c r="Y370" s="355"/>
    </row>
    <row r="371" spans="1:37" outlineLevel="1" x14ac:dyDescent="0.2">
      <c r="A371" s="366" t="s">
        <v>1194</v>
      </c>
      <c r="B371" s="142" t="s">
        <v>354</v>
      </c>
      <c r="C371" s="858">
        <v>100</v>
      </c>
      <c r="D371" s="859" t="s">
        <v>145</v>
      </c>
      <c r="E371" s="859"/>
      <c r="F371" s="143">
        <v>100</v>
      </c>
      <c r="G371" s="143">
        <v>2500</v>
      </c>
      <c r="H371" s="145" t="s">
        <v>355</v>
      </c>
      <c r="I371" s="145"/>
      <c r="J371" s="115">
        <v>1800</v>
      </c>
      <c r="K371" s="115">
        <v>7895</v>
      </c>
      <c r="L371" s="115">
        <v>6593</v>
      </c>
      <c r="M371" s="115">
        <v>8517</v>
      </c>
      <c r="N371" s="115">
        <v>0</v>
      </c>
      <c r="O371" s="940">
        <f>'2022 Budget &amp; CF'!AA371</f>
        <v>0</v>
      </c>
      <c r="P371" s="12">
        <f t="shared" ref="P371" si="367">O371-N371</f>
        <v>0</v>
      </c>
      <c r="Q371" s="932">
        <f>O371</f>
        <v>0</v>
      </c>
      <c r="R371" s="12">
        <f t="shared" si="266"/>
        <v>0</v>
      </c>
      <c r="S371" s="12">
        <f>Q371</f>
        <v>0</v>
      </c>
      <c r="T371" s="12">
        <f t="shared" ref="T371" si="368">S371</f>
        <v>0</v>
      </c>
      <c r="U371" s="12">
        <f t="shared" ref="U371" si="369">T371</f>
        <v>0</v>
      </c>
      <c r="V371" s="12">
        <f t="shared" ref="V371" si="370">U371</f>
        <v>0</v>
      </c>
      <c r="W371" s="12">
        <f t="shared" ref="W371" si="371">V371</f>
        <v>0</v>
      </c>
      <c r="Y371" s="355"/>
    </row>
    <row r="372" spans="1:37" outlineLevel="1" x14ac:dyDescent="0.2">
      <c r="A372" s="366" t="s">
        <v>1195</v>
      </c>
      <c r="B372" s="142" t="s">
        <v>354</v>
      </c>
      <c r="C372" s="858">
        <v>300</v>
      </c>
      <c r="D372" s="859" t="s">
        <v>145</v>
      </c>
      <c r="E372" s="859"/>
      <c r="F372" s="143">
        <v>100</v>
      </c>
      <c r="G372" s="143">
        <v>2500</v>
      </c>
      <c r="H372" s="145" t="s">
        <v>355</v>
      </c>
      <c r="I372" s="145"/>
      <c r="J372" s="115"/>
      <c r="K372" s="115">
        <v>4111</v>
      </c>
      <c r="L372" s="115"/>
      <c r="M372" s="115"/>
      <c r="N372" s="115">
        <v>8517</v>
      </c>
      <c r="O372" s="940">
        <f>'2022 Budget &amp; CF'!AA372</f>
        <v>8517</v>
      </c>
      <c r="P372" s="12">
        <f>O372-N372</f>
        <v>0</v>
      </c>
      <c r="Q372" s="932">
        <f>8517+46000</f>
        <v>54517</v>
      </c>
      <c r="R372" s="12">
        <f t="shared" si="266"/>
        <v>46000</v>
      </c>
      <c r="S372" s="12">
        <f>Q372</f>
        <v>54517</v>
      </c>
      <c r="T372" s="12">
        <f>S372</f>
        <v>54517</v>
      </c>
      <c r="U372" s="12">
        <f t="shared" ref="U372:W372" si="372">T372</f>
        <v>54517</v>
      </c>
      <c r="V372" s="12">
        <f t="shared" si="372"/>
        <v>54517</v>
      </c>
      <c r="W372" s="12">
        <f t="shared" si="372"/>
        <v>54517</v>
      </c>
      <c r="Y372" s="355"/>
    </row>
    <row r="373" spans="1:37" outlineLevel="1" x14ac:dyDescent="0.2">
      <c r="A373" s="366" t="s">
        <v>1196</v>
      </c>
      <c r="B373" s="459"/>
      <c r="C373" s="857"/>
      <c r="D373" s="857"/>
      <c r="E373" s="857"/>
      <c r="F373" s="140"/>
      <c r="G373" s="140"/>
      <c r="H373" s="152"/>
      <c r="I373" s="152"/>
      <c r="J373" s="271"/>
      <c r="K373" s="271"/>
      <c r="L373" s="271"/>
      <c r="M373" s="271"/>
      <c r="N373" s="271"/>
      <c r="O373" s="271"/>
      <c r="P373" s="271">
        <f t="shared" ref="P373" si="373">O373-M373</f>
        <v>0</v>
      </c>
      <c r="Q373" s="271"/>
      <c r="R373" s="271">
        <f t="shared" si="266"/>
        <v>0</v>
      </c>
      <c r="S373" s="271"/>
      <c r="T373" s="271"/>
      <c r="U373" s="271"/>
      <c r="V373" s="271"/>
      <c r="W373" s="272"/>
      <c r="Y373" s="355"/>
    </row>
    <row r="374" spans="1:37" x14ac:dyDescent="0.2">
      <c r="A374" s="366" t="s">
        <v>1197</v>
      </c>
      <c r="B374" s="207" t="s">
        <v>353</v>
      </c>
      <c r="C374" s="868"/>
      <c r="D374" s="869"/>
      <c r="E374" s="869"/>
      <c r="F374" s="155"/>
      <c r="G374" s="155"/>
      <c r="H374" s="155"/>
      <c r="I374" s="155"/>
      <c r="J374" s="304">
        <f t="shared" ref="J374:N374" si="374">SUM(J370:J373)</f>
        <v>1800</v>
      </c>
      <c r="K374" s="304">
        <f t="shared" si="374"/>
        <v>12006</v>
      </c>
      <c r="L374" s="304">
        <f t="shared" si="374"/>
        <v>6593</v>
      </c>
      <c r="M374" s="304">
        <f t="shared" si="374"/>
        <v>8517</v>
      </c>
      <c r="N374" s="304">
        <f t="shared" si="374"/>
        <v>8517</v>
      </c>
      <c r="O374" s="304">
        <f t="shared" ref="O374:W374" si="375">SUM(O370:O373)</f>
        <v>8517</v>
      </c>
      <c r="P374" s="304">
        <f t="shared" si="375"/>
        <v>0</v>
      </c>
      <c r="Q374" s="304">
        <f t="shared" si="375"/>
        <v>54517</v>
      </c>
      <c r="R374" s="304">
        <f t="shared" si="266"/>
        <v>46000</v>
      </c>
      <c r="S374" s="304">
        <f t="shared" si="375"/>
        <v>54517</v>
      </c>
      <c r="T374" s="304">
        <f t="shared" si="375"/>
        <v>54517</v>
      </c>
      <c r="U374" s="304">
        <f t="shared" si="375"/>
        <v>54517</v>
      </c>
      <c r="V374" s="304">
        <f t="shared" si="375"/>
        <v>54517</v>
      </c>
      <c r="W374" s="304">
        <f t="shared" si="375"/>
        <v>54517</v>
      </c>
      <c r="Y374" s="355"/>
    </row>
    <row r="375" spans="1:37" outlineLevel="1" x14ac:dyDescent="0.2">
      <c r="A375" s="366" t="s">
        <v>1198</v>
      </c>
      <c r="B375" s="459" t="s">
        <v>197</v>
      </c>
      <c r="C375" s="857"/>
      <c r="D375" s="857"/>
      <c r="E375" s="857"/>
      <c r="F375" s="140"/>
      <c r="G375" s="140"/>
      <c r="H375" s="152"/>
      <c r="I375" s="152"/>
      <c r="J375" s="271"/>
      <c r="K375" s="271"/>
      <c r="L375" s="271"/>
      <c r="M375" s="271"/>
      <c r="N375" s="271"/>
      <c r="O375" s="271"/>
      <c r="P375" s="271">
        <f t="shared" si="237"/>
        <v>0</v>
      </c>
      <c r="Q375" s="271"/>
      <c r="R375" s="271">
        <f t="shared" si="266"/>
        <v>0</v>
      </c>
      <c r="S375" s="271"/>
      <c r="T375" s="271"/>
      <c r="U375" s="271"/>
      <c r="V375" s="271"/>
      <c r="W375" s="272"/>
      <c r="Y375" s="355"/>
    </row>
    <row r="376" spans="1:37" outlineLevel="1" x14ac:dyDescent="0.2">
      <c r="A376" s="366" t="s">
        <v>1199</v>
      </c>
      <c r="B376" s="157" t="s">
        <v>280</v>
      </c>
      <c r="C376" s="844">
        <v>100</v>
      </c>
      <c r="D376" s="845" t="s">
        <v>145</v>
      </c>
      <c r="E376" s="845"/>
      <c r="F376" s="158">
        <v>100</v>
      </c>
      <c r="G376" s="158">
        <v>1000</v>
      </c>
      <c r="H376" s="160" t="s">
        <v>281</v>
      </c>
      <c r="I376" s="160"/>
      <c r="J376" s="115">
        <v>0</v>
      </c>
      <c r="K376" s="115">
        <v>18</v>
      </c>
      <c r="L376" s="115">
        <v>18</v>
      </c>
      <c r="M376" s="115">
        <v>18</v>
      </c>
      <c r="N376" s="115">
        <v>18</v>
      </c>
      <c r="O376" s="932">
        <f>'2022 Budget &amp; CF'!AA376</f>
        <v>18</v>
      </c>
      <c r="P376" s="12">
        <f>O376-N376</f>
        <v>0</v>
      </c>
      <c r="Q376" s="932">
        <f>O376</f>
        <v>18</v>
      </c>
      <c r="R376" s="12">
        <f t="shared" si="266"/>
        <v>0</v>
      </c>
      <c r="S376" s="12">
        <f>Q376</f>
        <v>18</v>
      </c>
      <c r="T376" s="12">
        <f t="shared" ref="T376" si="376">S376</f>
        <v>18</v>
      </c>
      <c r="U376" s="12">
        <f t="shared" ref="U376:W376" si="377">T376</f>
        <v>18</v>
      </c>
      <c r="V376" s="12">
        <f t="shared" si="377"/>
        <v>18</v>
      </c>
      <c r="W376" s="12">
        <f t="shared" si="377"/>
        <v>18</v>
      </c>
      <c r="Y376" s="355"/>
    </row>
    <row r="377" spans="1:37" outlineLevel="1" x14ac:dyDescent="0.2">
      <c r="A377" s="366" t="s">
        <v>1227</v>
      </c>
      <c r="B377" s="459" t="s">
        <v>204</v>
      </c>
      <c r="C377" s="857"/>
      <c r="D377" s="857"/>
      <c r="E377" s="857"/>
      <c r="F377" s="140"/>
      <c r="G377" s="140"/>
      <c r="H377" s="152"/>
      <c r="I377" s="152"/>
      <c r="J377" s="271"/>
      <c r="K377" s="271"/>
      <c r="L377" s="271"/>
      <c r="M377" s="271"/>
      <c r="N377" s="271"/>
      <c r="O377" s="271"/>
      <c r="P377" s="271">
        <f t="shared" si="237"/>
        <v>0</v>
      </c>
      <c r="Q377" s="271"/>
      <c r="R377" s="271">
        <f t="shared" si="266"/>
        <v>0</v>
      </c>
      <c r="S377" s="271"/>
      <c r="T377" s="271"/>
      <c r="U377" s="271"/>
      <c r="V377" s="271"/>
      <c r="W377" s="272"/>
      <c r="Y377" s="355"/>
    </row>
    <row r="378" spans="1:37" outlineLevel="1" x14ac:dyDescent="0.2">
      <c r="A378" s="366" t="s">
        <v>1228</v>
      </c>
      <c r="B378" s="157" t="s">
        <v>282</v>
      </c>
      <c r="C378" s="844">
        <v>100</v>
      </c>
      <c r="D378" s="845" t="s">
        <v>145</v>
      </c>
      <c r="E378" s="845"/>
      <c r="F378" s="158">
        <v>100</v>
      </c>
      <c r="G378" s="158">
        <v>2210</v>
      </c>
      <c r="H378" s="160" t="s">
        <v>281</v>
      </c>
      <c r="I378" s="160"/>
      <c r="J378" s="115">
        <v>0</v>
      </c>
      <c r="K378" s="115">
        <v>1200</v>
      </c>
      <c r="L378" s="115">
        <v>0</v>
      </c>
      <c r="M378" s="115">
        <v>1200</v>
      </c>
      <c r="N378" s="115">
        <v>1200</v>
      </c>
      <c r="O378" s="932">
        <f>'2022 Budget &amp; CF'!AA378</f>
        <v>1200</v>
      </c>
      <c r="P378" s="12">
        <f>O378-N378</f>
        <v>0</v>
      </c>
      <c r="Q378" s="932">
        <f>O378</f>
        <v>1200</v>
      </c>
      <c r="R378" s="12">
        <f t="shared" si="266"/>
        <v>0</v>
      </c>
      <c r="S378" s="12">
        <f>Q378</f>
        <v>1200</v>
      </c>
      <c r="T378" s="12">
        <f t="shared" ref="T378" si="378">S378</f>
        <v>1200</v>
      </c>
      <c r="U378" s="12">
        <f t="shared" ref="U378:W378" si="379">T378</f>
        <v>1200</v>
      </c>
      <c r="V378" s="12">
        <f t="shared" si="379"/>
        <v>1200</v>
      </c>
      <c r="W378" s="12">
        <f t="shared" si="379"/>
        <v>1200</v>
      </c>
      <c r="Y378" s="355"/>
    </row>
    <row r="379" spans="1:37" outlineLevel="1" x14ac:dyDescent="0.2">
      <c r="A379" s="366" t="s">
        <v>1229</v>
      </c>
      <c r="B379" s="459" t="s">
        <v>206</v>
      </c>
      <c r="C379" s="857"/>
      <c r="D379" s="857"/>
      <c r="E379" s="857"/>
      <c r="F379" s="140"/>
      <c r="G379" s="140"/>
      <c r="H379" s="152"/>
      <c r="I379" s="152"/>
      <c r="J379" s="271"/>
      <c r="K379" s="271"/>
      <c r="L379" s="271"/>
      <c r="M379" s="271"/>
      <c r="N379" s="271"/>
      <c r="O379" s="271"/>
      <c r="P379" s="271">
        <f t="shared" si="237"/>
        <v>0</v>
      </c>
      <c r="Q379" s="271"/>
      <c r="R379" s="271">
        <f t="shared" si="266"/>
        <v>0</v>
      </c>
      <c r="S379" s="271"/>
      <c r="T379" s="271"/>
      <c r="U379" s="271"/>
      <c r="V379" s="271"/>
      <c r="W379" s="272"/>
      <c r="Y379" s="355"/>
    </row>
    <row r="380" spans="1:37" outlineLevel="1" x14ac:dyDescent="0.2">
      <c r="A380" s="366" t="s">
        <v>1230</v>
      </c>
      <c r="B380" s="157" t="s">
        <v>283</v>
      </c>
      <c r="C380" s="837">
        <v>100</v>
      </c>
      <c r="D380" s="841" t="s">
        <v>145</v>
      </c>
      <c r="E380" s="841"/>
      <c r="F380" s="101">
        <v>100</v>
      </c>
      <c r="G380" s="101">
        <v>2320</v>
      </c>
      <c r="H380" s="103" t="s">
        <v>281</v>
      </c>
      <c r="I380" s="103"/>
      <c r="J380" s="115">
        <v>0</v>
      </c>
      <c r="K380" s="115">
        <v>886</v>
      </c>
      <c r="L380" s="115">
        <v>44</v>
      </c>
      <c r="M380" s="115">
        <v>886</v>
      </c>
      <c r="N380" s="115">
        <v>886</v>
      </c>
      <c r="O380" s="932">
        <f>'2022 Budget &amp; CF'!AA380</f>
        <v>886</v>
      </c>
      <c r="P380" s="12">
        <f>O380-N380</f>
        <v>0</v>
      </c>
      <c r="Q380" s="932">
        <f>O380</f>
        <v>886</v>
      </c>
      <c r="R380" s="12">
        <f t="shared" si="266"/>
        <v>0</v>
      </c>
      <c r="S380" s="12">
        <f>Q380</f>
        <v>886</v>
      </c>
      <c r="T380" s="12">
        <f t="shared" ref="T380" si="380">S380</f>
        <v>886</v>
      </c>
      <c r="U380" s="12">
        <f t="shared" ref="U380:W380" si="381">T380</f>
        <v>886</v>
      </c>
      <c r="V380" s="12">
        <f t="shared" si="381"/>
        <v>886</v>
      </c>
      <c r="W380" s="12">
        <f t="shared" si="381"/>
        <v>886</v>
      </c>
      <c r="Y380" s="355"/>
    </row>
    <row r="381" spans="1:37" outlineLevel="1" x14ac:dyDescent="0.2">
      <c r="A381" s="366" t="s">
        <v>1231</v>
      </c>
      <c r="B381" s="459" t="s">
        <v>211</v>
      </c>
      <c r="C381" s="857"/>
      <c r="D381" s="857"/>
      <c r="E381" s="857"/>
      <c r="F381" s="140"/>
      <c r="G381" s="140"/>
      <c r="H381" s="152"/>
      <c r="I381" s="152"/>
      <c r="J381" s="271"/>
      <c r="K381" s="271"/>
      <c r="L381" s="271"/>
      <c r="M381" s="271"/>
      <c r="N381" s="271"/>
      <c r="O381" s="271"/>
      <c r="P381" s="271">
        <f t="shared" si="237"/>
        <v>0</v>
      </c>
      <c r="Q381" s="271"/>
      <c r="R381" s="271">
        <f t="shared" si="266"/>
        <v>0</v>
      </c>
      <c r="S381" s="271"/>
      <c r="T381" s="271"/>
      <c r="U381" s="271"/>
      <c r="V381" s="271"/>
      <c r="W381" s="272"/>
      <c r="Y381" s="355"/>
    </row>
    <row r="382" spans="1:37" outlineLevel="1" x14ac:dyDescent="0.2">
      <c r="A382" s="366" t="s">
        <v>1232</v>
      </c>
      <c r="B382" s="82" t="s">
        <v>287</v>
      </c>
      <c r="C382" s="837">
        <v>100</v>
      </c>
      <c r="D382" s="841" t="s">
        <v>145</v>
      </c>
      <c r="E382" s="841"/>
      <c r="F382" s="101">
        <v>100</v>
      </c>
      <c r="G382" s="101">
        <v>2490</v>
      </c>
      <c r="H382" s="103" t="s">
        <v>281</v>
      </c>
      <c r="I382" s="103"/>
      <c r="J382" s="115">
        <v>0</v>
      </c>
      <c r="K382" s="115">
        <v>548</v>
      </c>
      <c r="L382" s="115">
        <v>1245</v>
      </c>
      <c r="M382" s="115">
        <v>548</v>
      </c>
      <c r="N382" s="115">
        <v>548</v>
      </c>
      <c r="O382" s="932">
        <f>'2022 Budget &amp; CF'!AA382</f>
        <v>548</v>
      </c>
      <c r="P382" s="12">
        <f>O382-N382</f>
        <v>0</v>
      </c>
      <c r="Q382" s="932">
        <f>O382</f>
        <v>548</v>
      </c>
      <c r="R382" s="12">
        <f t="shared" si="266"/>
        <v>0</v>
      </c>
      <c r="S382" s="12">
        <f>Q382</f>
        <v>548</v>
      </c>
      <c r="T382" s="12">
        <f t="shared" ref="T382" si="382">S382</f>
        <v>548</v>
      </c>
      <c r="U382" s="12">
        <f t="shared" ref="U382:W382" si="383">T382</f>
        <v>548</v>
      </c>
      <c r="V382" s="12">
        <f t="shared" si="383"/>
        <v>548</v>
      </c>
      <c r="W382" s="12">
        <f t="shared" si="383"/>
        <v>548</v>
      </c>
      <c r="Y382" s="355"/>
    </row>
    <row r="383" spans="1:37" outlineLevel="1" x14ac:dyDescent="0.2">
      <c r="A383" s="366" t="s">
        <v>1233</v>
      </c>
      <c r="B383" s="459" t="s">
        <v>214</v>
      </c>
      <c r="C383" s="860"/>
      <c r="D383" s="860"/>
      <c r="E383" s="860"/>
      <c r="F383" s="148"/>
      <c r="G383" s="148"/>
      <c r="H383" s="152"/>
      <c r="I383" s="152"/>
      <c r="J383" s="271"/>
      <c r="K383" s="271"/>
      <c r="L383" s="271"/>
      <c r="M383" s="271"/>
      <c r="N383" s="271"/>
      <c r="O383" s="271"/>
      <c r="P383" s="271">
        <f t="shared" si="237"/>
        <v>0</v>
      </c>
      <c r="Q383" s="271"/>
      <c r="R383" s="271">
        <f t="shared" si="266"/>
        <v>0</v>
      </c>
      <c r="S383" s="271"/>
      <c r="T383" s="271"/>
      <c r="U383" s="271"/>
      <c r="V383" s="271"/>
      <c r="W383" s="272"/>
      <c r="Y383" s="355"/>
    </row>
    <row r="384" spans="1:37" outlineLevel="1" x14ac:dyDescent="0.2">
      <c r="A384" s="366" t="s">
        <v>1234</v>
      </c>
      <c r="B384" s="82" t="s">
        <v>284</v>
      </c>
      <c r="C384" s="837">
        <v>100</v>
      </c>
      <c r="D384" s="841" t="s">
        <v>145</v>
      </c>
      <c r="E384" s="841"/>
      <c r="F384" s="101">
        <v>100</v>
      </c>
      <c r="G384" s="101">
        <v>2510</v>
      </c>
      <c r="H384" s="103" t="s">
        <v>281</v>
      </c>
      <c r="I384" s="103"/>
      <c r="J384" s="115">
        <v>0</v>
      </c>
      <c r="K384" s="115">
        <v>416.36</v>
      </c>
      <c r="L384" s="115">
        <v>1000</v>
      </c>
      <c r="M384" s="115">
        <v>836</v>
      </c>
      <c r="N384" s="115">
        <v>836</v>
      </c>
      <c r="O384" s="932">
        <f>'2022 Budget &amp; CF'!AA384</f>
        <v>836</v>
      </c>
      <c r="P384" s="12">
        <f t="shared" ref="P384:P386" si="384">O384-N384</f>
        <v>0</v>
      </c>
      <c r="Q384" s="932">
        <f>O384</f>
        <v>836</v>
      </c>
      <c r="R384" s="12">
        <f t="shared" si="266"/>
        <v>0</v>
      </c>
      <c r="S384" s="12">
        <f>Q384</f>
        <v>836</v>
      </c>
      <c r="T384" s="12">
        <f t="shared" ref="T384:T387" si="385">S384</f>
        <v>836</v>
      </c>
      <c r="U384" s="12">
        <f t="shared" ref="U384:W387" si="386">T384</f>
        <v>836</v>
      </c>
      <c r="V384" s="12">
        <f t="shared" si="386"/>
        <v>836</v>
      </c>
      <c r="W384" s="12">
        <f t="shared" si="386"/>
        <v>836</v>
      </c>
      <c r="Y384" s="355"/>
    </row>
    <row r="385" spans="1:25" outlineLevel="1" x14ac:dyDescent="0.2">
      <c r="A385" s="366" t="s">
        <v>1235</v>
      </c>
      <c r="B385" s="157" t="s">
        <v>1058</v>
      </c>
      <c r="C385" s="844">
        <v>100</v>
      </c>
      <c r="D385" s="845" t="s">
        <v>145</v>
      </c>
      <c r="E385" s="845"/>
      <c r="F385" s="158">
        <v>100</v>
      </c>
      <c r="G385" s="158" t="s">
        <v>477</v>
      </c>
      <c r="H385" s="160" t="s">
        <v>281</v>
      </c>
      <c r="I385" s="160"/>
      <c r="J385" s="115">
        <v>0</v>
      </c>
      <c r="K385" s="115">
        <v>537</v>
      </c>
      <c r="L385" s="115">
        <v>0</v>
      </c>
      <c r="M385" s="115">
        <v>219</v>
      </c>
      <c r="N385" s="115">
        <v>219</v>
      </c>
      <c r="O385" s="932">
        <f>'2022 Budget &amp; CF'!AA385</f>
        <v>219</v>
      </c>
      <c r="P385" s="12">
        <f t="shared" si="384"/>
        <v>0</v>
      </c>
      <c r="Q385" s="932">
        <f t="shared" ref="Q385:Q387" si="387">O385</f>
        <v>219</v>
      </c>
      <c r="R385" s="12">
        <f t="shared" si="266"/>
        <v>0</v>
      </c>
      <c r="S385" s="12">
        <f>Q385</f>
        <v>219</v>
      </c>
      <c r="T385" s="12">
        <f t="shared" si="385"/>
        <v>219</v>
      </c>
      <c r="U385" s="12">
        <f t="shared" si="386"/>
        <v>219</v>
      </c>
      <c r="V385" s="12">
        <f t="shared" si="386"/>
        <v>219</v>
      </c>
      <c r="W385" s="12">
        <f t="shared" si="386"/>
        <v>219</v>
      </c>
      <c r="Y385" s="355"/>
    </row>
    <row r="386" spans="1:25" outlineLevel="1" x14ac:dyDescent="0.2">
      <c r="A386" s="366" t="s">
        <v>1236</v>
      </c>
      <c r="B386" s="157" t="s">
        <v>1058</v>
      </c>
      <c r="C386" s="844">
        <v>100</v>
      </c>
      <c r="D386" s="845" t="s">
        <v>145</v>
      </c>
      <c r="E386" s="845"/>
      <c r="F386" s="158">
        <v>100</v>
      </c>
      <c r="G386" s="158" t="s">
        <v>479</v>
      </c>
      <c r="H386" s="160" t="s">
        <v>281</v>
      </c>
      <c r="I386" s="160"/>
      <c r="J386" s="115">
        <v>0</v>
      </c>
      <c r="K386" s="115">
        <v>119.4</v>
      </c>
      <c r="L386" s="115">
        <v>0</v>
      </c>
      <c r="M386" s="115">
        <v>119</v>
      </c>
      <c r="N386" s="115">
        <v>119</v>
      </c>
      <c r="O386" s="932">
        <f>'2022 Budget &amp; CF'!AA386</f>
        <v>119</v>
      </c>
      <c r="P386" s="12">
        <f t="shared" si="384"/>
        <v>0</v>
      </c>
      <c r="Q386" s="932">
        <f t="shared" si="387"/>
        <v>119</v>
      </c>
      <c r="R386" s="12">
        <f t="shared" si="266"/>
        <v>0</v>
      </c>
      <c r="S386" s="12">
        <f>Q386</f>
        <v>119</v>
      </c>
      <c r="T386" s="12">
        <f t="shared" si="385"/>
        <v>119</v>
      </c>
      <c r="U386" s="12">
        <f t="shared" si="386"/>
        <v>119</v>
      </c>
      <c r="V386" s="12">
        <f t="shared" si="386"/>
        <v>119</v>
      </c>
      <c r="W386" s="12">
        <f t="shared" si="386"/>
        <v>119</v>
      </c>
      <c r="Y386" s="355"/>
    </row>
    <row r="387" spans="1:25" outlineLevel="1" x14ac:dyDescent="0.2">
      <c r="A387" s="366" t="s">
        <v>1237</v>
      </c>
      <c r="B387" s="157" t="s">
        <v>1058</v>
      </c>
      <c r="C387" s="837" t="s">
        <v>468</v>
      </c>
      <c r="D387" s="833" t="s">
        <v>145</v>
      </c>
      <c r="E387" s="841"/>
      <c r="F387" s="101" t="s">
        <v>468</v>
      </c>
      <c r="G387" s="101" t="s">
        <v>520</v>
      </c>
      <c r="H387" s="103" t="s">
        <v>281</v>
      </c>
      <c r="I387" s="103"/>
      <c r="J387" s="115">
        <v>0</v>
      </c>
      <c r="K387" s="115">
        <v>101.94</v>
      </c>
      <c r="L387" s="115">
        <v>0</v>
      </c>
      <c r="M387" s="115">
        <v>0</v>
      </c>
      <c r="N387" s="115">
        <v>0</v>
      </c>
      <c r="O387" s="932">
        <f>'2022 Budget &amp; CF'!AA387</f>
        <v>0</v>
      </c>
      <c r="P387" s="12">
        <f>O387-N387</f>
        <v>0</v>
      </c>
      <c r="Q387" s="932">
        <f t="shared" si="387"/>
        <v>0</v>
      </c>
      <c r="R387" s="115">
        <f t="shared" si="266"/>
        <v>0</v>
      </c>
      <c r="S387" s="115">
        <f>Q387</f>
        <v>0</v>
      </c>
      <c r="T387" s="115">
        <f t="shared" si="385"/>
        <v>0</v>
      </c>
      <c r="U387" s="115">
        <f t="shared" si="386"/>
        <v>0</v>
      </c>
      <c r="V387" s="115">
        <f t="shared" si="386"/>
        <v>0</v>
      </c>
      <c r="W387" s="115">
        <f t="shared" si="386"/>
        <v>0</v>
      </c>
      <c r="Y387" s="355"/>
    </row>
    <row r="388" spans="1:25" outlineLevel="1" x14ac:dyDescent="0.2">
      <c r="A388" s="366" t="s">
        <v>1238</v>
      </c>
      <c r="B388" s="459" t="s">
        <v>228</v>
      </c>
      <c r="C388" s="861"/>
      <c r="D388" s="861"/>
      <c r="E388" s="861"/>
      <c r="F388" s="152"/>
      <c r="G388" s="152"/>
      <c r="H388" s="152"/>
      <c r="I388" s="152"/>
      <c r="J388" s="271"/>
      <c r="K388" s="271"/>
      <c r="L388" s="271"/>
      <c r="M388" s="271"/>
      <c r="N388" s="271"/>
      <c r="O388" s="271"/>
      <c r="P388" s="271">
        <f t="shared" si="237"/>
        <v>0</v>
      </c>
      <c r="Q388" s="271"/>
      <c r="R388" s="271">
        <f t="shared" si="266"/>
        <v>0</v>
      </c>
      <c r="S388" s="271"/>
      <c r="T388" s="271"/>
      <c r="U388" s="271"/>
      <c r="V388" s="271"/>
      <c r="W388" s="272"/>
      <c r="Y388" s="355"/>
    </row>
    <row r="389" spans="1:25" outlineLevel="1" x14ac:dyDescent="0.2">
      <c r="A389" s="366" t="s">
        <v>1239</v>
      </c>
      <c r="B389" s="82" t="s">
        <v>285</v>
      </c>
      <c r="C389" s="837">
        <v>100</v>
      </c>
      <c r="D389" s="841" t="s">
        <v>145</v>
      </c>
      <c r="E389" s="841"/>
      <c r="F389" s="101">
        <v>100</v>
      </c>
      <c r="G389" s="101">
        <v>2610</v>
      </c>
      <c r="H389" s="103" t="s">
        <v>281</v>
      </c>
      <c r="I389" s="103"/>
      <c r="J389" s="115">
        <v>0</v>
      </c>
      <c r="K389" s="115">
        <v>238</v>
      </c>
      <c r="L389" s="115">
        <v>200</v>
      </c>
      <c r="M389" s="115">
        <v>238</v>
      </c>
      <c r="N389" s="115">
        <v>238</v>
      </c>
      <c r="O389" s="932">
        <f>'2022 Budget &amp; CF'!AA389</f>
        <v>238</v>
      </c>
      <c r="P389" s="12">
        <f>O389-N389</f>
        <v>0</v>
      </c>
      <c r="Q389" s="932">
        <f>O389</f>
        <v>238</v>
      </c>
      <c r="R389" s="12">
        <f t="shared" si="266"/>
        <v>0</v>
      </c>
      <c r="S389" s="12">
        <f>Q389</f>
        <v>238</v>
      </c>
      <c r="T389" s="12">
        <f t="shared" ref="T389" si="388">S389</f>
        <v>238</v>
      </c>
      <c r="U389" s="12">
        <f t="shared" ref="U389:W389" si="389">T389</f>
        <v>238</v>
      </c>
      <c r="V389" s="12">
        <f t="shared" si="389"/>
        <v>238</v>
      </c>
      <c r="W389" s="12">
        <f t="shared" si="389"/>
        <v>238</v>
      </c>
      <c r="Y389" s="355"/>
    </row>
    <row r="390" spans="1:25" outlineLevel="1" x14ac:dyDescent="0.2">
      <c r="A390" s="366" t="s">
        <v>1240</v>
      </c>
      <c r="B390" s="459" t="s">
        <v>996</v>
      </c>
      <c r="C390" s="861"/>
      <c r="D390" s="861"/>
      <c r="E390" s="861"/>
      <c r="F390" s="152"/>
      <c r="G390" s="152"/>
      <c r="H390" s="152"/>
      <c r="I390" s="152"/>
      <c r="J390" s="271"/>
      <c r="K390" s="271"/>
      <c r="L390" s="271"/>
      <c r="M390" s="271"/>
      <c r="N390" s="271"/>
      <c r="O390" s="271"/>
      <c r="P390" s="271">
        <f t="shared" ref="P390:P412" si="390">O390-M390</f>
        <v>0</v>
      </c>
      <c r="Q390" s="271"/>
      <c r="R390" s="271">
        <f t="shared" si="266"/>
        <v>0</v>
      </c>
      <c r="S390" s="271"/>
      <c r="T390" s="271"/>
      <c r="U390" s="271"/>
      <c r="V390" s="271"/>
      <c r="W390" s="272"/>
      <c r="Y390" s="355"/>
    </row>
    <row r="391" spans="1:25" outlineLevel="1" x14ac:dyDescent="0.2">
      <c r="A391" s="366" t="s">
        <v>1241</v>
      </c>
      <c r="B391" s="157" t="s">
        <v>995</v>
      </c>
      <c r="C391" s="844">
        <v>100</v>
      </c>
      <c r="D391" s="845" t="s">
        <v>145</v>
      </c>
      <c r="E391" s="845"/>
      <c r="F391" s="158">
        <v>100</v>
      </c>
      <c r="G391" s="158">
        <v>4600</v>
      </c>
      <c r="H391" s="160" t="s">
        <v>281</v>
      </c>
      <c r="I391" s="160"/>
      <c r="J391" s="115">
        <v>0</v>
      </c>
      <c r="K391" s="115">
        <v>3910</v>
      </c>
      <c r="L391" s="115">
        <v>0</v>
      </c>
      <c r="M391" s="115">
        <v>3910</v>
      </c>
      <c r="N391" s="115">
        <v>3910</v>
      </c>
      <c r="O391" s="932">
        <f>'2022 Budget &amp; CF'!AA391</f>
        <v>3910</v>
      </c>
      <c r="P391" s="12">
        <f>O391-N391</f>
        <v>0</v>
      </c>
      <c r="Q391" s="932">
        <v>0</v>
      </c>
      <c r="R391" s="12">
        <f t="shared" si="266"/>
        <v>-3910</v>
      </c>
      <c r="S391" s="12">
        <f>Q391</f>
        <v>0</v>
      </c>
      <c r="T391" s="12">
        <f t="shared" ref="T391" si="391">S391</f>
        <v>0</v>
      </c>
      <c r="U391" s="12">
        <f t="shared" ref="U391" si="392">T391</f>
        <v>0</v>
      </c>
      <c r="V391" s="12">
        <f t="shared" ref="V391" si="393">U391</f>
        <v>0</v>
      </c>
      <c r="W391" s="12">
        <f t="shared" ref="W391" si="394">V391</f>
        <v>0</v>
      </c>
      <c r="Y391" s="355"/>
    </row>
    <row r="392" spans="1:25" outlineLevel="1" x14ac:dyDescent="0.2">
      <c r="A392" s="366" t="s">
        <v>1242</v>
      </c>
      <c r="B392" s="459" t="s">
        <v>1133</v>
      </c>
      <c r="C392" s="861"/>
      <c r="D392" s="861"/>
      <c r="E392" s="861"/>
      <c r="F392" s="152"/>
      <c r="G392" s="152"/>
      <c r="H392" s="152"/>
      <c r="I392" s="152"/>
      <c r="J392" s="271"/>
      <c r="K392" s="271"/>
      <c r="L392" s="271"/>
      <c r="M392" s="271"/>
      <c r="N392" s="271"/>
      <c r="O392" s="271"/>
      <c r="P392" s="271">
        <f t="shared" ref="P392" si="395">O392-M392</f>
        <v>0</v>
      </c>
      <c r="Q392" s="271"/>
      <c r="R392" s="271">
        <f t="shared" si="266"/>
        <v>0</v>
      </c>
      <c r="S392" s="271"/>
      <c r="T392" s="271"/>
      <c r="U392" s="271"/>
      <c r="V392" s="271"/>
      <c r="W392" s="272"/>
      <c r="Y392" s="355"/>
    </row>
    <row r="393" spans="1:25" outlineLevel="1" x14ac:dyDescent="0.2">
      <c r="A393" s="366" t="s">
        <v>1243</v>
      </c>
      <c r="B393" s="157" t="s">
        <v>1134</v>
      </c>
      <c r="C393" s="844">
        <v>100</v>
      </c>
      <c r="D393" s="845" t="s">
        <v>145</v>
      </c>
      <c r="E393" s="845"/>
      <c r="F393" s="160">
        <v>100</v>
      </c>
      <c r="G393" s="158">
        <v>6200</v>
      </c>
      <c r="H393" s="160" t="s">
        <v>1135</v>
      </c>
      <c r="I393" s="160"/>
      <c r="J393" s="115">
        <v>0</v>
      </c>
      <c r="K393" s="115">
        <v>148736.5</v>
      </c>
      <c r="L393" s="115">
        <v>0</v>
      </c>
      <c r="M393" s="115">
        <v>0</v>
      </c>
      <c r="N393" s="115">
        <v>3910</v>
      </c>
      <c r="O393" s="932">
        <f>'2022 Budget &amp; CF'!AA393</f>
        <v>1559311</v>
      </c>
      <c r="P393" s="12">
        <f>O393-N393</f>
        <v>1555401</v>
      </c>
      <c r="Q393" s="932">
        <v>0</v>
      </c>
      <c r="R393" s="12">
        <f t="shared" si="266"/>
        <v>-3910</v>
      </c>
      <c r="S393" s="12">
        <f>Q393</f>
        <v>0</v>
      </c>
      <c r="T393" s="12">
        <f t="shared" ref="T393:T394" si="396">S393</f>
        <v>0</v>
      </c>
      <c r="U393" s="12">
        <f t="shared" ref="U393" si="397">T393</f>
        <v>0</v>
      </c>
      <c r="V393" s="12">
        <f t="shared" ref="V393" si="398">U393</f>
        <v>0</v>
      </c>
      <c r="W393" s="12">
        <f t="shared" ref="W393" si="399">V393</f>
        <v>0</v>
      </c>
      <c r="Y393" s="355"/>
    </row>
    <row r="394" spans="1:25" outlineLevel="1" x14ac:dyDescent="0.2">
      <c r="A394" s="366" t="s">
        <v>1244</v>
      </c>
      <c r="B394" s="142" t="s">
        <v>1270</v>
      </c>
      <c r="C394" s="858">
        <v>100</v>
      </c>
      <c r="D394" s="859" t="s">
        <v>145</v>
      </c>
      <c r="E394" s="859"/>
      <c r="F394" s="143">
        <v>100</v>
      </c>
      <c r="G394" s="143">
        <v>6300</v>
      </c>
      <c r="H394" s="145" t="s">
        <v>1271</v>
      </c>
      <c r="I394" s="145"/>
      <c r="J394" s="115"/>
      <c r="K394" s="115">
        <v>0</v>
      </c>
      <c r="L394" s="115"/>
      <c r="M394" s="115"/>
      <c r="N394" s="115"/>
      <c r="O394" s="932">
        <f>'2022 Budget &amp; CF'!AA394</f>
        <v>0</v>
      </c>
      <c r="P394" s="12"/>
      <c r="Q394" s="932"/>
      <c r="R394" s="12">
        <f t="shared" si="266"/>
        <v>0</v>
      </c>
      <c r="S394" s="12"/>
      <c r="T394" s="12">
        <f t="shared" si="396"/>
        <v>0</v>
      </c>
      <c r="U394" s="12">
        <f t="shared" ref="U394" si="400">T394</f>
        <v>0</v>
      </c>
      <c r="V394" s="12">
        <f t="shared" ref="V394" si="401">U394</f>
        <v>0</v>
      </c>
      <c r="W394" s="12">
        <f t="shared" ref="W394" si="402">V394</f>
        <v>0</v>
      </c>
      <c r="Y394" s="355"/>
    </row>
    <row r="395" spans="1:25" outlineLevel="1" x14ac:dyDescent="0.2">
      <c r="A395" s="366" t="s">
        <v>1245</v>
      </c>
      <c r="B395" s="461" t="s">
        <v>512</v>
      </c>
      <c r="C395" s="861"/>
      <c r="D395" s="861"/>
      <c r="E395" s="861"/>
      <c r="F395" s="152"/>
      <c r="G395" s="152"/>
      <c r="H395" s="152"/>
      <c r="I395" s="152"/>
      <c r="J395" s="271"/>
      <c r="K395" s="271"/>
      <c r="L395" s="271"/>
      <c r="M395" s="271"/>
      <c r="N395" s="271"/>
      <c r="O395" s="271"/>
      <c r="P395" s="271">
        <f t="shared" si="390"/>
        <v>0</v>
      </c>
      <c r="Q395" s="271"/>
      <c r="R395" s="271">
        <f t="shared" si="266"/>
        <v>0</v>
      </c>
      <c r="S395" s="271"/>
      <c r="T395" s="271"/>
      <c r="U395" s="271"/>
      <c r="V395" s="271"/>
      <c r="W395" s="272"/>
      <c r="Y395" s="355"/>
    </row>
    <row r="396" spans="1:25" outlineLevel="1" x14ac:dyDescent="0.2">
      <c r="A396" s="366" t="s">
        <v>1246</v>
      </c>
      <c r="B396" s="82" t="s">
        <v>515</v>
      </c>
      <c r="C396" s="837">
        <v>240</v>
      </c>
      <c r="D396" s="833">
        <v>390</v>
      </c>
      <c r="E396" s="841"/>
      <c r="F396" s="101">
        <v>100</v>
      </c>
      <c r="G396" s="101">
        <v>2400</v>
      </c>
      <c r="H396" s="103" t="s">
        <v>288</v>
      </c>
      <c r="I396" s="103"/>
      <c r="J396" s="115">
        <v>0</v>
      </c>
      <c r="K396" s="115">
        <v>0</v>
      </c>
      <c r="L396" s="115">
        <v>0</v>
      </c>
      <c r="M396" s="115">
        <v>0</v>
      </c>
      <c r="N396" s="115">
        <v>0</v>
      </c>
      <c r="O396" s="932">
        <f>'2022 Budget &amp; CF'!AA396</f>
        <v>0</v>
      </c>
      <c r="P396" s="12">
        <f>O396-N396</f>
        <v>0</v>
      </c>
      <c r="Q396" s="932">
        <f t="shared" ref="Q396:Q405" si="403">O396</f>
        <v>0</v>
      </c>
      <c r="R396" s="115">
        <f t="shared" ref="R396:R415" si="404">Q396-N396</f>
        <v>0</v>
      </c>
      <c r="S396" s="115">
        <f>Q396</f>
        <v>0</v>
      </c>
      <c r="T396" s="115">
        <f t="shared" ref="T396" si="405">S396</f>
        <v>0</v>
      </c>
      <c r="U396" s="115">
        <f t="shared" ref="U396:U405" si="406">T396</f>
        <v>0</v>
      </c>
      <c r="V396" s="115">
        <f t="shared" ref="V396:V405" si="407">U396</f>
        <v>0</v>
      </c>
      <c r="W396" s="115">
        <f t="shared" ref="W396:W405" si="408">V396</f>
        <v>0</v>
      </c>
      <c r="Y396" s="355"/>
    </row>
    <row r="397" spans="1:25" outlineLevel="1" x14ac:dyDescent="0.2">
      <c r="A397" s="366" t="s">
        <v>1247</v>
      </c>
      <c r="B397" s="461" t="s">
        <v>42</v>
      </c>
      <c r="C397" s="861"/>
      <c r="D397" s="861"/>
      <c r="E397" s="861"/>
      <c r="F397" s="152"/>
      <c r="G397" s="152"/>
      <c r="H397" s="152"/>
      <c r="I397" s="152"/>
      <c r="J397" s="271"/>
      <c r="K397" s="271"/>
      <c r="L397" s="271"/>
      <c r="M397" s="271"/>
      <c r="N397" s="271"/>
      <c r="O397" s="271"/>
      <c r="P397" s="271">
        <f t="shared" ref="P397" si="409">O397-M397</f>
        <v>0</v>
      </c>
      <c r="Q397" s="271"/>
      <c r="R397" s="271">
        <f t="shared" si="404"/>
        <v>0</v>
      </c>
      <c r="S397" s="271"/>
      <c r="T397" s="271"/>
      <c r="U397" s="271"/>
      <c r="V397" s="271"/>
      <c r="W397" s="272"/>
      <c r="Y397" s="355"/>
    </row>
    <row r="398" spans="1:25" outlineLevel="1" x14ac:dyDescent="0.2">
      <c r="A398" s="366" t="s">
        <v>1248</v>
      </c>
      <c r="B398" s="82" t="s">
        <v>1058</v>
      </c>
      <c r="C398" s="837">
        <v>250</v>
      </c>
      <c r="D398" s="863" t="s">
        <v>132</v>
      </c>
      <c r="E398" s="841"/>
      <c r="F398" s="101">
        <v>200</v>
      </c>
      <c r="G398" s="101">
        <v>2140</v>
      </c>
      <c r="H398" s="103" t="s">
        <v>281</v>
      </c>
      <c r="I398" s="103"/>
      <c r="J398" s="115">
        <v>0</v>
      </c>
      <c r="K398" s="115">
        <v>0</v>
      </c>
      <c r="L398" s="115">
        <v>0</v>
      </c>
      <c r="M398" s="115">
        <v>0</v>
      </c>
      <c r="N398" s="115">
        <v>0</v>
      </c>
      <c r="O398" s="932">
        <f>'2022 Budget &amp; CF'!AA398</f>
        <v>0</v>
      </c>
      <c r="P398" s="12">
        <f>O398-N398</f>
        <v>0</v>
      </c>
      <c r="Q398" s="932">
        <f t="shared" ref="Q398" si="410">O398</f>
        <v>0</v>
      </c>
      <c r="R398" s="115">
        <f t="shared" si="404"/>
        <v>0</v>
      </c>
      <c r="S398" s="115">
        <f>Q398</f>
        <v>0</v>
      </c>
      <c r="T398" s="115">
        <f t="shared" ref="T398:T399" si="411">S398</f>
        <v>0</v>
      </c>
      <c r="U398" s="115">
        <f t="shared" ref="U398" si="412">T398</f>
        <v>0</v>
      </c>
      <c r="V398" s="115">
        <f t="shared" ref="V398" si="413">U398</f>
        <v>0</v>
      </c>
      <c r="W398" s="115">
        <f t="shared" ref="W398" si="414">V398</f>
        <v>0</v>
      </c>
      <c r="Y398" s="355"/>
    </row>
    <row r="399" spans="1:25" outlineLevel="1" x14ac:dyDescent="0.2">
      <c r="A399" s="366" t="s">
        <v>1249</v>
      </c>
      <c r="B399" s="82" t="s">
        <v>1058</v>
      </c>
      <c r="C399" s="837">
        <v>250</v>
      </c>
      <c r="D399" s="863" t="s">
        <v>132</v>
      </c>
      <c r="E399" s="841"/>
      <c r="F399" s="101">
        <v>200</v>
      </c>
      <c r="G399" s="101">
        <v>2585</v>
      </c>
      <c r="H399" s="103" t="s">
        <v>281</v>
      </c>
      <c r="I399" s="103"/>
      <c r="J399" s="115">
        <v>0</v>
      </c>
      <c r="K399" s="115">
        <v>0</v>
      </c>
      <c r="L399" s="115">
        <v>0</v>
      </c>
      <c r="M399" s="115">
        <v>0</v>
      </c>
      <c r="N399" s="115">
        <v>0</v>
      </c>
      <c r="O399" s="932">
        <f>'2022 Budget &amp; CF'!AA399</f>
        <v>0</v>
      </c>
      <c r="P399" s="12">
        <f>O399-N399</f>
        <v>0</v>
      </c>
      <c r="Q399" s="932">
        <f t="shared" ref="Q399" si="415">O399</f>
        <v>0</v>
      </c>
      <c r="R399" s="115">
        <f t="shared" si="404"/>
        <v>0</v>
      </c>
      <c r="S399" s="115">
        <f>Q399</f>
        <v>0</v>
      </c>
      <c r="T399" s="115">
        <f t="shared" si="411"/>
        <v>0</v>
      </c>
      <c r="U399" s="115">
        <f t="shared" ref="U399" si="416">T399</f>
        <v>0</v>
      </c>
      <c r="V399" s="115">
        <f t="shared" ref="V399" si="417">U399</f>
        <v>0</v>
      </c>
      <c r="W399" s="115">
        <f t="shared" ref="W399" si="418">V399</f>
        <v>0</v>
      </c>
      <c r="Y399" s="355"/>
    </row>
    <row r="400" spans="1:25" outlineLevel="1" x14ac:dyDescent="0.2">
      <c r="A400" s="366" t="s">
        <v>472</v>
      </c>
      <c r="B400" s="461" t="s">
        <v>548</v>
      </c>
      <c r="C400" s="861"/>
      <c r="D400" s="861"/>
      <c r="E400" s="861"/>
      <c r="F400" s="152"/>
      <c r="G400" s="152"/>
      <c r="H400" s="152"/>
      <c r="I400" s="152"/>
      <c r="J400" s="271"/>
      <c r="K400" s="271"/>
      <c r="L400" s="271"/>
      <c r="M400" s="271"/>
      <c r="N400" s="271"/>
      <c r="O400" s="271"/>
      <c r="P400" s="271">
        <f t="shared" si="390"/>
        <v>0</v>
      </c>
      <c r="Q400" s="271"/>
      <c r="R400" s="271">
        <f t="shared" si="404"/>
        <v>0</v>
      </c>
      <c r="S400" s="271"/>
      <c r="T400" s="271"/>
      <c r="U400" s="271"/>
      <c r="V400" s="271"/>
      <c r="W400" s="272"/>
      <c r="Y400" s="355"/>
    </row>
    <row r="401" spans="1:37" outlineLevel="1" x14ac:dyDescent="0.2">
      <c r="A401" s="366" t="s">
        <v>1250</v>
      </c>
      <c r="B401" s="82" t="s">
        <v>553</v>
      </c>
      <c r="C401" s="837">
        <v>279</v>
      </c>
      <c r="D401" s="841" t="s">
        <v>145</v>
      </c>
      <c r="E401" s="841"/>
      <c r="F401" s="101">
        <v>910</v>
      </c>
      <c r="G401" s="101">
        <v>6000</v>
      </c>
      <c r="H401" s="103" t="s">
        <v>554</v>
      </c>
      <c r="I401" s="103"/>
      <c r="J401" s="115">
        <v>22731.38</v>
      </c>
      <c r="K401" s="932">
        <v>5745.86</v>
      </c>
      <c r="L401" s="115">
        <v>8400</v>
      </c>
      <c r="M401" s="115">
        <v>2393.2700000000004</v>
      </c>
      <c r="N401" s="115">
        <v>2393</v>
      </c>
      <c r="O401" s="932">
        <f>'2022 Budget &amp; CF'!AA401</f>
        <v>2393</v>
      </c>
      <c r="P401" s="12">
        <f>O401-N401</f>
        <v>0</v>
      </c>
      <c r="Q401" s="932">
        <f>Q46</f>
        <v>2393</v>
      </c>
      <c r="R401" s="12">
        <f t="shared" si="404"/>
        <v>0</v>
      </c>
      <c r="S401" s="12">
        <f t="shared" ref="S401:W401" si="419">S46</f>
        <v>2393</v>
      </c>
      <c r="T401" s="12">
        <f t="shared" si="419"/>
        <v>2393</v>
      </c>
      <c r="U401" s="12">
        <f t="shared" si="419"/>
        <v>2393</v>
      </c>
      <c r="V401" s="12">
        <f t="shared" si="419"/>
        <v>2393</v>
      </c>
      <c r="W401" s="12">
        <f t="shared" si="419"/>
        <v>2393</v>
      </c>
      <c r="Y401" s="355"/>
    </row>
    <row r="402" spans="1:37" outlineLevel="1" x14ac:dyDescent="0.2">
      <c r="A402" s="366" t="s">
        <v>1251</v>
      </c>
      <c r="B402" s="461" t="s">
        <v>1041</v>
      </c>
      <c r="C402" s="861"/>
      <c r="D402" s="861"/>
      <c r="E402" s="861"/>
      <c r="F402" s="152"/>
      <c r="G402" s="152"/>
      <c r="H402" s="152"/>
      <c r="I402" s="152"/>
      <c r="J402" s="271"/>
      <c r="K402" s="271">
        <v>0</v>
      </c>
      <c r="L402" s="271"/>
      <c r="M402" s="271"/>
      <c r="N402" s="271"/>
      <c r="O402" s="271"/>
      <c r="P402" s="271">
        <f t="shared" si="390"/>
        <v>0</v>
      </c>
      <c r="Q402" s="271"/>
      <c r="R402" s="271">
        <f t="shared" si="404"/>
        <v>0</v>
      </c>
      <c r="S402" s="271"/>
      <c r="T402" s="271"/>
      <c r="U402" s="271"/>
      <c r="V402" s="271"/>
      <c r="W402" s="272"/>
      <c r="Y402" s="355"/>
    </row>
    <row r="403" spans="1:37" outlineLevel="1" x14ac:dyDescent="0.2">
      <c r="A403" s="366" t="s">
        <v>1252</v>
      </c>
      <c r="B403" s="157" t="s">
        <v>1058</v>
      </c>
      <c r="C403" s="837">
        <v>280</v>
      </c>
      <c r="D403" s="841" t="s">
        <v>1042</v>
      </c>
      <c r="E403" s="841"/>
      <c r="F403" s="101">
        <v>100</v>
      </c>
      <c r="G403" s="101">
        <v>2213</v>
      </c>
      <c r="H403" s="160" t="s">
        <v>281</v>
      </c>
      <c r="I403" s="103"/>
      <c r="J403" s="115">
        <v>0</v>
      </c>
      <c r="K403" s="115">
        <v>500</v>
      </c>
      <c r="L403" s="115">
        <v>0</v>
      </c>
      <c r="M403" s="115">
        <v>500</v>
      </c>
      <c r="N403" s="115">
        <v>500</v>
      </c>
      <c r="O403" s="932">
        <f>'2022 Budget &amp; CF'!AA403</f>
        <v>500</v>
      </c>
      <c r="P403" s="12">
        <f>O403-N403</f>
        <v>0</v>
      </c>
      <c r="Q403" s="932">
        <v>0</v>
      </c>
      <c r="R403" s="115">
        <f t="shared" si="404"/>
        <v>-500</v>
      </c>
      <c r="S403" s="115">
        <f>Q403</f>
        <v>0</v>
      </c>
      <c r="T403" s="115">
        <f t="shared" ref="T403:T409" si="420">S403</f>
        <v>0</v>
      </c>
      <c r="U403" s="115">
        <f t="shared" ref="U403" si="421">T403</f>
        <v>0</v>
      </c>
      <c r="V403" s="115">
        <f t="shared" ref="V403" si="422">U403</f>
        <v>0</v>
      </c>
      <c r="W403" s="115">
        <f t="shared" ref="W403" si="423">V403</f>
        <v>0</v>
      </c>
      <c r="Y403" s="355"/>
    </row>
    <row r="404" spans="1:37" outlineLevel="1" x14ac:dyDescent="0.2">
      <c r="A404" s="366" t="s">
        <v>1253</v>
      </c>
      <c r="B404" s="461" t="s">
        <v>277</v>
      </c>
      <c r="C404" s="861"/>
      <c r="D404" s="861"/>
      <c r="E404" s="861"/>
      <c r="F404" s="152"/>
      <c r="G404" s="152"/>
      <c r="H404" s="152"/>
      <c r="I404" s="152"/>
      <c r="J404" s="271"/>
      <c r="K404" s="271"/>
      <c r="L404" s="271"/>
      <c r="M404" s="271"/>
      <c r="N404" s="271"/>
      <c r="O404" s="271"/>
      <c r="P404" s="271">
        <f t="shared" si="390"/>
        <v>0</v>
      </c>
      <c r="Q404" s="271"/>
      <c r="R404" s="271">
        <f t="shared" si="404"/>
        <v>0</v>
      </c>
      <c r="S404" s="271"/>
      <c r="T404" s="271"/>
      <c r="U404" s="271"/>
      <c r="V404" s="271"/>
      <c r="W404" s="272"/>
      <c r="Y404" s="355"/>
    </row>
    <row r="405" spans="1:37" outlineLevel="1" x14ac:dyDescent="0.2">
      <c r="A405" s="366" t="s">
        <v>1254</v>
      </c>
      <c r="B405" s="82" t="s">
        <v>286</v>
      </c>
      <c r="C405" s="837">
        <v>280</v>
      </c>
      <c r="D405" s="841">
        <v>709</v>
      </c>
      <c r="E405" s="841"/>
      <c r="F405" s="101">
        <v>100</v>
      </c>
      <c r="G405" s="101">
        <v>2213</v>
      </c>
      <c r="H405" s="103" t="s">
        <v>281</v>
      </c>
      <c r="I405" s="103"/>
      <c r="J405" s="115">
        <v>0</v>
      </c>
      <c r="K405" s="115">
        <v>0</v>
      </c>
      <c r="L405" s="115">
        <v>0</v>
      </c>
      <c r="M405" s="115">
        <v>0</v>
      </c>
      <c r="N405" s="115">
        <v>0</v>
      </c>
      <c r="O405" s="932">
        <f>'2022 Budget &amp; CF'!AA405</f>
        <v>0</v>
      </c>
      <c r="P405" s="12">
        <f>O405-N405</f>
        <v>0</v>
      </c>
      <c r="Q405" s="932">
        <f t="shared" si="403"/>
        <v>0</v>
      </c>
      <c r="R405" s="12">
        <f t="shared" si="404"/>
        <v>0</v>
      </c>
      <c r="S405" s="12">
        <f>Q405</f>
        <v>0</v>
      </c>
      <c r="T405" s="12">
        <f t="shared" si="420"/>
        <v>0</v>
      </c>
      <c r="U405" s="12">
        <f t="shared" si="406"/>
        <v>0</v>
      </c>
      <c r="V405" s="12">
        <f t="shared" si="407"/>
        <v>0</v>
      </c>
      <c r="W405" s="12">
        <f t="shared" si="408"/>
        <v>0</v>
      </c>
      <c r="Y405" s="355"/>
    </row>
    <row r="406" spans="1:37" outlineLevel="1" x14ac:dyDescent="0.2">
      <c r="A406" s="366" t="s">
        <v>1255</v>
      </c>
      <c r="B406" s="461" t="s">
        <v>1125</v>
      </c>
      <c r="C406" s="861"/>
      <c r="D406" s="861"/>
      <c r="E406" s="861"/>
      <c r="F406" s="152"/>
      <c r="G406" s="152"/>
      <c r="H406" s="152"/>
      <c r="I406" s="152"/>
      <c r="J406" s="271"/>
      <c r="K406" s="271"/>
      <c r="L406" s="271"/>
      <c r="M406" s="271"/>
      <c r="N406" s="271"/>
      <c r="O406" s="271"/>
      <c r="P406" s="271">
        <f t="shared" si="390"/>
        <v>0</v>
      </c>
      <c r="Q406" s="271"/>
      <c r="R406" s="271">
        <f t="shared" si="404"/>
        <v>0</v>
      </c>
      <c r="S406" s="271"/>
      <c r="T406" s="271"/>
      <c r="U406" s="271"/>
      <c r="V406" s="271"/>
      <c r="W406" s="272"/>
      <c r="Y406" s="355"/>
    </row>
    <row r="407" spans="1:37" outlineLevel="1" x14ac:dyDescent="0.2">
      <c r="A407" s="366" t="s">
        <v>1256</v>
      </c>
      <c r="B407" s="142" t="s">
        <v>282</v>
      </c>
      <c r="C407" s="858">
        <v>280</v>
      </c>
      <c r="D407" s="859">
        <v>740</v>
      </c>
      <c r="E407" s="859"/>
      <c r="F407" s="143">
        <v>100</v>
      </c>
      <c r="G407" s="143">
        <v>2213</v>
      </c>
      <c r="H407" s="145" t="s">
        <v>281</v>
      </c>
      <c r="I407" s="145"/>
      <c r="J407" s="115">
        <v>0</v>
      </c>
      <c r="K407" s="115">
        <v>0</v>
      </c>
      <c r="L407" s="115">
        <v>0</v>
      </c>
      <c r="M407" s="115">
        <v>0</v>
      </c>
      <c r="N407" s="115">
        <v>0</v>
      </c>
      <c r="O407" s="932">
        <f>'2022 Budget &amp; CF'!AA407</f>
        <v>0</v>
      </c>
      <c r="P407" s="12">
        <f>O407-N407</f>
        <v>0</v>
      </c>
      <c r="Q407" s="932">
        <f t="shared" ref="Q407" si="424">O407</f>
        <v>0</v>
      </c>
      <c r="R407" s="115">
        <f t="shared" si="404"/>
        <v>0</v>
      </c>
      <c r="S407" s="115">
        <f>Q407</f>
        <v>0</v>
      </c>
      <c r="T407" s="115">
        <f t="shared" si="420"/>
        <v>0</v>
      </c>
      <c r="U407" s="115">
        <f t="shared" ref="U407" si="425">T407</f>
        <v>0</v>
      </c>
      <c r="V407" s="115">
        <f t="shared" ref="V407" si="426">U407</f>
        <v>0</v>
      </c>
      <c r="W407" s="115">
        <f t="shared" ref="W407" si="427">V407</f>
        <v>0</v>
      </c>
      <c r="Y407" s="355"/>
    </row>
    <row r="408" spans="1:37" outlineLevel="1" x14ac:dyDescent="0.2">
      <c r="A408" s="366" t="s">
        <v>1257</v>
      </c>
      <c r="B408" s="461" t="s">
        <v>1059</v>
      </c>
      <c r="C408" s="861"/>
      <c r="D408" s="861"/>
      <c r="E408" s="861"/>
      <c r="F408" s="152"/>
      <c r="G408" s="152"/>
      <c r="H408" s="152"/>
      <c r="I408" s="152"/>
      <c r="J408" s="271"/>
      <c r="K408" s="271"/>
      <c r="L408" s="271"/>
      <c r="M408" s="271"/>
      <c r="N408" s="271"/>
      <c r="O408" s="271"/>
      <c r="P408" s="271">
        <f t="shared" si="390"/>
        <v>0</v>
      </c>
      <c r="Q408" s="271"/>
      <c r="R408" s="271">
        <f t="shared" si="404"/>
        <v>0</v>
      </c>
      <c r="S408" s="271"/>
      <c r="T408" s="271"/>
      <c r="U408" s="271"/>
      <c r="V408" s="271"/>
      <c r="W408" s="272"/>
      <c r="Y408" s="355"/>
    </row>
    <row r="409" spans="1:37" outlineLevel="1" x14ac:dyDescent="0.2">
      <c r="A409" s="366" t="s">
        <v>1258</v>
      </c>
      <c r="B409" s="157" t="s">
        <v>1058</v>
      </c>
      <c r="C409" s="837">
        <v>280</v>
      </c>
      <c r="D409" s="841" t="s">
        <v>1033</v>
      </c>
      <c r="E409" s="841"/>
      <c r="F409" s="101">
        <v>100</v>
      </c>
      <c r="G409" s="101">
        <v>2213</v>
      </c>
      <c r="H409" s="160" t="s">
        <v>281</v>
      </c>
      <c r="I409" s="103"/>
      <c r="J409" s="115">
        <v>0</v>
      </c>
      <c r="K409" s="115">
        <v>10232.26</v>
      </c>
      <c r="L409" s="115">
        <v>0</v>
      </c>
      <c r="M409" s="115">
        <v>10446</v>
      </c>
      <c r="N409" s="115">
        <v>2368</v>
      </c>
      <c r="O409" s="932">
        <f>'2022 Budget &amp; CF'!AA409</f>
        <v>2368</v>
      </c>
      <c r="P409" s="12">
        <f>O409-N409</f>
        <v>0</v>
      </c>
      <c r="Q409" s="932">
        <v>0</v>
      </c>
      <c r="R409" s="115">
        <f t="shared" si="404"/>
        <v>-2368</v>
      </c>
      <c r="S409" s="115">
        <f>Q409</f>
        <v>0</v>
      </c>
      <c r="T409" s="115">
        <f t="shared" si="420"/>
        <v>0</v>
      </c>
      <c r="U409" s="115">
        <f t="shared" ref="U409" si="428">T409</f>
        <v>0</v>
      </c>
      <c r="V409" s="115">
        <f t="shared" ref="V409" si="429">U409</f>
        <v>0</v>
      </c>
      <c r="W409" s="115">
        <f t="shared" ref="W409" si="430">V409</f>
        <v>0</v>
      </c>
      <c r="Y409" s="355"/>
    </row>
    <row r="410" spans="1:37" outlineLevel="1" x14ac:dyDescent="0.2">
      <c r="A410" s="366" t="s">
        <v>1259</v>
      </c>
      <c r="B410" s="461" t="s">
        <v>1307</v>
      </c>
      <c r="C410" s="861"/>
      <c r="D410" s="861"/>
      <c r="E410" s="861"/>
      <c r="F410" s="152"/>
      <c r="G410" s="152"/>
      <c r="H410" s="152"/>
      <c r="I410" s="152"/>
      <c r="J410" s="271"/>
      <c r="K410" s="271"/>
      <c r="L410" s="271"/>
      <c r="M410" s="271"/>
      <c r="N410" s="271"/>
      <c r="O410" s="271"/>
      <c r="P410" s="271">
        <f t="shared" ref="P410" si="431">O410-M410</f>
        <v>0</v>
      </c>
      <c r="Q410" s="271"/>
      <c r="R410" s="271">
        <f t="shared" ref="R410:R411" si="432">Q410-N410</f>
        <v>0</v>
      </c>
      <c r="S410" s="271"/>
      <c r="T410" s="271"/>
      <c r="U410" s="271"/>
      <c r="V410" s="271"/>
      <c r="W410" s="272"/>
      <c r="Y410" s="355"/>
    </row>
    <row r="411" spans="1:37" outlineLevel="1" x14ac:dyDescent="0.2">
      <c r="A411" s="366" t="s">
        <v>1272</v>
      </c>
      <c r="B411" s="82" t="s">
        <v>1308</v>
      </c>
      <c r="C411" s="837">
        <v>300</v>
      </c>
      <c r="D411" s="841" t="s">
        <v>145</v>
      </c>
      <c r="E411" s="841"/>
      <c r="F411" s="101">
        <v>100</v>
      </c>
      <c r="G411" s="101">
        <v>6200</v>
      </c>
      <c r="H411" s="103" t="s">
        <v>1135</v>
      </c>
      <c r="I411" s="103"/>
      <c r="J411" s="115">
        <v>0</v>
      </c>
      <c r="K411" s="115">
        <v>-5376.82</v>
      </c>
      <c r="L411" s="115">
        <v>149903</v>
      </c>
      <c r="M411" s="115">
        <v>149903</v>
      </c>
      <c r="N411" s="115">
        <v>0</v>
      </c>
      <c r="O411" s="932">
        <f>'2022 Budget &amp; CF'!AA411</f>
        <v>0</v>
      </c>
      <c r="P411" s="12">
        <f>O411-N411</f>
        <v>0</v>
      </c>
      <c r="Q411" s="932">
        <v>0</v>
      </c>
      <c r="R411" s="12">
        <f t="shared" si="432"/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Y411" s="355"/>
    </row>
    <row r="412" spans="1:37" outlineLevel="1" x14ac:dyDescent="0.2">
      <c r="A412" s="366" t="s">
        <v>1259</v>
      </c>
      <c r="B412" s="461" t="s">
        <v>801</v>
      </c>
      <c r="C412" s="861"/>
      <c r="D412" s="861"/>
      <c r="E412" s="861"/>
      <c r="F412" s="152"/>
      <c r="G412" s="152"/>
      <c r="H412" s="152"/>
      <c r="I412" s="152"/>
      <c r="J412" s="271"/>
      <c r="K412" s="271"/>
      <c r="L412" s="271"/>
      <c r="M412" s="271"/>
      <c r="N412" s="271"/>
      <c r="O412" s="271"/>
      <c r="P412" s="271">
        <f t="shared" si="390"/>
        <v>0</v>
      </c>
      <c r="Q412" s="271"/>
      <c r="R412" s="271">
        <f t="shared" si="404"/>
        <v>0</v>
      </c>
      <c r="S412" s="271"/>
      <c r="T412" s="271"/>
      <c r="U412" s="271"/>
      <c r="V412" s="271"/>
      <c r="W412" s="272"/>
      <c r="Y412" s="355"/>
    </row>
    <row r="413" spans="1:37" outlineLevel="1" x14ac:dyDescent="0.2">
      <c r="A413" s="366" t="s">
        <v>1272</v>
      </c>
      <c r="B413" s="82" t="s">
        <v>802</v>
      </c>
      <c r="C413" s="837">
        <v>400</v>
      </c>
      <c r="D413" s="841" t="s">
        <v>145</v>
      </c>
      <c r="E413" s="841"/>
      <c r="F413" s="101">
        <v>100</v>
      </c>
      <c r="G413" s="101">
        <v>5000</v>
      </c>
      <c r="H413" s="103" t="s">
        <v>803</v>
      </c>
      <c r="I413" s="103"/>
      <c r="J413" s="115">
        <v>0</v>
      </c>
      <c r="K413" s="115">
        <v>0</v>
      </c>
      <c r="L413" s="115">
        <v>149903</v>
      </c>
      <c r="M413" s="115">
        <v>149903</v>
      </c>
      <c r="N413" s="115">
        <v>149903</v>
      </c>
      <c r="O413" s="932">
        <f>'2022 Budget &amp; CF'!AA413</f>
        <v>45943</v>
      </c>
      <c r="P413" s="12">
        <f>O413-N413</f>
        <v>-103960</v>
      </c>
      <c r="Q413" s="932">
        <v>181959</v>
      </c>
      <c r="R413" s="12">
        <f>Q413-N413</f>
        <v>32056</v>
      </c>
      <c r="S413" s="12">
        <v>178951</v>
      </c>
      <c r="T413" s="12">
        <v>175791</v>
      </c>
      <c r="U413" s="12">
        <v>172472</v>
      </c>
      <c r="V413" s="12">
        <v>168986</v>
      </c>
      <c r="W413" s="12">
        <v>165325</v>
      </c>
      <c r="Y413" s="355"/>
    </row>
    <row r="414" spans="1:37" s="332" customFormat="1" ht="15" x14ac:dyDescent="0.25">
      <c r="A414" s="366" t="s">
        <v>1273</v>
      </c>
      <c r="B414" s="208" t="s">
        <v>289</v>
      </c>
      <c r="C414" s="870"/>
      <c r="D414" s="871"/>
      <c r="E414" s="871"/>
      <c r="F414" s="161"/>
      <c r="G414" s="161"/>
      <c r="H414" s="161"/>
      <c r="I414" s="161"/>
      <c r="J414" s="304">
        <f>SUM(J375:J413)</f>
        <v>22731.38</v>
      </c>
      <c r="K414" s="304">
        <f t="shared" ref="K414:N414" si="433">SUM(K375:K413)</f>
        <v>167812.5</v>
      </c>
      <c r="L414" s="304">
        <f t="shared" si="433"/>
        <v>310713</v>
      </c>
      <c r="M414" s="304">
        <f t="shared" si="433"/>
        <v>321119.27</v>
      </c>
      <c r="N414" s="304">
        <f t="shared" si="433"/>
        <v>167048</v>
      </c>
      <c r="O414" s="304">
        <f>SUM(O375:O413)</f>
        <v>1618489</v>
      </c>
      <c r="P414" s="304">
        <f t="shared" ref="P414:P416" si="434">O414-N414</f>
        <v>1451441</v>
      </c>
      <c r="Q414" s="304">
        <f>SUM(Q375:Q413)</f>
        <v>188416</v>
      </c>
      <c r="R414" s="304">
        <f t="shared" si="404"/>
        <v>21368</v>
      </c>
      <c r="S414" s="304">
        <f t="shared" ref="S414:W414" si="435">SUM(S375:S413)</f>
        <v>185408</v>
      </c>
      <c r="T414" s="304">
        <f t="shared" si="435"/>
        <v>182248</v>
      </c>
      <c r="U414" s="304">
        <f t="shared" si="435"/>
        <v>178929</v>
      </c>
      <c r="V414" s="304">
        <f t="shared" si="435"/>
        <v>175443</v>
      </c>
      <c r="W414" s="304">
        <f t="shared" si="435"/>
        <v>171782</v>
      </c>
      <c r="X414" s="922"/>
      <c r="Y414" s="45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s="332" customFormat="1" x14ac:dyDescent="0.2">
      <c r="A415" s="366" t="s">
        <v>1302</v>
      </c>
      <c r="B415" s="209" t="s">
        <v>290</v>
      </c>
      <c r="C415" s="872"/>
      <c r="D415" s="872"/>
      <c r="E415" s="872"/>
      <c r="F415" s="454"/>
      <c r="G415" s="454"/>
      <c r="H415" s="453"/>
      <c r="I415" s="453"/>
      <c r="J415" s="309">
        <f>SUM(J414,J374,J369,J283,J172)</f>
        <v>3799735.6999999993</v>
      </c>
      <c r="K415" s="309">
        <f t="shared" ref="K415:N415" si="436">SUM(K414,K374,K369,K283,K172)</f>
        <v>3690575.0999999996</v>
      </c>
      <c r="L415" s="309">
        <f t="shared" si="436"/>
        <v>5413740</v>
      </c>
      <c r="M415" s="309">
        <f t="shared" si="436"/>
        <v>5415681.7699999996</v>
      </c>
      <c r="N415" s="309">
        <f t="shared" si="436"/>
        <v>5225170</v>
      </c>
      <c r="O415" s="309">
        <f>SUM(O414,O374,O369,O283,O172)</f>
        <v>6521446</v>
      </c>
      <c r="P415" s="309">
        <f t="shared" si="434"/>
        <v>1296276</v>
      </c>
      <c r="Q415" s="309">
        <f t="shared" ref="Q415:W415" si="437">SUM(Q414,Q374,Q369,Q283,Q172)</f>
        <v>5482052</v>
      </c>
      <c r="R415" s="309">
        <f t="shared" si="404"/>
        <v>256882</v>
      </c>
      <c r="S415" s="309">
        <f t="shared" si="437"/>
        <v>5803428</v>
      </c>
      <c r="T415" s="309">
        <f t="shared" si="437"/>
        <v>6259317</v>
      </c>
      <c r="U415" s="309">
        <f t="shared" si="437"/>
        <v>6639645</v>
      </c>
      <c r="V415" s="309">
        <f t="shared" si="437"/>
        <v>6857197</v>
      </c>
      <c r="W415" s="309">
        <f t="shared" si="437"/>
        <v>6994836</v>
      </c>
      <c r="X415" s="922"/>
      <c r="Y415" s="45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s="332" customFormat="1" ht="13.5" thickBot="1" x14ac:dyDescent="0.25">
      <c r="A416" s="366" t="s">
        <v>1303</v>
      </c>
      <c r="B416" s="210" t="s">
        <v>291</v>
      </c>
      <c r="C416" s="873"/>
      <c r="D416" s="873"/>
      <c r="E416" s="873"/>
      <c r="F416" s="166"/>
      <c r="G416" s="166"/>
      <c r="H416" s="451"/>
      <c r="I416" s="451"/>
      <c r="J416" s="310">
        <f>J53-J415</f>
        <v>10817323.720000001</v>
      </c>
      <c r="K416" s="809">
        <f t="shared" ref="K416:N416" si="438">K53-K415</f>
        <v>967182.66000000015</v>
      </c>
      <c r="L416" s="809">
        <f t="shared" si="438"/>
        <v>-101239</v>
      </c>
      <c r="M416" s="809">
        <f t="shared" si="438"/>
        <v>946226.05000000075</v>
      </c>
      <c r="N416" s="809">
        <f t="shared" si="438"/>
        <v>96396</v>
      </c>
      <c r="O416" s="809">
        <f>O53-O415</f>
        <v>250317</v>
      </c>
      <c r="P416" s="809">
        <f t="shared" si="434"/>
        <v>153921</v>
      </c>
      <c r="Q416" s="809">
        <f t="shared" ref="Q416:W416" si="439">Q53-Q415</f>
        <v>466901</v>
      </c>
      <c r="R416" s="809">
        <f>Q416-N416</f>
        <v>370505</v>
      </c>
      <c r="S416" s="809">
        <f t="shared" si="439"/>
        <v>132918</v>
      </c>
      <c r="T416" s="809">
        <f t="shared" si="439"/>
        <v>159086</v>
      </c>
      <c r="U416" s="809">
        <f t="shared" si="439"/>
        <v>140002</v>
      </c>
      <c r="V416" s="809">
        <f t="shared" si="439"/>
        <v>77624</v>
      </c>
      <c r="W416" s="310">
        <f t="shared" si="439"/>
        <v>-39706</v>
      </c>
      <c r="X416" s="922"/>
      <c r="Y416" s="45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s="173" customFormat="1" ht="13.5" thickTop="1" x14ac:dyDescent="0.2">
      <c r="A417" s="356"/>
      <c r="B417" s="169"/>
      <c r="C417" s="874"/>
      <c r="D417" s="875"/>
      <c r="E417" s="874"/>
      <c r="F417" s="171"/>
      <c r="G417" s="171"/>
      <c r="H417" s="171"/>
      <c r="I417" s="171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356"/>
      <c r="Y417" s="356"/>
      <c r="Z417" s="356"/>
      <c r="AA417" s="356"/>
      <c r="AB417" s="356"/>
      <c r="AC417" s="356"/>
      <c r="AD417" s="356"/>
      <c r="AE417" s="356"/>
      <c r="AF417" s="356"/>
      <c r="AG417" s="356"/>
      <c r="AH417" s="356"/>
      <c r="AI417" s="356"/>
      <c r="AJ417" s="356"/>
      <c r="AK417" s="356"/>
    </row>
    <row r="418" spans="1:37" x14ac:dyDescent="0.2">
      <c r="B418" s="510" t="s">
        <v>292</v>
      </c>
      <c r="C418" s="198"/>
      <c r="D418" s="477"/>
      <c r="E418" s="199"/>
      <c r="F418" s="200"/>
      <c r="G418" s="200"/>
      <c r="H418" s="200"/>
      <c r="I418" s="200"/>
      <c r="J418" s="201"/>
      <c r="K418" s="201"/>
      <c r="L418" s="201"/>
      <c r="M418" s="201"/>
      <c r="N418" s="201"/>
      <c r="O418" s="202"/>
      <c r="P418" s="202"/>
      <c r="Q418" s="202"/>
      <c r="R418" s="202"/>
      <c r="S418" s="202"/>
      <c r="T418" s="202"/>
      <c r="U418" s="202"/>
      <c r="V418" s="202"/>
      <c r="W418" s="203"/>
    </row>
    <row r="419" spans="1:37" x14ac:dyDescent="0.2">
      <c r="B419" s="511" t="s">
        <v>293</v>
      </c>
      <c r="C419" s="876"/>
      <c r="D419" s="877"/>
      <c r="E419" s="876"/>
      <c r="F419" s="175"/>
      <c r="G419" s="175"/>
      <c r="H419" s="175"/>
      <c r="I419" s="175"/>
      <c r="J419" s="211">
        <v>152251.01999999996</v>
      </c>
      <c r="K419" s="176">
        <v>-823835.35000000009</v>
      </c>
      <c r="L419" s="176">
        <v>0</v>
      </c>
      <c r="M419" s="176">
        <v>0</v>
      </c>
      <c r="N419" s="176">
        <v>0</v>
      </c>
      <c r="O419" s="12">
        <f>'2022 Budget &amp; CF'!AA419</f>
        <v>0</v>
      </c>
      <c r="P419" s="12"/>
      <c r="Q419" s="12">
        <v>0</v>
      </c>
      <c r="R419" s="12"/>
      <c r="S419" s="12">
        <v>0</v>
      </c>
      <c r="T419" s="12">
        <v>0</v>
      </c>
      <c r="U419" s="12">
        <v>0</v>
      </c>
      <c r="V419" s="12">
        <v>0</v>
      </c>
      <c r="W419" s="12">
        <v>0</v>
      </c>
    </row>
    <row r="420" spans="1:37" x14ac:dyDescent="0.2">
      <c r="B420" s="511" t="s">
        <v>294</v>
      </c>
      <c r="C420" s="876"/>
      <c r="D420" s="877"/>
      <c r="E420" s="876"/>
      <c r="F420" s="175"/>
      <c r="G420" s="175"/>
      <c r="H420" s="175"/>
      <c r="I420" s="175"/>
      <c r="J420" s="211">
        <v>-2580631</v>
      </c>
      <c r="K420" s="176">
        <v>0</v>
      </c>
      <c r="L420" s="176">
        <v>0</v>
      </c>
      <c r="M420" s="176">
        <v>0</v>
      </c>
      <c r="N420" s="176">
        <v>0</v>
      </c>
      <c r="O420" s="12">
        <f>'2022 Budget &amp; CF'!AA420</f>
        <v>0</v>
      </c>
      <c r="P420" s="12"/>
      <c r="Q420" s="12">
        <v>0</v>
      </c>
      <c r="R420" s="12"/>
      <c r="S420" s="12">
        <v>0</v>
      </c>
      <c r="T420" s="12">
        <v>0</v>
      </c>
      <c r="U420" s="12">
        <v>0</v>
      </c>
      <c r="V420" s="12">
        <v>0</v>
      </c>
      <c r="W420" s="12">
        <v>0</v>
      </c>
    </row>
    <row r="421" spans="1:37" x14ac:dyDescent="0.2">
      <c r="B421" s="511" t="s">
        <v>295</v>
      </c>
      <c r="C421" s="876"/>
      <c r="D421" s="877"/>
      <c r="E421" s="876"/>
      <c r="F421" s="175"/>
      <c r="G421" s="175"/>
      <c r="H421" s="175"/>
      <c r="I421" s="175"/>
      <c r="J421" s="211">
        <v>326.90999999999985</v>
      </c>
      <c r="K421" s="176">
        <v>-18956.609999999997</v>
      </c>
      <c r="L421" s="176">
        <v>0</v>
      </c>
      <c r="M421" s="176">
        <v>0</v>
      </c>
      <c r="N421" s="176">
        <v>0</v>
      </c>
      <c r="O421" s="12">
        <f>'2022 Budget &amp; CF'!AA421</f>
        <v>0</v>
      </c>
      <c r="P421" s="12"/>
      <c r="Q421" s="12">
        <v>0</v>
      </c>
      <c r="R421" s="12"/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923"/>
    </row>
    <row r="422" spans="1:37" x14ac:dyDescent="0.2">
      <c r="B422" s="511" t="s">
        <v>296</v>
      </c>
      <c r="C422" s="876"/>
      <c r="D422" s="877"/>
      <c r="E422" s="876"/>
      <c r="F422" s="175"/>
      <c r="G422" s="175"/>
      <c r="H422" s="175"/>
      <c r="I422" s="175"/>
      <c r="J422" s="211">
        <v>0</v>
      </c>
      <c r="K422" s="176">
        <v>0</v>
      </c>
      <c r="L422" s="176">
        <v>0</v>
      </c>
      <c r="M422" s="176">
        <v>0</v>
      </c>
      <c r="N422" s="176">
        <v>0</v>
      </c>
      <c r="O422" s="12">
        <f>'2022 Budget &amp; CF'!AA422</f>
        <v>0</v>
      </c>
      <c r="P422" s="12"/>
      <c r="Q422" s="12">
        <v>0</v>
      </c>
      <c r="R422" s="12"/>
      <c r="S422" s="12">
        <v>0</v>
      </c>
      <c r="T422" s="12">
        <v>0</v>
      </c>
      <c r="U422" s="12">
        <v>0</v>
      </c>
      <c r="V422" s="12">
        <v>0</v>
      </c>
      <c r="W422" s="12">
        <v>0</v>
      </c>
    </row>
    <row r="423" spans="1:37" x14ac:dyDescent="0.2">
      <c r="B423" s="511" t="s">
        <v>297</v>
      </c>
      <c r="C423" s="876"/>
      <c r="D423" s="877"/>
      <c r="E423" s="876"/>
      <c r="F423" s="175"/>
      <c r="G423" s="175"/>
      <c r="H423" s="175"/>
      <c r="I423" s="175"/>
      <c r="J423" s="211">
        <v>0</v>
      </c>
      <c r="K423" s="176">
        <v>0</v>
      </c>
      <c r="L423" s="176">
        <v>0</v>
      </c>
      <c r="M423" s="176">
        <v>0</v>
      </c>
      <c r="N423" s="176">
        <v>0</v>
      </c>
      <c r="O423" s="12">
        <f>'2022 Budget &amp; CF'!AA423</f>
        <v>0</v>
      </c>
      <c r="P423" s="12"/>
      <c r="Q423" s="12">
        <v>0</v>
      </c>
      <c r="R423" s="12"/>
      <c r="S423" s="12">
        <v>0</v>
      </c>
      <c r="T423" s="12">
        <v>0</v>
      </c>
      <c r="U423" s="12">
        <v>0</v>
      </c>
      <c r="V423" s="12">
        <v>0</v>
      </c>
      <c r="W423" s="12">
        <v>0</v>
      </c>
    </row>
    <row r="424" spans="1:37" x14ac:dyDescent="0.2">
      <c r="B424" s="511" t="s">
        <v>298</v>
      </c>
      <c r="C424" s="876"/>
      <c r="D424" s="877"/>
      <c r="E424" s="876"/>
      <c r="F424" s="175"/>
      <c r="G424" s="175"/>
      <c r="H424" s="175"/>
      <c r="I424" s="175"/>
      <c r="J424" s="211">
        <v>3800.8999999999942</v>
      </c>
      <c r="K424" s="176">
        <v>-26949.719999999994</v>
      </c>
      <c r="L424" s="176">
        <v>0</v>
      </c>
      <c r="M424" s="176">
        <v>0</v>
      </c>
      <c r="N424" s="176">
        <v>0</v>
      </c>
      <c r="O424" s="12">
        <f>'2022 Budget &amp; CF'!AA424</f>
        <v>0</v>
      </c>
      <c r="P424" s="12"/>
      <c r="Q424" s="12">
        <v>0</v>
      </c>
      <c r="R424" s="12"/>
      <c r="S424" s="12">
        <v>0</v>
      </c>
      <c r="T424" s="12">
        <v>0</v>
      </c>
      <c r="U424" s="12">
        <v>0</v>
      </c>
      <c r="V424" s="12">
        <v>0</v>
      </c>
      <c r="W424" s="12">
        <v>0</v>
      </c>
    </row>
    <row r="425" spans="1:37" x14ac:dyDescent="0.2">
      <c r="B425" s="511" t="s">
        <v>299</v>
      </c>
      <c r="C425" s="876"/>
      <c r="D425" s="877"/>
      <c r="E425" s="876"/>
      <c r="F425" s="175"/>
      <c r="G425" s="175"/>
      <c r="H425" s="175"/>
      <c r="I425" s="175"/>
      <c r="J425" s="211">
        <v>-34309.629999999997</v>
      </c>
      <c r="K425" s="176">
        <v>35815.840000000026</v>
      </c>
      <c r="L425" s="176">
        <v>0</v>
      </c>
      <c r="M425" s="176">
        <v>0</v>
      </c>
      <c r="N425" s="176">
        <v>0</v>
      </c>
      <c r="O425" s="12">
        <f>'2022 Budget &amp; CF'!AA425</f>
        <v>0</v>
      </c>
      <c r="P425" s="12"/>
      <c r="Q425" s="12">
        <v>0</v>
      </c>
      <c r="R425" s="12"/>
      <c r="S425" s="12">
        <v>0</v>
      </c>
      <c r="T425" s="12">
        <v>0</v>
      </c>
      <c r="U425" s="12">
        <v>0</v>
      </c>
      <c r="V425" s="12">
        <v>0</v>
      </c>
      <c r="W425" s="12">
        <v>0</v>
      </c>
    </row>
    <row r="426" spans="1:37" x14ac:dyDescent="0.2">
      <c r="B426" s="511" t="s">
        <v>300</v>
      </c>
      <c r="C426" s="876"/>
      <c r="D426" s="877"/>
      <c r="E426" s="876"/>
      <c r="F426" s="175"/>
      <c r="G426" s="175"/>
      <c r="H426" s="175"/>
      <c r="I426" s="175"/>
      <c r="J426" s="211">
        <v>0</v>
      </c>
      <c r="K426" s="176">
        <v>0</v>
      </c>
      <c r="L426" s="176">
        <v>0</v>
      </c>
      <c r="M426" s="176">
        <v>0</v>
      </c>
      <c r="N426" s="176">
        <v>0</v>
      </c>
      <c r="O426" s="12">
        <f>'2022 Budget &amp; CF'!AA426</f>
        <v>0</v>
      </c>
      <c r="P426" s="12"/>
      <c r="Q426" s="12">
        <v>0</v>
      </c>
      <c r="R426" s="12"/>
      <c r="S426" s="12">
        <v>0</v>
      </c>
      <c r="T426" s="12">
        <v>0</v>
      </c>
      <c r="U426" s="12">
        <v>0</v>
      </c>
      <c r="V426" s="12">
        <v>0</v>
      </c>
      <c r="W426" s="12">
        <v>0</v>
      </c>
    </row>
    <row r="427" spans="1:37" x14ac:dyDescent="0.2">
      <c r="B427" s="511" t="s">
        <v>301</v>
      </c>
      <c r="C427" s="876"/>
      <c r="D427" s="877"/>
      <c r="E427" s="876"/>
      <c r="F427" s="175"/>
      <c r="G427" s="175"/>
      <c r="H427" s="175"/>
      <c r="I427" s="175"/>
      <c r="J427" s="211">
        <v>0</v>
      </c>
      <c r="K427" s="176">
        <v>0</v>
      </c>
      <c r="L427" s="176">
        <v>0</v>
      </c>
      <c r="M427" s="176">
        <v>0</v>
      </c>
      <c r="N427" s="176">
        <v>0</v>
      </c>
      <c r="O427" s="12">
        <f>'2022 Budget &amp; CF'!AA427</f>
        <v>0</v>
      </c>
      <c r="P427" s="12"/>
      <c r="Q427" s="12">
        <v>0</v>
      </c>
      <c r="R427" s="12"/>
      <c r="S427" s="12">
        <v>0</v>
      </c>
      <c r="T427" s="12">
        <v>0</v>
      </c>
      <c r="U427" s="12">
        <v>0</v>
      </c>
      <c r="V427" s="12">
        <v>0</v>
      </c>
      <c r="W427" s="12">
        <v>0</v>
      </c>
    </row>
    <row r="428" spans="1:37" x14ac:dyDescent="0.2">
      <c r="B428" s="511" t="s">
        <v>302</v>
      </c>
      <c r="C428" s="876"/>
      <c r="D428" s="877"/>
      <c r="E428" s="876"/>
      <c r="F428" s="175"/>
      <c r="G428" s="175"/>
      <c r="H428" s="175"/>
      <c r="I428" s="175"/>
      <c r="J428" s="211">
        <v>0</v>
      </c>
      <c r="K428" s="176">
        <v>0</v>
      </c>
      <c r="L428" s="176">
        <v>0</v>
      </c>
      <c r="M428" s="176">
        <v>0</v>
      </c>
      <c r="N428" s="176">
        <v>0</v>
      </c>
      <c r="O428" s="12">
        <f>'2022 Budget &amp; CF'!AA428</f>
        <v>0</v>
      </c>
      <c r="P428" s="12"/>
      <c r="Q428" s="12">
        <v>0</v>
      </c>
      <c r="R428" s="12"/>
      <c r="S428" s="12">
        <v>0</v>
      </c>
      <c r="T428" s="12">
        <v>0</v>
      </c>
      <c r="U428" s="12">
        <v>0</v>
      </c>
      <c r="V428" s="12">
        <v>0</v>
      </c>
      <c r="W428" s="12">
        <v>0</v>
      </c>
    </row>
    <row r="429" spans="1:37" x14ac:dyDescent="0.2">
      <c r="B429" s="512" t="s">
        <v>303</v>
      </c>
      <c r="C429" s="878"/>
      <c r="D429" s="879"/>
      <c r="E429" s="880"/>
      <c r="F429" s="178"/>
      <c r="G429" s="178"/>
      <c r="H429" s="179"/>
      <c r="I429" s="179"/>
      <c r="J429" s="180">
        <f>SUM(J416:J428)</f>
        <v>8358761.9200000009</v>
      </c>
      <c r="K429" s="180">
        <f>SUM(K416:K428)</f>
        <v>133256.82000000009</v>
      </c>
      <c r="L429" s="180">
        <v>83664</v>
      </c>
      <c r="M429" s="180">
        <v>1096801.0500000007</v>
      </c>
      <c r="N429" s="180">
        <f>SUM(N416:N428)</f>
        <v>96396</v>
      </c>
      <c r="O429" s="180">
        <f>SUM(O416:O428)</f>
        <v>250317</v>
      </c>
      <c r="P429" s="180"/>
      <c r="Q429" s="180">
        <f t="shared" ref="Q429:W429" si="440">SUM(Q416:Q428)</f>
        <v>466901</v>
      </c>
      <c r="R429" s="180"/>
      <c r="S429" s="180">
        <f t="shared" si="440"/>
        <v>132918</v>
      </c>
      <c r="T429" s="180">
        <f t="shared" si="440"/>
        <v>159086</v>
      </c>
      <c r="U429" s="180">
        <f t="shared" si="440"/>
        <v>140002</v>
      </c>
      <c r="V429" s="180">
        <f t="shared" si="440"/>
        <v>77624</v>
      </c>
      <c r="W429" s="180">
        <f t="shared" si="440"/>
        <v>-39706</v>
      </c>
    </row>
    <row r="430" spans="1:37" x14ac:dyDescent="0.2">
      <c r="B430" s="511" t="s">
        <v>304</v>
      </c>
      <c r="C430" s="837"/>
      <c r="D430" s="881"/>
      <c r="E430" s="882"/>
      <c r="F430" s="181"/>
      <c r="G430" s="181"/>
      <c r="H430" s="182"/>
      <c r="I430" s="182"/>
      <c r="J430" s="211">
        <v>1800</v>
      </c>
      <c r="K430" s="176">
        <v>-2992568.87</v>
      </c>
      <c r="L430" s="176">
        <v>0</v>
      </c>
      <c r="M430" s="176">
        <v>0</v>
      </c>
      <c r="N430" s="176">
        <v>0</v>
      </c>
      <c r="O430" s="12">
        <f>'2022 Budget &amp; CF'!AA430</f>
        <v>-2075650</v>
      </c>
      <c r="P430" s="12"/>
      <c r="Q430" s="12">
        <v>0</v>
      </c>
      <c r="R430" s="12"/>
      <c r="S430" s="12">
        <v>0</v>
      </c>
      <c r="T430" s="12">
        <v>0</v>
      </c>
      <c r="U430" s="12">
        <v>0</v>
      </c>
      <c r="V430" s="12">
        <v>0</v>
      </c>
      <c r="W430" s="12">
        <v>0</v>
      </c>
    </row>
    <row r="431" spans="1:37" x14ac:dyDescent="0.2">
      <c r="B431" s="511" t="s">
        <v>305</v>
      </c>
      <c r="C431" s="837"/>
      <c r="D431" s="881"/>
      <c r="E431" s="882"/>
      <c r="F431" s="181"/>
      <c r="G431" s="181"/>
      <c r="H431" s="182"/>
      <c r="I431" s="182"/>
      <c r="J431" s="211">
        <v>0</v>
      </c>
      <c r="K431" s="176">
        <v>1234787.6000000001</v>
      </c>
      <c r="L431" s="176">
        <v>0</v>
      </c>
      <c r="M431" s="176">
        <v>0</v>
      </c>
      <c r="N431" s="176">
        <v>0</v>
      </c>
      <c r="O431" s="12">
        <f>'2022 Budget &amp; CF'!AA431</f>
        <v>0</v>
      </c>
      <c r="P431" s="12"/>
      <c r="Q431" s="12">
        <v>0</v>
      </c>
      <c r="R431" s="12"/>
      <c r="S431" s="12">
        <v>0</v>
      </c>
      <c r="T431" s="12">
        <v>0</v>
      </c>
      <c r="U431" s="12">
        <v>0</v>
      </c>
      <c r="V431" s="12">
        <v>0</v>
      </c>
      <c r="W431" s="12">
        <v>0</v>
      </c>
    </row>
    <row r="432" spans="1:37" x14ac:dyDescent="0.2">
      <c r="B432" s="511" t="s">
        <v>306</v>
      </c>
      <c r="C432" s="837"/>
      <c r="D432" s="881"/>
      <c r="E432" s="882"/>
      <c r="F432" s="181"/>
      <c r="G432" s="181"/>
      <c r="H432" s="182"/>
      <c r="I432" s="182"/>
      <c r="J432" s="211">
        <v>2580631</v>
      </c>
      <c r="K432" s="176">
        <v>0</v>
      </c>
      <c r="L432" s="176">
        <v>0</v>
      </c>
      <c r="M432" s="176">
        <v>0</v>
      </c>
      <c r="N432" s="176">
        <v>0</v>
      </c>
      <c r="O432" s="12">
        <f>'2022 Budget &amp; CF'!AA432</f>
        <v>0</v>
      </c>
      <c r="P432" s="12"/>
      <c r="Q432" s="12">
        <v>0</v>
      </c>
      <c r="R432" s="12"/>
      <c r="S432" s="12">
        <v>0</v>
      </c>
      <c r="T432" s="12">
        <v>0</v>
      </c>
      <c r="U432" s="12">
        <v>0</v>
      </c>
      <c r="V432" s="12">
        <v>0</v>
      </c>
      <c r="W432" s="12">
        <v>0</v>
      </c>
    </row>
    <row r="433" spans="2:24" x14ac:dyDescent="0.2">
      <c r="B433" s="512" t="s">
        <v>307</v>
      </c>
      <c r="C433" s="883"/>
      <c r="D433" s="884"/>
      <c r="E433" s="885"/>
      <c r="F433" s="129"/>
      <c r="G433" s="129"/>
      <c r="H433" s="129"/>
      <c r="I433" s="129"/>
      <c r="J433" s="130">
        <f>SUM(J430:J432)</f>
        <v>2582431</v>
      </c>
      <c r="K433" s="130">
        <f>SUM(K430:K432)</f>
        <v>-1757781.27</v>
      </c>
      <c r="L433" s="130">
        <v>0</v>
      </c>
      <c r="M433" s="130">
        <v>0</v>
      </c>
      <c r="N433" s="130">
        <v>0</v>
      </c>
      <c r="O433" s="130">
        <f t="shared" ref="O433:V433" si="441">SUM(O430:O432)</f>
        <v>-2075650</v>
      </c>
      <c r="P433" s="130"/>
      <c r="Q433" s="130">
        <f t="shared" si="441"/>
        <v>0</v>
      </c>
      <c r="R433" s="130"/>
      <c r="S433" s="130">
        <f t="shared" ref="S433" si="442">SUM(S430:S432)</f>
        <v>0</v>
      </c>
      <c r="T433" s="130">
        <f t="shared" si="441"/>
        <v>0</v>
      </c>
      <c r="U433" s="130">
        <f t="shared" si="441"/>
        <v>0</v>
      </c>
      <c r="V433" s="130">
        <f t="shared" si="441"/>
        <v>0</v>
      </c>
      <c r="W433" s="130">
        <f t="shared" ref="W433" si="443">SUM(W430:W432)</f>
        <v>0</v>
      </c>
    </row>
    <row r="434" spans="2:24" x14ac:dyDescent="0.2">
      <c r="B434" s="511" t="s">
        <v>308</v>
      </c>
      <c r="C434" s="837"/>
      <c r="D434" s="881"/>
      <c r="E434" s="882"/>
      <c r="F434" s="181"/>
      <c r="G434" s="181"/>
      <c r="H434" s="182"/>
      <c r="I434" s="182"/>
      <c r="J434" s="211">
        <v>0</v>
      </c>
      <c r="K434" s="176">
        <v>0</v>
      </c>
      <c r="L434" s="176">
        <v>0</v>
      </c>
      <c r="M434" s="176">
        <v>0</v>
      </c>
      <c r="N434" s="176">
        <v>0</v>
      </c>
      <c r="O434" s="12">
        <f>'2022 Budget &amp; CF'!AA434</f>
        <v>73699</v>
      </c>
      <c r="P434" s="12"/>
      <c r="Q434" s="12">
        <v>0</v>
      </c>
      <c r="R434" s="12"/>
      <c r="S434" s="12">
        <v>0</v>
      </c>
      <c r="T434" s="12">
        <v>0</v>
      </c>
      <c r="U434" s="12">
        <v>0</v>
      </c>
      <c r="V434" s="12">
        <v>0</v>
      </c>
      <c r="W434" s="12">
        <v>0</v>
      </c>
    </row>
    <row r="435" spans="2:24" x14ac:dyDescent="0.2">
      <c r="B435" s="511" t="s">
        <v>309</v>
      </c>
      <c r="C435" s="837"/>
      <c r="D435" s="886"/>
      <c r="E435" s="839"/>
      <c r="F435" s="101"/>
      <c r="G435" s="101"/>
      <c r="H435" s="103"/>
      <c r="I435" s="103"/>
      <c r="J435" s="211">
        <v>0</v>
      </c>
      <c r="K435" s="176">
        <v>1063756.8500000001</v>
      </c>
      <c r="L435" s="176">
        <v>-58964</v>
      </c>
      <c r="M435" s="176">
        <v>-58964</v>
      </c>
      <c r="N435" s="176">
        <v>-58964</v>
      </c>
      <c r="O435" s="12">
        <f>'2022 Budget &amp; CF'!AA435</f>
        <v>2001951</v>
      </c>
      <c r="P435" s="12"/>
      <c r="Q435" s="12">
        <v>-59780</v>
      </c>
      <c r="R435" s="12"/>
      <c r="S435" s="12">
        <v>-62788</v>
      </c>
      <c r="T435" s="12">
        <v>-65948</v>
      </c>
      <c r="U435" s="12">
        <v>-69267</v>
      </c>
      <c r="V435" s="12">
        <v>-72753</v>
      </c>
      <c r="W435" s="12">
        <v>-76414</v>
      </c>
    </row>
    <row r="436" spans="2:24" x14ac:dyDescent="0.2">
      <c r="B436" s="511" t="s">
        <v>310</v>
      </c>
      <c r="C436" s="837"/>
      <c r="D436" s="881"/>
      <c r="E436" s="882"/>
      <c r="F436" s="181"/>
      <c r="G436" s="181"/>
      <c r="H436" s="182"/>
      <c r="I436" s="182"/>
      <c r="J436" s="211">
        <v>0</v>
      </c>
      <c r="K436" s="176">
        <v>0</v>
      </c>
      <c r="L436" s="176">
        <v>0</v>
      </c>
      <c r="M436" s="176">
        <v>0</v>
      </c>
      <c r="N436" s="176">
        <v>0</v>
      </c>
      <c r="O436" s="12">
        <f>'2022 Budget &amp; CF'!AA436</f>
        <v>0</v>
      </c>
      <c r="P436" s="12"/>
      <c r="Q436" s="12"/>
      <c r="R436" s="12"/>
      <c r="S436" s="12"/>
      <c r="T436" s="12"/>
      <c r="U436" s="12"/>
      <c r="V436" s="12"/>
      <c r="W436" s="12">
        <v>0</v>
      </c>
    </row>
    <row r="437" spans="2:24" x14ac:dyDescent="0.2">
      <c r="B437" s="512" t="s">
        <v>311</v>
      </c>
      <c r="C437" s="883"/>
      <c r="D437" s="884"/>
      <c r="E437" s="885"/>
      <c r="F437" s="129"/>
      <c r="G437" s="129"/>
      <c r="H437" s="129"/>
      <c r="I437" s="129"/>
      <c r="J437" s="130">
        <f>SUM(J434:J436)</f>
        <v>0</v>
      </c>
      <c r="K437" s="130">
        <f>SUM(K434:K436)</f>
        <v>1063756.8500000001</v>
      </c>
      <c r="L437" s="130">
        <v>-58964</v>
      </c>
      <c r="M437" s="130">
        <v>-58964</v>
      </c>
      <c r="N437" s="130">
        <f t="shared" ref="N437" si="444">SUM(N434:N436)</f>
        <v>-58964</v>
      </c>
      <c r="O437" s="130">
        <f t="shared" ref="O437:V437" si="445">SUM(O434:O436)</f>
        <v>2075650</v>
      </c>
      <c r="P437" s="130"/>
      <c r="Q437" s="130">
        <f>SUM(Q434:Q436)</f>
        <v>-59780</v>
      </c>
      <c r="R437" s="130"/>
      <c r="S437" s="130">
        <f t="shared" ref="S437" si="446">SUM(S434:S436)</f>
        <v>-62788</v>
      </c>
      <c r="T437" s="130">
        <f t="shared" si="445"/>
        <v>-65948</v>
      </c>
      <c r="U437" s="130">
        <f t="shared" si="445"/>
        <v>-69267</v>
      </c>
      <c r="V437" s="130">
        <f t="shared" si="445"/>
        <v>-72753</v>
      </c>
      <c r="W437" s="130">
        <f t="shared" ref="W437" si="447">SUM(W434:W436)</f>
        <v>-76414</v>
      </c>
    </row>
    <row r="438" spans="2:24" x14ac:dyDescent="0.2">
      <c r="B438" s="513" t="s">
        <v>312</v>
      </c>
      <c r="C438" s="887"/>
      <c r="D438" s="888"/>
      <c r="E438" s="889"/>
      <c r="F438" s="188"/>
      <c r="G438" s="188"/>
      <c r="H438" s="188"/>
      <c r="I438" s="188"/>
      <c r="J438" s="189">
        <f>SUM(J437,J433,J429)</f>
        <v>10941192.920000002</v>
      </c>
      <c r="K438" s="189">
        <f>SUM(K437,K433,K429)</f>
        <v>-560767.59999999986</v>
      </c>
      <c r="L438" s="189">
        <v>24700</v>
      </c>
      <c r="M438" s="189">
        <v>1037837.0500000007</v>
      </c>
      <c r="N438" s="189">
        <f t="shared" ref="N438" si="448">SUM(N437,N433,N429)</f>
        <v>37432</v>
      </c>
      <c r="O438" s="189">
        <f t="shared" ref="O438:T438" si="449">SUM(O437,O433,O429)</f>
        <v>250317</v>
      </c>
      <c r="P438" s="189"/>
      <c r="Q438" s="189">
        <f t="shared" si="449"/>
        <v>407121</v>
      </c>
      <c r="R438" s="189"/>
      <c r="S438" s="189">
        <f t="shared" ref="S438" si="450">SUM(S437,S433,S429)</f>
        <v>70130</v>
      </c>
      <c r="T438" s="189">
        <f t="shared" si="449"/>
        <v>93138</v>
      </c>
      <c r="U438" s="189">
        <f>SUM(U437,U433,U429)</f>
        <v>70735</v>
      </c>
      <c r="V438" s="189">
        <f>SUM(V437,V433,V429)</f>
        <v>4871</v>
      </c>
      <c r="W438" s="189">
        <f>SUM(W437,W433,W429)</f>
        <v>-116120</v>
      </c>
    </row>
    <row r="439" spans="2:24" x14ac:dyDescent="0.2">
      <c r="B439" s="190" t="s">
        <v>313</v>
      </c>
      <c r="C439" s="890"/>
      <c r="D439" s="891"/>
      <c r="E439" s="892"/>
      <c r="F439" s="222"/>
      <c r="G439" s="222"/>
      <c r="H439" s="222"/>
      <c r="I439" s="711"/>
      <c r="J439" s="423">
        <v>2974737.37</v>
      </c>
      <c r="K439" s="931">
        <v>2644140.5299999998</v>
      </c>
      <c r="L439" s="422">
        <v>1248640.9100000001</v>
      </c>
      <c r="M439" s="422">
        <v>1216526.5299999998</v>
      </c>
      <c r="N439" s="192">
        <v>2083681</v>
      </c>
      <c r="O439" s="192">
        <v>2083682</v>
      </c>
      <c r="P439" s="192"/>
      <c r="Q439" s="13">
        <f>N440</f>
        <v>2121113</v>
      </c>
      <c r="R439" s="13"/>
      <c r="S439" s="13">
        <f>Q440</f>
        <v>2528234</v>
      </c>
      <c r="T439" s="13">
        <f>S440</f>
        <v>2598364</v>
      </c>
      <c r="U439" s="13">
        <f t="shared" ref="U439:W439" si="451">T440</f>
        <v>2691502</v>
      </c>
      <c r="V439" s="13">
        <f t="shared" si="451"/>
        <v>2762237</v>
      </c>
      <c r="W439" s="13">
        <f t="shared" si="451"/>
        <v>2767108</v>
      </c>
    </row>
    <row r="440" spans="2:24" x14ac:dyDescent="0.2">
      <c r="B440" s="193" t="s">
        <v>314</v>
      </c>
      <c r="C440" s="893"/>
      <c r="D440" s="894"/>
      <c r="E440" s="895"/>
      <c r="F440" s="224"/>
      <c r="G440" s="224"/>
      <c r="H440" s="224"/>
      <c r="I440" s="225"/>
      <c r="J440" s="196">
        <f>SUM(J438:J439)</f>
        <v>13915930.290000003</v>
      </c>
      <c r="K440" s="196">
        <f>SUM(K438:K439)</f>
        <v>2083372.93</v>
      </c>
      <c r="L440" s="196">
        <v>1273340.9100000001</v>
      </c>
      <c r="M440" s="196">
        <v>2254363.5800000005</v>
      </c>
      <c r="N440" s="196">
        <f t="shared" ref="N440" si="452">SUM(N438:N439)</f>
        <v>2121113</v>
      </c>
      <c r="O440" s="196">
        <f t="shared" ref="O440:V440" si="453">SUM(O438:O439)</f>
        <v>2333999</v>
      </c>
      <c r="P440" s="196"/>
      <c r="Q440" s="196">
        <f t="shared" si="453"/>
        <v>2528234</v>
      </c>
      <c r="R440" s="196"/>
      <c r="S440" s="196">
        <f>SUM(S438:S439)</f>
        <v>2598364</v>
      </c>
      <c r="T440" s="196">
        <f t="shared" si="453"/>
        <v>2691502</v>
      </c>
      <c r="U440" s="196">
        <f t="shared" si="453"/>
        <v>2762237</v>
      </c>
      <c r="V440" s="196">
        <f t="shared" si="453"/>
        <v>2767108</v>
      </c>
      <c r="W440" s="196">
        <f t="shared" ref="W440" si="454">SUM(W438:W439)</f>
        <v>2650988</v>
      </c>
    </row>
    <row r="441" spans="2:24" s="3" customFormat="1" x14ac:dyDescent="0.2">
      <c r="B441" s="255"/>
      <c r="C441" s="896"/>
      <c r="D441" s="897"/>
      <c r="E441" s="896"/>
      <c r="J441"/>
      <c r="K441" s="329"/>
      <c r="L441" s="329"/>
      <c r="M441" s="329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86"/>
    </row>
    <row r="442" spans="2:24" x14ac:dyDescent="0.2">
      <c r="B442" s="928" t="s">
        <v>885</v>
      </c>
      <c r="C442" s="924"/>
      <c r="D442" s="925"/>
      <c r="E442" s="924"/>
      <c r="F442" s="926"/>
      <c r="G442" s="926"/>
      <c r="H442" s="926"/>
      <c r="I442" s="927"/>
      <c r="J442" s="723">
        <f>(J415/365)*120</f>
        <v>1249228.1753424655</v>
      </c>
      <c r="K442" s="723">
        <f>(K415/365)*120</f>
        <v>1213339.7589041095</v>
      </c>
      <c r="L442" s="723">
        <v>1719069.6986301371</v>
      </c>
      <c r="M442" s="723">
        <v>1730994.0065753423</v>
      </c>
      <c r="N442" s="723">
        <f>(N415/365)*120</f>
        <v>1717864.109589041</v>
      </c>
      <c r="O442" s="723">
        <f>(O415/365)*120</f>
        <v>2144037.0410958906</v>
      </c>
      <c r="P442" s="723"/>
      <c r="Q442" s="723">
        <f t="shared" ref="Q442:W442" si="455">(Q415/365)*120</f>
        <v>1802318.4657534247</v>
      </c>
      <c r="R442" s="723"/>
      <c r="S442" s="723">
        <f t="shared" si="455"/>
        <v>1907976.3287671232</v>
      </c>
      <c r="T442" s="723">
        <f t="shared" si="455"/>
        <v>2057857.6438356163</v>
      </c>
      <c r="U442" s="723">
        <f t="shared" si="455"/>
        <v>2182896.98630137</v>
      </c>
      <c r="V442" s="723">
        <f t="shared" si="455"/>
        <v>2254420.9315068494</v>
      </c>
      <c r="W442" s="429">
        <f t="shared" si="455"/>
        <v>2299672.1095890412</v>
      </c>
    </row>
    <row r="443" spans="2:24" x14ac:dyDescent="0.2">
      <c r="B443" s="928" t="s">
        <v>881</v>
      </c>
      <c r="C443" s="924"/>
      <c r="D443" s="925"/>
      <c r="E443" s="924"/>
      <c r="F443" s="926"/>
      <c r="G443" s="926"/>
      <c r="H443" s="926"/>
      <c r="I443" s="927"/>
      <c r="J443" s="723">
        <f>ROUND(J9*0.05,0)</f>
        <v>0</v>
      </c>
      <c r="K443" s="723">
        <f>ROUND(K9*0.05,0)</f>
        <v>136140</v>
      </c>
      <c r="L443" s="723">
        <v>189765</v>
      </c>
      <c r="M443" s="723">
        <v>210074</v>
      </c>
      <c r="N443" s="723">
        <f>ROUND(N9*0.05,0)</f>
        <v>152359</v>
      </c>
      <c r="O443" s="723">
        <f>ROUND(O9*0.05,0)</f>
        <v>160638</v>
      </c>
      <c r="P443" s="723"/>
      <c r="Q443" s="723">
        <f t="shared" ref="Q443:W443" si="456">ROUND(Q9*0.05,0)</f>
        <v>214637</v>
      </c>
      <c r="R443" s="723"/>
      <c r="S443" s="723">
        <f t="shared" si="456"/>
        <v>240870</v>
      </c>
      <c r="T443" s="723">
        <f t="shared" si="456"/>
        <v>261992</v>
      </c>
      <c r="U443" s="723">
        <f t="shared" si="456"/>
        <v>277843</v>
      </c>
      <c r="V443" s="723">
        <f t="shared" si="456"/>
        <v>282530</v>
      </c>
      <c r="W443" s="429">
        <f t="shared" si="456"/>
        <v>283427</v>
      </c>
    </row>
    <row r="444" spans="2:24" x14ac:dyDescent="0.2">
      <c r="B444" s="928" t="s">
        <v>886</v>
      </c>
      <c r="C444" s="924"/>
      <c r="D444" s="925"/>
      <c r="E444" s="924"/>
      <c r="F444" s="926"/>
      <c r="G444" s="926"/>
      <c r="H444" s="926"/>
      <c r="I444" s="927"/>
      <c r="J444" s="929">
        <f>J440/(J415/365)</f>
        <v>1336.7547000308475</v>
      </c>
      <c r="K444" s="929">
        <f>K440/(K415/365)</f>
        <v>206.0467810152407</v>
      </c>
      <c r="L444" s="929">
        <v>88.885813833936695</v>
      </c>
      <c r="M444" s="929">
        <v>156.28224509870677</v>
      </c>
      <c r="N444" s="929">
        <f>N440/(N415/365)</f>
        <v>148.1686232218282</v>
      </c>
      <c r="O444" s="929">
        <f>O440/((O415-O372)/365)</f>
        <v>130.80284385105378</v>
      </c>
      <c r="P444" s="929">
        <f t="shared" ref="P444:V444" si="457">P440/((P415-P372)/365)</f>
        <v>0</v>
      </c>
      <c r="Q444" s="929">
        <f t="shared" si="457"/>
        <v>170.02293122015794</v>
      </c>
      <c r="R444" s="929">
        <f t="shared" si="457"/>
        <v>0</v>
      </c>
      <c r="S444" s="929">
        <f t="shared" si="457"/>
        <v>164.97087187469069</v>
      </c>
      <c r="T444" s="929">
        <f>T440/((T415-T372)/365)</f>
        <v>158.3287503223311</v>
      </c>
      <c r="U444" s="929">
        <f t="shared" si="457"/>
        <v>153.1050732802764</v>
      </c>
      <c r="V444" s="929">
        <f t="shared" si="457"/>
        <v>148.47007649926206</v>
      </c>
      <c r="W444" s="430">
        <f t="shared" ref="W444" si="458">W440/(W415/365)</f>
        <v>138.33213816592698</v>
      </c>
    </row>
    <row r="445" spans="2:24" x14ac:dyDescent="0.2">
      <c r="B445" s="928" t="s">
        <v>882</v>
      </c>
      <c r="C445" s="924"/>
      <c r="D445" s="925"/>
      <c r="E445" s="924"/>
      <c r="F445" s="926"/>
      <c r="G445" s="926"/>
      <c r="H445" s="926"/>
      <c r="I445" s="927"/>
      <c r="J445" s="930">
        <f>(J416+J372)/J53</f>
        <v>0.74004787209108858</v>
      </c>
      <c r="K445" s="930">
        <f>(K416+K372)/K53</f>
        <v>0.20853245489520697</v>
      </c>
      <c r="L445" s="930">
        <v>1.6989549743143578E-2</v>
      </c>
      <c r="M445" s="930">
        <v>0.17374002913484538</v>
      </c>
      <c r="N445" s="930">
        <f>(N416+N372)/N53</f>
        <v>1.9714685489196224E-2</v>
      </c>
      <c r="O445" s="930">
        <f>(O416+O374)/O53</f>
        <v>3.8222542637714879E-2</v>
      </c>
      <c r="P445" s="930">
        <f t="shared" ref="P445:V445" si="459">(P416+P374)/P53</f>
        <v>0.10613799366568819</v>
      </c>
      <c r="Q445" s="930">
        <f t="shared" si="459"/>
        <v>8.76487005360439E-2</v>
      </c>
      <c r="R445" s="930">
        <f t="shared" si="459"/>
        <v>0.6638725380028595</v>
      </c>
      <c r="S445" s="930">
        <f t="shared" si="459"/>
        <v>3.1574136682733789E-2</v>
      </c>
      <c r="T445" s="930">
        <f t="shared" si="459"/>
        <v>3.3279773800429797E-2</v>
      </c>
      <c r="U445" s="930">
        <f t="shared" si="459"/>
        <v>2.8691611819907439E-2</v>
      </c>
      <c r="V445" s="930">
        <f t="shared" si="459"/>
        <v>1.90547095591941E-2</v>
      </c>
      <c r="W445" s="432">
        <f t="shared" ref="W445" si="460">(W416+W372)/W53</f>
        <v>2.1295072845511154E-3</v>
      </c>
    </row>
    <row r="447" spans="2:24" s="3" customFormat="1" x14ac:dyDescent="0.2">
      <c r="C447" s="896"/>
      <c r="D447" s="897"/>
      <c r="E447" s="896"/>
      <c r="O447" s="355"/>
      <c r="P447" s="355">
        <f t="shared" ref="P447:R447" si="461">+P215+P234</f>
        <v>-374</v>
      </c>
      <c r="Q447" s="355"/>
      <c r="R447" s="355">
        <f t="shared" si="461"/>
        <v>4214</v>
      </c>
      <c r="S447" s="355"/>
      <c r="X447" s="386"/>
    </row>
    <row r="448" spans="2:24" s="3" customFormat="1" x14ac:dyDescent="0.2">
      <c r="C448" s="896"/>
      <c r="D448" s="897"/>
      <c r="E448" s="896"/>
      <c r="O448" s="355"/>
      <c r="X448" s="386"/>
    </row>
    <row r="449" spans="3:24" s="3" customFormat="1" x14ac:dyDescent="0.2">
      <c r="C449" s="896"/>
      <c r="D449" s="897"/>
      <c r="E449" s="896"/>
      <c r="X449" s="386"/>
    </row>
    <row r="450" spans="3:24" s="3" customFormat="1" x14ac:dyDescent="0.2">
      <c r="C450" s="896"/>
      <c r="D450" s="897"/>
      <c r="E450" s="896"/>
      <c r="X450" s="386"/>
    </row>
    <row r="451" spans="3:24" s="3" customFormat="1" x14ac:dyDescent="0.2">
      <c r="C451" s="896"/>
      <c r="D451" s="897"/>
      <c r="E451" s="896"/>
      <c r="X451" s="386"/>
    </row>
    <row r="452" spans="3:24" s="3" customFormat="1" x14ac:dyDescent="0.2">
      <c r="C452" s="896"/>
      <c r="D452" s="897"/>
      <c r="E452" s="896"/>
      <c r="X452" s="386"/>
    </row>
    <row r="453" spans="3:24" s="3" customFormat="1" x14ac:dyDescent="0.2">
      <c r="C453" s="896"/>
      <c r="D453" s="897"/>
      <c r="E453" s="896"/>
      <c r="X453" s="386"/>
    </row>
    <row r="454" spans="3:24" s="3" customFormat="1" x14ac:dyDescent="0.2">
      <c r="C454" s="896"/>
      <c r="D454" s="897"/>
      <c r="E454" s="896"/>
      <c r="X454" s="386"/>
    </row>
    <row r="455" spans="3:24" s="3" customFormat="1" x14ac:dyDescent="0.2">
      <c r="C455" s="896"/>
      <c r="D455" s="897"/>
      <c r="E455" s="896"/>
      <c r="X455" s="386"/>
    </row>
    <row r="456" spans="3:24" s="3" customFormat="1" x14ac:dyDescent="0.2">
      <c r="C456" s="896"/>
      <c r="D456" s="897"/>
      <c r="E456" s="896"/>
      <c r="X456" s="386"/>
    </row>
    <row r="457" spans="3:24" s="3" customFormat="1" x14ac:dyDescent="0.2">
      <c r="C457" s="896"/>
      <c r="D457" s="897"/>
      <c r="E457" s="896"/>
      <c r="X457" s="386"/>
    </row>
    <row r="458" spans="3:24" s="3" customFormat="1" x14ac:dyDescent="0.2">
      <c r="C458" s="896"/>
      <c r="D458" s="897"/>
      <c r="E458" s="896"/>
      <c r="X458" s="386"/>
    </row>
    <row r="459" spans="3:24" s="3" customFormat="1" x14ac:dyDescent="0.2">
      <c r="C459" s="896"/>
      <c r="D459" s="897"/>
      <c r="E459" s="896"/>
      <c r="X459" s="386"/>
    </row>
    <row r="460" spans="3:24" s="3" customFormat="1" x14ac:dyDescent="0.2">
      <c r="C460" s="896"/>
      <c r="D460" s="897"/>
      <c r="E460" s="896"/>
      <c r="X460" s="386"/>
    </row>
    <row r="461" spans="3:24" s="3" customFormat="1" x14ac:dyDescent="0.2">
      <c r="C461" s="896"/>
      <c r="D461" s="897"/>
      <c r="E461" s="896"/>
      <c r="X461" s="386"/>
    </row>
    <row r="462" spans="3:24" s="3" customFormat="1" x14ac:dyDescent="0.2">
      <c r="C462" s="896"/>
      <c r="D462" s="897"/>
      <c r="E462" s="896"/>
      <c r="X462" s="386"/>
    </row>
    <row r="463" spans="3:24" s="3" customFormat="1" x14ac:dyDescent="0.2">
      <c r="C463" s="896"/>
      <c r="D463" s="897"/>
      <c r="E463" s="896"/>
      <c r="X463" s="386"/>
    </row>
    <row r="464" spans="3:24" s="3" customFormat="1" x14ac:dyDescent="0.2">
      <c r="C464" s="896"/>
      <c r="D464" s="897"/>
      <c r="E464" s="896"/>
      <c r="X464" s="386"/>
    </row>
    <row r="465" spans="3:24" s="3" customFormat="1" x14ac:dyDescent="0.2">
      <c r="C465" s="896"/>
      <c r="D465" s="897"/>
      <c r="E465" s="896"/>
      <c r="X465" s="386"/>
    </row>
    <row r="466" spans="3:24" s="3" customFormat="1" x14ac:dyDescent="0.2">
      <c r="C466" s="896"/>
      <c r="D466" s="897"/>
      <c r="E466" s="896"/>
      <c r="X466" s="386"/>
    </row>
    <row r="467" spans="3:24" s="3" customFormat="1" x14ac:dyDescent="0.2">
      <c r="C467" s="896"/>
      <c r="D467" s="897"/>
      <c r="E467" s="896"/>
      <c r="X467" s="386"/>
    </row>
    <row r="468" spans="3:24" s="3" customFormat="1" x14ac:dyDescent="0.2">
      <c r="C468" s="896"/>
      <c r="D468" s="897"/>
      <c r="E468" s="896"/>
      <c r="X468" s="386"/>
    </row>
    <row r="469" spans="3:24" s="3" customFormat="1" x14ac:dyDescent="0.2">
      <c r="C469" s="896"/>
      <c r="D469" s="897"/>
      <c r="E469" s="896"/>
      <c r="X469" s="386"/>
    </row>
  </sheetData>
  <autoFilter ref="C8:I440" xr:uid="{FA571B30-4EDB-4D6A-AE27-348273B13F96}"/>
  <phoneticPr fontId="40" type="noConversion"/>
  <pageMargins left="0.5" right="0.5" top="0.5" bottom="0.5" header="0" footer="0"/>
  <pageSetup scale="74" fitToHeight="0" orientation="landscape" r:id="rId1"/>
  <headerFooter>
    <oddFooter>&amp;R&amp;"Calibri,Regular"&amp;P</oddFooter>
  </headerFooter>
  <rowBreaks count="4" manualBreakCount="4">
    <brk id="297" max="21" man="1"/>
    <brk id="344" max="21" man="1"/>
    <brk id="391" max="21" man="1"/>
    <brk id="416" max="20" man="1"/>
  </rowBreaks>
  <ignoredErrors>
    <ignoredError sqref="A133 C133 F133:H133" numberStoredAsText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BE85-ACDA-45A1-8AF1-9AF9EC1FD9A1}">
  <sheetPr codeName="Sheet11"/>
  <dimension ref="B1:AJ663"/>
  <sheetViews>
    <sheetView zoomScaleNormal="100" workbookViewId="0">
      <pane xSplit="14" ySplit="8" topLeftCell="O370" activePane="bottomRight" state="frozen"/>
      <selection activeCell="C412" sqref="C412"/>
      <selection pane="topRight" activeCell="C412" sqref="C412"/>
      <selection pane="bottomLeft" activeCell="C412" sqref="C412"/>
      <selection pane="bottomRight" activeCell="C412" sqref="C412"/>
    </sheetView>
  </sheetViews>
  <sheetFormatPr defaultColWidth="9.140625" defaultRowHeight="12.75" outlineLevelRow="1" x14ac:dyDescent="0.2"/>
  <cols>
    <col min="1" max="1" width="0.85546875" style="3" customWidth="1"/>
    <col min="2" max="2" width="15.28515625" style="3" customWidth="1"/>
    <col min="3" max="4" width="4.140625" style="3" bestFit="1" customWidth="1"/>
    <col min="5" max="6" width="5.140625" style="3" bestFit="1" customWidth="1"/>
    <col min="7" max="8" width="5.42578125" style="3" customWidth="1"/>
    <col min="9" max="9" width="3" style="3" customWidth="1"/>
    <col min="10" max="10" width="18.28515625" style="712" customWidth="1"/>
    <col min="11" max="11" width="5" style="3" customWidth="1"/>
    <col min="12" max="12" width="3.28515625" style="3" customWidth="1"/>
    <col min="13" max="13" width="4.140625" style="3" customWidth="1"/>
    <col min="14" max="14" width="3.28515625" style="3" customWidth="1"/>
    <col min="15" max="15" width="11.5703125" style="3" customWidth="1"/>
    <col min="16" max="16" width="11" style="3" bestFit="1" customWidth="1"/>
    <col min="17" max="18" width="11.5703125" style="3" customWidth="1"/>
    <col min="19" max="19" width="13.140625" style="3" bestFit="1" customWidth="1"/>
    <col min="20" max="26" width="9.140625" style="3" hidden="1" customWidth="1"/>
    <col min="27" max="27" width="11.5703125" style="3" hidden="1" customWidth="1"/>
    <col min="28" max="28" width="1.7109375" style="3" customWidth="1"/>
    <col min="29" max="29" width="13.140625" style="3" customWidth="1"/>
    <col min="30" max="30" width="13.28515625" style="3" bestFit="1" customWidth="1"/>
    <col min="31" max="31" width="13.140625" style="3" customWidth="1"/>
    <col min="32" max="32" width="11.5703125" style="3" customWidth="1"/>
    <col min="33" max="33" width="13" style="62" bestFit="1" customWidth="1"/>
    <col min="34" max="34" width="11" style="62" bestFit="1" customWidth="1"/>
    <col min="35" max="36" width="9.140625" style="62"/>
    <col min="37" max="16384" width="9.140625" style="3"/>
  </cols>
  <sheetData>
    <row r="1" spans="2:32" x14ac:dyDescent="0.2">
      <c r="B1" s="96" t="str">
        <f>'# of Students'!A1</f>
        <v>Beacon Academy of Nevada</v>
      </c>
      <c r="C1" s="97"/>
      <c r="D1" s="97"/>
      <c r="E1" s="97"/>
      <c r="F1" s="97"/>
      <c r="G1" s="97"/>
      <c r="H1" s="97"/>
      <c r="I1" s="97"/>
      <c r="J1" s="335"/>
      <c r="K1" s="97"/>
      <c r="L1" s="97"/>
      <c r="M1" s="97"/>
      <c r="N1" s="97"/>
      <c r="O1" s="100" t="s">
        <v>64</v>
      </c>
      <c r="P1" s="100" t="s">
        <v>66</v>
      </c>
      <c r="Q1" s="100" t="s">
        <v>69</v>
      </c>
      <c r="R1" s="100" t="s">
        <v>71</v>
      </c>
      <c r="S1" s="100" t="s">
        <v>74</v>
      </c>
      <c r="T1" s="100" t="s">
        <v>77</v>
      </c>
      <c r="U1" s="100" t="s">
        <v>79</v>
      </c>
      <c r="V1" s="100" t="s">
        <v>82</v>
      </c>
      <c r="W1" s="100" t="s">
        <v>85</v>
      </c>
      <c r="X1" s="100" t="s">
        <v>88</v>
      </c>
      <c r="Y1" s="100" t="s">
        <v>91</v>
      </c>
      <c r="Z1" s="100" t="s">
        <v>94</v>
      </c>
      <c r="AA1" s="100" t="s">
        <v>97</v>
      </c>
      <c r="AC1" s="116" t="s">
        <v>64</v>
      </c>
    </row>
    <row r="2" spans="2:32" x14ac:dyDescent="0.2">
      <c r="B2" s="96" t="s">
        <v>151</v>
      </c>
      <c r="C2" s="99"/>
      <c r="D2" s="99"/>
      <c r="E2" s="99"/>
      <c r="F2" s="99"/>
      <c r="G2" s="99"/>
      <c r="H2" s="99"/>
      <c r="I2" s="99"/>
      <c r="J2" s="335"/>
      <c r="K2" s="99"/>
      <c r="L2" s="99"/>
      <c r="M2" s="99"/>
      <c r="N2" s="99"/>
      <c r="O2" s="99"/>
      <c r="P2" s="99"/>
      <c r="Q2" s="99"/>
      <c r="R2" s="99"/>
      <c r="S2" s="99"/>
      <c r="T2" s="99"/>
      <c r="AC2" s="116" t="s">
        <v>158</v>
      </c>
    </row>
    <row r="3" spans="2:32" x14ac:dyDescent="0.2">
      <c r="B3" s="96"/>
      <c r="C3" s="99"/>
      <c r="D3" s="99"/>
      <c r="E3" s="99"/>
      <c r="F3" s="99"/>
      <c r="G3" s="99"/>
      <c r="H3" s="99"/>
      <c r="I3" s="99"/>
      <c r="J3" s="335"/>
      <c r="K3" s="99"/>
      <c r="L3" s="99"/>
      <c r="M3" s="99"/>
      <c r="N3" s="99"/>
      <c r="O3" s="99"/>
      <c r="P3" s="99"/>
      <c r="Q3" s="99"/>
      <c r="R3" s="99"/>
      <c r="S3" s="99"/>
      <c r="T3" s="99"/>
      <c r="AC3" s="116"/>
    </row>
    <row r="4" spans="2:32" x14ac:dyDescent="0.2">
      <c r="B4" s="98"/>
      <c r="C4" s="99"/>
      <c r="D4" s="99"/>
      <c r="E4" s="99"/>
      <c r="F4" s="99"/>
      <c r="G4" s="99"/>
      <c r="H4" s="370" t="s">
        <v>805</v>
      </c>
      <c r="I4" s="99"/>
      <c r="J4" s="335"/>
      <c r="K4" s="99"/>
      <c r="L4" s="99"/>
      <c r="M4" s="99"/>
      <c r="N4" s="99"/>
      <c r="O4" s="99"/>
      <c r="P4" s="99"/>
      <c r="Q4" s="99"/>
      <c r="R4" s="99"/>
      <c r="S4" s="99"/>
      <c r="T4" s="99"/>
      <c r="AC4" s="116" t="s">
        <v>97</v>
      </c>
    </row>
    <row r="5" spans="2:32" x14ac:dyDescent="0.2">
      <c r="B5" s="100"/>
      <c r="C5" s="100"/>
      <c r="D5" s="100"/>
      <c r="E5" s="100"/>
      <c r="F5" s="100"/>
      <c r="G5" s="100"/>
      <c r="H5" s="112"/>
      <c r="I5" s="112"/>
      <c r="J5" s="336"/>
      <c r="K5" s="112"/>
      <c r="L5" s="112"/>
      <c r="M5" s="112"/>
      <c r="N5" s="112"/>
      <c r="O5" s="100"/>
      <c r="P5" s="111"/>
      <c r="Q5" s="111"/>
      <c r="R5" s="111"/>
      <c r="S5" s="111"/>
      <c r="T5" s="111"/>
      <c r="U5" s="113"/>
      <c r="V5" s="113"/>
      <c r="W5" s="113"/>
      <c r="X5" s="113"/>
      <c r="Y5" s="113"/>
      <c r="Z5" s="113"/>
      <c r="AD5" s="7"/>
    </row>
    <row r="6" spans="2:32" x14ac:dyDescent="0.2">
      <c r="B6" s="100"/>
      <c r="C6" s="100"/>
      <c r="D6" s="100"/>
      <c r="E6" s="100"/>
      <c r="F6" s="100"/>
      <c r="G6" s="100"/>
      <c r="H6" s="100"/>
      <c r="I6" s="100"/>
      <c r="J6" s="337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D6" s="287">
        <f>'2022 Budget &amp; CF'!Z7</f>
        <v>44516</v>
      </c>
      <c r="AF6" s="3">
        <v>12</v>
      </c>
    </row>
    <row r="7" spans="2:32" x14ac:dyDescent="0.2">
      <c r="B7" s="100"/>
      <c r="C7" s="100"/>
      <c r="D7" s="100"/>
      <c r="E7" s="100"/>
      <c r="F7" s="100"/>
      <c r="G7" s="100"/>
      <c r="H7" s="100"/>
      <c r="I7" s="100"/>
      <c r="J7" s="337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D7" s="514"/>
    </row>
    <row r="8" spans="2:32" ht="76.5" customHeight="1" x14ac:dyDescent="0.2">
      <c r="B8" s="682"/>
      <c r="C8" s="683" t="s">
        <v>117</v>
      </c>
      <c r="D8" s="683" t="s">
        <v>128</v>
      </c>
      <c r="E8" s="683" t="s">
        <v>129</v>
      </c>
      <c r="F8" s="683" t="s">
        <v>119</v>
      </c>
      <c r="G8" s="683" t="s">
        <v>120</v>
      </c>
      <c r="H8" s="683" t="s">
        <v>121</v>
      </c>
      <c r="I8" s="683" t="s">
        <v>373</v>
      </c>
      <c r="J8" s="709" t="s">
        <v>343</v>
      </c>
      <c r="K8" s="349" t="s">
        <v>344</v>
      </c>
      <c r="L8" s="683" t="s">
        <v>345</v>
      </c>
      <c r="M8" s="683" t="s">
        <v>346</v>
      </c>
      <c r="N8" s="683" t="s">
        <v>347</v>
      </c>
      <c r="O8" s="120" t="s">
        <v>152</v>
      </c>
      <c r="P8" s="120" t="s">
        <v>152</v>
      </c>
      <c r="Q8" s="120" t="s">
        <v>152</v>
      </c>
      <c r="R8" s="120" t="s">
        <v>152</v>
      </c>
      <c r="S8" s="120" t="s">
        <v>152</v>
      </c>
      <c r="T8" s="684" t="s">
        <v>153</v>
      </c>
      <c r="U8" s="684" t="s">
        <v>153</v>
      </c>
      <c r="V8" s="684" t="s">
        <v>153</v>
      </c>
      <c r="W8" s="684" t="s">
        <v>153</v>
      </c>
      <c r="X8" s="684" t="s">
        <v>153</v>
      </c>
      <c r="Y8" s="684" t="s">
        <v>153</v>
      </c>
      <c r="Z8" s="684" t="s">
        <v>153</v>
      </c>
      <c r="AA8" s="542"/>
      <c r="AC8" s="120" t="s">
        <v>154</v>
      </c>
      <c r="AD8" s="688" t="s">
        <v>156</v>
      </c>
      <c r="AE8" s="688" t="s">
        <v>351</v>
      </c>
      <c r="AF8" s="687"/>
    </row>
    <row r="9" spans="2:32" ht="12.75" customHeight="1" outlineLevel="1" x14ac:dyDescent="0.2">
      <c r="B9" s="82" t="str">
        <f>Revenues!B9</f>
        <v>Pupil Centered Funding Plan</v>
      </c>
      <c r="C9" s="82">
        <f>Revenues!C9</f>
        <v>100</v>
      </c>
      <c r="D9" s="82" t="str">
        <f>Revenues!D9</f>
        <v>201</v>
      </c>
      <c r="E9" s="82">
        <f>Revenues!E9</f>
        <v>3110</v>
      </c>
      <c r="F9" s="107"/>
      <c r="G9" s="108"/>
      <c r="H9" s="109"/>
      <c r="I9" s="109"/>
      <c r="J9" s="338" t="str">
        <f t="shared" ref="J9:J17" si="0">CONCATENATE(C9,D9,E9)</f>
        <v>1002013110</v>
      </c>
      <c r="K9" s="109">
        <v>2022</v>
      </c>
      <c r="L9" s="109" t="s">
        <v>348</v>
      </c>
      <c r="M9" s="109" t="s">
        <v>349</v>
      </c>
      <c r="N9" s="109" t="s">
        <v>350</v>
      </c>
      <c r="O9" s="12">
        <f>-'2022 Budget &amp; CF'!J9</f>
        <v>-351594.62</v>
      </c>
      <c r="P9" s="12">
        <f>-'2022 Budget &amp; CF'!K9</f>
        <v>0</v>
      </c>
      <c r="Q9" s="12">
        <f>-'2022 Budget &amp; CF'!L9</f>
        <v>-219481.84</v>
      </c>
      <c r="R9" s="12">
        <f>-'2022 Budget &amp; CF'!M9</f>
        <v>-346241.4</v>
      </c>
      <c r="S9" s="12">
        <f>-'2022 Budget &amp; CF'!N9</f>
        <v>-237888.69</v>
      </c>
      <c r="T9" s="12">
        <f>-'2022 Budget &amp; CF'!O9</f>
        <v>0</v>
      </c>
      <c r="U9" s="12">
        <f>-'2022 Budget &amp; CF'!P9</f>
        <v>0</v>
      </c>
      <c r="V9" s="12">
        <f>-'2022 Budget &amp; CF'!Q9</f>
        <v>0</v>
      </c>
      <c r="W9" s="12">
        <f>-'2022 Budget &amp; CF'!R9</f>
        <v>0</v>
      </c>
      <c r="X9" s="12">
        <f>-'2022 Budget &amp; CF'!S9</f>
        <v>0</v>
      </c>
      <c r="Y9" s="12">
        <f>-'2022 Budget &amp; CF'!T9</f>
        <v>0</v>
      </c>
      <c r="Z9" s="12">
        <f>-'2022 Budget &amp; CF'!U9</f>
        <v>0</v>
      </c>
      <c r="AA9" s="12">
        <f>-'2022 Budget &amp; CF'!V9</f>
        <v>0</v>
      </c>
      <c r="AB9" s="12"/>
      <c r="AC9" s="121">
        <f t="shared" ref="AC9:AC17" si="1">SUM(O9:AA9)</f>
        <v>-1155206.55</v>
      </c>
      <c r="AD9" s="115">
        <f>-'2022 Budget &amp; CF'!Z9</f>
        <v>-2960859</v>
      </c>
      <c r="AE9" s="117">
        <f t="shared" ref="AE9:AE17" si="2">AD9-AC9</f>
        <v>-1805652.45</v>
      </c>
      <c r="AF9" s="117">
        <f>AE9/$AF$6</f>
        <v>-150471.03750000001</v>
      </c>
    </row>
    <row r="10" spans="2:32" ht="12.75" customHeight="1" outlineLevel="1" x14ac:dyDescent="0.2">
      <c r="B10" s="82" t="str">
        <f>Revenues!B10</f>
        <v xml:space="preserve">SPED Funds from DSA                          </v>
      </c>
      <c r="C10" s="82">
        <f>Revenues!C10</f>
        <v>250</v>
      </c>
      <c r="D10" s="82" t="str">
        <f>Revenues!D10</f>
        <v>205</v>
      </c>
      <c r="E10" s="82">
        <v>3270</v>
      </c>
      <c r="F10" s="107"/>
      <c r="G10" s="108"/>
      <c r="H10" s="109"/>
      <c r="I10" s="109"/>
      <c r="J10" s="338" t="str">
        <f t="shared" si="0"/>
        <v>2502053270</v>
      </c>
      <c r="K10" s="109">
        <v>2022</v>
      </c>
      <c r="L10" s="109" t="s">
        <v>348</v>
      </c>
      <c r="M10" s="109" t="s">
        <v>349</v>
      </c>
      <c r="N10" s="109" t="s">
        <v>350</v>
      </c>
      <c r="O10" s="12">
        <f>-'2022 Budget &amp; CF'!J10</f>
        <v>-65438.28</v>
      </c>
      <c r="P10" s="12">
        <f>-'2022 Budget &amp; CF'!K10</f>
        <v>0</v>
      </c>
      <c r="Q10" s="12">
        <f>-'2022 Budget &amp; CF'!L10</f>
        <v>0</v>
      </c>
      <c r="R10" s="12">
        <f>-'2022 Budget &amp; CF'!M10</f>
        <v>0</v>
      </c>
      <c r="S10" s="12">
        <f>-'2022 Budget &amp; CF'!N10</f>
        <v>-65441.17</v>
      </c>
      <c r="T10" s="12">
        <f>-'2022 Budget &amp; CF'!O10</f>
        <v>0</v>
      </c>
      <c r="U10" s="12">
        <f>-'2022 Budget &amp; CF'!P10</f>
        <v>0</v>
      </c>
      <c r="V10" s="12">
        <f>-'2022 Budget &amp; CF'!Q10</f>
        <v>0</v>
      </c>
      <c r="W10" s="12">
        <f>-'2022 Budget &amp; CF'!R10</f>
        <v>0</v>
      </c>
      <c r="X10" s="12">
        <f>-'2022 Budget &amp; CF'!S10</f>
        <v>0</v>
      </c>
      <c r="Y10" s="12">
        <f>-'2022 Budget &amp; CF'!T10</f>
        <v>0</v>
      </c>
      <c r="Z10" s="12">
        <f>-'2022 Budget &amp; CF'!U10</f>
        <v>0</v>
      </c>
      <c r="AA10" s="12">
        <f>-'2022 Budget &amp; CF'!V10</f>
        <v>0</v>
      </c>
      <c r="AB10" s="12"/>
      <c r="AC10" s="121">
        <f t="shared" si="1"/>
        <v>-130879.45</v>
      </c>
      <c r="AD10" s="115">
        <f>-'2022 Budget &amp; CF'!Z10</f>
        <v>-281270</v>
      </c>
      <c r="AE10" s="117">
        <f t="shared" si="2"/>
        <v>-150390.54999999999</v>
      </c>
      <c r="AF10" s="117">
        <f t="shared" ref="AF10:AF17" si="3">AE10/$AF$6</f>
        <v>-12532.545833333332</v>
      </c>
    </row>
    <row r="11" spans="2:32" ht="12.75" customHeight="1" outlineLevel="1" x14ac:dyDescent="0.2">
      <c r="B11" s="82" t="s">
        <v>1108</v>
      </c>
      <c r="C11" s="82">
        <v>250</v>
      </c>
      <c r="D11" s="82">
        <v>210</v>
      </c>
      <c r="E11" s="82">
        <v>3115</v>
      </c>
      <c r="F11" s="107"/>
      <c r="G11" s="108"/>
      <c r="H11" s="109"/>
      <c r="I11" s="109"/>
      <c r="J11" s="338" t="str">
        <f t="shared" si="0"/>
        <v>2502103115</v>
      </c>
      <c r="K11" s="109">
        <v>2022</v>
      </c>
      <c r="L11" s="109" t="s">
        <v>348</v>
      </c>
      <c r="M11" s="109" t="s">
        <v>349</v>
      </c>
      <c r="N11" s="109" t="s">
        <v>350</v>
      </c>
      <c r="O11" s="12">
        <f>-'2022 Budget &amp; CF'!J11</f>
        <v>-986.99</v>
      </c>
      <c r="P11" s="12">
        <f>-'2022 Budget &amp; CF'!K11</f>
        <v>0</v>
      </c>
      <c r="Q11" s="12">
        <f>-'2022 Budget &amp; CF'!L11</f>
        <v>-986.99</v>
      </c>
      <c r="R11" s="12">
        <f>-'2022 Budget &amp; CF'!M11</f>
        <v>-986.99</v>
      </c>
      <c r="S11" s="12">
        <f>-'2022 Budget &amp; CF'!N11</f>
        <v>-986.99</v>
      </c>
      <c r="T11" s="12">
        <f>-'2022 Budget &amp; CF'!O11</f>
        <v>0</v>
      </c>
      <c r="U11" s="12">
        <f>-'2022 Budget &amp; CF'!P11</f>
        <v>0</v>
      </c>
      <c r="V11" s="12">
        <f>-'2022 Budget &amp; CF'!Q11</f>
        <v>0</v>
      </c>
      <c r="W11" s="12">
        <f>-'2022 Budget &amp; CF'!R11</f>
        <v>0</v>
      </c>
      <c r="X11" s="12">
        <f>-'2022 Budget &amp; CF'!S11</f>
        <v>0</v>
      </c>
      <c r="Y11" s="12">
        <f>-'2022 Budget &amp; CF'!T11</f>
        <v>0</v>
      </c>
      <c r="Z11" s="12">
        <f>-'2022 Budget &amp; CF'!U11</f>
        <v>0</v>
      </c>
      <c r="AA11" s="12">
        <f>-'2022 Budget &amp; CF'!V11</f>
        <v>0</v>
      </c>
      <c r="AB11" s="12"/>
      <c r="AC11" s="121">
        <f t="shared" si="1"/>
        <v>-3947.96</v>
      </c>
      <c r="AD11" s="115">
        <f>-'2022 Budget &amp; CF'!Z11</f>
        <v>-11844</v>
      </c>
      <c r="AE11" s="117">
        <f t="shared" si="2"/>
        <v>-7896.04</v>
      </c>
      <c r="AF11" s="117">
        <f t="shared" ref="AF11:AF13" si="4">AE11/$AF$6</f>
        <v>-658.00333333333333</v>
      </c>
    </row>
    <row r="12" spans="2:32" ht="12.75" customHeight="1" outlineLevel="1" x14ac:dyDescent="0.2">
      <c r="B12" s="82" t="s">
        <v>1105</v>
      </c>
      <c r="C12" s="82">
        <v>206</v>
      </c>
      <c r="D12" s="82">
        <v>211</v>
      </c>
      <c r="E12" s="82">
        <v>3254</v>
      </c>
      <c r="F12" s="107"/>
      <c r="G12" s="108"/>
      <c r="H12" s="109"/>
      <c r="I12" s="109"/>
      <c r="J12" s="338" t="str">
        <f t="shared" si="0"/>
        <v>2062113254</v>
      </c>
      <c r="K12" s="109">
        <v>2022</v>
      </c>
      <c r="L12" s="109" t="s">
        <v>348</v>
      </c>
      <c r="M12" s="109" t="s">
        <v>349</v>
      </c>
      <c r="N12" s="109" t="s">
        <v>350</v>
      </c>
      <c r="O12" s="12">
        <f>-'2022 Budget &amp; CF'!J12</f>
        <v>-3677.9</v>
      </c>
      <c r="P12" s="12">
        <f>-'2022 Budget &amp; CF'!K12</f>
        <v>0</v>
      </c>
      <c r="Q12" s="12">
        <f>-'2022 Budget &amp; CF'!L12</f>
        <v>-3677.9</v>
      </c>
      <c r="R12" s="12">
        <f>-'2022 Budget &amp; CF'!M12</f>
        <v>-3677.9</v>
      </c>
      <c r="S12" s="12">
        <f>-'2022 Budget &amp; CF'!N12</f>
        <v>-3677.9</v>
      </c>
      <c r="T12" s="12">
        <f>-'2022 Budget &amp; CF'!O12</f>
        <v>0</v>
      </c>
      <c r="U12" s="12">
        <f>-'2022 Budget &amp; CF'!P12</f>
        <v>0</v>
      </c>
      <c r="V12" s="12">
        <f>-'2022 Budget &amp; CF'!Q12</f>
        <v>0</v>
      </c>
      <c r="W12" s="12">
        <f>-'2022 Budget &amp; CF'!R12</f>
        <v>0</v>
      </c>
      <c r="X12" s="12">
        <f>-'2022 Budget &amp; CF'!S12</f>
        <v>0</v>
      </c>
      <c r="Y12" s="12">
        <f>-'2022 Budget &amp; CF'!T12</f>
        <v>0</v>
      </c>
      <c r="Z12" s="12">
        <f>-'2022 Budget &amp; CF'!U12</f>
        <v>0</v>
      </c>
      <c r="AA12" s="12">
        <f>-'2022 Budget &amp; CF'!V12</f>
        <v>0</v>
      </c>
      <c r="AB12" s="12"/>
      <c r="AC12" s="121">
        <f t="shared" si="1"/>
        <v>-14711.6</v>
      </c>
      <c r="AD12" s="115">
        <f>-'2022 Budget &amp; CF'!Z12</f>
        <v>-44135</v>
      </c>
      <c r="AE12" s="117">
        <f t="shared" si="2"/>
        <v>-29423.4</v>
      </c>
      <c r="AF12" s="117">
        <f t="shared" si="4"/>
        <v>-2451.9500000000003</v>
      </c>
    </row>
    <row r="13" spans="2:32" ht="12.75" customHeight="1" outlineLevel="1" x14ac:dyDescent="0.2">
      <c r="B13" s="82" t="s">
        <v>1106</v>
      </c>
      <c r="C13" s="82">
        <v>208</v>
      </c>
      <c r="D13" s="82">
        <v>212</v>
      </c>
      <c r="E13" s="82">
        <v>3255</v>
      </c>
      <c r="F13" s="107"/>
      <c r="G13" s="108"/>
      <c r="H13" s="109"/>
      <c r="I13" s="109"/>
      <c r="J13" s="338" t="str">
        <f t="shared" si="0"/>
        <v>2082123255</v>
      </c>
      <c r="K13" s="109">
        <v>2022</v>
      </c>
      <c r="L13" s="109" t="s">
        <v>348</v>
      </c>
      <c r="M13" s="109" t="s">
        <v>349</v>
      </c>
      <c r="N13" s="109" t="s">
        <v>350</v>
      </c>
      <c r="O13" s="12">
        <f>-'2022 Budget &amp; CF'!J13</f>
        <v>-2529.16</v>
      </c>
      <c r="P13" s="12">
        <f>-'2022 Budget &amp; CF'!K13</f>
        <v>0</v>
      </c>
      <c r="Q13" s="12">
        <f>-'2022 Budget &amp; CF'!L13</f>
        <v>-2529.16</v>
      </c>
      <c r="R13" s="12">
        <f>-'2022 Budget &amp; CF'!M13</f>
        <v>-2529.16</v>
      </c>
      <c r="S13" s="12">
        <f>-'2022 Budget &amp; CF'!N13</f>
        <v>-2529.16</v>
      </c>
      <c r="T13" s="12">
        <f>-'2022 Budget &amp; CF'!O13</f>
        <v>0</v>
      </c>
      <c r="U13" s="12">
        <f>-'2022 Budget &amp; CF'!P13</f>
        <v>0</v>
      </c>
      <c r="V13" s="12">
        <f>-'2022 Budget &amp; CF'!Q13</f>
        <v>0</v>
      </c>
      <c r="W13" s="12">
        <f>-'2022 Budget &amp; CF'!R13</f>
        <v>0</v>
      </c>
      <c r="X13" s="12">
        <f>-'2022 Budget &amp; CF'!S13</f>
        <v>0</v>
      </c>
      <c r="Y13" s="12">
        <f>-'2022 Budget &amp; CF'!T13</f>
        <v>0</v>
      </c>
      <c r="Z13" s="12">
        <f>-'2022 Budget &amp; CF'!U13</f>
        <v>0</v>
      </c>
      <c r="AA13" s="12">
        <f>-'2022 Budget &amp; CF'!V13</f>
        <v>0</v>
      </c>
      <c r="AB13" s="12"/>
      <c r="AC13" s="121">
        <f t="shared" si="1"/>
        <v>-10116.64</v>
      </c>
      <c r="AD13" s="115">
        <f>-'2022 Budget &amp; CF'!Z13</f>
        <v>-30350</v>
      </c>
      <c r="AE13" s="117">
        <f t="shared" si="2"/>
        <v>-20233.36</v>
      </c>
      <c r="AF13" s="117">
        <f t="shared" si="4"/>
        <v>-1686.1133333333335</v>
      </c>
    </row>
    <row r="14" spans="2:32" ht="12.75" customHeight="1" outlineLevel="1" x14ac:dyDescent="0.2">
      <c r="B14" s="82" t="str">
        <f>Revenues!B14</f>
        <v xml:space="preserve">New Nv Education Funding Plan SB178 (2017) </v>
      </c>
      <c r="C14" s="82">
        <f>Revenues!C14</f>
        <v>240</v>
      </c>
      <c r="D14" s="82" t="str">
        <f>Revenues!D14</f>
        <v>280</v>
      </c>
      <c r="E14" s="82">
        <f>Revenues!E14</f>
        <v>3200</v>
      </c>
      <c r="F14" s="107"/>
      <c r="G14" s="108"/>
      <c r="H14" s="109"/>
      <c r="I14" s="109"/>
      <c r="J14" s="338" t="str">
        <f t="shared" si="0"/>
        <v>2402803200</v>
      </c>
      <c r="K14" s="109">
        <v>2022</v>
      </c>
      <c r="L14" s="109" t="s">
        <v>348</v>
      </c>
      <c r="M14" s="109" t="s">
        <v>349</v>
      </c>
      <c r="N14" s="109" t="s">
        <v>350</v>
      </c>
      <c r="O14" s="12">
        <f>-'2022 Budget &amp; CF'!J14</f>
        <v>0</v>
      </c>
      <c r="P14" s="12">
        <f>-'2022 Budget &amp; CF'!K14</f>
        <v>0</v>
      </c>
      <c r="Q14" s="12">
        <f>-'2022 Budget &amp; CF'!L14</f>
        <v>0</v>
      </c>
      <c r="R14" s="12">
        <f>-'2022 Budget &amp; CF'!M14</f>
        <v>0</v>
      </c>
      <c r="S14" s="12">
        <f>-'2022 Budget &amp; CF'!N14</f>
        <v>0</v>
      </c>
      <c r="T14" s="12">
        <f>-'2022 Budget &amp; CF'!O14</f>
        <v>0</v>
      </c>
      <c r="U14" s="12">
        <f>-'2022 Budget &amp; CF'!P14</f>
        <v>0</v>
      </c>
      <c r="V14" s="12">
        <f>-'2022 Budget &amp; CF'!Q14</f>
        <v>0</v>
      </c>
      <c r="W14" s="12">
        <f>-'2022 Budget &amp; CF'!R14</f>
        <v>0</v>
      </c>
      <c r="X14" s="12">
        <f>-'2022 Budget &amp; CF'!S14</f>
        <v>0</v>
      </c>
      <c r="Y14" s="12">
        <f>-'2022 Budget &amp; CF'!T14</f>
        <v>0</v>
      </c>
      <c r="Z14" s="12">
        <f>-'2022 Budget &amp; CF'!U14</f>
        <v>0</v>
      </c>
      <c r="AA14" s="12">
        <f>-'2022 Budget &amp; CF'!V14</f>
        <v>0</v>
      </c>
      <c r="AB14" s="12"/>
      <c r="AC14" s="121">
        <f t="shared" si="1"/>
        <v>0</v>
      </c>
      <c r="AD14" s="115">
        <f>-'2022 Budget &amp; CF'!Z14</f>
        <v>0</v>
      </c>
      <c r="AE14" s="117">
        <f t="shared" si="2"/>
        <v>0</v>
      </c>
      <c r="AF14" s="117">
        <f t="shared" si="3"/>
        <v>0</v>
      </c>
    </row>
    <row r="15" spans="2:32" ht="12.75" customHeight="1" outlineLevel="1" x14ac:dyDescent="0.2">
      <c r="B15" s="82" t="s">
        <v>469</v>
      </c>
      <c r="C15" s="82">
        <v>240</v>
      </c>
      <c r="D15" s="82">
        <v>289</v>
      </c>
      <c r="E15" s="82">
        <v>3200</v>
      </c>
      <c r="F15" s="107"/>
      <c r="G15" s="108"/>
      <c r="H15" s="109"/>
      <c r="I15" s="109"/>
      <c r="J15" s="338" t="str">
        <f t="shared" si="0"/>
        <v>2402893200</v>
      </c>
      <c r="K15" s="109">
        <v>2022</v>
      </c>
      <c r="L15" s="109" t="s">
        <v>348</v>
      </c>
      <c r="M15" s="109" t="s">
        <v>349</v>
      </c>
      <c r="N15" s="109" t="s">
        <v>350</v>
      </c>
      <c r="O15" s="12">
        <f>-'2022 Budget &amp; CF'!J15</f>
        <v>-4308.1499999999996</v>
      </c>
      <c r="P15" s="12">
        <f>-'2022 Budget &amp; CF'!K15</f>
        <v>4308.1499999999996</v>
      </c>
      <c r="Q15" s="12">
        <f>-'2022 Budget &amp; CF'!L15</f>
        <v>0</v>
      </c>
      <c r="R15" s="12">
        <f>-'2022 Budget &amp; CF'!M15</f>
        <v>0</v>
      </c>
      <c r="S15" s="12">
        <f>-'2022 Budget &amp; CF'!N15</f>
        <v>0</v>
      </c>
      <c r="T15" s="12">
        <f>-'2022 Budget &amp; CF'!O15</f>
        <v>0</v>
      </c>
      <c r="U15" s="12">
        <f>-'2022 Budget &amp; CF'!P15</f>
        <v>0</v>
      </c>
      <c r="V15" s="12">
        <f>-'2022 Budget &amp; CF'!Q15</f>
        <v>0</v>
      </c>
      <c r="W15" s="12">
        <f>-'2022 Budget &amp; CF'!R15</f>
        <v>0</v>
      </c>
      <c r="X15" s="12">
        <f>-'2022 Budget &amp; CF'!S15</f>
        <v>0</v>
      </c>
      <c r="Y15" s="12">
        <f>-'2022 Budget &amp; CF'!T15</f>
        <v>0</v>
      </c>
      <c r="Z15" s="12">
        <f>-'2022 Budget &amp; CF'!U15</f>
        <v>0</v>
      </c>
      <c r="AA15" s="12">
        <f>-'2022 Budget &amp; CF'!V15</f>
        <v>0</v>
      </c>
      <c r="AB15" s="12"/>
      <c r="AC15" s="121">
        <f t="shared" si="1"/>
        <v>0</v>
      </c>
      <c r="AD15" s="115">
        <f>-'2022 Budget &amp; CF'!Z15</f>
        <v>0</v>
      </c>
      <c r="AE15" s="117">
        <f t="shared" si="2"/>
        <v>0</v>
      </c>
      <c r="AF15" s="117">
        <f t="shared" si="3"/>
        <v>0</v>
      </c>
    </row>
    <row r="16" spans="2:32" ht="12.75" customHeight="1" outlineLevel="1" x14ac:dyDescent="0.2">
      <c r="B16" s="82" t="str">
        <f>Revenues!B16</f>
        <v>Teacher Reimbursement Grant</v>
      </c>
      <c r="C16" s="82">
        <f>Revenues!C16</f>
        <v>240</v>
      </c>
      <c r="D16" s="82" t="str">
        <f>Revenues!D16</f>
        <v>325</v>
      </c>
      <c r="E16" s="82">
        <f>Revenues!E16</f>
        <v>3200</v>
      </c>
      <c r="F16" s="107"/>
      <c r="G16" s="108"/>
      <c r="H16" s="109"/>
      <c r="I16" s="109"/>
      <c r="J16" s="338" t="str">
        <f t="shared" si="0"/>
        <v>2403253200</v>
      </c>
      <c r="K16" s="109">
        <v>2022</v>
      </c>
      <c r="L16" s="109" t="s">
        <v>348</v>
      </c>
      <c r="M16" s="109" t="s">
        <v>349</v>
      </c>
      <c r="N16" s="109" t="s">
        <v>350</v>
      </c>
      <c r="O16" s="12">
        <f>-'2022 Budget &amp; CF'!J16</f>
        <v>0</v>
      </c>
      <c r="P16" s="12">
        <f>-'2022 Budget &amp; CF'!K16</f>
        <v>0</v>
      </c>
      <c r="Q16" s="12">
        <f>-'2022 Budget &amp; CF'!L16</f>
        <v>0</v>
      </c>
      <c r="R16" s="12">
        <f>-'2022 Budget &amp; CF'!M16</f>
        <v>0</v>
      </c>
      <c r="S16" s="12">
        <f>-'2022 Budget &amp; CF'!N16</f>
        <v>0</v>
      </c>
      <c r="T16" s="12">
        <f>-'2022 Budget &amp; CF'!O16</f>
        <v>0</v>
      </c>
      <c r="U16" s="12">
        <f>-'2022 Budget &amp; CF'!P16</f>
        <v>0</v>
      </c>
      <c r="V16" s="12">
        <f>-'2022 Budget &amp; CF'!Q16</f>
        <v>0</v>
      </c>
      <c r="W16" s="12">
        <f>-'2022 Budget &amp; CF'!R16</f>
        <v>0</v>
      </c>
      <c r="X16" s="12">
        <f>-'2022 Budget &amp; CF'!S16</f>
        <v>0</v>
      </c>
      <c r="Y16" s="12">
        <f>-'2022 Budget &amp; CF'!T16</f>
        <v>0</v>
      </c>
      <c r="Z16" s="12">
        <f>-'2022 Budget &amp; CF'!U16</f>
        <v>0</v>
      </c>
      <c r="AA16" s="12">
        <f>-'2022 Budget &amp; CF'!V16</f>
        <v>0</v>
      </c>
      <c r="AB16" s="12"/>
      <c r="AC16" s="121">
        <f t="shared" si="1"/>
        <v>0</v>
      </c>
      <c r="AD16" s="115">
        <f>-'2022 Budget &amp; CF'!Z16</f>
        <v>0</v>
      </c>
      <c r="AE16" s="117">
        <f t="shared" si="2"/>
        <v>0</v>
      </c>
      <c r="AF16" s="117">
        <f t="shared" si="3"/>
        <v>0</v>
      </c>
    </row>
    <row r="17" spans="2:32" ht="12.75" customHeight="1" outlineLevel="1" x14ac:dyDescent="0.2">
      <c r="B17" s="82" t="s">
        <v>471</v>
      </c>
      <c r="C17" s="82">
        <v>240</v>
      </c>
      <c r="D17" s="82">
        <v>390</v>
      </c>
      <c r="E17" s="82">
        <v>3200</v>
      </c>
      <c r="F17" s="107"/>
      <c r="G17" s="108"/>
      <c r="H17" s="109"/>
      <c r="I17" s="109"/>
      <c r="J17" s="338" t="str">
        <f t="shared" si="0"/>
        <v>2403903200</v>
      </c>
      <c r="K17" s="109">
        <v>2022</v>
      </c>
      <c r="L17" s="109" t="s">
        <v>348</v>
      </c>
      <c r="M17" s="109" t="s">
        <v>349</v>
      </c>
      <c r="N17" s="109" t="s">
        <v>350</v>
      </c>
      <c r="O17" s="12">
        <f>-'2022 Budget &amp; CF'!J17</f>
        <v>0</v>
      </c>
      <c r="P17" s="12">
        <f>-'2022 Budget &amp; CF'!K17</f>
        <v>0</v>
      </c>
      <c r="Q17" s="12">
        <f>-'2022 Budget &amp; CF'!L17</f>
        <v>0</v>
      </c>
      <c r="R17" s="12">
        <f>-'2022 Budget &amp; CF'!M17</f>
        <v>0</v>
      </c>
      <c r="S17" s="12">
        <f>-'2022 Budget &amp; CF'!N17</f>
        <v>0</v>
      </c>
      <c r="T17" s="12">
        <f>-'2022 Budget &amp; CF'!O17</f>
        <v>0</v>
      </c>
      <c r="U17" s="12">
        <f>-'2022 Budget &amp; CF'!P17</f>
        <v>0</v>
      </c>
      <c r="V17" s="12">
        <f>-'2022 Budget &amp; CF'!Q17</f>
        <v>0</v>
      </c>
      <c r="W17" s="12">
        <f>-'2022 Budget &amp; CF'!R17</f>
        <v>0</v>
      </c>
      <c r="X17" s="12">
        <f>-'2022 Budget &amp; CF'!S17</f>
        <v>0</v>
      </c>
      <c r="Y17" s="12">
        <f>-'2022 Budget &amp; CF'!T17</f>
        <v>0</v>
      </c>
      <c r="Z17" s="12">
        <f>-'2022 Budget &amp; CF'!U17</f>
        <v>0</v>
      </c>
      <c r="AA17" s="12">
        <f>-'2022 Budget &amp; CF'!V17</f>
        <v>0</v>
      </c>
      <c r="AB17" s="12"/>
      <c r="AC17" s="121">
        <f t="shared" si="1"/>
        <v>0</v>
      </c>
      <c r="AD17" s="115">
        <f>-'2022 Budget &amp; CF'!Z17</f>
        <v>0</v>
      </c>
      <c r="AE17" s="117">
        <f t="shared" si="2"/>
        <v>0</v>
      </c>
      <c r="AF17" s="117">
        <f t="shared" si="3"/>
        <v>0</v>
      </c>
    </row>
    <row r="18" spans="2:32" ht="12.75" customHeight="1" x14ac:dyDescent="0.2">
      <c r="B18" s="205" t="s">
        <v>138</v>
      </c>
      <c r="C18" s="614"/>
      <c r="D18" s="273"/>
      <c r="E18" s="614"/>
      <c r="F18" s="614"/>
      <c r="G18" s="615"/>
      <c r="H18" s="274"/>
      <c r="I18" s="274"/>
      <c r="J18" s="339"/>
      <c r="K18" s="273"/>
      <c r="L18" s="273"/>
      <c r="M18" s="273"/>
      <c r="N18" s="274"/>
      <c r="O18" s="86">
        <f t="shared" ref="O18:AA18" si="5">SUM(O9:O17)</f>
        <v>-428535.10000000003</v>
      </c>
      <c r="P18" s="86">
        <f>SUM(P9:P17)</f>
        <v>4308.1499999999996</v>
      </c>
      <c r="Q18" s="86">
        <f t="shared" si="5"/>
        <v>-226675.88999999998</v>
      </c>
      <c r="R18" s="86">
        <f t="shared" si="5"/>
        <v>-353435.45</v>
      </c>
      <c r="S18" s="86">
        <f t="shared" si="5"/>
        <v>-310523.90999999997</v>
      </c>
      <c r="T18" s="86">
        <f t="shared" si="5"/>
        <v>0</v>
      </c>
      <c r="U18" s="86">
        <f t="shared" si="5"/>
        <v>0</v>
      </c>
      <c r="V18" s="86">
        <f t="shared" si="5"/>
        <v>0</v>
      </c>
      <c r="W18" s="86">
        <f t="shared" si="5"/>
        <v>0</v>
      </c>
      <c r="X18" s="86">
        <f t="shared" si="5"/>
        <v>0</v>
      </c>
      <c r="Y18" s="86">
        <f t="shared" si="5"/>
        <v>0</v>
      </c>
      <c r="Z18" s="86">
        <f t="shared" si="5"/>
        <v>0</v>
      </c>
      <c r="AA18" s="86">
        <f t="shared" si="5"/>
        <v>0</v>
      </c>
      <c r="AB18" s="86"/>
      <c r="AC18" s="86">
        <f>SUM(AC9:AC17)</f>
        <v>-1314862.2</v>
      </c>
      <c r="AD18" s="86">
        <f>SUM(AD9:AD17)</f>
        <v>-3328458</v>
      </c>
      <c r="AE18" s="86">
        <f>SUM(AE9:AE17)</f>
        <v>-2013595.8</v>
      </c>
      <c r="AF18" s="86">
        <f>SUM(AF9:AF17)</f>
        <v>-167799.65000000002</v>
      </c>
    </row>
    <row r="19" spans="2:32" ht="12.75" customHeight="1" outlineLevel="1" x14ac:dyDescent="0.2">
      <c r="B19" s="82" t="s">
        <v>376</v>
      </c>
      <c r="C19" s="101">
        <v>280</v>
      </c>
      <c r="D19" s="101">
        <v>340</v>
      </c>
      <c r="E19" s="101">
        <v>4500</v>
      </c>
      <c r="F19" s="107"/>
      <c r="G19" s="108"/>
      <c r="H19" s="109"/>
      <c r="I19" s="109"/>
      <c r="J19" s="338" t="str">
        <f t="shared" ref="J19:J37" si="6">CONCATENATE(C19,D19,E19)</f>
        <v>2803404500</v>
      </c>
      <c r="K19" s="109">
        <v>2022</v>
      </c>
      <c r="L19" s="109" t="s">
        <v>348</v>
      </c>
      <c r="M19" s="109" t="s">
        <v>349</v>
      </c>
      <c r="N19" s="109" t="s">
        <v>350</v>
      </c>
      <c r="O19" s="12">
        <f>-'2022 Budget &amp; CF'!J19</f>
        <v>0</v>
      </c>
      <c r="P19" s="12">
        <f>-'2022 Budget &amp; CF'!K19</f>
        <v>0</v>
      </c>
      <c r="Q19" s="12">
        <f>-'2022 Budget &amp; CF'!L19</f>
        <v>0</v>
      </c>
      <c r="R19" s="12">
        <f>-'2022 Budget &amp; CF'!M19</f>
        <v>0</v>
      </c>
      <c r="S19" s="12">
        <f>-'2022 Budget &amp; CF'!N19</f>
        <v>0</v>
      </c>
      <c r="T19" s="12">
        <f>-'2022 Budget &amp; CF'!O19</f>
        <v>0</v>
      </c>
      <c r="U19" s="12">
        <f>-'2022 Budget &amp; CF'!P19</f>
        <v>0</v>
      </c>
      <c r="V19" s="12">
        <f>-'2022 Budget &amp; CF'!Q19</f>
        <v>0</v>
      </c>
      <c r="W19" s="12">
        <f>-'2022 Budget &amp; CF'!R19</f>
        <v>0</v>
      </c>
      <c r="X19" s="12">
        <f>-'2022 Budget &amp; CF'!S19</f>
        <v>0</v>
      </c>
      <c r="Y19" s="12">
        <f>-'2022 Budget &amp; CF'!T19</f>
        <v>0</v>
      </c>
      <c r="Z19" s="12">
        <f>-'2022 Budget &amp; CF'!U19</f>
        <v>0</v>
      </c>
      <c r="AA19" s="12">
        <f>-'2022 Budget &amp; CF'!V19</f>
        <v>0</v>
      </c>
      <c r="AB19" s="87"/>
      <c r="AC19" s="122">
        <f t="shared" ref="AC19:AC37" si="7">SUM(O19:AA19)</f>
        <v>0</v>
      </c>
      <c r="AD19" s="119">
        <f>-'2022 Budget &amp; CF'!Z19</f>
        <v>0</v>
      </c>
      <c r="AE19" s="118">
        <f t="shared" ref="AE19:AE37" si="8">AD19-AC19</f>
        <v>0</v>
      </c>
      <c r="AF19" s="118">
        <f t="shared" ref="AF19" si="9">AE19/$AF$6</f>
        <v>0</v>
      </c>
    </row>
    <row r="20" spans="2:32" ht="12.75" customHeight="1" outlineLevel="1" x14ac:dyDescent="0.2">
      <c r="B20" s="82" t="str">
        <f>Revenues!B20</f>
        <v>Title I - School Improvement, 1003(a)</v>
      </c>
      <c r="C20" s="101">
        <f>Revenues!C20</f>
        <v>280</v>
      </c>
      <c r="D20" s="101">
        <f>Revenues!D20</f>
        <v>624</v>
      </c>
      <c r="E20" s="101">
        <f>Revenues!E20</f>
        <v>4500</v>
      </c>
      <c r="F20" s="107"/>
      <c r="G20" s="108"/>
      <c r="H20" s="109"/>
      <c r="I20" s="109"/>
      <c r="J20" s="338" t="str">
        <f t="shared" si="6"/>
        <v>2806244500</v>
      </c>
      <c r="K20" s="109">
        <v>2022</v>
      </c>
      <c r="L20" s="109" t="s">
        <v>348</v>
      </c>
      <c r="M20" s="109" t="s">
        <v>349</v>
      </c>
      <c r="N20" s="109" t="s">
        <v>350</v>
      </c>
      <c r="O20" s="12">
        <f>-'2022 Budget &amp; CF'!J20</f>
        <v>0</v>
      </c>
      <c r="P20" s="12">
        <f>-'2022 Budget &amp; CF'!K20</f>
        <v>0</v>
      </c>
      <c r="Q20" s="12">
        <f>-'2022 Budget &amp; CF'!L20</f>
        <v>0</v>
      </c>
      <c r="R20" s="12">
        <f>-'2022 Budget &amp; CF'!M20</f>
        <v>0</v>
      </c>
      <c r="S20" s="12">
        <f>-'2022 Budget &amp; CF'!N20</f>
        <v>0</v>
      </c>
      <c r="T20" s="12">
        <f>-'2022 Budget &amp; CF'!O20</f>
        <v>0</v>
      </c>
      <c r="U20" s="12">
        <f>-'2022 Budget &amp; CF'!P20</f>
        <v>0</v>
      </c>
      <c r="V20" s="12">
        <f>-'2022 Budget &amp; CF'!Q20</f>
        <v>0</v>
      </c>
      <c r="W20" s="12">
        <f>-'2022 Budget &amp; CF'!R20</f>
        <v>0</v>
      </c>
      <c r="X20" s="12">
        <f>-'2022 Budget &amp; CF'!S20</f>
        <v>0</v>
      </c>
      <c r="Y20" s="12">
        <f>-'2022 Budget &amp; CF'!T20</f>
        <v>0</v>
      </c>
      <c r="Z20" s="12">
        <f>-'2022 Budget &amp; CF'!U20</f>
        <v>0</v>
      </c>
      <c r="AA20" s="12">
        <f>-'2022 Budget &amp; CF'!V20</f>
        <v>0</v>
      </c>
      <c r="AB20" s="87"/>
      <c r="AC20" s="122">
        <f t="shared" si="7"/>
        <v>0</v>
      </c>
      <c r="AD20" s="119">
        <f>-'2022 Budget &amp; CF'!Z20</f>
        <v>-382156</v>
      </c>
      <c r="AE20" s="118">
        <f t="shared" si="8"/>
        <v>-382156</v>
      </c>
      <c r="AF20" s="118">
        <f t="shared" ref="AF20:AF37" si="10">AE20/$AF$6</f>
        <v>-31846.333333333332</v>
      </c>
    </row>
    <row r="21" spans="2:32" ht="12.75" customHeight="1" outlineLevel="1" x14ac:dyDescent="0.2">
      <c r="B21" s="82" t="str">
        <f>Revenues!B21</f>
        <v>IASA(ESEA) Title I-A Helping Disadvantaged Students Meet High Standards/School Imprvmnt</v>
      </c>
      <c r="C21" s="101">
        <f>Revenues!C21</f>
        <v>280</v>
      </c>
      <c r="D21" s="101">
        <f>Revenues!D21</f>
        <v>633</v>
      </c>
      <c r="E21" s="101">
        <f>Revenues!E21</f>
        <v>4500</v>
      </c>
      <c r="F21" s="107"/>
      <c r="G21" s="108"/>
      <c r="H21" s="109"/>
      <c r="I21" s="109"/>
      <c r="J21" s="338" t="str">
        <f t="shared" si="6"/>
        <v>2806334500</v>
      </c>
      <c r="K21" s="109">
        <v>2022</v>
      </c>
      <c r="L21" s="109" t="s">
        <v>348</v>
      </c>
      <c r="M21" s="109" t="s">
        <v>349</v>
      </c>
      <c r="N21" s="109" t="s">
        <v>350</v>
      </c>
      <c r="O21" s="12">
        <f>-'2022 Budget &amp; CF'!J21</f>
        <v>0</v>
      </c>
      <c r="P21" s="12">
        <f>-'2022 Budget &amp; CF'!K21</f>
        <v>0</v>
      </c>
      <c r="Q21" s="12">
        <f>-'2022 Budget &amp; CF'!L21</f>
        <v>0</v>
      </c>
      <c r="R21" s="12">
        <f>-'2022 Budget &amp; CF'!M21</f>
        <v>0</v>
      </c>
      <c r="S21" s="12">
        <f>-'2022 Budget &amp; CF'!N21</f>
        <v>0</v>
      </c>
      <c r="T21" s="12">
        <f>-'2022 Budget &amp; CF'!O21</f>
        <v>0</v>
      </c>
      <c r="U21" s="12">
        <f>-'2022 Budget &amp; CF'!P21</f>
        <v>0</v>
      </c>
      <c r="V21" s="12">
        <f>-'2022 Budget &amp; CF'!Q21</f>
        <v>0</v>
      </c>
      <c r="W21" s="12">
        <f>-'2022 Budget &amp; CF'!R21</f>
        <v>0</v>
      </c>
      <c r="X21" s="12">
        <f>-'2022 Budget &amp; CF'!S21</f>
        <v>0</v>
      </c>
      <c r="Y21" s="12">
        <f>-'2022 Budget &amp; CF'!T21</f>
        <v>0</v>
      </c>
      <c r="Z21" s="12">
        <f>-'2022 Budget &amp; CF'!U21</f>
        <v>0</v>
      </c>
      <c r="AA21" s="12">
        <f>-'2022 Budget &amp; CF'!V21</f>
        <v>0</v>
      </c>
      <c r="AB21" s="87"/>
      <c r="AC21" s="122">
        <f t="shared" si="7"/>
        <v>0</v>
      </c>
      <c r="AD21" s="119">
        <f>-'2022 Budget &amp; CF'!Z21</f>
        <v>-101706</v>
      </c>
      <c r="AE21" s="118">
        <f t="shared" si="8"/>
        <v>-101706</v>
      </c>
      <c r="AF21" s="118">
        <f t="shared" si="10"/>
        <v>-8475.5</v>
      </c>
    </row>
    <row r="22" spans="2:32" ht="12.75" customHeight="1" outlineLevel="1" x14ac:dyDescent="0.2">
      <c r="B22" s="82" t="str">
        <f>Revenues!B22</f>
        <v xml:space="preserve">SPED- IDEA Part B                            </v>
      </c>
      <c r="C22" s="101">
        <f>Revenues!C22</f>
        <v>280</v>
      </c>
      <c r="D22" s="101">
        <f>Revenues!D22</f>
        <v>639</v>
      </c>
      <c r="E22" s="101">
        <f>Revenues!E22</f>
        <v>4500</v>
      </c>
      <c r="F22" s="107"/>
      <c r="G22" s="108"/>
      <c r="H22" s="109"/>
      <c r="I22" s="109"/>
      <c r="J22" s="338" t="str">
        <f t="shared" si="6"/>
        <v>2806394500</v>
      </c>
      <c r="K22" s="109">
        <v>2022</v>
      </c>
      <c r="L22" s="109" t="s">
        <v>348</v>
      </c>
      <c r="M22" s="109" t="s">
        <v>349</v>
      </c>
      <c r="N22" s="109" t="s">
        <v>350</v>
      </c>
      <c r="O22" s="12">
        <f>-'2022 Budget &amp; CF'!J22</f>
        <v>0</v>
      </c>
      <c r="P22" s="12">
        <f>-'2022 Budget &amp; CF'!K22</f>
        <v>0</v>
      </c>
      <c r="Q22" s="12">
        <f>-'2022 Budget &amp; CF'!L22</f>
        <v>0</v>
      </c>
      <c r="R22" s="12">
        <f>-'2022 Budget &amp; CF'!M22</f>
        <v>0</v>
      </c>
      <c r="S22" s="12">
        <f>-'2022 Budget &amp; CF'!N22</f>
        <v>-4152.05</v>
      </c>
      <c r="T22" s="12">
        <f>-'2022 Budget &amp; CF'!O22</f>
        <v>0</v>
      </c>
      <c r="U22" s="12">
        <f>-'2022 Budget &amp; CF'!P22</f>
        <v>0</v>
      </c>
      <c r="V22" s="12">
        <f>-'2022 Budget &amp; CF'!Q22</f>
        <v>0</v>
      </c>
      <c r="W22" s="12">
        <f>-'2022 Budget &amp; CF'!R22</f>
        <v>0</v>
      </c>
      <c r="X22" s="12">
        <f>-'2022 Budget &amp; CF'!S22</f>
        <v>0</v>
      </c>
      <c r="Y22" s="12">
        <f>-'2022 Budget &amp; CF'!T22</f>
        <v>0</v>
      </c>
      <c r="Z22" s="12">
        <f>-'2022 Budget &amp; CF'!U22</f>
        <v>0</v>
      </c>
      <c r="AA22" s="12">
        <f>-'2022 Budget &amp; CF'!V22</f>
        <v>0</v>
      </c>
      <c r="AB22" s="87"/>
      <c r="AC22" s="122">
        <f t="shared" si="7"/>
        <v>-4152.05</v>
      </c>
      <c r="AD22" s="119">
        <f>-'2022 Budget &amp; CF'!Z22</f>
        <v>-119918</v>
      </c>
      <c r="AE22" s="118">
        <f t="shared" si="8"/>
        <v>-115765.95</v>
      </c>
      <c r="AF22" s="118">
        <f t="shared" si="10"/>
        <v>-9647.1625000000004</v>
      </c>
    </row>
    <row r="23" spans="2:32" ht="12.75" customHeight="1" outlineLevel="1" x14ac:dyDescent="0.2">
      <c r="B23" s="82" t="s">
        <v>880</v>
      </c>
      <c r="C23" s="101">
        <v>280</v>
      </c>
      <c r="D23" s="101">
        <v>650</v>
      </c>
      <c r="E23" s="101">
        <v>4500</v>
      </c>
      <c r="F23" s="107"/>
      <c r="G23" s="108"/>
      <c r="H23" s="109"/>
      <c r="I23" s="109"/>
      <c r="J23" s="338" t="str">
        <f t="shared" si="6"/>
        <v>2806504500</v>
      </c>
      <c r="K23" s="109">
        <v>2022</v>
      </c>
      <c r="L23" s="109" t="s">
        <v>348</v>
      </c>
      <c r="M23" s="109" t="s">
        <v>349</v>
      </c>
      <c r="N23" s="109" t="s">
        <v>350</v>
      </c>
      <c r="O23" s="12">
        <f>-'2022 Budget &amp; CF'!J23</f>
        <v>0</v>
      </c>
      <c r="P23" s="12">
        <f>-'2022 Budget &amp; CF'!K23</f>
        <v>0</v>
      </c>
      <c r="Q23" s="12">
        <f>-'2022 Budget &amp; CF'!L23</f>
        <v>0</v>
      </c>
      <c r="R23" s="12">
        <f>-'2022 Budget &amp; CF'!M23</f>
        <v>0</v>
      </c>
      <c r="S23" s="12">
        <f>-'2022 Budget &amp; CF'!N23</f>
        <v>0</v>
      </c>
      <c r="T23" s="12">
        <f>-'2022 Budget &amp; CF'!O23</f>
        <v>0</v>
      </c>
      <c r="U23" s="12">
        <f>-'2022 Budget &amp; CF'!P23</f>
        <v>0</v>
      </c>
      <c r="V23" s="12">
        <f>-'2022 Budget &amp; CF'!Q23</f>
        <v>0</v>
      </c>
      <c r="W23" s="12">
        <f>-'2022 Budget &amp; CF'!R23</f>
        <v>0</v>
      </c>
      <c r="X23" s="12">
        <f>-'2022 Budget &amp; CF'!S23</f>
        <v>0</v>
      </c>
      <c r="Y23" s="12">
        <f>-'2022 Budget &amp; CF'!T23</f>
        <v>0</v>
      </c>
      <c r="Z23" s="12">
        <f>-'2022 Budget &amp; CF'!U23</f>
        <v>0</v>
      </c>
      <c r="AA23" s="12">
        <f>-'2022 Budget &amp; CF'!V23</f>
        <v>0</v>
      </c>
      <c r="AB23" s="87"/>
      <c r="AC23" s="122">
        <f t="shared" si="7"/>
        <v>0</v>
      </c>
      <c r="AD23" s="119">
        <f>-'2022 Budget &amp; CF'!Z23</f>
        <v>0</v>
      </c>
      <c r="AE23" s="118">
        <f t="shared" si="8"/>
        <v>0</v>
      </c>
      <c r="AF23" s="118">
        <f t="shared" si="10"/>
        <v>0</v>
      </c>
    </row>
    <row r="24" spans="2:32" ht="12.75" customHeight="1" outlineLevel="1" x14ac:dyDescent="0.2">
      <c r="B24" s="82" t="s">
        <v>379</v>
      </c>
      <c r="C24" s="101">
        <v>280</v>
      </c>
      <c r="D24" s="101">
        <v>658</v>
      </c>
      <c r="E24" s="101">
        <v>4500</v>
      </c>
      <c r="F24" s="107"/>
      <c r="G24" s="108"/>
      <c r="H24" s="109"/>
      <c r="I24" s="109"/>
      <c r="J24" s="338" t="str">
        <f t="shared" si="6"/>
        <v>2806584500</v>
      </c>
      <c r="K24" s="109">
        <v>2022</v>
      </c>
      <c r="L24" s="109" t="s">
        <v>348</v>
      </c>
      <c r="M24" s="109" t="s">
        <v>349</v>
      </c>
      <c r="N24" s="109" t="s">
        <v>350</v>
      </c>
      <c r="O24" s="12">
        <f>-'2022 Budget &amp; CF'!J24</f>
        <v>0</v>
      </c>
      <c r="P24" s="12">
        <f>-'2022 Budget &amp; CF'!K24</f>
        <v>0</v>
      </c>
      <c r="Q24" s="12">
        <f>-'2022 Budget &amp; CF'!L24</f>
        <v>0</v>
      </c>
      <c r="R24" s="12">
        <f>-'2022 Budget &amp; CF'!M24</f>
        <v>0</v>
      </c>
      <c r="S24" s="12">
        <f>-'2022 Budget &amp; CF'!N24</f>
        <v>0</v>
      </c>
      <c r="T24" s="12">
        <f>-'2022 Budget &amp; CF'!O24</f>
        <v>0</v>
      </c>
      <c r="U24" s="12">
        <f>-'2022 Budget &amp; CF'!P24</f>
        <v>0</v>
      </c>
      <c r="V24" s="12">
        <f>-'2022 Budget &amp; CF'!Q24</f>
        <v>0</v>
      </c>
      <c r="W24" s="12">
        <f>-'2022 Budget &amp; CF'!R24</f>
        <v>0</v>
      </c>
      <c r="X24" s="12">
        <f>-'2022 Budget &amp; CF'!S24</f>
        <v>0</v>
      </c>
      <c r="Y24" s="12">
        <f>-'2022 Budget &amp; CF'!T24</f>
        <v>0</v>
      </c>
      <c r="Z24" s="12">
        <f>-'2022 Budget &amp; CF'!U24</f>
        <v>0</v>
      </c>
      <c r="AA24" s="12">
        <f>-'2022 Budget &amp; CF'!V24</f>
        <v>0</v>
      </c>
      <c r="AB24" s="87"/>
      <c r="AC24" s="122">
        <f t="shared" si="7"/>
        <v>0</v>
      </c>
      <c r="AD24" s="119">
        <f>-'2022 Budget &amp; CF'!Z24</f>
        <v>-6683</v>
      </c>
      <c r="AE24" s="118">
        <f t="shared" si="8"/>
        <v>-6683</v>
      </c>
      <c r="AF24" s="118">
        <f t="shared" si="10"/>
        <v>-556.91666666666663</v>
      </c>
    </row>
    <row r="25" spans="2:32" ht="12.75" customHeight="1" outlineLevel="1" x14ac:dyDescent="0.2">
      <c r="B25" s="82" t="s">
        <v>922</v>
      </c>
      <c r="C25" s="101">
        <v>280</v>
      </c>
      <c r="D25" s="101">
        <v>661</v>
      </c>
      <c r="E25" s="101">
        <v>4500</v>
      </c>
      <c r="F25" s="107"/>
      <c r="G25" s="108"/>
      <c r="H25" s="109"/>
      <c r="I25" s="109"/>
      <c r="J25" s="338" t="str">
        <f t="shared" si="6"/>
        <v>2806614500</v>
      </c>
      <c r="K25" s="109">
        <v>2022</v>
      </c>
      <c r="L25" s="109" t="s">
        <v>348</v>
      </c>
      <c r="M25" s="109" t="s">
        <v>349</v>
      </c>
      <c r="N25" s="109" t="s">
        <v>350</v>
      </c>
      <c r="O25" s="12">
        <f>-'2022 Budget &amp; CF'!J25</f>
        <v>0</v>
      </c>
      <c r="P25" s="12">
        <f>-'2022 Budget &amp; CF'!K25</f>
        <v>0</v>
      </c>
      <c r="Q25" s="12">
        <f>-'2022 Budget &amp; CF'!L25</f>
        <v>0</v>
      </c>
      <c r="R25" s="12">
        <f>-'2022 Budget &amp; CF'!M25</f>
        <v>-77866.350000000006</v>
      </c>
      <c r="S25" s="12">
        <f>-'2022 Budget &amp; CF'!N25</f>
        <v>-39637.879999999997</v>
      </c>
      <c r="T25" s="12">
        <f>-'2022 Budget &amp; CF'!O25</f>
        <v>0</v>
      </c>
      <c r="U25" s="12">
        <f>-'2022 Budget &amp; CF'!P25</f>
        <v>0</v>
      </c>
      <c r="V25" s="12">
        <f>-'2022 Budget &amp; CF'!Q25</f>
        <v>0</v>
      </c>
      <c r="W25" s="12">
        <f>-'2022 Budget &amp; CF'!R25</f>
        <v>0</v>
      </c>
      <c r="X25" s="12">
        <f>-'2022 Budget &amp; CF'!S25</f>
        <v>0</v>
      </c>
      <c r="Y25" s="12">
        <f>-'2022 Budget &amp; CF'!T25</f>
        <v>0</v>
      </c>
      <c r="Z25" s="12">
        <f>-'2022 Budget &amp; CF'!U25</f>
        <v>0</v>
      </c>
      <c r="AA25" s="12">
        <f>-'2022 Budget &amp; CF'!V25</f>
        <v>0</v>
      </c>
      <c r="AB25" s="87"/>
      <c r="AC25" s="122">
        <f t="shared" si="7"/>
        <v>-117504.23000000001</v>
      </c>
      <c r="AD25" s="119">
        <f>-'2022 Budget &amp; CF'!Z25</f>
        <v>-1155405</v>
      </c>
      <c r="AE25" s="118">
        <f t="shared" si="8"/>
        <v>-1037900.77</v>
      </c>
      <c r="AF25" s="118">
        <f t="shared" si="10"/>
        <v>-86491.730833333335</v>
      </c>
    </row>
    <row r="26" spans="2:32" ht="12.75" customHeight="1" outlineLevel="1" x14ac:dyDescent="0.2">
      <c r="B26" s="82" t="s">
        <v>1041</v>
      </c>
      <c r="C26" s="101">
        <v>280</v>
      </c>
      <c r="D26" s="101">
        <v>698</v>
      </c>
      <c r="E26" s="101">
        <v>4500</v>
      </c>
      <c r="F26" s="107"/>
      <c r="G26" s="108"/>
      <c r="H26" s="109"/>
      <c r="I26" s="109"/>
      <c r="J26" s="585" t="str">
        <f t="shared" si="6"/>
        <v>2806984500</v>
      </c>
      <c r="K26" s="586">
        <v>2022</v>
      </c>
      <c r="L26" s="586" t="s">
        <v>348</v>
      </c>
      <c r="M26" s="586" t="s">
        <v>349</v>
      </c>
      <c r="N26" s="586" t="s">
        <v>350</v>
      </c>
      <c r="O26" s="12">
        <f>-'2022 Budget &amp; CF'!J26</f>
        <v>0</v>
      </c>
      <c r="P26" s="12">
        <f>-'2022 Budget &amp; CF'!K26</f>
        <v>0</v>
      </c>
      <c r="Q26" s="12">
        <f>-'2022 Budget &amp; CF'!L26</f>
        <v>0</v>
      </c>
      <c r="R26" s="12">
        <f>-'2022 Budget &amp; CF'!M26</f>
        <v>-1510</v>
      </c>
      <c r="S26" s="12">
        <f>-'2022 Budget &amp; CF'!N26</f>
        <v>0</v>
      </c>
      <c r="T26" s="12">
        <f>-'2022 Budget &amp; CF'!O26</f>
        <v>0</v>
      </c>
      <c r="U26" s="12">
        <f>-'2022 Budget &amp; CF'!P26</f>
        <v>0</v>
      </c>
      <c r="V26" s="12">
        <f>-'2022 Budget &amp; CF'!Q26</f>
        <v>0</v>
      </c>
      <c r="W26" s="12">
        <f>-'2022 Budget &amp; CF'!R26</f>
        <v>0</v>
      </c>
      <c r="X26" s="12">
        <f>-'2022 Budget &amp; CF'!S26</f>
        <v>0</v>
      </c>
      <c r="Y26" s="12">
        <f>-'2022 Budget &amp; CF'!T26</f>
        <v>0</v>
      </c>
      <c r="Z26" s="12">
        <f>-'2022 Budget &amp; CF'!U26</f>
        <v>0</v>
      </c>
      <c r="AA26" s="12">
        <f>-'2022 Budget &amp; CF'!V26</f>
        <v>0</v>
      </c>
      <c r="AB26" s="87"/>
      <c r="AC26" s="122">
        <f t="shared" si="7"/>
        <v>-1510</v>
      </c>
      <c r="AD26" s="119">
        <f>-'2022 Budget &amp; CF'!Z26</f>
        <v>-9280</v>
      </c>
      <c r="AE26" s="118">
        <f t="shared" si="8"/>
        <v>-7770</v>
      </c>
      <c r="AF26" s="118">
        <f t="shared" si="10"/>
        <v>-647.5</v>
      </c>
    </row>
    <row r="27" spans="2:32" ht="12.75" customHeight="1" outlineLevel="1" x14ac:dyDescent="0.2">
      <c r="B27" s="82" t="str">
        <f>Revenues!B27</f>
        <v>Title II</v>
      </c>
      <c r="C27" s="101">
        <f>Revenues!C27</f>
        <v>280</v>
      </c>
      <c r="D27" s="101">
        <f>Revenues!D27</f>
        <v>709</v>
      </c>
      <c r="E27" s="101">
        <f>Revenues!E27</f>
        <v>4500</v>
      </c>
      <c r="F27" s="107"/>
      <c r="G27" s="108"/>
      <c r="H27" s="109"/>
      <c r="I27" s="109"/>
      <c r="J27" s="338" t="str">
        <f t="shared" si="6"/>
        <v>2807094500</v>
      </c>
      <c r="K27" s="109">
        <v>2022</v>
      </c>
      <c r="L27" s="109" t="s">
        <v>348</v>
      </c>
      <c r="M27" s="109" t="s">
        <v>349</v>
      </c>
      <c r="N27" s="109" t="s">
        <v>350</v>
      </c>
      <c r="O27" s="12">
        <f>-'2022 Budget &amp; CF'!J27</f>
        <v>0</v>
      </c>
      <c r="P27" s="12">
        <f>-'2022 Budget &amp; CF'!K27</f>
        <v>0</v>
      </c>
      <c r="Q27" s="12">
        <f>-'2022 Budget &amp; CF'!L27</f>
        <v>0</v>
      </c>
      <c r="R27" s="12">
        <f>-'2022 Budget &amp; CF'!M27</f>
        <v>0</v>
      </c>
      <c r="S27" s="12">
        <f>-'2022 Budget &amp; CF'!N27</f>
        <v>-15626.99</v>
      </c>
      <c r="T27" s="12">
        <f>-'2022 Budget &amp; CF'!O27</f>
        <v>0</v>
      </c>
      <c r="U27" s="12">
        <f>-'2022 Budget &amp; CF'!P27</f>
        <v>0</v>
      </c>
      <c r="V27" s="12">
        <f>-'2022 Budget &amp; CF'!Q27</f>
        <v>0</v>
      </c>
      <c r="W27" s="12">
        <f>-'2022 Budget &amp; CF'!R27</f>
        <v>0</v>
      </c>
      <c r="X27" s="12">
        <f>-'2022 Budget &amp; CF'!S27</f>
        <v>0</v>
      </c>
      <c r="Y27" s="12">
        <f>-'2022 Budget &amp; CF'!T27</f>
        <v>0</v>
      </c>
      <c r="Z27" s="12">
        <f>-'2022 Budget &amp; CF'!U27</f>
        <v>0</v>
      </c>
      <c r="AA27" s="12">
        <f>-'2022 Budget &amp; CF'!V27</f>
        <v>0</v>
      </c>
      <c r="AB27" s="87"/>
      <c r="AC27" s="122">
        <f t="shared" si="7"/>
        <v>-15626.99</v>
      </c>
      <c r="AD27" s="119">
        <f>-'2022 Budget &amp; CF'!Z27</f>
        <v>-27650</v>
      </c>
      <c r="AE27" s="118">
        <f t="shared" si="8"/>
        <v>-12023.01</v>
      </c>
      <c r="AF27" s="118">
        <f t="shared" si="10"/>
        <v>-1001.9175</v>
      </c>
    </row>
    <row r="28" spans="2:32" ht="12.75" customHeight="1" outlineLevel="1" x14ac:dyDescent="0.2">
      <c r="B28" s="82" t="s">
        <v>377</v>
      </c>
      <c r="C28" s="101">
        <v>280</v>
      </c>
      <c r="D28" s="101">
        <v>715</v>
      </c>
      <c r="E28" s="101">
        <v>4500</v>
      </c>
      <c r="F28" s="107"/>
      <c r="G28" s="108"/>
      <c r="H28" s="109"/>
      <c r="I28" s="109"/>
      <c r="J28" s="338" t="str">
        <f t="shared" si="6"/>
        <v>2807154500</v>
      </c>
      <c r="K28" s="109">
        <v>2022</v>
      </c>
      <c r="L28" s="109" t="s">
        <v>348</v>
      </c>
      <c r="M28" s="109" t="s">
        <v>349</v>
      </c>
      <c r="N28" s="109" t="s">
        <v>350</v>
      </c>
      <c r="O28" s="12">
        <f>-'2022 Budget &amp; CF'!J28</f>
        <v>0</v>
      </c>
      <c r="P28" s="12">
        <f>-'2022 Budget &amp; CF'!K28</f>
        <v>0</v>
      </c>
      <c r="Q28" s="12">
        <f>-'2022 Budget &amp; CF'!L28</f>
        <v>0</v>
      </c>
      <c r="R28" s="12">
        <f>-'2022 Budget &amp; CF'!M28</f>
        <v>0</v>
      </c>
      <c r="S28" s="12">
        <f>-'2022 Budget &amp; CF'!N28</f>
        <v>-9549.51</v>
      </c>
      <c r="T28" s="12">
        <f>-'2022 Budget &amp; CF'!O28</f>
        <v>0</v>
      </c>
      <c r="U28" s="12">
        <f>-'2022 Budget &amp; CF'!P28</f>
        <v>0</v>
      </c>
      <c r="V28" s="12">
        <f>-'2022 Budget &amp; CF'!Q28</f>
        <v>0</v>
      </c>
      <c r="W28" s="12">
        <f>-'2022 Budget &amp; CF'!R28</f>
        <v>0</v>
      </c>
      <c r="X28" s="12">
        <f>-'2022 Budget &amp; CF'!S28</f>
        <v>0</v>
      </c>
      <c r="Y28" s="12">
        <f>-'2022 Budget &amp; CF'!T28</f>
        <v>0</v>
      </c>
      <c r="Z28" s="12">
        <f>-'2022 Budget &amp; CF'!U28</f>
        <v>0</v>
      </c>
      <c r="AA28" s="12">
        <f>-'2022 Budget &amp; CF'!V28</f>
        <v>0</v>
      </c>
      <c r="AB28" s="87"/>
      <c r="AC28" s="122">
        <f t="shared" si="7"/>
        <v>-9549.51</v>
      </c>
      <c r="AD28" s="119">
        <f>-'2022 Budget &amp; CF'!Z28</f>
        <v>-11644</v>
      </c>
      <c r="AE28" s="118">
        <f t="shared" si="8"/>
        <v>-2094.4899999999998</v>
      </c>
      <c r="AF28" s="118">
        <f t="shared" si="10"/>
        <v>-174.54083333333332</v>
      </c>
    </row>
    <row r="29" spans="2:32" ht="12.75" customHeight="1" outlineLevel="1" x14ac:dyDescent="0.2">
      <c r="B29" s="82"/>
      <c r="C29" s="101">
        <v>280</v>
      </c>
      <c r="D29" s="101">
        <v>729</v>
      </c>
      <c r="E29" s="101">
        <v>4500</v>
      </c>
      <c r="F29" s="107"/>
      <c r="G29" s="108"/>
      <c r="H29" s="109"/>
      <c r="I29" s="109"/>
      <c r="J29" s="585" t="str">
        <f t="shared" si="6"/>
        <v>2807294500</v>
      </c>
      <c r="K29" s="586">
        <v>2022</v>
      </c>
      <c r="L29" s="586" t="s">
        <v>348</v>
      </c>
      <c r="M29" s="586" t="s">
        <v>349</v>
      </c>
      <c r="N29" s="586" t="s">
        <v>350</v>
      </c>
      <c r="O29" s="12">
        <f>-'2022 Budget &amp; CF'!J29</f>
        <v>0</v>
      </c>
      <c r="P29" s="12">
        <f>-'2022 Budget &amp; CF'!K29</f>
        <v>0</v>
      </c>
      <c r="Q29" s="12">
        <f>-'2022 Budget &amp; CF'!L29</f>
        <v>0</v>
      </c>
      <c r="R29" s="12">
        <f>-'2022 Budget &amp; CF'!M29</f>
        <v>0</v>
      </c>
      <c r="S29" s="12">
        <f>-'2022 Budget &amp; CF'!N29</f>
        <v>0</v>
      </c>
      <c r="T29" s="12">
        <f>-'2022 Budget &amp; CF'!O29</f>
        <v>0</v>
      </c>
      <c r="U29" s="12">
        <f>-'2022 Budget &amp; CF'!P29</f>
        <v>0</v>
      </c>
      <c r="V29" s="12">
        <f>-'2022 Budget &amp; CF'!Q29</f>
        <v>0</v>
      </c>
      <c r="W29" s="12">
        <f>-'2022 Budget &amp; CF'!R29</f>
        <v>0</v>
      </c>
      <c r="X29" s="12">
        <f>-'2022 Budget &amp; CF'!S29</f>
        <v>0</v>
      </c>
      <c r="Y29" s="12">
        <f>-'2022 Budget &amp; CF'!T29</f>
        <v>0</v>
      </c>
      <c r="Z29" s="12">
        <f>-'2022 Budget &amp; CF'!U29</f>
        <v>0</v>
      </c>
      <c r="AA29" s="12">
        <f>-'2022 Budget &amp; CF'!V29</f>
        <v>0</v>
      </c>
      <c r="AB29" s="87"/>
      <c r="AC29" s="122">
        <f t="shared" si="7"/>
        <v>0</v>
      </c>
      <c r="AD29" s="119">
        <f>-'2022 Budget &amp; CF'!Z29</f>
        <v>0</v>
      </c>
      <c r="AE29" s="118">
        <f t="shared" si="8"/>
        <v>0</v>
      </c>
      <c r="AF29" s="118">
        <f t="shared" si="10"/>
        <v>0</v>
      </c>
    </row>
    <row r="30" spans="2:32" ht="12.75" customHeight="1" outlineLevel="1" x14ac:dyDescent="0.2">
      <c r="B30" s="82" t="s">
        <v>378</v>
      </c>
      <c r="C30" s="101">
        <v>280</v>
      </c>
      <c r="D30" s="101">
        <v>740</v>
      </c>
      <c r="E30" s="101">
        <v>4500</v>
      </c>
      <c r="F30" s="107"/>
      <c r="G30" s="108"/>
      <c r="H30" s="109"/>
      <c r="I30" s="109"/>
      <c r="J30" s="338" t="str">
        <f t="shared" si="6"/>
        <v>2807404500</v>
      </c>
      <c r="K30" s="109">
        <v>2022</v>
      </c>
      <c r="L30" s="109" t="s">
        <v>348</v>
      </c>
      <c r="M30" s="109" t="s">
        <v>349</v>
      </c>
      <c r="N30" s="109" t="s">
        <v>350</v>
      </c>
      <c r="O30" s="12">
        <f>-'2022 Budget &amp; CF'!J30</f>
        <v>0</v>
      </c>
      <c r="P30" s="12">
        <f>-'2022 Budget &amp; CF'!K30</f>
        <v>0</v>
      </c>
      <c r="Q30" s="12">
        <f>-'2022 Budget &amp; CF'!L30</f>
        <v>0</v>
      </c>
      <c r="R30" s="12">
        <f>-'2022 Budget &amp; CF'!M30</f>
        <v>0</v>
      </c>
      <c r="S30" s="12">
        <f>-'2022 Budget &amp; CF'!N30</f>
        <v>0</v>
      </c>
      <c r="T30" s="12">
        <f>-'2022 Budget &amp; CF'!O30</f>
        <v>0</v>
      </c>
      <c r="U30" s="12">
        <f>-'2022 Budget &amp; CF'!P30</f>
        <v>0</v>
      </c>
      <c r="V30" s="12">
        <f>-'2022 Budget &amp; CF'!Q30</f>
        <v>0</v>
      </c>
      <c r="W30" s="12">
        <f>-'2022 Budget &amp; CF'!R30</f>
        <v>0</v>
      </c>
      <c r="X30" s="12">
        <f>-'2022 Budget &amp; CF'!S30</f>
        <v>0</v>
      </c>
      <c r="Y30" s="12">
        <f>-'2022 Budget &amp; CF'!T30</f>
        <v>0</v>
      </c>
      <c r="Z30" s="12">
        <f>-'2022 Budget &amp; CF'!U30</f>
        <v>0</v>
      </c>
      <c r="AA30" s="12">
        <f>-'2022 Budget &amp; CF'!V30</f>
        <v>0</v>
      </c>
      <c r="AB30" s="87"/>
      <c r="AC30" s="122">
        <f t="shared" si="7"/>
        <v>0</v>
      </c>
      <c r="AD30" s="119">
        <f>-'2022 Budget &amp; CF'!Z30</f>
        <v>0</v>
      </c>
      <c r="AE30" s="118">
        <f t="shared" si="8"/>
        <v>0</v>
      </c>
      <c r="AF30" s="118">
        <f t="shared" si="10"/>
        <v>0</v>
      </c>
    </row>
    <row r="31" spans="2:32" ht="12.75" customHeight="1" outlineLevel="1" x14ac:dyDescent="0.2">
      <c r="B31" s="82" t="s">
        <v>998</v>
      </c>
      <c r="C31" s="101">
        <v>280</v>
      </c>
      <c r="D31" s="101">
        <v>741</v>
      </c>
      <c r="E31" s="101">
        <v>4500</v>
      </c>
      <c r="F31" s="107"/>
      <c r="G31" s="108"/>
      <c r="H31" s="109"/>
      <c r="I31" s="109"/>
      <c r="J31" s="585" t="str">
        <f t="shared" si="6"/>
        <v>2807414500</v>
      </c>
      <c r="K31" s="586">
        <v>2022</v>
      </c>
      <c r="L31" s="586" t="s">
        <v>348</v>
      </c>
      <c r="M31" s="586" t="s">
        <v>349</v>
      </c>
      <c r="N31" s="586" t="s">
        <v>350</v>
      </c>
      <c r="O31" s="12">
        <f>-'2022 Budget &amp; CF'!J31</f>
        <v>0</v>
      </c>
      <c r="P31" s="12">
        <f>-'2022 Budget &amp; CF'!K31</f>
        <v>0</v>
      </c>
      <c r="Q31" s="12">
        <f>-'2022 Budget &amp; CF'!L31</f>
        <v>0</v>
      </c>
      <c r="R31" s="12">
        <f>-'2022 Budget &amp; CF'!M31</f>
        <v>0</v>
      </c>
      <c r="S31" s="12">
        <f>-'2022 Budget &amp; CF'!N31</f>
        <v>-19021.169999999998</v>
      </c>
      <c r="T31" s="12">
        <f>-'2022 Budget &amp; CF'!O31</f>
        <v>0</v>
      </c>
      <c r="U31" s="12">
        <f>-'2022 Budget &amp; CF'!P31</f>
        <v>0</v>
      </c>
      <c r="V31" s="12">
        <f>-'2022 Budget &amp; CF'!Q31</f>
        <v>0</v>
      </c>
      <c r="W31" s="12">
        <f>-'2022 Budget &amp; CF'!R31</f>
        <v>0</v>
      </c>
      <c r="X31" s="12">
        <f>-'2022 Budget &amp; CF'!S31</f>
        <v>0</v>
      </c>
      <c r="Y31" s="12">
        <f>-'2022 Budget &amp; CF'!T31</f>
        <v>0</v>
      </c>
      <c r="Z31" s="12">
        <f>-'2022 Budget &amp; CF'!U31</f>
        <v>0</v>
      </c>
      <c r="AA31" s="12">
        <f>-'2022 Budget &amp; CF'!V31</f>
        <v>0</v>
      </c>
      <c r="AB31" s="87"/>
      <c r="AC31" s="122">
        <f t="shared" si="7"/>
        <v>-19021.169999999998</v>
      </c>
      <c r="AD31" s="119">
        <f>-'2022 Budget &amp; CF'!Z31</f>
        <v>-157512</v>
      </c>
      <c r="AE31" s="118">
        <f t="shared" si="8"/>
        <v>-138490.83000000002</v>
      </c>
      <c r="AF31" s="118">
        <f t="shared" si="10"/>
        <v>-11540.902500000002</v>
      </c>
    </row>
    <row r="32" spans="2:32" ht="12.75" customHeight="1" outlineLevel="1" x14ac:dyDescent="0.2">
      <c r="B32" s="744" t="s">
        <v>1034</v>
      </c>
      <c r="C32" s="745">
        <v>280</v>
      </c>
      <c r="D32" s="745">
        <v>742</v>
      </c>
      <c r="E32" s="745">
        <v>4500</v>
      </c>
      <c r="F32" s="746"/>
      <c r="G32" s="747"/>
      <c r="H32" s="748"/>
      <c r="I32" s="748"/>
      <c r="J32" s="749" t="str">
        <f t="shared" si="6"/>
        <v>2807424500</v>
      </c>
      <c r="K32" s="748">
        <v>2022</v>
      </c>
      <c r="L32" s="748" t="s">
        <v>348</v>
      </c>
      <c r="M32" s="748" t="s">
        <v>349</v>
      </c>
      <c r="N32" s="748" t="s">
        <v>350</v>
      </c>
      <c r="O32" s="12">
        <f>-'2022 Budget &amp; CF'!J32</f>
        <v>0</v>
      </c>
      <c r="P32" s="12">
        <f>-'2022 Budget &amp; CF'!K32</f>
        <v>0</v>
      </c>
      <c r="Q32" s="12">
        <f>-'2022 Budget &amp; CF'!L32</f>
        <v>0</v>
      </c>
      <c r="R32" s="12">
        <f>-'2022 Budget &amp; CF'!M32</f>
        <v>0</v>
      </c>
      <c r="S32" s="12">
        <f>-'2022 Budget &amp; CF'!N32</f>
        <v>0</v>
      </c>
      <c r="T32" s="12">
        <f>-'2022 Budget &amp; CF'!O32</f>
        <v>0</v>
      </c>
      <c r="U32" s="12">
        <f>-'2022 Budget &amp; CF'!P32</f>
        <v>0</v>
      </c>
      <c r="V32" s="12">
        <f>-'2022 Budget &amp; CF'!Q32</f>
        <v>0</v>
      </c>
      <c r="W32" s="12">
        <f>-'2022 Budget &amp; CF'!R32</f>
        <v>0</v>
      </c>
      <c r="X32" s="12">
        <f>-'2022 Budget &amp; CF'!S32</f>
        <v>0</v>
      </c>
      <c r="Y32" s="12">
        <f>-'2022 Budget &amp; CF'!T32</f>
        <v>0</v>
      </c>
      <c r="Z32" s="12">
        <f>-'2022 Budget &amp; CF'!U32</f>
        <v>0</v>
      </c>
      <c r="AA32" s="12">
        <f>-'2022 Budget &amp; CF'!V32</f>
        <v>0</v>
      </c>
      <c r="AB32" s="87"/>
      <c r="AC32" s="122">
        <f t="shared" si="7"/>
        <v>0</v>
      </c>
      <c r="AD32" s="119">
        <f>-'2022 Budget &amp; CF'!Z32</f>
        <v>0</v>
      </c>
      <c r="AE32" s="118">
        <f t="shared" si="8"/>
        <v>0</v>
      </c>
      <c r="AF32" s="118">
        <f t="shared" si="10"/>
        <v>0</v>
      </c>
    </row>
    <row r="33" spans="2:32" ht="12.75" customHeight="1" outlineLevel="1" x14ac:dyDescent="0.2">
      <c r="B33" s="82" t="s">
        <v>1027</v>
      </c>
      <c r="C33" s="101">
        <v>280</v>
      </c>
      <c r="D33" s="101">
        <v>744</v>
      </c>
      <c r="E33" s="101">
        <v>4500</v>
      </c>
      <c r="F33" s="107"/>
      <c r="G33" s="108"/>
      <c r="H33" s="109"/>
      <c r="I33" s="109"/>
      <c r="J33" s="338" t="str">
        <f t="shared" si="6"/>
        <v>2807444500</v>
      </c>
      <c r="K33" s="109">
        <v>2022</v>
      </c>
      <c r="L33" s="109" t="s">
        <v>348</v>
      </c>
      <c r="M33" s="109" t="s">
        <v>349</v>
      </c>
      <c r="N33" s="109" t="s">
        <v>350</v>
      </c>
      <c r="O33" s="12">
        <f>-'2022 Budget &amp; CF'!J33</f>
        <v>0</v>
      </c>
      <c r="P33" s="12">
        <f>-'2022 Budget &amp; CF'!K33</f>
        <v>0</v>
      </c>
      <c r="Q33" s="12">
        <f>-'2022 Budget &amp; CF'!L33</f>
        <v>0</v>
      </c>
      <c r="R33" s="12">
        <f>-'2022 Budget &amp; CF'!M33</f>
        <v>0</v>
      </c>
      <c r="S33" s="12">
        <f>-'2022 Budget &amp; CF'!N33</f>
        <v>0</v>
      </c>
      <c r="T33" s="12">
        <f>-'2022 Budget &amp; CF'!O33</f>
        <v>0</v>
      </c>
      <c r="U33" s="12">
        <f>-'2022 Budget &amp; CF'!P33</f>
        <v>0</v>
      </c>
      <c r="V33" s="12">
        <f>-'2022 Budget &amp; CF'!Q33</f>
        <v>0</v>
      </c>
      <c r="W33" s="12">
        <f>-'2022 Budget &amp; CF'!R33</f>
        <v>0</v>
      </c>
      <c r="X33" s="12">
        <f>-'2022 Budget &amp; CF'!S33</f>
        <v>0</v>
      </c>
      <c r="Y33" s="12">
        <f>-'2022 Budget &amp; CF'!T33</f>
        <v>0</v>
      </c>
      <c r="Z33" s="12">
        <f>-'2022 Budget &amp; CF'!U33</f>
        <v>0</v>
      </c>
      <c r="AA33" s="12">
        <f>-'2022 Budget &amp; CF'!V33</f>
        <v>0</v>
      </c>
      <c r="AB33" s="87"/>
      <c r="AC33" s="122">
        <f t="shared" si="7"/>
        <v>0</v>
      </c>
      <c r="AD33" s="119">
        <f>-'2022 Budget &amp; CF'!Z33</f>
        <v>0</v>
      </c>
      <c r="AE33" s="118">
        <f t="shared" si="8"/>
        <v>0</v>
      </c>
      <c r="AF33" s="118">
        <f t="shared" si="10"/>
        <v>0</v>
      </c>
    </row>
    <row r="34" spans="2:32" ht="12.75" customHeight="1" outlineLevel="1" x14ac:dyDescent="0.2">
      <c r="B34" s="82" t="s">
        <v>1028</v>
      </c>
      <c r="C34" s="101">
        <v>280</v>
      </c>
      <c r="D34" s="101">
        <v>745</v>
      </c>
      <c r="E34" s="101">
        <v>4500</v>
      </c>
      <c r="F34" s="107"/>
      <c r="G34" s="108"/>
      <c r="H34" s="109"/>
      <c r="I34" s="109"/>
      <c r="J34" s="338" t="str">
        <f t="shared" si="6"/>
        <v>2807454500</v>
      </c>
      <c r="K34" s="109">
        <v>2022</v>
      </c>
      <c r="L34" s="109" t="s">
        <v>348</v>
      </c>
      <c r="M34" s="109" t="s">
        <v>349</v>
      </c>
      <c r="N34" s="109" t="s">
        <v>350</v>
      </c>
      <c r="O34" s="12">
        <f>-'2022 Budget &amp; CF'!J34</f>
        <v>0</v>
      </c>
      <c r="P34" s="12">
        <f>-'2022 Budget &amp; CF'!K34</f>
        <v>0</v>
      </c>
      <c r="Q34" s="12">
        <f>-'2022 Budget &amp; CF'!L34</f>
        <v>0</v>
      </c>
      <c r="R34" s="12">
        <f>-'2022 Budget &amp; CF'!M34</f>
        <v>0</v>
      </c>
      <c r="S34" s="12">
        <f>-'2022 Budget &amp; CF'!N34</f>
        <v>0</v>
      </c>
      <c r="T34" s="12">
        <f>-'2022 Budget &amp; CF'!O34</f>
        <v>0</v>
      </c>
      <c r="U34" s="12">
        <f>-'2022 Budget &amp; CF'!P34</f>
        <v>0</v>
      </c>
      <c r="V34" s="12">
        <f>-'2022 Budget &amp; CF'!Q34</f>
        <v>0</v>
      </c>
      <c r="W34" s="12">
        <f>-'2022 Budget &amp; CF'!R34</f>
        <v>0</v>
      </c>
      <c r="X34" s="12">
        <f>-'2022 Budget &amp; CF'!S34</f>
        <v>0</v>
      </c>
      <c r="Y34" s="12">
        <f>-'2022 Budget &amp; CF'!T34</f>
        <v>0</v>
      </c>
      <c r="Z34" s="12">
        <f>-'2022 Budget &amp; CF'!U34</f>
        <v>0</v>
      </c>
      <c r="AA34" s="12">
        <f>-'2022 Budget &amp; CF'!V34</f>
        <v>0</v>
      </c>
      <c r="AB34" s="87"/>
      <c r="AC34" s="122">
        <f t="shared" si="7"/>
        <v>0</v>
      </c>
      <c r="AD34" s="119">
        <f>-'2022 Budget &amp; CF'!Z34</f>
        <v>-10970</v>
      </c>
      <c r="AE34" s="118">
        <f t="shared" si="8"/>
        <v>-10970</v>
      </c>
      <c r="AF34" s="118">
        <f t="shared" si="10"/>
        <v>-914.16666666666663</v>
      </c>
    </row>
    <row r="35" spans="2:32" ht="12.75" customHeight="1" outlineLevel="1" x14ac:dyDescent="0.2">
      <c r="B35" s="82" t="s">
        <v>1029</v>
      </c>
      <c r="C35" s="101">
        <v>280</v>
      </c>
      <c r="D35" s="101">
        <v>746</v>
      </c>
      <c r="E35" s="101">
        <v>4500</v>
      </c>
      <c r="F35" s="107"/>
      <c r="G35" s="108"/>
      <c r="H35" s="109"/>
      <c r="I35" s="109"/>
      <c r="J35" s="338" t="str">
        <f t="shared" si="6"/>
        <v>2807464500</v>
      </c>
      <c r="K35" s="109">
        <v>2022</v>
      </c>
      <c r="L35" s="109" t="s">
        <v>348</v>
      </c>
      <c r="M35" s="109" t="s">
        <v>349</v>
      </c>
      <c r="N35" s="109" t="s">
        <v>350</v>
      </c>
      <c r="O35" s="12">
        <f>-'2022 Budget &amp; CF'!J35</f>
        <v>0</v>
      </c>
      <c r="P35" s="12">
        <f>-'2022 Budget &amp; CF'!K35</f>
        <v>0</v>
      </c>
      <c r="Q35" s="12">
        <f>-'2022 Budget &amp; CF'!L35</f>
        <v>0</v>
      </c>
      <c r="R35" s="12">
        <f>-'2022 Budget &amp; CF'!M35</f>
        <v>0</v>
      </c>
      <c r="S35" s="12">
        <f>-'2022 Budget &amp; CF'!N35</f>
        <v>0</v>
      </c>
      <c r="T35" s="12">
        <f>-'2022 Budget &amp; CF'!O35</f>
        <v>0</v>
      </c>
      <c r="U35" s="12">
        <f>-'2022 Budget &amp; CF'!P35</f>
        <v>0</v>
      </c>
      <c r="V35" s="12">
        <f>-'2022 Budget &amp; CF'!Q35</f>
        <v>0</v>
      </c>
      <c r="W35" s="12">
        <f>-'2022 Budget &amp; CF'!R35</f>
        <v>0</v>
      </c>
      <c r="X35" s="12">
        <f>-'2022 Budget &amp; CF'!S35</f>
        <v>0</v>
      </c>
      <c r="Y35" s="12">
        <f>-'2022 Budget &amp; CF'!T35</f>
        <v>0</v>
      </c>
      <c r="Z35" s="12">
        <f>-'2022 Budget &amp; CF'!U35</f>
        <v>0</v>
      </c>
      <c r="AA35" s="12">
        <f>-'2022 Budget &amp; CF'!V35</f>
        <v>0</v>
      </c>
      <c r="AB35" s="87"/>
      <c r="AC35" s="122">
        <f t="shared" si="7"/>
        <v>0</v>
      </c>
      <c r="AD35" s="119">
        <f>-'2022 Budget &amp; CF'!Z35</f>
        <v>-2368</v>
      </c>
      <c r="AE35" s="118">
        <f t="shared" si="8"/>
        <v>-2368</v>
      </c>
      <c r="AF35" s="118">
        <f t="shared" si="10"/>
        <v>-197.33333333333334</v>
      </c>
    </row>
    <row r="36" spans="2:32" ht="12.75" customHeight="1" outlineLevel="1" x14ac:dyDescent="0.2">
      <c r="B36" s="82" t="s">
        <v>893</v>
      </c>
      <c r="C36" s="101">
        <v>280</v>
      </c>
      <c r="D36" s="101">
        <v>749</v>
      </c>
      <c r="E36" s="101">
        <v>4500</v>
      </c>
      <c r="F36" s="107"/>
      <c r="G36" s="108"/>
      <c r="H36" s="109"/>
      <c r="I36" s="109"/>
      <c r="J36" s="338" t="str">
        <f t="shared" si="6"/>
        <v>2807494500</v>
      </c>
      <c r="K36" s="109">
        <v>2022</v>
      </c>
      <c r="L36" s="109" t="s">
        <v>348</v>
      </c>
      <c r="M36" s="109" t="s">
        <v>349</v>
      </c>
      <c r="N36" s="109" t="s">
        <v>350</v>
      </c>
      <c r="O36" s="12">
        <f>-'2022 Budget &amp; CF'!J36</f>
        <v>0</v>
      </c>
      <c r="P36" s="12">
        <f>-'2022 Budget &amp; CF'!K36</f>
        <v>0</v>
      </c>
      <c r="Q36" s="12">
        <f>-'2022 Budget &amp; CF'!L36</f>
        <v>0</v>
      </c>
      <c r="R36" s="12">
        <f>-'2022 Budget &amp; CF'!M36</f>
        <v>0</v>
      </c>
      <c r="S36" s="12">
        <f>-'2022 Budget &amp; CF'!N36</f>
        <v>0</v>
      </c>
      <c r="T36" s="12">
        <f>-'2022 Budget &amp; CF'!O36</f>
        <v>0</v>
      </c>
      <c r="U36" s="12">
        <f>-'2022 Budget &amp; CF'!P36</f>
        <v>0</v>
      </c>
      <c r="V36" s="12">
        <f>-'2022 Budget &amp; CF'!Q36</f>
        <v>0</v>
      </c>
      <c r="W36" s="12">
        <f>-'2022 Budget &amp; CF'!R36</f>
        <v>0</v>
      </c>
      <c r="X36" s="12">
        <f>-'2022 Budget &amp; CF'!S36</f>
        <v>0</v>
      </c>
      <c r="Y36" s="12">
        <f>-'2022 Budget &amp; CF'!T36</f>
        <v>0</v>
      </c>
      <c r="Z36" s="12">
        <f>-'2022 Budget &amp; CF'!U36</f>
        <v>0</v>
      </c>
      <c r="AA36" s="12">
        <f>-'2022 Budget &amp; CF'!V36</f>
        <v>0</v>
      </c>
      <c r="AB36" s="87"/>
      <c r="AC36" s="122">
        <f t="shared" si="7"/>
        <v>0</v>
      </c>
      <c r="AD36" s="119">
        <f>-'2022 Budget &amp; CF'!Z36</f>
        <v>-91</v>
      </c>
      <c r="AE36" s="118">
        <f t="shared" si="8"/>
        <v>-91</v>
      </c>
      <c r="AF36" s="118">
        <f t="shared" si="10"/>
        <v>-7.583333333333333</v>
      </c>
    </row>
    <row r="37" spans="2:32" ht="12.75" customHeight="1" outlineLevel="1" x14ac:dyDescent="0.2">
      <c r="B37" s="82" t="s">
        <v>516</v>
      </c>
      <c r="C37" s="101">
        <v>280</v>
      </c>
      <c r="D37" s="103" t="s">
        <v>145</v>
      </c>
      <c r="E37" s="101">
        <v>4703</v>
      </c>
      <c r="F37" s="107"/>
      <c r="G37" s="108"/>
      <c r="H37" s="109"/>
      <c r="I37" s="109"/>
      <c r="J37" s="338" t="str">
        <f t="shared" si="6"/>
        <v>2800004703</v>
      </c>
      <c r="K37" s="109">
        <v>2022</v>
      </c>
      <c r="L37" s="109" t="s">
        <v>348</v>
      </c>
      <c r="M37" s="109" t="s">
        <v>349</v>
      </c>
      <c r="N37" s="109" t="s">
        <v>350</v>
      </c>
      <c r="O37" s="12">
        <f>-'2022 Budget &amp; CF'!J37</f>
        <v>-241.6</v>
      </c>
      <c r="P37" s="12">
        <f>-'2022 Budget &amp; CF'!K37</f>
        <v>-268.76</v>
      </c>
      <c r="Q37" s="12">
        <f>-'2022 Budget &amp; CF'!L37</f>
        <v>-268.76</v>
      </c>
      <c r="R37" s="12">
        <f>-'2022 Budget &amp; CF'!M37</f>
        <v>-268.76</v>
      </c>
      <c r="S37" s="12">
        <f>-'2022 Budget &amp; CF'!N37</f>
        <v>-268.76</v>
      </c>
      <c r="T37" s="12">
        <f>-'2022 Budget &amp; CF'!O37</f>
        <v>0</v>
      </c>
      <c r="U37" s="12">
        <f>-'2022 Budget &amp; CF'!P37</f>
        <v>0</v>
      </c>
      <c r="V37" s="12">
        <f>-'2022 Budget &amp; CF'!Q37</f>
        <v>0</v>
      </c>
      <c r="W37" s="12">
        <f>-'2022 Budget &amp; CF'!R37</f>
        <v>0</v>
      </c>
      <c r="X37" s="12">
        <f>-'2022 Budget &amp; CF'!S37</f>
        <v>0</v>
      </c>
      <c r="Y37" s="12">
        <f>-'2022 Budget &amp; CF'!T37</f>
        <v>0</v>
      </c>
      <c r="Z37" s="12">
        <f>-'2022 Budget &amp; CF'!U37</f>
        <v>0</v>
      </c>
      <c r="AA37" s="12">
        <f>-'2022 Budget &amp; CF'!V37</f>
        <v>0</v>
      </c>
      <c r="AB37" s="87"/>
      <c r="AC37" s="122">
        <f t="shared" si="7"/>
        <v>-1316.64</v>
      </c>
      <c r="AD37" s="119">
        <f>-'2022 Budget &amp; CF'!Z37</f>
        <v>-4832</v>
      </c>
      <c r="AE37" s="118">
        <f t="shared" si="8"/>
        <v>-3515.3599999999997</v>
      </c>
      <c r="AF37" s="118">
        <f t="shared" si="10"/>
        <v>-292.94666666666666</v>
      </c>
    </row>
    <row r="38" spans="2:32" ht="12.75" customHeight="1" x14ac:dyDescent="0.2">
      <c r="B38" s="204" t="s">
        <v>143</v>
      </c>
      <c r="C38" s="83"/>
      <c r="D38" s="83"/>
      <c r="E38" s="83"/>
      <c r="F38" s="83"/>
      <c r="G38" s="85"/>
      <c r="H38" s="110"/>
      <c r="I38" s="84"/>
      <c r="J38" s="339"/>
      <c r="K38" s="273"/>
      <c r="L38" s="273"/>
      <c r="M38" s="273"/>
      <c r="N38" s="274"/>
      <c r="O38" s="86">
        <f t="shared" ref="O38:AA38" si="11">SUM(O19:O37)</f>
        <v>-241.6</v>
      </c>
      <c r="P38" s="86">
        <f t="shared" si="11"/>
        <v>-268.76</v>
      </c>
      <c r="Q38" s="86">
        <f t="shared" si="11"/>
        <v>-268.76</v>
      </c>
      <c r="R38" s="86">
        <f t="shared" si="11"/>
        <v>-79645.11</v>
      </c>
      <c r="S38" s="86">
        <f t="shared" si="11"/>
        <v>-88256.359999999986</v>
      </c>
      <c r="T38" s="86">
        <f t="shared" si="11"/>
        <v>0</v>
      </c>
      <c r="U38" s="86">
        <f t="shared" si="11"/>
        <v>0</v>
      </c>
      <c r="V38" s="86">
        <f t="shared" si="11"/>
        <v>0</v>
      </c>
      <c r="W38" s="86">
        <f t="shared" si="11"/>
        <v>0</v>
      </c>
      <c r="X38" s="86">
        <f t="shared" si="11"/>
        <v>0</v>
      </c>
      <c r="Y38" s="86">
        <f t="shared" si="11"/>
        <v>0</v>
      </c>
      <c r="Z38" s="86">
        <f t="shared" si="11"/>
        <v>0</v>
      </c>
      <c r="AA38" s="86">
        <f t="shared" si="11"/>
        <v>0</v>
      </c>
      <c r="AB38" s="86"/>
      <c r="AC38" s="86">
        <f>SUM(AC19:AC37)</f>
        <v>-168680.59000000003</v>
      </c>
      <c r="AD38" s="86">
        <f>SUM(AD19:AD37)</f>
        <v>-1990215</v>
      </c>
      <c r="AE38" s="86">
        <f>SUM(AE19:AE37)</f>
        <v>-1821534.4100000001</v>
      </c>
      <c r="AF38" s="86">
        <f>SUM(AF19:AF37)</f>
        <v>-151794.53416666665</v>
      </c>
    </row>
    <row r="39" spans="2:32" ht="12.75" hidden="1" customHeight="1" outlineLevel="1" x14ac:dyDescent="0.2">
      <c r="B39" s="88" t="s">
        <v>1203</v>
      </c>
      <c r="C39" s="181" t="s">
        <v>468</v>
      </c>
      <c r="D39" s="405" t="s">
        <v>145</v>
      </c>
      <c r="E39" s="182" t="s">
        <v>1202</v>
      </c>
      <c r="F39" s="752"/>
      <c r="G39" s="753"/>
      <c r="H39" s="420"/>
      <c r="I39" s="754" t="s">
        <v>497</v>
      </c>
      <c r="J39" s="755" t="str">
        <f>CONCATENATE(C39,D39,E39,I39)</f>
        <v>100000129002</v>
      </c>
      <c r="K39" s="420">
        <v>2022</v>
      </c>
      <c r="L39" s="420" t="s">
        <v>348</v>
      </c>
      <c r="M39" s="420" t="s">
        <v>349</v>
      </c>
      <c r="N39" s="420" t="s">
        <v>350</v>
      </c>
      <c r="O39" s="12">
        <f>-'2022 Budget &amp; CF'!J39</f>
        <v>0</v>
      </c>
      <c r="P39" s="12">
        <f>-'2022 Budget &amp; CF'!K39</f>
        <v>0</v>
      </c>
      <c r="Q39" s="12">
        <f>-'2022 Budget &amp; CF'!L39</f>
        <v>0</v>
      </c>
      <c r="R39" s="12">
        <f>-'2022 Budget &amp; CF'!M39</f>
        <v>0</v>
      </c>
      <c r="S39" s="12">
        <f>-'2022 Budget &amp; CF'!N39</f>
        <v>-2575.94</v>
      </c>
      <c r="T39" s="12">
        <f>-'2022 Budget &amp; CF'!O39</f>
        <v>0</v>
      </c>
      <c r="U39" s="12">
        <f>-'2022 Budget &amp; CF'!P39</f>
        <v>0</v>
      </c>
      <c r="V39" s="12">
        <f>-'2022 Budget &amp; CF'!Q39</f>
        <v>0</v>
      </c>
      <c r="W39" s="12">
        <f>-'2022 Budget &amp; CF'!R39</f>
        <v>0</v>
      </c>
      <c r="X39" s="12">
        <f>-'2022 Budget &amp; CF'!S39</f>
        <v>0</v>
      </c>
      <c r="Y39" s="12">
        <f>-'2022 Budget &amp; CF'!T39</f>
        <v>0</v>
      </c>
      <c r="Z39" s="12">
        <f>-'2022 Budget &amp; CF'!U39</f>
        <v>0</v>
      </c>
      <c r="AA39" s="12">
        <f>-'2022 Budget &amp; CF'!V39</f>
        <v>0</v>
      </c>
      <c r="AB39" s="12"/>
      <c r="AC39" s="121">
        <f t="shared" ref="AC39:AC51" si="12">SUM(O39:AA39)</f>
        <v>-2575.94</v>
      </c>
      <c r="AD39" s="115">
        <f>-'2022 Budget &amp; CF'!Z39</f>
        <v>0</v>
      </c>
      <c r="AE39" s="117">
        <f t="shared" ref="AE39:AE51" si="13">AD39-AC39</f>
        <v>2575.94</v>
      </c>
      <c r="AF39" s="117">
        <f t="shared" ref="AF39" si="14">AE39/$AF$6</f>
        <v>214.66166666666666</v>
      </c>
    </row>
    <row r="40" spans="2:32" ht="12.75" hidden="1" customHeight="1" outlineLevel="1" x14ac:dyDescent="0.2">
      <c r="B40" s="82" t="str">
        <f>Revenues!B40</f>
        <v xml:space="preserve">Interest Income                                   </v>
      </c>
      <c r="C40" s="101">
        <f>Revenues!C40</f>
        <v>100</v>
      </c>
      <c r="D40" s="102" t="str">
        <f>Revenues!D40</f>
        <v>000</v>
      </c>
      <c r="E40" s="103">
        <f>Revenues!E40</f>
        <v>1510</v>
      </c>
      <c r="F40" s="107"/>
      <c r="G40" s="108"/>
      <c r="H40" s="109"/>
      <c r="I40" s="109"/>
      <c r="J40" s="338" t="str">
        <f t="shared" ref="J40:J51" si="15">CONCATENATE(C40,D40,E40)</f>
        <v>1000001510</v>
      </c>
      <c r="K40" s="109">
        <v>2022</v>
      </c>
      <c r="L40" s="109" t="s">
        <v>348</v>
      </c>
      <c r="M40" s="109" t="s">
        <v>349</v>
      </c>
      <c r="N40" s="109" t="s">
        <v>350</v>
      </c>
      <c r="O40" s="12">
        <f>-'2022 Budget &amp; CF'!J40</f>
        <v>0</v>
      </c>
      <c r="P40" s="12">
        <f>-'2022 Budget &amp; CF'!K40</f>
        <v>0</v>
      </c>
      <c r="Q40" s="12">
        <f>-'2022 Budget &amp; CF'!L40</f>
        <v>0</v>
      </c>
      <c r="R40" s="12">
        <f>-'2022 Budget &amp; CF'!M40</f>
        <v>0</v>
      </c>
      <c r="S40" s="12">
        <f>-'2022 Budget &amp; CF'!N40</f>
        <v>0</v>
      </c>
      <c r="T40" s="12">
        <f>-'2022 Budget &amp; CF'!O40</f>
        <v>0</v>
      </c>
      <c r="U40" s="12">
        <f>-'2022 Budget &amp; CF'!P40</f>
        <v>0</v>
      </c>
      <c r="V40" s="12">
        <f>-'2022 Budget &amp; CF'!Q40</f>
        <v>0</v>
      </c>
      <c r="W40" s="12">
        <f>-'2022 Budget &amp; CF'!R40</f>
        <v>0</v>
      </c>
      <c r="X40" s="12">
        <f>-'2022 Budget &amp; CF'!S40</f>
        <v>0</v>
      </c>
      <c r="Y40" s="12">
        <f>-'2022 Budget &amp; CF'!T40</f>
        <v>0</v>
      </c>
      <c r="Z40" s="12">
        <f>-'2022 Budget &amp; CF'!U40</f>
        <v>0</v>
      </c>
      <c r="AA40" s="12">
        <f>-'2022 Budget &amp; CF'!V40</f>
        <v>0</v>
      </c>
      <c r="AB40" s="12"/>
      <c r="AC40" s="121">
        <f t="shared" si="12"/>
        <v>0</v>
      </c>
      <c r="AD40" s="115">
        <f>-'2022 Budget &amp; CF'!Z40</f>
        <v>0</v>
      </c>
      <c r="AE40" s="117">
        <f t="shared" si="13"/>
        <v>0</v>
      </c>
      <c r="AF40" s="117">
        <f t="shared" ref="AF40" si="16">AE40/$AF$6</f>
        <v>0</v>
      </c>
    </row>
    <row r="41" spans="2:32" ht="12.75" hidden="1" customHeight="1" outlineLevel="1" x14ac:dyDescent="0.2">
      <c r="B41" s="82" t="s">
        <v>1040</v>
      </c>
      <c r="C41" s="101">
        <v>300</v>
      </c>
      <c r="D41" s="102" t="s">
        <v>145</v>
      </c>
      <c r="E41" s="103">
        <v>1510</v>
      </c>
      <c r="F41" s="107"/>
      <c r="G41" s="108"/>
      <c r="H41" s="109"/>
      <c r="I41" s="109"/>
      <c r="J41" s="338" t="str">
        <f t="shared" si="15"/>
        <v>3000001510</v>
      </c>
      <c r="K41" s="109">
        <v>2022</v>
      </c>
      <c r="L41" s="109" t="s">
        <v>348</v>
      </c>
      <c r="M41" s="109" t="s">
        <v>349</v>
      </c>
      <c r="N41" s="109" t="s">
        <v>350</v>
      </c>
      <c r="O41" s="12">
        <f>-'2022 Budget &amp; CF'!J41</f>
        <v>0</v>
      </c>
      <c r="P41" s="12">
        <f>-'2022 Budget &amp; CF'!K41</f>
        <v>0</v>
      </c>
      <c r="Q41" s="12">
        <f>-'2022 Budget &amp; CF'!L41</f>
        <v>0</v>
      </c>
      <c r="R41" s="12">
        <f>-'2022 Budget &amp; CF'!M41</f>
        <v>0</v>
      </c>
      <c r="S41" s="12">
        <f>-'2022 Budget &amp; CF'!N41</f>
        <v>0</v>
      </c>
      <c r="T41" s="12">
        <f>-'2022 Budget &amp; CF'!O41</f>
        <v>0</v>
      </c>
      <c r="U41" s="12">
        <f>-'2022 Budget &amp; CF'!P41</f>
        <v>0</v>
      </c>
      <c r="V41" s="12">
        <f>-'2022 Budget &amp; CF'!Q41</f>
        <v>0</v>
      </c>
      <c r="W41" s="12">
        <f>-'2022 Budget &amp; CF'!R41</f>
        <v>0</v>
      </c>
      <c r="X41" s="12">
        <f>-'2022 Budget &amp; CF'!S41</f>
        <v>0</v>
      </c>
      <c r="Y41" s="12">
        <f>-'2022 Budget &amp; CF'!T41</f>
        <v>0</v>
      </c>
      <c r="Z41" s="12">
        <f>-'2022 Budget &amp; CF'!U41</f>
        <v>0</v>
      </c>
      <c r="AA41" s="12">
        <f>-'2022 Budget &amp; CF'!V41</f>
        <v>0</v>
      </c>
      <c r="AB41" s="12"/>
      <c r="AC41" s="121">
        <f t="shared" si="12"/>
        <v>0</v>
      </c>
      <c r="AD41" s="115">
        <f>-'2022 Budget &amp; CF'!Z41</f>
        <v>0</v>
      </c>
      <c r="AE41" s="117">
        <f t="shared" si="13"/>
        <v>0</v>
      </c>
      <c r="AF41" s="117">
        <f t="shared" ref="AF41:AF51" si="17">AE41/$AF$6</f>
        <v>0</v>
      </c>
    </row>
    <row r="42" spans="2:32" ht="12.75" hidden="1" customHeight="1" outlineLevel="1" x14ac:dyDescent="0.2">
      <c r="B42" s="82" t="s">
        <v>1037</v>
      </c>
      <c r="C42" s="101">
        <v>100</v>
      </c>
      <c r="D42" s="104" t="s">
        <v>145</v>
      </c>
      <c r="E42" s="103" t="s">
        <v>1036</v>
      </c>
      <c r="F42" s="107"/>
      <c r="G42" s="108"/>
      <c r="H42" s="109"/>
      <c r="I42" s="109"/>
      <c r="J42" s="338" t="str">
        <f t="shared" si="15"/>
        <v>1000001520</v>
      </c>
      <c r="K42" s="109">
        <v>2022</v>
      </c>
      <c r="L42" s="109" t="s">
        <v>348</v>
      </c>
      <c r="M42" s="109" t="s">
        <v>349</v>
      </c>
      <c r="N42" s="109" t="s">
        <v>350</v>
      </c>
      <c r="O42" s="12">
        <f>-'2022 Budget &amp; CF'!J42</f>
        <v>0</v>
      </c>
      <c r="P42" s="12">
        <f>-'2022 Budget &amp; CF'!K42</f>
        <v>0</v>
      </c>
      <c r="Q42" s="12">
        <f>-'2022 Budget &amp; CF'!L42</f>
        <v>0</v>
      </c>
      <c r="R42" s="12">
        <f>-'2022 Budget &amp; CF'!M42</f>
        <v>0</v>
      </c>
      <c r="S42" s="12">
        <f>-'2022 Budget &amp; CF'!N42</f>
        <v>0</v>
      </c>
      <c r="T42" s="12">
        <f>-'2022 Budget &amp; CF'!O42</f>
        <v>0</v>
      </c>
      <c r="U42" s="12">
        <f>-'2022 Budget &amp; CF'!P42</f>
        <v>0</v>
      </c>
      <c r="V42" s="12">
        <f>-'2022 Budget &amp; CF'!Q42</f>
        <v>0</v>
      </c>
      <c r="W42" s="12">
        <f>-'2022 Budget &amp; CF'!R42</f>
        <v>0</v>
      </c>
      <c r="X42" s="12">
        <f>-'2022 Budget &amp; CF'!S42</f>
        <v>0</v>
      </c>
      <c r="Y42" s="12">
        <f>-'2022 Budget &amp; CF'!T42</f>
        <v>0</v>
      </c>
      <c r="Z42" s="12">
        <f>-'2022 Budget &amp; CF'!U42</f>
        <v>0</v>
      </c>
      <c r="AA42" s="12">
        <f>-'2022 Budget &amp; CF'!V42</f>
        <v>0</v>
      </c>
      <c r="AB42" s="12"/>
      <c r="AC42" s="121">
        <f t="shared" si="12"/>
        <v>0</v>
      </c>
      <c r="AD42" s="115">
        <f>-'2022 Budget &amp; CF'!Z42</f>
        <v>0</v>
      </c>
      <c r="AE42" s="117">
        <f t="shared" si="13"/>
        <v>0</v>
      </c>
      <c r="AF42" s="117">
        <f t="shared" si="17"/>
        <v>0</v>
      </c>
    </row>
    <row r="43" spans="2:32" ht="12.75" hidden="1" customHeight="1" outlineLevel="1" x14ac:dyDescent="0.2">
      <c r="B43" s="82" t="s">
        <v>1039</v>
      </c>
      <c r="C43" s="101">
        <v>100</v>
      </c>
      <c r="D43" s="104" t="s">
        <v>145</v>
      </c>
      <c r="E43" s="103" t="s">
        <v>1038</v>
      </c>
      <c r="F43" s="107"/>
      <c r="G43" s="108"/>
      <c r="H43" s="109"/>
      <c r="I43" s="109"/>
      <c r="J43" s="338" t="str">
        <f t="shared" si="15"/>
        <v>1000001530</v>
      </c>
      <c r="K43" s="109">
        <v>2022</v>
      </c>
      <c r="L43" s="109" t="s">
        <v>348</v>
      </c>
      <c r="M43" s="109" t="s">
        <v>349</v>
      </c>
      <c r="N43" s="109" t="s">
        <v>350</v>
      </c>
      <c r="O43" s="12">
        <f>-'2022 Budget &amp; CF'!J43</f>
        <v>0</v>
      </c>
      <c r="P43" s="12">
        <f>-'2022 Budget &amp; CF'!K43</f>
        <v>0</v>
      </c>
      <c r="Q43" s="12">
        <f>-'2022 Budget &amp; CF'!L43</f>
        <v>0</v>
      </c>
      <c r="R43" s="12">
        <f>-'2022 Budget &amp; CF'!M43</f>
        <v>0</v>
      </c>
      <c r="S43" s="12">
        <f>-'2022 Budget &amp; CF'!N43</f>
        <v>0</v>
      </c>
      <c r="T43" s="12">
        <f>-'2022 Budget &amp; CF'!O43</f>
        <v>0</v>
      </c>
      <c r="U43" s="12">
        <f>-'2022 Budget &amp; CF'!P43</f>
        <v>0</v>
      </c>
      <c r="V43" s="12">
        <f>-'2022 Budget &amp; CF'!Q43</f>
        <v>0</v>
      </c>
      <c r="W43" s="12">
        <f>-'2022 Budget &amp; CF'!R43</f>
        <v>0</v>
      </c>
      <c r="X43" s="12">
        <f>-'2022 Budget &amp; CF'!S43</f>
        <v>0</v>
      </c>
      <c r="Y43" s="12">
        <f>-'2022 Budget &amp; CF'!T43</f>
        <v>0</v>
      </c>
      <c r="Z43" s="12">
        <f>-'2022 Budget &amp; CF'!U43</f>
        <v>0</v>
      </c>
      <c r="AA43" s="12">
        <f>-'2022 Budget &amp; CF'!V43</f>
        <v>0</v>
      </c>
      <c r="AB43" s="12"/>
      <c r="AC43" s="121">
        <f t="shared" si="12"/>
        <v>0</v>
      </c>
      <c r="AD43" s="115">
        <f>-'2022 Budget &amp; CF'!Z43</f>
        <v>0</v>
      </c>
      <c r="AE43" s="117">
        <f t="shared" si="13"/>
        <v>0</v>
      </c>
      <c r="AF43" s="117">
        <f t="shared" si="17"/>
        <v>0</v>
      </c>
    </row>
    <row r="44" spans="2:32" ht="12.75" hidden="1" customHeight="1" outlineLevel="1" x14ac:dyDescent="0.2">
      <c r="B44" s="82" t="str">
        <f>Revenues!B44</f>
        <v>Other Fees</v>
      </c>
      <c r="C44" s="101">
        <f>Revenues!C44</f>
        <v>100</v>
      </c>
      <c r="D44" s="104" t="str">
        <f>Revenues!D44</f>
        <v>000</v>
      </c>
      <c r="E44" s="103">
        <f>Revenues!E44</f>
        <v>1740</v>
      </c>
      <c r="F44" s="107"/>
      <c r="G44" s="108"/>
      <c r="H44" s="109"/>
      <c r="I44" s="109"/>
      <c r="J44" s="338" t="str">
        <f t="shared" si="15"/>
        <v>1000001740</v>
      </c>
      <c r="K44" s="109">
        <v>2022</v>
      </c>
      <c r="L44" s="109" t="s">
        <v>348</v>
      </c>
      <c r="M44" s="109" t="s">
        <v>349</v>
      </c>
      <c r="N44" s="109" t="s">
        <v>350</v>
      </c>
      <c r="O44" s="12">
        <f>-'2022 Budget &amp; CF'!J44</f>
        <v>0</v>
      </c>
      <c r="P44" s="12">
        <f>-'2022 Budget &amp; CF'!K44</f>
        <v>0</v>
      </c>
      <c r="Q44" s="12">
        <f>-'2022 Budget &amp; CF'!L44</f>
        <v>0</v>
      </c>
      <c r="R44" s="12">
        <f>-'2022 Budget &amp; CF'!M44</f>
        <v>0</v>
      </c>
      <c r="S44" s="12">
        <f>-'2022 Budget &amp; CF'!N44</f>
        <v>0</v>
      </c>
      <c r="T44" s="12">
        <f>-'2022 Budget &amp; CF'!O44</f>
        <v>0</v>
      </c>
      <c r="U44" s="12">
        <f>-'2022 Budget &amp; CF'!P44</f>
        <v>0</v>
      </c>
      <c r="V44" s="12">
        <f>-'2022 Budget &amp; CF'!Q44</f>
        <v>0</v>
      </c>
      <c r="W44" s="12">
        <f>-'2022 Budget &amp; CF'!R44</f>
        <v>0</v>
      </c>
      <c r="X44" s="12">
        <f>-'2022 Budget &amp; CF'!S44</f>
        <v>0</v>
      </c>
      <c r="Y44" s="12">
        <f>-'2022 Budget &amp; CF'!T44</f>
        <v>0</v>
      </c>
      <c r="Z44" s="12">
        <f>-'2022 Budget &amp; CF'!U44</f>
        <v>0</v>
      </c>
      <c r="AA44" s="12">
        <f>-'2022 Budget &amp; CF'!V44</f>
        <v>0</v>
      </c>
      <c r="AB44" s="12"/>
      <c r="AC44" s="121">
        <f t="shared" si="12"/>
        <v>0</v>
      </c>
      <c r="AD44" s="115">
        <f>-'2022 Budget &amp; CF'!Z44</f>
        <v>0</v>
      </c>
      <c r="AE44" s="117">
        <f t="shared" si="13"/>
        <v>0</v>
      </c>
      <c r="AF44" s="117">
        <f t="shared" si="17"/>
        <v>0</v>
      </c>
    </row>
    <row r="45" spans="2:32" ht="12.75" hidden="1" customHeight="1" outlineLevel="1" x14ac:dyDescent="0.2">
      <c r="B45" s="88" t="str">
        <f>Revenues!B45</f>
        <v xml:space="preserve">OTHER ACTIVITY FEES </v>
      </c>
      <c r="C45" s="101">
        <f>Revenues!C45</f>
        <v>100</v>
      </c>
      <c r="D45" s="102" t="str">
        <f>Revenues!D45</f>
        <v>000</v>
      </c>
      <c r="E45" s="101">
        <f>Revenues!E45</f>
        <v>1790</v>
      </c>
      <c r="F45" s="107"/>
      <c r="G45" s="108"/>
      <c r="H45" s="109"/>
      <c r="I45" s="109"/>
      <c r="J45" s="338" t="str">
        <f t="shared" si="15"/>
        <v>1000001790</v>
      </c>
      <c r="K45" s="109">
        <v>2022</v>
      </c>
      <c r="L45" s="109" t="s">
        <v>348</v>
      </c>
      <c r="M45" s="109" t="s">
        <v>349</v>
      </c>
      <c r="N45" s="109" t="s">
        <v>350</v>
      </c>
      <c r="O45" s="12">
        <f>-'2022 Budget &amp; CF'!J45</f>
        <v>0</v>
      </c>
      <c r="P45" s="12">
        <f>-'2022 Budget &amp; CF'!K45</f>
        <v>0</v>
      </c>
      <c r="Q45" s="12">
        <f>-'2022 Budget &amp; CF'!L45</f>
        <v>-1200</v>
      </c>
      <c r="R45" s="12">
        <f>-'2022 Budget &amp; CF'!M45</f>
        <v>0</v>
      </c>
      <c r="S45" s="12">
        <f>-'2022 Budget &amp; CF'!N45</f>
        <v>0</v>
      </c>
      <c r="T45" s="12">
        <f>-'2022 Budget &amp; CF'!O45</f>
        <v>0</v>
      </c>
      <c r="U45" s="12">
        <f>-'2022 Budget &amp; CF'!P45</f>
        <v>0</v>
      </c>
      <c r="V45" s="12">
        <f>-'2022 Budget &amp; CF'!Q45</f>
        <v>0</v>
      </c>
      <c r="W45" s="12">
        <f>-'2022 Budget &amp; CF'!R45</f>
        <v>0</v>
      </c>
      <c r="X45" s="12">
        <f>-'2022 Budget &amp; CF'!S45</f>
        <v>0</v>
      </c>
      <c r="Y45" s="12">
        <f>-'2022 Budget &amp; CF'!T45</f>
        <v>0</v>
      </c>
      <c r="Z45" s="12">
        <f>-'2022 Budget &amp; CF'!U45</f>
        <v>0</v>
      </c>
      <c r="AA45" s="12">
        <f>-'2022 Budget &amp; CF'!V45</f>
        <v>0</v>
      </c>
      <c r="AB45" s="12"/>
      <c r="AC45" s="121">
        <f t="shared" si="12"/>
        <v>-1200</v>
      </c>
      <c r="AD45" s="115">
        <f>-'2022 Budget &amp; CF'!Z45</f>
        <v>-500</v>
      </c>
      <c r="AE45" s="117">
        <f t="shared" si="13"/>
        <v>700</v>
      </c>
      <c r="AF45" s="117">
        <f t="shared" si="17"/>
        <v>58.333333333333336</v>
      </c>
    </row>
    <row r="46" spans="2:32" ht="12.75" hidden="1" customHeight="1" outlineLevel="1" x14ac:dyDescent="0.2">
      <c r="B46" s="88" t="s">
        <v>381</v>
      </c>
      <c r="C46" s="101">
        <v>279</v>
      </c>
      <c r="D46" s="102" t="s">
        <v>145</v>
      </c>
      <c r="E46" s="101">
        <v>1790</v>
      </c>
      <c r="F46" s="107"/>
      <c r="G46" s="108"/>
      <c r="H46" s="109"/>
      <c r="I46" s="109"/>
      <c r="J46" s="338" t="str">
        <f t="shared" si="15"/>
        <v>2790001790</v>
      </c>
      <c r="K46" s="109">
        <v>2022</v>
      </c>
      <c r="L46" s="109" t="s">
        <v>348</v>
      </c>
      <c r="M46" s="109" t="s">
        <v>349</v>
      </c>
      <c r="N46" s="109" t="s">
        <v>350</v>
      </c>
      <c r="O46" s="12">
        <f>-'2022 Budget &amp; CF'!J46</f>
        <v>0</v>
      </c>
      <c r="P46" s="12">
        <f>-'2022 Budget &amp; CF'!K46</f>
        <v>-162</v>
      </c>
      <c r="Q46" s="12">
        <f>-'2022 Budget &amp; CF'!L46</f>
        <v>-92.75</v>
      </c>
      <c r="R46" s="12">
        <f>-'2022 Budget &amp; CF'!M46</f>
        <v>0</v>
      </c>
      <c r="S46" s="12">
        <f>-'2022 Budget &amp; CF'!N46</f>
        <v>0</v>
      </c>
      <c r="T46" s="12">
        <f>-'2022 Budget &amp; CF'!O46</f>
        <v>0</v>
      </c>
      <c r="U46" s="12">
        <f>-'2022 Budget &amp; CF'!P46</f>
        <v>0</v>
      </c>
      <c r="V46" s="12">
        <f>-'2022 Budget &amp; CF'!Q46</f>
        <v>0</v>
      </c>
      <c r="W46" s="12">
        <f>-'2022 Budget &amp; CF'!R46</f>
        <v>0</v>
      </c>
      <c r="X46" s="12">
        <f>-'2022 Budget &amp; CF'!S46</f>
        <v>0</v>
      </c>
      <c r="Y46" s="12">
        <f>-'2022 Budget &amp; CF'!T46</f>
        <v>0</v>
      </c>
      <c r="Z46" s="12">
        <f>-'2022 Budget &amp; CF'!U46</f>
        <v>0</v>
      </c>
      <c r="AA46" s="12">
        <f>-'2022 Budget &amp; CF'!V46</f>
        <v>0</v>
      </c>
      <c r="AB46" s="12"/>
      <c r="AC46" s="121">
        <f t="shared" si="12"/>
        <v>-254.75</v>
      </c>
      <c r="AD46" s="115">
        <f>-'2022 Budget &amp; CF'!Z46</f>
        <v>-2393</v>
      </c>
      <c r="AE46" s="117">
        <f t="shared" si="13"/>
        <v>-2138.25</v>
      </c>
      <c r="AF46" s="117">
        <f t="shared" si="17"/>
        <v>-178.1875</v>
      </c>
    </row>
    <row r="47" spans="2:32" ht="12.75" hidden="1" customHeight="1" outlineLevel="1" x14ac:dyDescent="0.2">
      <c r="B47" s="88" t="s">
        <v>380</v>
      </c>
      <c r="C47" s="101">
        <v>100</v>
      </c>
      <c r="D47" s="102" t="s">
        <v>145</v>
      </c>
      <c r="E47" s="101">
        <v>1900</v>
      </c>
      <c r="F47" s="107"/>
      <c r="G47" s="108"/>
      <c r="H47" s="109"/>
      <c r="I47" s="109"/>
      <c r="J47" s="338" t="str">
        <f t="shared" si="15"/>
        <v>1000001900</v>
      </c>
      <c r="K47" s="109">
        <v>2022</v>
      </c>
      <c r="L47" s="109" t="s">
        <v>348</v>
      </c>
      <c r="M47" s="109" t="s">
        <v>349</v>
      </c>
      <c r="N47" s="109" t="s">
        <v>350</v>
      </c>
      <c r="O47" s="12">
        <f>-'2022 Budget &amp; CF'!J47</f>
        <v>0</v>
      </c>
      <c r="P47" s="12">
        <f>-'2022 Budget &amp; CF'!K47</f>
        <v>0</v>
      </c>
      <c r="Q47" s="12">
        <f>-'2022 Budget &amp; CF'!L47</f>
        <v>-484.49</v>
      </c>
      <c r="R47" s="12">
        <f>-'2022 Budget &amp; CF'!M47</f>
        <v>-30</v>
      </c>
      <c r="S47" s="12">
        <f>-'2022 Budget &amp; CF'!N47</f>
        <v>-1193.6400000000001</v>
      </c>
      <c r="T47" s="12">
        <f>-'2022 Budget &amp; CF'!O47</f>
        <v>0</v>
      </c>
      <c r="U47" s="12">
        <f>-'2022 Budget &amp; CF'!P47</f>
        <v>0</v>
      </c>
      <c r="V47" s="12">
        <f>-'2022 Budget &amp; CF'!Q47</f>
        <v>0</v>
      </c>
      <c r="W47" s="12">
        <f>-'2022 Budget &amp; CF'!R47</f>
        <v>0</v>
      </c>
      <c r="X47" s="12">
        <f>-'2022 Budget &amp; CF'!S47</f>
        <v>0</v>
      </c>
      <c r="Y47" s="12">
        <f>-'2022 Budget &amp; CF'!T47</f>
        <v>0</v>
      </c>
      <c r="Z47" s="12">
        <f>-'2022 Budget &amp; CF'!U47</f>
        <v>0</v>
      </c>
      <c r="AA47" s="12">
        <f>-'2022 Budget &amp; CF'!V47</f>
        <v>0</v>
      </c>
      <c r="AB47" s="12"/>
      <c r="AC47" s="121">
        <f t="shared" si="12"/>
        <v>-1708.13</v>
      </c>
      <c r="AD47" s="115">
        <f>-'2022 Budget &amp; CF'!Z47</f>
        <v>0</v>
      </c>
      <c r="AE47" s="117">
        <f t="shared" si="13"/>
        <v>1708.13</v>
      </c>
      <c r="AF47" s="117">
        <f t="shared" si="17"/>
        <v>142.34416666666667</v>
      </c>
    </row>
    <row r="48" spans="2:32" ht="12.75" hidden="1" customHeight="1" outlineLevel="1" x14ac:dyDescent="0.2">
      <c r="B48" s="82" t="str">
        <f>Revenues!B48</f>
        <v xml:space="preserve">GIFTS &amp; DONATIONS FROM LOCAL COMMUNITY            </v>
      </c>
      <c r="C48" s="101">
        <f>Revenues!C48</f>
        <v>260</v>
      </c>
      <c r="D48" s="103" t="str">
        <f>Revenues!D48</f>
        <v>000</v>
      </c>
      <c r="E48" s="101">
        <f>Revenues!E48</f>
        <v>1920</v>
      </c>
      <c r="F48" s="107"/>
      <c r="G48" s="108"/>
      <c r="H48" s="109"/>
      <c r="I48" s="109"/>
      <c r="J48" s="338" t="str">
        <f t="shared" si="15"/>
        <v>2600001920</v>
      </c>
      <c r="K48" s="109">
        <v>2022</v>
      </c>
      <c r="L48" s="109" t="s">
        <v>348</v>
      </c>
      <c r="M48" s="109" t="s">
        <v>349</v>
      </c>
      <c r="N48" s="109" t="s">
        <v>350</v>
      </c>
      <c r="O48" s="12">
        <f>-'2022 Budget &amp; CF'!J48</f>
        <v>0</v>
      </c>
      <c r="P48" s="12">
        <f>-'2022 Budget &amp; CF'!K48</f>
        <v>0</v>
      </c>
      <c r="Q48" s="12">
        <f>-'2022 Budget &amp; CF'!L48</f>
        <v>0</v>
      </c>
      <c r="R48" s="12">
        <f>-'2022 Budget &amp; CF'!M48</f>
        <v>0</v>
      </c>
      <c r="S48" s="12">
        <f>-'2022 Budget &amp; CF'!N48</f>
        <v>0</v>
      </c>
      <c r="T48" s="12">
        <f>-'2022 Budget &amp; CF'!O48</f>
        <v>0</v>
      </c>
      <c r="U48" s="12">
        <f>-'2022 Budget &amp; CF'!P48</f>
        <v>0</v>
      </c>
      <c r="V48" s="12">
        <f>-'2022 Budget &amp; CF'!Q48</f>
        <v>0</v>
      </c>
      <c r="W48" s="12">
        <f>-'2022 Budget &amp; CF'!R48</f>
        <v>0</v>
      </c>
      <c r="X48" s="12">
        <f>-'2022 Budget &amp; CF'!S48</f>
        <v>0</v>
      </c>
      <c r="Y48" s="12">
        <f>-'2022 Budget &amp; CF'!T48</f>
        <v>0</v>
      </c>
      <c r="Z48" s="12">
        <f>-'2022 Budget &amp; CF'!U48</f>
        <v>0</v>
      </c>
      <c r="AA48" s="12">
        <f>-'2022 Budget &amp; CF'!V48</f>
        <v>0</v>
      </c>
      <c r="AB48" s="12"/>
      <c r="AC48" s="121">
        <f t="shared" si="12"/>
        <v>0</v>
      </c>
      <c r="AD48" s="115">
        <f>-'2022 Budget &amp; CF'!Z48</f>
        <v>0</v>
      </c>
      <c r="AE48" s="117">
        <f t="shared" si="13"/>
        <v>0</v>
      </c>
      <c r="AF48" s="117">
        <f t="shared" si="17"/>
        <v>0</v>
      </c>
    </row>
    <row r="49" spans="2:34" ht="12.75" hidden="1" customHeight="1" outlineLevel="1" x14ac:dyDescent="0.2">
      <c r="B49" s="88" t="str">
        <f>Revenues!B49</f>
        <v>Refund of Prior Year's Expenses</v>
      </c>
      <c r="C49" s="101">
        <f>Revenues!C49</f>
        <v>100</v>
      </c>
      <c r="D49" s="102" t="str">
        <f>Revenues!D49</f>
        <v>000</v>
      </c>
      <c r="E49" s="101">
        <f>Revenues!E49</f>
        <v>1980</v>
      </c>
      <c r="F49" s="107"/>
      <c r="G49" s="108"/>
      <c r="H49" s="109"/>
      <c r="I49" s="109"/>
      <c r="J49" s="338" t="str">
        <f t="shared" si="15"/>
        <v>1000001980</v>
      </c>
      <c r="K49" s="109">
        <v>2022</v>
      </c>
      <c r="L49" s="109" t="s">
        <v>348</v>
      </c>
      <c r="M49" s="109" t="s">
        <v>349</v>
      </c>
      <c r="N49" s="109" t="s">
        <v>350</v>
      </c>
      <c r="O49" s="12">
        <f>-'2022 Budget &amp; CF'!J49</f>
        <v>0</v>
      </c>
      <c r="P49" s="12">
        <f>-'2022 Budget &amp; CF'!K49</f>
        <v>0</v>
      </c>
      <c r="Q49" s="12">
        <f>-'2022 Budget &amp; CF'!L49</f>
        <v>0</v>
      </c>
      <c r="R49" s="12">
        <f>-'2022 Budget &amp; CF'!M49</f>
        <v>0</v>
      </c>
      <c r="S49" s="12">
        <f>-'2022 Budget &amp; CF'!N49</f>
        <v>-2692.03</v>
      </c>
      <c r="T49" s="12">
        <f>-'2022 Budget &amp; CF'!O49</f>
        <v>0</v>
      </c>
      <c r="U49" s="12">
        <f>-'2022 Budget &amp; CF'!P49</f>
        <v>0</v>
      </c>
      <c r="V49" s="12">
        <f>-'2022 Budget &amp; CF'!Q49</f>
        <v>0</v>
      </c>
      <c r="W49" s="12">
        <f>-'2022 Budget &amp; CF'!R49</f>
        <v>0</v>
      </c>
      <c r="X49" s="12">
        <f>-'2022 Budget &amp; CF'!S49</f>
        <v>0</v>
      </c>
      <c r="Y49" s="12">
        <f>-'2022 Budget &amp; CF'!T49</f>
        <v>0</v>
      </c>
      <c r="Z49" s="12">
        <f>-'2022 Budget &amp; CF'!U49</f>
        <v>0</v>
      </c>
      <c r="AA49" s="12">
        <f>-'2022 Budget &amp; CF'!V49</f>
        <v>0</v>
      </c>
      <c r="AB49" s="12"/>
      <c r="AC49" s="121">
        <f t="shared" si="12"/>
        <v>-2692.03</v>
      </c>
      <c r="AD49" s="115">
        <f>-'2022 Budget &amp; CF'!Z49</f>
        <v>0</v>
      </c>
      <c r="AE49" s="117">
        <f t="shared" si="13"/>
        <v>2692.03</v>
      </c>
      <c r="AF49" s="117">
        <f t="shared" si="17"/>
        <v>224.33583333333334</v>
      </c>
    </row>
    <row r="50" spans="2:34" ht="12.75" hidden="1" customHeight="1" outlineLevel="1" x14ac:dyDescent="0.2">
      <c r="B50" s="88" t="s">
        <v>1060</v>
      </c>
      <c r="C50" s="101">
        <v>250</v>
      </c>
      <c r="D50" s="102" t="s">
        <v>132</v>
      </c>
      <c r="E50" s="101">
        <v>5200</v>
      </c>
      <c r="F50" s="107"/>
      <c r="G50" s="108"/>
      <c r="H50" s="109"/>
      <c r="I50" s="109"/>
      <c r="J50" s="338" t="str">
        <f t="shared" si="15"/>
        <v>2502055200</v>
      </c>
      <c r="K50" s="109">
        <v>2022</v>
      </c>
      <c r="L50" s="109" t="s">
        <v>348</v>
      </c>
      <c r="M50" s="109" t="s">
        <v>349</v>
      </c>
      <c r="N50" s="109" t="s">
        <v>350</v>
      </c>
      <c r="O50" s="12">
        <f>-'2022 Budget &amp; CF'!J50</f>
        <v>0</v>
      </c>
      <c r="P50" s="12">
        <f>-'2022 Budget &amp; CF'!K50</f>
        <v>0</v>
      </c>
      <c r="Q50" s="12">
        <f>-'2022 Budget &amp; CF'!L50</f>
        <v>0</v>
      </c>
      <c r="R50" s="12">
        <f>-'2022 Budget &amp; CF'!M50</f>
        <v>0</v>
      </c>
      <c r="S50" s="12">
        <f>-'2022 Budget &amp; CF'!N50</f>
        <v>0</v>
      </c>
      <c r="T50" s="12">
        <f>-'2022 Budget &amp; CF'!O50</f>
        <v>0</v>
      </c>
      <c r="U50" s="12">
        <f>-'2022 Budget &amp; CF'!P50</f>
        <v>0</v>
      </c>
      <c r="V50" s="12">
        <f>-'2022 Budget &amp; CF'!Q50</f>
        <v>0</v>
      </c>
      <c r="W50" s="12">
        <f>-'2022 Budget &amp; CF'!R50</f>
        <v>0</v>
      </c>
      <c r="X50" s="12">
        <f>-'2022 Budget &amp; CF'!S50</f>
        <v>0</v>
      </c>
      <c r="Y50" s="12">
        <f>-'2022 Budget &amp; CF'!T50</f>
        <v>0</v>
      </c>
      <c r="Z50" s="12">
        <f>-'2022 Budget &amp; CF'!U50</f>
        <v>0</v>
      </c>
      <c r="AA50" s="12">
        <f>-'2022 Budget &amp; CF'!V50</f>
        <v>0</v>
      </c>
      <c r="AB50" s="12"/>
      <c r="AC50" s="121">
        <f t="shared" si="12"/>
        <v>0</v>
      </c>
      <c r="AD50" s="115">
        <f>-'2022 Budget &amp; CF'!Z50</f>
        <v>0</v>
      </c>
      <c r="AE50" s="117">
        <f t="shared" si="13"/>
        <v>0</v>
      </c>
      <c r="AF50" s="117">
        <f t="shared" si="17"/>
        <v>0</v>
      </c>
    </row>
    <row r="51" spans="2:34" ht="12.75" hidden="1" customHeight="1" outlineLevel="1" x14ac:dyDescent="0.2">
      <c r="B51" s="88" t="s">
        <v>815</v>
      </c>
      <c r="C51" s="101">
        <v>300</v>
      </c>
      <c r="D51" s="104" t="s">
        <v>145</v>
      </c>
      <c r="E51" s="101">
        <v>5200</v>
      </c>
      <c r="F51" s="107"/>
      <c r="G51" s="108"/>
      <c r="H51" s="109"/>
      <c r="I51" s="109"/>
      <c r="J51" s="587" t="str">
        <f t="shared" si="15"/>
        <v>3000005200</v>
      </c>
      <c r="K51" s="588">
        <v>2022</v>
      </c>
      <c r="L51" s="588" t="s">
        <v>348</v>
      </c>
      <c r="M51" s="588" t="s">
        <v>349</v>
      </c>
      <c r="N51" s="588" t="s">
        <v>350</v>
      </c>
      <c r="O51" s="12">
        <f>-'2022 Budget &amp; CF'!J51</f>
        <v>0</v>
      </c>
      <c r="P51" s="12">
        <f>-'2022 Budget &amp; CF'!K51</f>
        <v>0</v>
      </c>
      <c r="Q51" s="12">
        <f>-'2022 Budget &amp; CF'!L51</f>
        <v>0</v>
      </c>
      <c r="R51" s="12">
        <f>-'2022 Budget &amp; CF'!M51</f>
        <v>0</v>
      </c>
      <c r="S51" s="12">
        <f>-'2022 Budget &amp; CF'!N51</f>
        <v>-1559311.38</v>
      </c>
      <c r="T51" s="12">
        <f>-'2022 Budget &amp; CF'!O51</f>
        <v>0</v>
      </c>
      <c r="U51" s="12">
        <f>-'2022 Budget &amp; CF'!P51</f>
        <v>0</v>
      </c>
      <c r="V51" s="12">
        <f>-'2022 Budget &amp; CF'!Q51</f>
        <v>0</v>
      </c>
      <c r="W51" s="12">
        <f>-'2022 Budget &amp; CF'!R51</f>
        <v>0</v>
      </c>
      <c r="X51" s="12">
        <f>-'2022 Budget &amp; CF'!S51</f>
        <v>0</v>
      </c>
      <c r="Y51" s="12">
        <f>-'2022 Budget &amp; CF'!T51</f>
        <v>0</v>
      </c>
      <c r="Z51" s="12">
        <f>-'2022 Budget &amp; CF'!U51</f>
        <v>0</v>
      </c>
      <c r="AA51" s="12">
        <f>-'2022 Budget &amp; CF'!V51</f>
        <v>0</v>
      </c>
      <c r="AB51" s="12"/>
      <c r="AC51" s="121">
        <f t="shared" si="12"/>
        <v>-1559311.38</v>
      </c>
      <c r="AD51" s="115">
        <f>-'2022 Budget &amp; CF'!Z51</f>
        <v>0</v>
      </c>
      <c r="AE51" s="117">
        <f t="shared" si="13"/>
        <v>1559311.38</v>
      </c>
      <c r="AF51" s="117">
        <f t="shared" si="17"/>
        <v>129942.61499999999</v>
      </c>
    </row>
    <row r="52" spans="2:34" ht="12.75" customHeight="1" collapsed="1" x14ac:dyDescent="0.2">
      <c r="B52" s="205" t="s">
        <v>149</v>
      </c>
      <c r="C52" s="89"/>
      <c r="D52" s="89"/>
      <c r="E52" s="89"/>
      <c r="F52" s="89"/>
      <c r="G52" s="89"/>
      <c r="H52" s="90"/>
      <c r="I52" s="89"/>
      <c r="J52" s="340"/>
      <c r="K52" s="89"/>
      <c r="L52" s="89"/>
      <c r="M52" s="89"/>
      <c r="N52" s="90"/>
      <c r="O52" s="86">
        <f t="shared" ref="O52:AA52" si="18">SUM(O39:O51)</f>
        <v>0</v>
      </c>
      <c r="P52" s="86">
        <f t="shared" si="18"/>
        <v>-162</v>
      </c>
      <c r="Q52" s="86">
        <f t="shared" si="18"/>
        <v>-1777.24</v>
      </c>
      <c r="R52" s="86">
        <f t="shared" si="18"/>
        <v>-30</v>
      </c>
      <c r="S52" s="86">
        <f t="shared" si="18"/>
        <v>-1565772.99</v>
      </c>
      <c r="T52" s="86">
        <f t="shared" si="18"/>
        <v>0</v>
      </c>
      <c r="U52" s="86">
        <f t="shared" si="18"/>
        <v>0</v>
      </c>
      <c r="V52" s="86">
        <f t="shared" si="18"/>
        <v>0</v>
      </c>
      <c r="W52" s="86">
        <f t="shared" si="18"/>
        <v>0</v>
      </c>
      <c r="X52" s="86">
        <f t="shared" si="18"/>
        <v>0</v>
      </c>
      <c r="Y52" s="86">
        <f t="shared" si="18"/>
        <v>0</v>
      </c>
      <c r="Z52" s="86">
        <f t="shared" si="18"/>
        <v>0</v>
      </c>
      <c r="AA52" s="86">
        <f t="shared" si="18"/>
        <v>0</v>
      </c>
      <c r="AB52" s="86"/>
      <c r="AC52" s="86">
        <f>SUM(AC39:AC51)</f>
        <v>-1567742.23</v>
      </c>
      <c r="AD52" s="86">
        <f>SUM(AD39:AD51)</f>
        <v>-2893</v>
      </c>
      <c r="AE52" s="86">
        <f>SUM(AE39:AE51)</f>
        <v>1564849.23</v>
      </c>
      <c r="AF52" s="86">
        <f>SUM(AF39:AF51)</f>
        <v>130404.10249999999</v>
      </c>
    </row>
    <row r="53" spans="2:34" ht="12.75" customHeight="1" thickBot="1" x14ac:dyDescent="0.25">
      <c r="B53" s="206" t="s">
        <v>150</v>
      </c>
      <c r="C53" s="105"/>
      <c r="D53" s="105"/>
      <c r="E53" s="105"/>
      <c r="F53" s="105"/>
      <c r="G53" s="105"/>
      <c r="H53" s="105"/>
      <c r="I53" s="743"/>
      <c r="J53" s="341"/>
      <c r="K53" s="105"/>
      <c r="L53" s="105"/>
      <c r="M53" s="105"/>
      <c r="N53" s="105"/>
      <c r="O53" s="91">
        <f t="shared" ref="O53" si="19">SUM(O52,O38,O18)</f>
        <v>-428776.7</v>
      </c>
      <c r="P53" s="91">
        <f t="shared" ref="P53" si="20">SUM(P52,P38,P18)</f>
        <v>3877.3899999999994</v>
      </c>
      <c r="Q53" s="91">
        <f t="shared" ref="Q53:AA53" si="21">SUM(Q52,Q38,Q18)</f>
        <v>-228721.88999999998</v>
      </c>
      <c r="R53" s="91">
        <f t="shared" si="21"/>
        <v>-433110.56</v>
      </c>
      <c r="S53" s="91">
        <f t="shared" si="21"/>
        <v>-1964553.26</v>
      </c>
      <c r="T53" s="91">
        <f t="shared" si="21"/>
        <v>0</v>
      </c>
      <c r="U53" s="91">
        <f t="shared" si="21"/>
        <v>0</v>
      </c>
      <c r="V53" s="91">
        <f t="shared" si="21"/>
        <v>0</v>
      </c>
      <c r="W53" s="91">
        <f t="shared" si="21"/>
        <v>0</v>
      </c>
      <c r="X53" s="91">
        <f t="shared" si="21"/>
        <v>0</v>
      </c>
      <c r="Y53" s="91">
        <f t="shared" si="21"/>
        <v>0</v>
      </c>
      <c r="Z53" s="91">
        <f t="shared" si="21"/>
        <v>0</v>
      </c>
      <c r="AA53" s="91">
        <f t="shared" si="21"/>
        <v>0</v>
      </c>
      <c r="AB53" s="91"/>
      <c r="AC53" s="91">
        <f>SUM(AC52,AC38,AC18)</f>
        <v>-3051285.02</v>
      </c>
      <c r="AD53" s="91">
        <f>SUM(AD52,AD38,AD18)</f>
        <v>-5321566</v>
      </c>
      <c r="AE53" s="91">
        <f>SUM(AE52,AE38,AE18)</f>
        <v>-2270280.9800000004</v>
      </c>
      <c r="AF53" s="91">
        <f>SUM(AF52,AF38,AF18)</f>
        <v>-189190.08166666667</v>
      </c>
    </row>
    <row r="54" spans="2:34" ht="13.5" hidden="1" outlineLevel="1" thickTop="1" x14ac:dyDescent="0.2">
      <c r="B54" s="82" t="s">
        <v>160</v>
      </c>
      <c r="C54" s="101"/>
      <c r="D54" s="102"/>
      <c r="E54" s="101"/>
      <c r="F54" s="101"/>
      <c r="G54" s="101"/>
      <c r="H54" s="103"/>
      <c r="I54" s="103"/>
      <c r="J54" s="342"/>
      <c r="K54" s="109"/>
      <c r="L54" s="109"/>
      <c r="M54" s="109"/>
      <c r="N54" s="109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14"/>
      <c r="AD54" s="114"/>
      <c r="AE54" s="114"/>
      <c r="AF54" s="114"/>
    </row>
    <row r="55" spans="2:34" hidden="1" outlineLevel="1" x14ac:dyDescent="0.2">
      <c r="B55" s="82"/>
      <c r="C55" s="102">
        <v>100</v>
      </c>
      <c r="D55" s="102" t="s">
        <v>145</v>
      </c>
      <c r="E55" s="102"/>
      <c r="F55" s="102">
        <v>100</v>
      </c>
      <c r="G55" s="102">
        <v>1000</v>
      </c>
      <c r="H55" s="104" t="s">
        <v>161</v>
      </c>
      <c r="I55" s="104"/>
      <c r="J55" s="724" t="str">
        <f t="shared" ref="J55:J68" si="22">CONCATENATE(C55,D55,F55,G55,H55,I55)</f>
        <v>10000010010000101</v>
      </c>
      <c r="K55" s="109">
        <v>2022</v>
      </c>
      <c r="L55" s="109" t="s">
        <v>348</v>
      </c>
      <c r="M55" s="109" t="s">
        <v>349</v>
      </c>
      <c r="N55" s="109" t="s">
        <v>350</v>
      </c>
      <c r="O55" s="12">
        <f>'2022 Budget &amp; CF'!J55</f>
        <v>0</v>
      </c>
      <c r="P55" s="12">
        <f>'2022 Budget &amp; CF'!K55</f>
        <v>26760.25</v>
      </c>
      <c r="Q55" s="12">
        <f>'2022 Budget &amp; CF'!L55</f>
        <v>37636.47</v>
      </c>
      <c r="R55" s="12">
        <f>'2022 Budget &amp; CF'!M55</f>
        <v>22722.84</v>
      </c>
      <c r="S55" s="12">
        <f>'2022 Budget &amp; CF'!N55</f>
        <v>22342.39</v>
      </c>
      <c r="T55" s="12">
        <f>'2022 Budget &amp; CF'!O55</f>
        <v>0</v>
      </c>
      <c r="U55" s="12">
        <f>'2022 Budget &amp; CF'!P55</f>
        <v>0</v>
      </c>
      <c r="V55" s="12">
        <f>'2022 Budget &amp; CF'!Q55</f>
        <v>0</v>
      </c>
      <c r="W55" s="12">
        <f>'2022 Budget &amp; CF'!R55</f>
        <v>0</v>
      </c>
      <c r="X55" s="12">
        <f>'2022 Budget &amp; CF'!S55</f>
        <v>0</v>
      </c>
      <c r="Y55" s="12">
        <f>'2022 Budget &amp; CF'!T55</f>
        <v>0</v>
      </c>
      <c r="Z55" s="12">
        <f>'2022 Budget &amp; CF'!U55</f>
        <v>0</v>
      </c>
      <c r="AA55" s="12">
        <f>'2022 Budget &amp; CF'!V55</f>
        <v>0</v>
      </c>
      <c r="AB55" s="12"/>
      <c r="AC55" s="121">
        <f t="shared" ref="AC55:AC68" si="23">SUM(O55:AA55)</f>
        <v>109461.95</v>
      </c>
      <c r="AD55" s="115">
        <f>'2022 Budget &amp; CF'!Z55</f>
        <v>326360</v>
      </c>
      <c r="AE55" s="117">
        <f t="shared" ref="AE55:AE68" si="24">AD55-AC55</f>
        <v>216898.05</v>
      </c>
      <c r="AF55" s="117">
        <f t="shared" ref="AF55:AF85" si="25">AE55/$AF$6</f>
        <v>18074.837499999998</v>
      </c>
      <c r="AG55" s="62">
        <v>509104.69433099998</v>
      </c>
      <c r="AH55" s="62">
        <f>AG55-AD55</f>
        <v>182744.69433099998</v>
      </c>
    </row>
    <row r="56" spans="2:34" hidden="1" outlineLevel="1" x14ac:dyDescent="0.2">
      <c r="B56" s="82"/>
      <c r="C56" s="102">
        <v>100</v>
      </c>
      <c r="D56" s="102" t="s">
        <v>145</v>
      </c>
      <c r="E56" s="102"/>
      <c r="F56" s="102" t="s">
        <v>689</v>
      </c>
      <c r="G56" s="102">
        <v>1000</v>
      </c>
      <c r="H56" s="104" t="s">
        <v>161</v>
      </c>
      <c r="I56" s="104"/>
      <c r="J56" s="724" t="str">
        <f t="shared" si="22"/>
        <v>10000014010000101</v>
      </c>
      <c r="K56" s="109">
        <v>2022</v>
      </c>
      <c r="L56" s="109" t="s">
        <v>348</v>
      </c>
      <c r="M56" s="109" t="s">
        <v>349</v>
      </c>
      <c r="N56" s="109" t="s">
        <v>350</v>
      </c>
      <c r="O56" s="12">
        <f>'2022 Budget &amp; CF'!J56</f>
        <v>0</v>
      </c>
      <c r="P56" s="12">
        <f>'2022 Budget &amp; CF'!K56</f>
        <v>0</v>
      </c>
      <c r="Q56" s="12">
        <f>'2022 Budget &amp; CF'!L56</f>
        <v>0</v>
      </c>
      <c r="R56" s="12">
        <f>'2022 Budget &amp; CF'!M56</f>
        <v>0</v>
      </c>
      <c r="S56" s="12">
        <f>'2022 Budget &amp; CF'!N56</f>
        <v>0</v>
      </c>
      <c r="T56" s="12">
        <f>'2022 Budget &amp; CF'!O56</f>
        <v>0</v>
      </c>
      <c r="U56" s="12">
        <f>'2022 Budget &amp; CF'!P56</f>
        <v>0</v>
      </c>
      <c r="V56" s="12">
        <f>'2022 Budget &amp; CF'!Q56</f>
        <v>0</v>
      </c>
      <c r="W56" s="12">
        <f>'2022 Budget &amp; CF'!R56</f>
        <v>0</v>
      </c>
      <c r="X56" s="12">
        <f>'2022 Budget &amp; CF'!S56</f>
        <v>0</v>
      </c>
      <c r="Y56" s="12">
        <f>'2022 Budget &amp; CF'!T56</f>
        <v>0</v>
      </c>
      <c r="Z56" s="12">
        <f>'2022 Budget &amp; CF'!U56</f>
        <v>0</v>
      </c>
      <c r="AA56" s="12">
        <f>'2022 Budget &amp; CF'!V56</f>
        <v>0</v>
      </c>
      <c r="AB56" s="12"/>
      <c r="AC56" s="121">
        <f t="shared" si="23"/>
        <v>0</v>
      </c>
      <c r="AD56" s="115">
        <f>'2022 Budget &amp; CF'!Z56</f>
        <v>0</v>
      </c>
      <c r="AE56" s="117">
        <f t="shared" si="24"/>
        <v>0</v>
      </c>
      <c r="AF56" s="117">
        <f t="shared" ref="AF56:AF68" si="26">AE56/$AF$6</f>
        <v>0</v>
      </c>
    </row>
    <row r="57" spans="2:34" hidden="1" outlineLevel="1" x14ac:dyDescent="0.2">
      <c r="B57" s="82"/>
      <c r="C57" s="102" t="s">
        <v>468</v>
      </c>
      <c r="D57" s="102" t="s">
        <v>145</v>
      </c>
      <c r="E57" s="102"/>
      <c r="F57" s="102" t="s">
        <v>468</v>
      </c>
      <c r="G57" s="102" t="s">
        <v>534</v>
      </c>
      <c r="H57" s="104" t="s">
        <v>161</v>
      </c>
      <c r="I57" s="104"/>
      <c r="J57" s="724" t="str">
        <f t="shared" si="22"/>
        <v>10000010022100101</v>
      </c>
      <c r="K57" s="109">
        <v>2022</v>
      </c>
      <c r="L57" s="109" t="s">
        <v>348</v>
      </c>
      <c r="M57" s="109" t="s">
        <v>349</v>
      </c>
      <c r="N57" s="109" t="s">
        <v>350</v>
      </c>
      <c r="O57" s="12">
        <f>'2022 Budget &amp; CF'!J57</f>
        <v>0</v>
      </c>
      <c r="P57" s="12">
        <f>'2022 Budget &amp; CF'!K57</f>
        <v>0</v>
      </c>
      <c r="Q57" s="12">
        <f>'2022 Budget &amp; CF'!L57</f>
        <v>0</v>
      </c>
      <c r="R57" s="12">
        <f>'2022 Budget &amp; CF'!M57</f>
        <v>0</v>
      </c>
      <c r="S57" s="12">
        <f>'2022 Budget &amp; CF'!N57</f>
        <v>0</v>
      </c>
      <c r="T57" s="12">
        <f>'2022 Budget &amp; CF'!O57</f>
        <v>0</v>
      </c>
      <c r="U57" s="12">
        <f>'2022 Budget &amp; CF'!P57</f>
        <v>0</v>
      </c>
      <c r="V57" s="12">
        <f>'2022 Budget &amp; CF'!Q57</f>
        <v>0</v>
      </c>
      <c r="W57" s="12">
        <f>'2022 Budget &amp; CF'!R57</f>
        <v>0</v>
      </c>
      <c r="X57" s="12">
        <f>'2022 Budget &amp; CF'!S57</f>
        <v>0</v>
      </c>
      <c r="Y57" s="12">
        <f>'2022 Budget &amp; CF'!T57</f>
        <v>0</v>
      </c>
      <c r="Z57" s="12">
        <f>'2022 Budget &amp; CF'!U57</f>
        <v>0</v>
      </c>
      <c r="AA57" s="12">
        <f>'2022 Budget &amp; CF'!V57</f>
        <v>0</v>
      </c>
      <c r="AB57" s="12"/>
      <c r="AC57" s="121">
        <f t="shared" si="23"/>
        <v>0</v>
      </c>
      <c r="AD57" s="115">
        <f>'2022 Budget &amp; CF'!Z57</f>
        <v>0</v>
      </c>
      <c r="AE57" s="117">
        <f t="shared" si="24"/>
        <v>0</v>
      </c>
      <c r="AF57" s="117">
        <f t="shared" si="26"/>
        <v>0</v>
      </c>
    </row>
    <row r="58" spans="2:34" hidden="1" outlineLevel="1" x14ac:dyDescent="0.2">
      <c r="B58" s="82"/>
      <c r="C58" s="102" t="s">
        <v>462</v>
      </c>
      <c r="D58" s="102" t="s">
        <v>145</v>
      </c>
      <c r="E58" s="102"/>
      <c r="F58" s="102" t="s">
        <v>463</v>
      </c>
      <c r="G58" s="102" t="s">
        <v>461</v>
      </c>
      <c r="H58" s="104" t="s">
        <v>161</v>
      </c>
      <c r="I58" s="104"/>
      <c r="J58" s="724" t="str">
        <f t="shared" si="22"/>
        <v>25000020010000101</v>
      </c>
      <c r="K58" s="109">
        <v>2022</v>
      </c>
      <c r="L58" s="109" t="s">
        <v>348</v>
      </c>
      <c r="M58" s="109" t="s">
        <v>349</v>
      </c>
      <c r="N58" s="109" t="s">
        <v>350</v>
      </c>
      <c r="O58" s="12">
        <f>'2022 Budget &amp; CF'!J58</f>
        <v>6079.7</v>
      </c>
      <c r="P58" s="12">
        <f>'2022 Budget &amp; CF'!K58</f>
        <v>12794.88</v>
      </c>
      <c r="Q58" s="12">
        <f>'2022 Budget &amp; CF'!L58</f>
        <v>13359.64</v>
      </c>
      <c r="R58" s="12">
        <f>'2022 Budget &amp; CF'!M58</f>
        <v>16832.09</v>
      </c>
      <c r="S58" s="12">
        <f>'2022 Budget &amp; CF'!N58</f>
        <v>19185.27</v>
      </c>
      <c r="T58" s="12">
        <f>'2022 Budget &amp; CF'!O58</f>
        <v>0</v>
      </c>
      <c r="U58" s="12">
        <f>'2022 Budget &amp; CF'!P58</f>
        <v>0</v>
      </c>
      <c r="V58" s="12">
        <f>'2022 Budget &amp; CF'!Q58</f>
        <v>0</v>
      </c>
      <c r="W58" s="12">
        <f>'2022 Budget &amp; CF'!R58</f>
        <v>0</v>
      </c>
      <c r="X58" s="12">
        <f>'2022 Budget &amp; CF'!S58</f>
        <v>0</v>
      </c>
      <c r="Y58" s="12">
        <f>'2022 Budget &amp; CF'!T58</f>
        <v>0</v>
      </c>
      <c r="Z58" s="12">
        <f>'2022 Budget &amp; CF'!U58</f>
        <v>0</v>
      </c>
      <c r="AA58" s="12">
        <f>'2022 Budget &amp; CF'!V58</f>
        <v>0</v>
      </c>
      <c r="AB58" s="12"/>
      <c r="AC58" s="121">
        <f t="shared" si="23"/>
        <v>68251.58</v>
      </c>
      <c r="AD58" s="115">
        <f>'2022 Budget &amp; CF'!Z58</f>
        <v>233366</v>
      </c>
      <c r="AE58" s="117">
        <f t="shared" si="24"/>
        <v>165114.41999999998</v>
      </c>
      <c r="AF58" s="117">
        <f t="shared" si="26"/>
        <v>13759.534999999998</v>
      </c>
    </row>
    <row r="59" spans="2:34" hidden="1" outlineLevel="1" x14ac:dyDescent="0.2">
      <c r="B59" s="82"/>
      <c r="C59" s="102" t="s">
        <v>462</v>
      </c>
      <c r="D59" s="102" t="s">
        <v>132</v>
      </c>
      <c r="E59" s="102"/>
      <c r="F59" s="102" t="s">
        <v>473</v>
      </c>
      <c r="G59" s="102" t="s">
        <v>461</v>
      </c>
      <c r="H59" s="104" t="s">
        <v>161</v>
      </c>
      <c r="I59" s="104"/>
      <c r="J59" s="342" t="str">
        <f t="shared" si="22"/>
        <v>25020524010000101</v>
      </c>
      <c r="K59" s="109">
        <v>2022</v>
      </c>
      <c r="L59" s="109" t="s">
        <v>348</v>
      </c>
      <c r="M59" s="109" t="s">
        <v>349</v>
      </c>
      <c r="N59" s="109" t="s">
        <v>350</v>
      </c>
      <c r="O59" s="12">
        <f>'2022 Budget &amp; CF'!J59</f>
        <v>0</v>
      </c>
      <c r="P59" s="12">
        <f>'2022 Budget &amp; CF'!K59</f>
        <v>0</v>
      </c>
      <c r="Q59" s="12">
        <f>'2022 Budget &amp; CF'!L59</f>
        <v>0</v>
      </c>
      <c r="R59" s="12">
        <f>'2022 Budget &amp; CF'!M59</f>
        <v>0</v>
      </c>
      <c r="S59" s="12">
        <f>'2022 Budget &amp; CF'!N59</f>
        <v>0</v>
      </c>
      <c r="T59" s="12">
        <f>'2022 Budget &amp; CF'!O59</f>
        <v>0</v>
      </c>
      <c r="U59" s="12">
        <f>'2022 Budget &amp; CF'!P59</f>
        <v>0</v>
      </c>
      <c r="V59" s="12">
        <f>'2022 Budget &amp; CF'!Q59</f>
        <v>0</v>
      </c>
      <c r="W59" s="12">
        <f>'2022 Budget &amp; CF'!R59</f>
        <v>0</v>
      </c>
      <c r="X59" s="12">
        <f>'2022 Budget &amp; CF'!S59</f>
        <v>0</v>
      </c>
      <c r="Y59" s="12">
        <f>'2022 Budget &amp; CF'!T59</f>
        <v>0</v>
      </c>
      <c r="Z59" s="12">
        <f>'2022 Budget &amp; CF'!U59</f>
        <v>0</v>
      </c>
      <c r="AA59" s="12">
        <f>'2022 Budget &amp; CF'!V59</f>
        <v>0</v>
      </c>
      <c r="AB59" s="12"/>
      <c r="AC59" s="121">
        <f t="shared" si="23"/>
        <v>0</v>
      </c>
      <c r="AD59" s="115">
        <f>'2022 Budget &amp; CF'!Z59</f>
        <v>0</v>
      </c>
      <c r="AE59" s="117">
        <f t="shared" si="24"/>
        <v>0</v>
      </c>
      <c r="AF59" s="117">
        <f t="shared" si="26"/>
        <v>0</v>
      </c>
    </row>
    <row r="60" spans="2:34" hidden="1" outlineLevel="1" x14ac:dyDescent="0.2">
      <c r="B60" s="82"/>
      <c r="C60" s="102" t="s">
        <v>135</v>
      </c>
      <c r="D60" s="102" t="s">
        <v>242</v>
      </c>
      <c r="E60" s="102"/>
      <c r="F60" s="102" t="s">
        <v>532</v>
      </c>
      <c r="G60" s="101">
        <v>1000</v>
      </c>
      <c r="H60" s="103" t="str">
        <f>'2022 Budget &amp; CF'!H60</f>
        <v>0101</v>
      </c>
      <c r="I60" s="103"/>
      <c r="J60" s="342" t="str">
        <f t="shared" si="22"/>
        <v>28062443010000101</v>
      </c>
      <c r="K60" s="109">
        <v>2022</v>
      </c>
      <c r="L60" s="109" t="s">
        <v>348</v>
      </c>
      <c r="M60" s="109" t="s">
        <v>349</v>
      </c>
      <c r="N60" s="109" t="s">
        <v>350</v>
      </c>
      <c r="O60" s="12">
        <f>'2022 Budget &amp; CF'!J60</f>
        <v>0</v>
      </c>
      <c r="P60" s="12">
        <f>'2022 Budget &amp; CF'!K60</f>
        <v>0</v>
      </c>
      <c r="Q60" s="12">
        <f>'2022 Budget &amp; CF'!L60</f>
        <v>0</v>
      </c>
      <c r="R60" s="12">
        <f>'2022 Budget &amp; CF'!M60</f>
        <v>0</v>
      </c>
      <c r="S60" s="12">
        <f>'2022 Budget &amp; CF'!N60</f>
        <v>0</v>
      </c>
      <c r="T60" s="12">
        <f>'2022 Budget &amp; CF'!O60</f>
        <v>0</v>
      </c>
      <c r="U60" s="12">
        <f>'2022 Budget &amp; CF'!P60</f>
        <v>0</v>
      </c>
      <c r="V60" s="12">
        <f>'2022 Budget &amp; CF'!Q60</f>
        <v>0</v>
      </c>
      <c r="W60" s="12">
        <f>'2022 Budget &amp; CF'!R60</f>
        <v>0</v>
      </c>
      <c r="X60" s="12">
        <f>'2022 Budget &amp; CF'!S60</f>
        <v>0</v>
      </c>
      <c r="Y60" s="12">
        <f>'2022 Budget &amp; CF'!T60</f>
        <v>0</v>
      </c>
      <c r="Z60" s="12">
        <f>'2022 Budget &amp; CF'!U60</f>
        <v>0</v>
      </c>
      <c r="AA60" s="12">
        <f>'2022 Budget &amp; CF'!V60</f>
        <v>0</v>
      </c>
      <c r="AB60" s="12"/>
      <c r="AC60" s="121">
        <f t="shared" si="23"/>
        <v>0</v>
      </c>
      <c r="AD60" s="115">
        <f>'2022 Budget &amp; CF'!Z60</f>
        <v>0</v>
      </c>
      <c r="AE60" s="117">
        <f t="shared" si="24"/>
        <v>0</v>
      </c>
      <c r="AF60" s="117">
        <f t="shared" si="26"/>
        <v>0</v>
      </c>
    </row>
    <row r="61" spans="2:34" hidden="1" outlineLevel="1" x14ac:dyDescent="0.2">
      <c r="B61" s="82"/>
      <c r="C61" s="102" t="s">
        <v>135</v>
      </c>
      <c r="D61" s="102" t="s">
        <v>242</v>
      </c>
      <c r="E61" s="102"/>
      <c r="F61" s="102" t="s">
        <v>532</v>
      </c>
      <c r="G61" s="102" t="s">
        <v>534</v>
      </c>
      <c r="H61" s="104" t="s">
        <v>161</v>
      </c>
      <c r="I61" s="104"/>
      <c r="J61" s="342" t="str">
        <f t="shared" si="22"/>
        <v>28062443022100101</v>
      </c>
      <c r="K61" s="109">
        <v>2022</v>
      </c>
      <c r="L61" s="109" t="s">
        <v>348</v>
      </c>
      <c r="M61" s="109" t="s">
        <v>349</v>
      </c>
      <c r="N61" s="109" t="s">
        <v>350</v>
      </c>
      <c r="O61" s="12">
        <f>'2022 Budget &amp; CF'!J61</f>
        <v>0</v>
      </c>
      <c r="P61" s="12">
        <f>'2022 Budget &amp; CF'!K61</f>
        <v>4954.7</v>
      </c>
      <c r="Q61" s="12">
        <f>'2022 Budget &amp; CF'!L61</f>
        <v>7432.05</v>
      </c>
      <c r="R61" s="12">
        <f>'2022 Budget &amp; CF'!M61</f>
        <v>4954.7</v>
      </c>
      <c r="S61" s="12">
        <f>'2022 Budget &amp; CF'!N61</f>
        <v>4954.7</v>
      </c>
      <c r="T61" s="12">
        <f>'2022 Budget &amp; CF'!O61</f>
        <v>0</v>
      </c>
      <c r="U61" s="12">
        <f>'2022 Budget &amp; CF'!P61</f>
        <v>0</v>
      </c>
      <c r="V61" s="12">
        <f>'2022 Budget &amp; CF'!Q61</f>
        <v>0</v>
      </c>
      <c r="W61" s="12">
        <f>'2022 Budget &amp; CF'!R61</f>
        <v>0</v>
      </c>
      <c r="X61" s="12">
        <f>'2022 Budget &amp; CF'!S61</f>
        <v>0</v>
      </c>
      <c r="Y61" s="12">
        <f>'2022 Budget &amp; CF'!T61</f>
        <v>0</v>
      </c>
      <c r="Z61" s="12">
        <f>'2022 Budget &amp; CF'!U61</f>
        <v>0</v>
      </c>
      <c r="AA61" s="12">
        <f>'2022 Budget &amp; CF'!V61</f>
        <v>0</v>
      </c>
      <c r="AB61" s="12"/>
      <c r="AC61" s="121">
        <f t="shared" si="23"/>
        <v>22296.15</v>
      </c>
      <c r="AD61" s="115">
        <f>'2022 Budget &amp; CF'!Z61</f>
        <v>64411</v>
      </c>
      <c r="AE61" s="117">
        <f t="shared" si="24"/>
        <v>42114.85</v>
      </c>
      <c r="AF61" s="117">
        <f t="shared" si="26"/>
        <v>3509.5708333333332</v>
      </c>
    </row>
    <row r="62" spans="2:34" hidden="1" outlineLevel="1" x14ac:dyDescent="0.2">
      <c r="B62" s="82"/>
      <c r="C62" s="102" t="s">
        <v>135</v>
      </c>
      <c r="D62" s="102" t="s">
        <v>245</v>
      </c>
      <c r="E62" s="102"/>
      <c r="F62" s="102" t="s">
        <v>532</v>
      </c>
      <c r="G62" s="102" t="s">
        <v>461</v>
      </c>
      <c r="H62" s="104" t="s">
        <v>161</v>
      </c>
      <c r="I62" s="104"/>
      <c r="J62" s="342" t="str">
        <f t="shared" si="22"/>
        <v>28063343010000101</v>
      </c>
      <c r="K62" s="109">
        <v>2022</v>
      </c>
      <c r="L62" s="109" t="s">
        <v>348</v>
      </c>
      <c r="M62" s="109" t="s">
        <v>349</v>
      </c>
      <c r="N62" s="109" t="s">
        <v>350</v>
      </c>
      <c r="O62" s="12">
        <f>'2022 Budget &amp; CF'!J62</f>
        <v>0</v>
      </c>
      <c r="P62" s="12">
        <f>'2022 Budget &amp; CF'!K62</f>
        <v>0</v>
      </c>
      <c r="Q62" s="12">
        <f>'2022 Budget &amp; CF'!L62</f>
        <v>0</v>
      </c>
      <c r="R62" s="12">
        <f>'2022 Budget &amp; CF'!M62</f>
        <v>0</v>
      </c>
      <c r="S62" s="12">
        <f>'2022 Budget &amp; CF'!N62</f>
        <v>0</v>
      </c>
      <c r="T62" s="12">
        <f>'2022 Budget &amp; CF'!O62</f>
        <v>0</v>
      </c>
      <c r="U62" s="12">
        <f>'2022 Budget &amp; CF'!P62</f>
        <v>0</v>
      </c>
      <c r="V62" s="12">
        <f>'2022 Budget &amp; CF'!Q62</f>
        <v>0</v>
      </c>
      <c r="W62" s="12">
        <f>'2022 Budget &amp; CF'!R62</f>
        <v>0</v>
      </c>
      <c r="X62" s="12">
        <f>'2022 Budget &amp; CF'!S62</f>
        <v>0</v>
      </c>
      <c r="Y62" s="12">
        <f>'2022 Budget &amp; CF'!T62</f>
        <v>0</v>
      </c>
      <c r="Z62" s="12">
        <f>'2022 Budget &amp; CF'!U62</f>
        <v>0</v>
      </c>
      <c r="AA62" s="12">
        <f>'2022 Budget &amp; CF'!V62</f>
        <v>0</v>
      </c>
      <c r="AB62" s="12"/>
      <c r="AC62" s="121">
        <f t="shared" si="23"/>
        <v>0</v>
      </c>
      <c r="AD62" s="115">
        <f>'2022 Budget &amp; CF'!Z62</f>
        <v>0</v>
      </c>
      <c r="AE62" s="117">
        <f t="shared" si="24"/>
        <v>0</v>
      </c>
      <c r="AF62" s="117">
        <f t="shared" si="26"/>
        <v>0</v>
      </c>
    </row>
    <row r="63" spans="2:34" hidden="1" outlineLevel="1" x14ac:dyDescent="0.2">
      <c r="B63" s="82"/>
      <c r="C63" s="102" t="s">
        <v>135</v>
      </c>
      <c r="D63" s="102" t="s">
        <v>245</v>
      </c>
      <c r="E63" s="102"/>
      <c r="F63" s="102" t="s">
        <v>532</v>
      </c>
      <c r="G63" s="102" t="s">
        <v>534</v>
      </c>
      <c r="H63" s="104" t="s">
        <v>161</v>
      </c>
      <c r="I63" s="104"/>
      <c r="J63" s="342" t="str">
        <f t="shared" si="22"/>
        <v>28063343022100101</v>
      </c>
      <c r="K63" s="109">
        <v>2022</v>
      </c>
      <c r="L63" s="109" t="s">
        <v>348</v>
      </c>
      <c r="M63" s="109" t="s">
        <v>349</v>
      </c>
      <c r="N63" s="109" t="s">
        <v>350</v>
      </c>
      <c r="O63" s="12">
        <f>'2022 Budget &amp; CF'!J63</f>
        <v>0</v>
      </c>
      <c r="P63" s="12">
        <f>'2022 Budget &amp; CF'!K63</f>
        <v>5830.02</v>
      </c>
      <c r="Q63" s="12">
        <f>'2022 Budget &amp; CF'!L63</f>
        <v>8730.67</v>
      </c>
      <c r="R63" s="12">
        <f>'2022 Budget &amp; CF'!M63</f>
        <v>5830.02</v>
      </c>
      <c r="S63" s="12">
        <f>'2022 Budget &amp; CF'!N63</f>
        <v>5830.02</v>
      </c>
      <c r="T63" s="12">
        <f>'2022 Budget &amp; CF'!O63</f>
        <v>0</v>
      </c>
      <c r="U63" s="12">
        <f>'2022 Budget &amp; CF'!P63</f>
        <v>0</v>
      </c>
      <c r="V63" s="12">
        <f>'2022 Budget &amp; CF'!Q63</f>
        <v>0</v>
      </c>
      <c r="W63" s="12">
        <f>'2022 Budget &amp; CF'!R63</f>
        <v>0</v>
      </c>
      <c r="X63" s="12">
        <f>'2022 Budget &amp; CF'!S63</f>
        <v>0</v>
      </c>
      <c r="Y63" s="12">
        <f>'2022 Budget &amp; CF'!T63</f>
        <v>0</v>
      </c>
      <c r="Z63" s="12">
        <f>'2022 Budget &amp; CF'!U63</f>
        <v>0</v>
      </c>
      <c r="AA63" s="12">
        <f>'2022 Budget &amp; CF'!V63</f>
        <v>0</v>
      </c>
      <c r="AB63" s="12"/>
      <c r="AC63" s="121">
        <f t="shared" si="23"/>
        <v>26220.73</v>
      </c>
      <c r="AD63" s="115">
        <f>'2022 Budget &amp; CF'!Z63</f>
        <v>75789</v>
      </c>
      <c r="AE63" s="117">
        <f t="shared" si="24"/>
        <v>49568.270000000004</v>
      </c>
      <c r="AF63" s="117">
        <f t="shared" si="26"/>
        <v>4130.689166666667</v>
      </c>
    </row>
    <row r="64" spans="2:34" hidden="1" outlineLevel="1" x14ac:dyDescent="0.2">
      <c r="B64" s="82"/>
      <c r="C64" s="102" t="s">
        <v>135</v>
      </c>
      <c r="D64" s="102" t="s">
        <v>247</v>
      </c>
      <c r="E64" s="102"/>
      <c r="F64" s="102" t="s">
        <v>463</v>
      </c>
      <c r="G64" s="102" t="s">
        <v>461</v>
      </c>
      <c r="H64" s="104" t="s">
        <v>161</v>
      </c>
      <c r="I64" s="104"/>
      <c r="J64" s="342" t="str">
        <f t="shared" si="22"/>
        <v>28063920010000101</v>
      </c>
      <c r="K64" s="109">
        <v>2022</v>
      </c>
      <c r="L64" s="109" t="s">
        <v>348</v>
      </c>
      <c r="M64" s="109" t="s">
        <v>349</v>
      </c>
      <c r="N64" s="109" t="s">
        <v>350</v>
      </c>
      <c r="O64" s="12">
        <f>'2022 Budget &amp; CF'!J64</f>
        <v>0</v>
      </c>
      <c r="P64" s="12">
        <f>'2022 Budget &amp; CF'!K64</f>
        <v>8484.14</v>
      </c>
      <c r="Q64" s="12">
        <f>'2022 Budget &amp; CF'!L64</f>
        <v>21043.99</v>
      </c>
      <c r="R64" s="12">
        <f>'2022 Budget &amp; CF'!M64</f>
        <v>8484.14</v>
      </c>
      <c r="S64" s="12">
        <f>'2022 Budget &amp; CF'!N64</f>
        <v>8484.14</v>
      </c>
      <c r="T64" s="12">
        <f>'2022 Budget &amp; CF'!O64</f>
        <v>0</v>
      </c>
      <c r="U64" s="12">
        <f>'2022 Budget &amp; CF'!P64</f>
        <v>0</v>
      </c>
      <c r="V64" s="12">
        <f>'2022 Budget &amp; CF'!Q64</f>
        <v>0</v>
      </c>
      <c r="W64" s="12">
        <f>'2022 Budget &amp; CF'!R64</f>
        <v>0</v>
      </c>
      <c r="X64" s="12">
        <f>'2022 Budget &amp; CF'!S64</f>
        <v>0</v>
      </c>
      <c r="Y64" s="12">
        <f>'2022 Budget &amp; CF'!T64</f>
        <v>0</v>
      </c>
      <c r="Z64" s="12">
        <f>'2022 Budget &amp; CF'!U64</f>
        <v>0</v>
      </c>
      <c r="AA64" s="12">
        <f>'2022 Budget &amp; CF'!V64</f>
        <v>0</v>
      </c>
      <c r="AB64" s="12"/>
      <c r="AC64" s="121">
        <f t="shared" si="23"/>
        <v>46496.41</v>
      </c>
      <c r="AD64" s="115">
        <f>'2022 Budget &amp; CF'!Z64</f>
        <v>110294</v>
      </c>
      <c r="AE64" s="117">
        <f t="shared" si="24"/>
        <v>63797.59</v>
      </c>
      <c r="AF64" s="117">
        <f t="shared" si="26"/>
        <v>5316.4658333333327</v>
      </c>
    </row>
    <row r="65" spans="2:33" hidden="1" outlineLevel="1" x14ac:dyDescent="0.2">
      <c r="B65" s="82"/>
      <c r="C65" s="102" t="s">
        <v>135</v>
      </c>
      <c r="D65" s="102" t="s">
        <v>247</v>
      </c>
      <c r="E65" s="102"/>
      <c r="F65" s="102" t="s">
        <v>473</v>
      </c>
      <c r="G65" s="102" t="s">
        <v>461</v>
      </c>
      <c r="H65" s="104" t="s">
        <v>161</v>
      </c>
      <c r="I65" s="104"/>
      <c r="J65" s="342" t="str">
        <f t="shared" si="22"/>
        <v>28063924010000101</v>
      </c>
      <c r="K65" s="109">
        <v>2022</v>
      </c>
      <c r="L65" s="109" t="s">
        <v>348</v>
      </c>
      <c r="M65" s="109" t="s">
        <v>349</v>
      </c>
      <c r="N65" s="109" t="s">
        <v>350</v>
      </c>
      <c r="O65" s="12">
        <f>'2022 Budget &amp; CF'!J65</f>
        <v>0</v>
      </c>
      <c r="P65" s="12">
        <f>'2022 Budget &amp; CF'!K65</f>
        <v>0</v>
      </c>
      <c r="Q65" s="12">
        <f>'2022 Budget &amp; CF'!L65</f>
        <v>0</v>
      </c>
      <c r="R65" s="12">
        <f>'2022 Budget &amp; CF'!M65</f>
        <v>0</v>
      </c>
      <c r="S65" s="12">
        <f>'2022 Budget &amp; CF'!N65</f>
        <v>0</v>
      </c>
      <c r="T65" s="12">
        <f>'2022 Budget &amp; CF'!O65</f>
        <v>0</v>
      </c>
      <c r="U65" s="12">
        <f>'2022 Budget &amp; CF'!P65</f>
        <v>0</v>
      </c>
      <c r="V65" s="12">
        <f>'2022 Budget &amp; CF'!Q65</f>
        <v>0</v>
      </c>
      <c r="W65" s="12">
        <f>'2022 Budget &amp; CF'!R65</f>
        <v>0</v>
      </c>
      <c r="X65" s="12">
        <f>'2022 Budget &amp; CF'!S65</f>
        <v>0</v>
      </c>
      <c r="Y65" s="12">
        <f>'2022 Budget &amp; CF'!T65</f>
        <v>0</v>
      </c>
      <c r="Z65" s="12">
        <f>'2022 Budget &amp; CF'!U65</f>
        <v>0</v>
      </c>
      <c r="AA65" s="12">
        <f>'2022 Budget &amp; CF'!V65</f>
        <v>0</v>
      </c>
      <c r="AB65" s="12"/>
      <c r="AC65" s="121">
        <f t="shared" si="23"/>
        <v>0</v>
      </c>
      <c r="AD65" s="115">
        <f>'2022 Budget &amp; CF'!Z65</f>
        <v>0</v>
      </c>
      <c r="AE65" s="117">
        <f t="shared" si="24"/>
        <v>0</v>
      </c>
      <c r="AF65" s="117">
        <f t="shared" si="26"/>
        <v>0</v>
      </c>
    </row>
    <row r="66" spans="2:33" hidden="1" outlineLevel="1" x14ac:dyDescent="0.2">
      <c r="B66" s="82"/>
      <c r="C66" s="101">
        <v>280</v>
      </c>
      <c r="D66" s="102" t="s">
        <v>864</v>
      </c>
      <c r="E66" s="101"/>
      <c r="F66" s="101">
        <v>420</v>
      </c>
      <c r="G66" s="101">
        <v>2210</v>
      </c>
      <c r="H66" s="103" t="s">
        <v>161</v>
      </c>
      <c r="I66" s="103"/>
      <c r="J66" s="342" t="str">
        <f t="shared" si="22"/>
        <v>28065842022100101</v>
      </c>
      <c r="K66" s="109">
        <v>2022</v>
      </c>
      <c r="L66" s="109" t="s">
        <v>348</v>
      </c>
      <c r="M66" s="109" t="s">
        <v>349</v>
      </c>
      <c r="N66" s="109" t="s">
        <v>350</v>
      </c>
      <c r="O66" s="12">
        <f>'2022 Budget &amp; CF'!J66</f>
        <v>0</v>
      </c>
      <c r="P66" s="12">
        <f>'2022 Budget &amp; CF'!K66</f>
        <v>0</v>
      </c>
      <c r="Q66" s="12">
        <f>'2022 Budget &amp; CF'!L66</f>
        <v>0</v>
      </c>
      <c r="R66" s="12">
        <f>'2022 Budget &amp; CF'!M66</f>
        <v>0</v>
      </c>
      <c r="S66" s="12">
        <f>'2022 Budget &amp; CF'!N66</f>
        <v>0</v>
      </c>
      <c r="T66" s="12">
        <f>'2022 Budget &amp; CF'!O66</f>
        <v>0</v>
      </c>
      <c r="U66" s="12">
        <f>'2022 Budget &amp; CF'!P66</f>
        <v>0</v>
      </c>
      <c r="V66" s="12">
        <f>'2022 Budget &amp; CF'!Q66</f>
        <v>0</v>
      </c>
      <c r="W66" s="12">
        <f>'2022 Budget &amp; CF'!R66</f>
        <v>0</v>
      </c>
      <c r="X66" s="12">
        <f>'2022 Budget &amp; CF'!S66</f>
        <v>0</v>
      </c>
      <c r="Y66" s="12">
        <f>'2022 Budget &amp; CF'!T66</f>
        <v>0</v>
      </c>
      <c r="Z66" s="12">
        <f>'2022 Budget &amp; CF'!U66</f>
        <v>0</v>
      </c>
      <c r="AA66" s="12">
        <f>'2022 Budget &amp; CF'!V66</f>
        <v>0</v>
      </c>
      <c r="AB66" s="12"/>
      <c r="AC66" s="121">
        <f t="shared" si="23"/>
        <v>0</v>
      </c>
      <c r="AD66" s="115">
        <f>'2022 Budget &amp; CF'!Z66</f>
        <v>0</v>
      </c>
      <c r="AE66" s="117">
        <f t="shared" si="24"/>
        <v>0</v>
      </c>
      <c r="AF66" s="117">
        <f t="shared" si="26"/>
        <v>0</v>
      </c>
    </row>
    <row r="67" spans="2:33" hidden="1" outlineLevel="1" x14ac:dyDescent="0.2">
      <c r="B67" s="82"/>
      <c r="C67" s="102" t="s">
        <v>135</v>
      </c>
      <c r="D67" s="102" t="s">
        <v>923</v>
      </c>
      <c r="E67" s="102"/>
      <c r="F67" s="102" t="s">
        <v>468</v>
      </c>
      <c r="G67" s="101">
        <v>1000</v>
      </c>
      <c r="H67" s="103" t="str">
        <f>'2022 Budget &amp; CF'!H67</f>
        <v>0101</v>
      </c>
      <c r="I67" s="103"/>
      <c r="J67" s="342" t="str">
        <f t="shared" si="22"/>
        <v>28066110010000101</v>
      </c>
      <c r="K67" s="109">
        <v>2022</v>
      </c>
      <c r="L67" s="109" t="s">
        <v>348</v>
      </c>
      <c r="M67" s="109" t="s">
        <v>349</v>
      </c>
      <c r="N67" s="109" t="s">
        <v>350</v>
      </c>
      <c r="O67" s="12">
        <f>'2022 Budget &amp; CF'!J67</f>
        <v>0</v>
      </c>
      <c r="P67" s="12">
        <f>'2022 Budget &amp; CF'!K67</f>
        <v>4782.6400000000003</v>
      </c>
      <c r="Q67" s="12">
        <f>'2022 Budget &amp; CF'!L67</f>
        <v>7162.18</v>
      </c>
      <c r="R67" s="12">
        <f>'2022 Budget &amp; CF'!M67</f>
        <v>4782.6400000000003</v>
      </c>
      <c r="S67" s="12">
        <f>'2022 Budget &amp; CF'!N67</f>
        <v>4782.6400000000003</v>
      </c>
      <c r="T67" s="12">
        <f>'2022 Budget &amp; CF'!O67</f>
        <v>0</v>
      </c>
      <c r="U67" s="12">
        <f>'2022 Budget &amp; CF'!P67</f>
        <v>0</v>
      </c>
      <c r="V67" s="12">
        <f>'2022 Budget &amp; CF'!Q67</f>
        <v>0</v>
      </c>
      <c r="W67" s="12">
        <f>'2022 Budget &amp; CF'!R67</f>
        <v>0</v>
      </c>
      <c r="X67" s="12">
        <f>'2022 Budget &amp; CF'!S67</f>
        <v>0</v>
      </c>
      <c r="Y67" s="12">
        <f>'2022 Budget &amp; CF'!T67</f>
        <v>0</v>
      </c>
      <c r="Z67" s="12">
        <f>'2022 Budget &amp; CF'!U67</f>
        <v>0</v>
      </c>
      <c r="AA67" s="12">
        <f>'2022 Budget &amp; CF'!V67</f>
        <v>0</v>
      </c>
      <c r="AB67" s="12"/>
      <c r="AC67" s="121">
        <f t="shared" si="23"/>
        <v>21510.1</v>
      </c>
      <c r="AD67" s="115">
        <f>'2022 Budget &amp; CF'!Z67</f>
        <v>62174</v>
      </c>
      <c r="AE67" s="117">
        <f t="shared" si="24"/>
        <v>40663.9</v>
      </c>
      <c r="AF67" s="117">
        <f t="shared" si="26"/>
        <v>3388.6583333333333</v>
      </c>
    </row>
    <row r="68" spans="2:33" hidden="1" outlineLevel="1" x14ac:dyDescent="0.2">
      <c r="B68" s="82"/>
      <c r="C68" s="101">
        <v>280</v>
      </c>
      <c r="D68" s="102" t="s">
        <v>249</v>
      </c>
      <c r="E68" s="101"/>
      <c r="F68" s="101">
        <v>100</v>
      </c>
      <c r="G68" s="101">
        <v>1000</v>
      </c>
      <c r="H68" s="103" t="str">
        <f>'2022 Budget &amp; CF'!H68</f>
        <v>0101</v>
      </c>
      <c r="I68" s="103"/>
      <c r="J68" s="342" t="str">
        <f t="shared" si="22"/>
        <v>28070910010000101</v>
      </c>
      <c r="K68" s="109">
        <v>2022</v>
      </c>
      <c r="L68" s="109" t="s">
        <v>348</v>
      </c>
      <c r="M68" s="109" t="s">
        <v>349</v>
      </c>
      <c r="N68" s="109" t="s">
        <v>350</v>
      </c>
      <c r="O68" s="12">
        <f>'2022 Budget &amp; CF'!J68</f>
        <v>0</v>
      </c>
      <c r="P68" s="12">
        <f>'2022 Budget &amp; CF'!K68</f>
        <v>0</v>
      </c>
      <c r="Q68" s="12">
        <f>'2022 Budget &amp; CF'!L68</f>
        <v>0</v>
      </c>
      <c r="R68" s="12">
        <f>'2022 Budget &amp; CF'!M68</f>
        <v>0</v>
      </c>
      <c r="S68" s="12">
        <f>'2022 Budget &amp; CF'!N68</f>
        <v>0</v>
      </c>
      <c r="T68" s="12">
        <f>'2022 Budget &amp; CF'!O68</f>
        <v>0</v>
      </c>
      <c r="U68" s="12">
        <f>'2022 Budget &amp; CF'!P68</f>
        <v>0</v>
      </c>
      <c r="V68" s="12">
        <f>'2022 Budget &amp; CF'!Q68</f>
        <v>0</v>
      </c>
      <c r="W68" s="12">
        <f>'2022 Budget &amp; CF'!R68</f>
        <v>0</v>
      </c>
      <c r="X68" s="12">
        <f>'2022 Budget &amp; CF'!S68</f>
        <v>0</v>
      </c>
      <c r="Y68" s="12">
        <f>'2022 Budget &amp; CF'!T68</f>
        <v>0</v>
      </c>
      <c r="Z68" s="12">
        <f>'2022 Budget &amp; CF'!U68</f>
        <v>0</v>
      </c>
      <c r="AA68" s="12">
        <f>'2022 Budget &amp; CF'!V68</f>
        <v>0</v>
      </c>
      <c r="AB68" s="12"/>
      <c r="AC68" s="121">
        <f t="shared" si="23"/>
        <v>0</v>
      </c>
      <c r="AD68" s="115">
        <f>'2022 Budget &amp; CF'!Z68</f>
        <v>0</v>
      </c>
      <c r="AE68" s="117">
        <f t="shared" si="24"/>
        <v>0</v>
      </c>
      <c r="AF68" s="117">
        <f t="shared" si="26"/>
        <v>0</v>
      </c>
      <c r="AG68" s="62">
        <f>SUM(AD55:AD68)</f>
        <v>872394</v>
      </c>
    </row>
    <row r="69" spans="2:33" hidden="1" outlineLevel="1" x14ac:dyDescent="0.2">
      <c r="B69" s="82"/>
      <c r="C69" s="102"/>
      <c r="D69" s="102"/>
      <c r="E69" s="102"/>
      <c r="F69" s="102"/>
      <c r="G69" s="102"/>
      <c r="H69" s="104"/>
      <c r="I69" s="104"/>
      <c r="J69" s="342"/>
      <c r="K69" s="109"/>
      <c r="L69" s="109"/>
      <c r="M69" s="109"/>
      <c r="N69" s="109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14"/>
      <c r="AD69" s="114"/>
      <c r="AE69" s="114"/>
      <c r="AF69" s="114"/>
    </row>
    <row r="70" spans="2:33" hidden="1" outlineLevel="1" x14ac:dyDescent="0.2">
      <c r="B70" s="82" t="s">
        <v>1044</v>
      </c>
      <c r="C70" s="102" t="s">
        <v>468</v>
      </c>
      <c r="D70" s="102" t="s">
        <v>145</v>
      </c>
      <c r="E70" s="102"/>
      <c r="F70" s="102" t="s">
        <v>468</v>
      </c>
      <c r="G70" s="102" t="s">
        <v>461</v>
      </c>
      <c r="H70" s="104" t="s">
        <v>1043</v>
      </c>
      <c r="I70" s="104"/>
      <c r="J70" s="724" t="str">
        <f t="shared" ref="J70:J78" si="27">CONCATENATE(C70,D70,F70,G70,H70,I70)</f>
        <v>10000010010000151</v>
      </c>
      <c r="K70" s="109">
        <v>2022</v>
      </c>
      <c r="L70" s="109" t="s">
        <v>348</v>
      </c>
      <c r="M70" s="109" t="s">
        <v>349</v>
      </c>
      <c r="N70" s="109" t="s">
        <v>350</v>
      </c>
      <c r="O70" s="12">
        <f>'2022 Budget &amp; CF'!J70</f>
        <v>0</v>
      </c>
      <c r="P70" s="12">
        <f>'2022 Budget &amp; CF'!K70</f>
        <v>0</v>
      </c>
      <c r="Q70" s="12">
        <f>'2022 Budget &amp; CF'!L70</f>
        <v>0</v>
      </c>
      <c r="R70" s="12">
        <f>'2022 Budget &amp; CF'!M70</f>
        <v>12006.25</v>
      </c>
      <c r="S70" s="12">
        <f>'2022 Budget &amp; CF'!N70</f>
        <v>0</v>
      </c>
      <c r="T70" s="12">
        <f>'2022 Budget &amp; CF'!O70</f>
        <v>0</v>
      </c>
      <c r="U70" s="12">
        <f>'2022 Budget &amp; CF'!P70</f>
        <v>0</v>
      </c>
      <c r="V70" s="12">
        <f>'2022 Budget &amp; CF'!Q70</f>
        <v>0</v>
      </c>
      <c r="W70" s="12">
        <f>'2022 Budget &amp; CF'!R70</f>
        <v>0</v>
      </c>
      <c r="X70" s="12">
        <f>'2022 Budget &amp; CF'!S70</f>
        <v>0</v>
      </c>
      <c r="Y70" s="12">
        <f>'2022 Budget &amp; CF'!T70</f>
        <v>0</v>
      </c>
      <c r="Z70" s="12">
        <f>'2022 Budget &amp; CF'!U70</f>
        <v>0</v>
      </c>
      <c r="AA70" s="12">
        <f>'2022 Budget &amp; CF'!V70</f>
        <v>0</v>
      </c>
      <c r="AB70" s="12"/>
      <c r="AC70" s="121">
        <f t="shared" ref="AC70:AC78" si="28">SUM(O70:AA70)</f>
        <v>12006.25</v>
      </c>
      <c r="AD70" s="115">
        <f>'2022 Budget &amp; CF'!Z70</f>
        <v>0</v>
      </c>
      <c r="AE70" s="117">
        <f t="shared" ref="AE70:AE78" si="29">AD70-AC70</f>
        <v>-12006.25</v>
      </c>
      <c r="AF70" s="117">
        <f t="shared" ref="AF70" si="30">AE70/$AF$6</f>
        <v>-1000.5208333333334</v>
      </c>
    </row>
    <row r="71" spans="2:33" hidden="1" outlineLevel="1" x14ac:dyDescent="0.2">
      <c r="B71" s="82" t="s">
        <v>1044</v>
      </c>
      <c r="C71" s="101">
        <v>100</v>
      </c>
      <c r="D71" s="102" t="s">
        <v>145</v>
      </c>
      <c r="E71" s="101"/>
      <c r="F71" s="101">
        <v>100</v>
      </c>
      <c r="G71" s="102" t="s">
        <v>534</v>
      </c>
      <c r="H71" s="104" t="s">
        <v>1043</v>
      </c>
      <c r="I71" s="104"/>
      <c r="J71" s="724" t="str">
        <f t="shared" si="27"/>
        <v>10000010022100151</v>
      </c>
      <c r="K71" s="109">
        <v>2022</v>
      </c>
      <c r="L71" s="109" t="s">
        <v>348</v>
      </c>
      <c r="M71" s="109" t="s">
        <v>349</v>
      </c>
      <c r="N71" s="109" t="s">
        <v>350</v>
      </c>
      <c r="O71" s="12">
        <f>'2022 Budget &amp; CF'!J71</f>
        <v>0</v>
      </c>
      <c r="P71" s="12">
        <f>'2022 Budget &amp; CF'!K71</f>
        <v>0</v>
      </c>
      <c r="Q71" s="12">
        <f>'2022 Budget &amp; CF'!L71</f>
        <v>0</v>
      </c>
      <c r="R71" s="12">
        <f>'2022 Budget &amp; CF'!M71</f>
        <v>0</v>
      </c>
      <c r="S71" s="12">
        <f>'2022 Budget &amp; CF'!N71</f>
        <v>0</v>
      </c>
      <c r="T71" s="12">
        <f>'2022 Budget &amp; CF'!O71</f>
        <v>0</v>
      </c>
      <c r="U71" s="12">
        <f>'2022 Budget &amp; CF'!P71</f>
        <v>0</v>
      </c>
      <c r="V71" s="12">
        <f>'2022 Budget &amp; CF'!Q71</f>
        <v>0</v>
      </c>
      <c r="W71" s="12">
        <f>'2022 Budget &amp; CF'!R71</f>
        <v>0</v>
      </c>
      <c r="X71" s="12">
        <f>'2022 Budget &amp; CF'!S71</f>
        <v>0</v>
      </c>
      <c r="Y71" s="12">
        <f>'2022 Budget &amp; CF'!T71</f>
        <v>0</v>
      </c>
      <c r="Z71" s="12">
        <f>'2022 Budget &amp; CF'!U71</f>
        <v>0</v>
      </c>
      <c r="AA71" s="12">
        <f>'2022 Budget &amp; CF'!V71</f>
        <v>0</v>
      </c>
      <c r="AB71" s="12"/>
      <c r="AC71" s="121">
        <f t="shared" si="28"/>
        <v>0</v>
      </c>
      <c r="AD71" s="115">
        <f>'2022 Budget &amp; CF'!Z71</f>
        <v>0</v>
      </c>
      <c r="AE71" s="117">
        <f t="shared" si="29"/>
        <v>0</v>
      </c>
      <c r="AF71" s="117">
        <f t="shared" ref="AF71:AF83" si="31">AE71/$AF$6</f>
        <v>0</v>
      </c>
    </row>
    <row r="72" spans="2:33" hidden="1" outlineLevel="1" x14ac:dyDescent="0.2">
      <c r="B72" s="82" t="s">
        <v>1044</v>
      </c>
      <c r="C72" s="102" t="s">
        <v>462</v>
      </c>
      <c r="D72" s="102" t="s">
        <v>145</v>
      </c>
      <c r="E72" s="102"/>
      <c r="F72" s="102" t="s">
        <v>463</v>
      </c>
      <c r="G72" s="102" t="s">
        <v>461</v>
      </c>
      <c r="H72" s="104" t="s">
        <v>1043</v>
      </c>
      <c r="I72" s="104"/>
      <c r="J72" s="724" t="str">
        <f t="shared" si="27"/>
        <v>25000020010000151</v>
      </c>
      <c r="K72" s="109">
        <v>2022</v>
      </c>
      <c r="L72" s="109" t="s">
        <v>348</v>
      </c>
      <c r="M72" s="109" t="s">
        <v>349</v>
      </c>
      <c r="N72" s="109" t="s">
        <v>350</v>
      </c>
      <c r="O72" s="12">
        <f>'2022 Budget &amp; CF'!J72</f>
        <v>0</v>
      </c>
      <c r="P72" s="12">
        <f>'2022 Budget &amp; CF'!K72</f>
        <v>0</v>
      </c>
      <c r="Q72" s="12">
        <f>'2022 Budget &amp; CF'!L72</f>
        <v>0</v>
      </c>
      <c r="R72" s="12">
        <f>'2022 Budget &amp; CF'!M72</f>
        <v>2943.5</v>
      </c>
      <c r="S72" s="12">
        <f>'2022 Budget &amp; CF'!N72</f>
        <v>0</v>
      </c>
      <c r="T72" s="12">
        <f>'2022 Budget &amp; CF'!O72</f>
        <v>0</v>
      </c>
      <c r="U72" s="12">
        <f>'2022 Budget &amp; CF'!P72</f>
        <v>0</v>
      </c>
      <c r="V72" s="12">
        <f>'2022 Budget &amp; CF'!Q72</f>
        <v>0</v>
      </c>
      <c r="W72" s="12">
        <f>'2022 Budget &amp; CF'!R72</f>
        <v>0</v>
      </c>
      <c r="X72" s="12">
        <f>'2022 Budget &amp; CF'!S72</f>
        <v>0</v>
      </c>
      <c r="Y72" s="12">
        <f>'2022 Budget &amp; CF'!T72</f>
        <v>0</v>
      </c>
      <c r="Z72" s="12">
        <f>'2022 Budget &amp; CF'!U72</f>
        <v>0</v>
      </c>
      <c r="AA72" s="12">
        <f>'2022 Budget &amp; CF'!V72</f>
        <v>0</v>
      </c>
      <c r="AB72" s="12"/>
      <c r="AC72" s="121">
        <f t="shared" si="28"/>
        <v>2943.5</v>
      </c>
      <c r="AD72" s="115">
        <f>'2022 Budget &amp; CF'!Z72</f>
        <v>0</v>
      </c>
      <c r="AE72" s="117">
        <f t="shared" si="29"/>
        <v>-2943.5</v>
      </c>
      <c r="AF72" s="117">
        <f t="shared" si="31"/>
        <v>-245.29166666666666</v>
      </c>
    </row>
    <row r="73" spans="2:33" hidden="1" outlineLevel="1" x14ac:dyDescent="0.2">
      <c r="B73" s="82" t="s">
        <v>1044</v>
      </c>
      <c r="C73" s="102" t="s">
        <v>135</v>
      </c>
      <c r="D73" s="102" t="s">
        <v>242</v>
      </c>
      <c r="E73" s="102"/>
      <c r="F73" s="102" t="s">
        <v>532</v>
      </c>
      <c r="G73" s="102" t="s">
        <v>461</v>
      </c>
      <c r="H73" s="104" t="s">
        <v>1043</v>
      </c>
      <c r="I73" s="104"/>
      <c r="J73" s="724" t="str">
        <f t="shared" si="27"/>
        <v>28062443010000151</v>
      </c>
      <c r="K73" s="109">
        <v>2022</v>
      </c>
      <c r="L73" s="109" t="s">
        <v>348</v>
      </c>
      <c r="M73" s="109" t="s">
        <v>349</v>
      </c>
      <c r="N73" s="109" t="s">
        <v>350</v>
      </c>
      <c r="O73" s="12">
        <f>'2022 Budget &amp; CF'!J73</f>
        <v>0</v>
      </c>
      <c r="P73" s="12">
        <f>'2022 Budget &amp; CF'!K73</f>
        <v>0</v>
      </c>
      <c r="Q73" s="12">
        <f>'2022 Budget &amp; CF'!L73</f>
        <v>0</v>
      </c>
      <c r="R73" s="12">
        <f>'2022 Budget &amp; CF'!M73</f>
        <v>3800</v>
      </c>
      <c r="S73" s="12">
        <f>'2022 Budget &amp; CF'!N73</f>
        <v>0</v>
      </c>
      <c r="T73" s="12">
        <f>'2022 Budget &amp; CF'!O73</f>
        <v>0</v>
      </c>
      <c r="U73" s="12">
        <f>'2022 Budget &amp; CF'!P73</f>
        <v>0</v>
      </c>
      <c r="V73" s="12">
        <f>'2022 Budget &amp; CF'!Q73</f>
        <v>0</v>
      </c>
      <c r="W73" s="12">
        <f>'2022 Budget &amp; CF'!R73</f>
        <v>0</v>
      </c>
      <c r="X73" s="12">
        <f>'2022 Budget &amp; CF'!S73</f>
        <v>0</v>
      </c>
      <c r="Y73" s="12">
        <f>'2022 Budget &amp; CF'!T73</f>
        <v>0</v>
      </c>
      <c r="Z73" s="12">
        <f>'2022 Budget &amp; CF'!U73</f>
        <v>0</v>
      </c>
      <c r="AA73" s="12">
        <f>'2022 Budget &amp; CF'!V73</f>
        <v>0</v>
      </c>
      <c r="AB73" s="12"/>
      <c r="AC73" s="121">
        <f t="shared" si="28"/>
        <v>3800</v>
      </c>
      <c r="AD73" s="115">
        <f>'2022 Budget &amp; CF'!Z73</f>
        <v>6000</v>
      </c>
      <c r="AE73" s="117">
        <f t="shared" si="29"/>
        <v>2200</v>
      </c>
      <c r="AF73" s="117">
        <f t="shared" si="31"/>
        <v>183.33333333333334</v>
      </c>
    </row>
    <row r="74" spans="2:33" hidden="1" outlineLevel="1" x14ac:dyDescent="0.2">
      <c r="B74" s="82" t="s">
        <v>1044</v>
      </c>
      <c r="C74" s="102" t="s">
        <v>135</v>
      </c>
      <c r="D74" s="102" t="s">
        <v>242</v>
      </c>
      <c r="E74" s="102"/>
      <c r="F74" s="102" t="s">
        <v>532</v>
      </c>
      <c r="G74" s="102" t="s">
        <v>534</v>
      </c>
      <c r="H74" s="104" t="s">
        <v>1043</v>
      </c>
      <c r="I74" s="104"/>
      <c r="J74" s="724" t="str">
        <f t="shared" si="27"/>
        <v>28062443022100151</v>
      </c>
      <c r="K74" s="109">
        <v>2022</v>
      </c>
      <c r="L74" s="109" t="s">
        <v>348</v>
      </c>
      <c r="M74" s="109" t="s">
        <v>349</v>
      </c>
      <c r="N74" s="109" t="s">
        <v>350</v>
      </c>
      <c r="O74" s="12">
        <f>'2022 Budget &amp; CF'!J74</f>
        <v>0</v>
      </c>
      <c r="P74" s="12">
        <f>'2022 Budget &amp; CF'!K74</f>
        <v>0</v>
      </c>
      <c r="Q74" s="12">
        <f>'2022 Budget &amp; CF'!L74</f>
        <v>0</v>
      </c>
      <c r="R74" s="12">
        <f>'2022 Budget &amp; CF'!M74</f>
        <v>375</v>
      </c>
      <c r="S74" s="12">
        <f>'2022 Budget &amp; CF'!N74</f>
        <v>0</v>
      </c>
      <c r="T74" s="12">
        <f>'2022 Budget &amp; CF'!O74</f>
        <v>0</v>
      </c>
      <c r="U74" s="12">
        <f>'2022 Budget &amp; CF'!P74</f>
        <v>0</v>
      </c>
      <c r="V74" s="12">
        <f>'2022 Budget &amp; CF'!Q74</f>
        <v>0</v>
      </c>
      <c r="W74" s="12">
        <f>'2022 Budget &amp; CF'!R74</f>
        <v>0</v>
      </c>
      <c r="X74" s="12">
        <f>'2022 Budget &amp; CF'!S74</f>
        <v>0</v>
      </c>
      <c r="Y74" s="12">
        <f>'2022 Budget &amp; CF'!T74</f>
        <v>0</v>
      </c>
      <c r="Z74" s="12">
        <f>'2022 Budget &amp; CF'!U74</f>
        <v>0</v>
      </c>
      <c r="AA74" s="12">
        <f>'2022 Budget &amp; CF'!V74</f>
        <v>0</v>
      </c>
      <c r="AB74" s="12"/>
      <c r="AC74" s="121">
        <f t="shared" si="28"/>
        <v>375</v>
      </c>
      <c r="AD74" s="115">
        <f>'2022 Budget &amp; CF'!Z74</f>
        <v>0</v>
      </c>
      <c r="AE74" s="117">
        <f t="shared" si="29"/>
        <v>-375</v>
      </c>
      <c r="AF74" s="117">
        <f t="shared" si="31"/>
        <v>-31.25</v>
      </c>
    </row>
    <row r="75" spans="2:33" hidden="1" outlineLevel="1" x14ac:dyDescent="0.2">
      <c r="B75" s="82" t="s">
        <v>1044</v>
      </c>
      <c r="C75" s="102" t="s">
        <v>135</v>
      </c>
      <c r="D75" s="102" t="s">
        <v>864</v>
      </c>
      <c r="E75" s="102"/>
      <c r="F75" s="102" t="s">
        <v>557</v>
      </c>
      <c r="G75" s="102" t="s">
        <v>534</v>
      </c>
      <c r="H75" s="104" t="s">
        <v>1043</v>
      </c>
      <c r="I75" s="104"/>
      <c r="J75" s="724" t="str">
        <f t="shared" si="27"/>
        <v>28065842022100151</v>
      </c>
      <c r="K75" s="109">
        <v>2022</v>
      </c>
      <c r="L75" s="109" t="s">
        <v>348</v>
      </c>
      <c r="M75" s="109" t="s">
        <v>349</v>
      </c>
      <c r="N75" s="109" t="s">
        <v>350</v>
      </c>
      <c r="O75" s="12">
        <f>'2022 Budget &amp; CF'!J75</f>
        <v>0</v>
      </c>
      <c r="P75" s="12">
        <f>'2022 Budget &amp; CF'!K75</f>
        <v>0</v>
      </c>
      <c r="Q75" s="12">
        <f>'2022 Budget &amp; CF'!L75</f>
        <v>0</v>
      </c>
      <c r="R75" s="12">
        <f>'2022 Budget &amp; CF'!M75</f>
        <v>0</v>
      </c>
      <c r="S75" s="12">
        <f>'2022 Budget &amp; CF'!N75</f>
        <v>0</v>
      </c>
      <c r="T75" s="12">
        <f>'2022 Budget &amp; CF'!O75</f>
        <v>0</v>
      </c>
      <c r="U75" s="12">
        <f>'2022 Budget &amp; CF'!P75</f>
        <v>0</v>
      </c>
      <c r="V75" s="12">
        <f>'2022 Budget &amp; CF'!Q75</f>
        <v>0</v>
      </c>
      <c r="W75" s="12">
        <f>'2022 Budget &amp; CF'!R75</f>
        <v>0</v>
      </c>
      <c r="X75" s="12">
        <f>'2022 Budget &amp; CF'!S75</f>
        <v>0</v>
      </c>
      <c r="Y75" s="12">
        <f>'2022 Budget &amp; CF'!T75</f>
        <v>0</v>
      </c>
      <c r="Z75" s="12">
        <f>'2022 Budget &amp; CF'!U75</f>
        <v>0</v>
      </c>
      <c r="AA75" s="12">
        <f>'2022 Budget &amp; CF'!V75</f>
        <v>0</v>
      </c>
      <c r="AB75" s="12"/>
      <c r="AC75" s="121">
        <f t="shared" si="28"/>
        <v>0</v>
      </c>
      <c r="AD75" s="115">
        <f>'2022 Budget &amp; CF'!Z75</f>
        <v>0</v>
      </c>
      <c r="AE75" s="117">
        <f t="shared" si="29"/>
        <v>0</v>
      </c>
      <c r="AF75" s="117">
        <f t="shared" si="31"/>
        <v>0</v>
      </c>
    </row>
    <row r="76" spans="2:33" hidden="1" outlineLevel="1" x14ac:dyDescent="0.2">
      <c r="B76" s="82" t="s">
        <v>1044</v>
      </c>
      <c r="C76" s="102" t="s">
        <v>135</v>
      </c>
      <c r="D76" s="102" t="s">
        <v>923</v>
      </c>
      <c r="E76" s="102"/>
      <c r="F76" s="102" t="s">
        <v>468</v>
      </c>
      <c r="G76" s="102" t="s">
        <v>461</v>
      </c>
      <c r="H76" s="104" t="s">
        <v>1043</v>
      </c>
      <c r="I76" s="104"/>
      <c r="J76" s="724" t="str">
        <f t="shared" si="27"/>
        <v>28066110010000151</v>
      </c>
      <c r="K76" s="109">
        <v>2022</v>
      </c>
      <c r="L76" s="109" t="s">
        <v>348</v>
      </c>
      <c r="M76" s="109" t="s">
        <v>349</v>
      </c>
      <c r="N76" s="109" t="s">
        <v>350</v>
      </c>
      <c r="O76" s="12">
        <f>'2022 Budget &amp; CF'!J76</f>
        <v>0</v>
      </c>
      <c r="P76" s="12">
        <f>'2022 Budget &amp; CF'!K76</f>
        <v>3500</v>
      </c>
      <c r="Q76" s="12">
        <f>'2022 Budget &amp; CF'!L76</f>
        <v>0</v>
      </c>
      <c r="R76" s="12">
        <f>'2022 Budget &amp; CF'!M76</f>
        <v>0</v>
      </c>
      <c r="S76" s="12">
        <f>'2022 Budget &amp; CF'!N76</f>
        <v>0</v>
      </c>
      <c r="T76" s="12">
        <f>'2022 Budget &amp; CF'!O76</f>
        <v>0</v>
      </c>
      <c r="U76" s="12">
        <f>'2022 Budget &amp; CF'!P76</f>
        <v>0</v>
      </c>
      <c r="V76" s="12">
        <f>'2022 Budget &amp; CF'!Q76</f>
        <v>0</v>
      </c>
      <c r="W76" s="12">
        <f>'2022 Budget &amp; CF'!R76</f>
        <v>0</v>
      </c>
      <c r="X76" s="12">
        <f>'2022 Budget &amp; CF'!S76</f>
        <v>0</v>
      </c>
      <c r="Y76" s="12">
        <f>'2022 Budget &amp; CF'!T76</f>
        <v>0</v>
      </c>
      <c r="Z76" s="12">
        <f>'2022 Budget &amp; CF'!U76</f>
        <v>0</v>
      </c>
      <c r="AA76" s="12">
        <f>'2022 Budget &amp; CF'!V76</f>
        <v>0</v>
      </c>
      <c r="AB76" s="12"/>
      <c r="AC76" s="121">
        <f t="shared" si="28"/>
        <v>3500</v>
      </c>
      <c r="AD76" s="115">
        <f>'2022 Budget &amp; CF'!Z76</f>
        <v>80400</v>
      </c>
      <c r="AE76" s="117">
        <f t="shared" si="29"/>
        <v>76900</v>
      </c>
      <c r="AF76" s="117">
        <f t="shared" si="31"/>
        <v>6408.333333333333</v>
      </c>
    </row>
    <row r="77" spans="2:33" hidden="1" outlineLevel="1" x14ac:dyDescent="0.2">
      <c r="B77" s="82" t="s">
        <v>1044</v>
      </c>
      <c r="C77" s="102" t="s">
        <v>135</v>
      </c>
      <c r="D77" s="102" t="s">
        <v>249</v>
      </c>
      <c r="E77" s="102"/>
      <c r="F77" s="102" t="s">
        <v>468</v>
      </c>
      <c r="G77" s="102" t="s">
        <v>461</v>
      </c>
      <c r="H77" s="104" t="s">
        <v>1043</v>
      </c>
      <c r="I77" s="104"/>
      <c r="J77" s="342" t="str">
        <f t="shared" si="27"/>
        <v>28070910010000151</v>
      </c>
      <c r="K77" s="109">
        <v>2022</v>
      </c>
      <c r="L77" s="109" t="s">
        <v>348</v>
      </c>
      <c r="M77" s="109" t="s">
        <v>349</v>
      </c>
      <c r="N77" s="109" t="s">
        <v>350</v>
      </c>
      <c r="O77" s="12">
        <f>'2022 Budget &amp; CF'!J77</f>
        <v>0</v>
      </c>
      <c r="P77" s="12">
        <f>'2022 Budget &amp; CF'!K77</f>
        <v>5000</v>
      </c>
      <c r="Q77" s="12">
        <f>'2022 Budget &amp; CF'!L77</f>
        <v>0</v>
      </c>
      <c r="R77" s="12">
        <f>'2022 Budget &amp; CF'!M77</f>
        <v>0</v>
      </c>
      <c r="S77" s="12">
        <f>'2022 Budget &amp; CF'!N77</f>
        <v>0</v>
      </c>
      <c r="T77" s="12">
        <f>'2022 Budget &amp; CF'!O77</f>
        <v>0</v>
      </c>
      <c r="U77" s="12">
        <f>'2022 Budget &amp; CF'!P77</f>
        <v>0</v>
      </c>
      <c r="V77" s="12">
        <f>'2022 Budget &amp; CF'!Q77</f>
        <v>0</v>
      </c>
      <c r="W77" s="12">
        <f>'2022 Budget &amp; CF'!R77</f>
        <v>0</v>
      </c>
      <c r="X77" s="12">
        <f>'2022 Budget &amp; CF'!S77</f>
        <v>0</v>
      </c>
      <c r="Y77" s="12">
        <f>'2022 Budget &amp; CF'!T77</f>
        <v>0</v>
      </c>
      <c r="Z77" s="12">
        <f>'2022 Budget &amp; CF'!U77</f>
        <v>0</v>
      </c>
      <c r="AA77" s="12">
        <f>'2022 Budget &amp; CF'!V77</f>
        <v>0</v>
      </c>
      <c r="AB77" s="12"/>
      <c r="AC77" s="121">
        <f t="shared" si="28"/>
        <v>5000</v>
      </c>
      <c r="AD77" s="115">
        <f>'2022 Budget &amp; CF'!Z77</f>
        <v>24051</v>
      </c>
      <c r="AE77" s="117">
        <f t="shared" si="29"/>
        <v>19051</v>
      </c>
      <c r="AF77" s="117">
        <f t="shared" si="31"/>
        <v>1587.5833333333333</v>
      </c>
    </row>
    <row r="78" spans="2:33" hidden="1" outlineLevel="1" x14ac:dyDescent="0.2">
      <c r="B78" s="82" t="s">
        <v>1044</v>
      </c>
      <c r="C78" s="102" t="s">
        <v>135</v>
      </c>
      <c r="D78" s="102" t="s">
        <v>249</v>
      </c>
      <c r="E78" s="102"/>
      <c r="F78" s="102" t="s">
        <v>468</v>
      </c>
      <c r="G78" s="102" t="s">
        <v>534</v>
      </c>
      <c r="H78" s="104" t="s">
        <v>1043</v>
      </c>
      <c r="I78" s="104"/>
      <c r="J78" s="342" t="str">
        <f t="shared" si="27"/>
        <v>28070910022100151</v>
      </c>
      <c r="K78" s="109">
        <v>2022</v>
      </c>
      <c r="L78" s="109" t="s">
        <v>348</v>
      </c>
      <c r="M78" s="109" t="s">
        <v>349</v>
      </c>
      <c r="N78" s="109" t="s">
        <v>350</v>
      </c>
      <c r="O78" s="12">
        <f>'2022 Budget &amp; CF'!J78</f>
        <v>0</v>
      </c>
      <c r="P78" s="12">
        <f>'2022 Budget &amp; CF'!K78</f>
        <v>0</v>
      </c>
      <c r="Q78" s="12">
        <f>'2022 Budget &amp; CF'!L78</f>
        <v>0</v>
      </c>
      <c r="R78" s="12">
        <f>'2022 Budget &amp; CF'!M78</f>
        <v>0</v>
      </c>
      <c r="S78" s="12">
        <f>'2022 Budget &amp; CF'!N78</f>
        <v>0</v>
      </c>
      <c r="T78" s="12">
        <f>'2022 Budget &amp; CF'!O78</f>
        <v>0</v>
      </c>
      <c r="U78" s="12">
        <f>'2022 Budget &amp; CF'!P78</f>
        <v>0</v>
      </c>
      <c r="V78" s="12">
        <f>'2022 Budget &amp; CF'!Q78</f>
        <v>0</v>
      </c>
      <c r="W78" s="12">
        <f>'2022 Budget &amp; CF'!R78</f>
        <v>0</v>
      </c>
      <c r="X78" s="12">
        <f>'2022 Budget &amp; CF'!S78</f>
        <v>0</v>
      </c>
      <c r="Y78" s="12">
        <f>'2022 Budget &amp; CF'!T78</f>
        <v>0</v>
      </c>
      <c r="Z78" s="12">
        <f>'2022 Budget &amp; CF'!U78</f>
        <v>0</v>
      </c>
      <c r="AA78" s="12">
        <f>'2022 Budget &amp; CF'!V78</f>
        <v>0</v>
      </c>
      <c r="AB78" s="12"/>
      <c r="AC78" s="121">
        <f t="shared" si="28"/>
        <v>0</v>
      </c>
      <c r="AD78" s="115">
        <f>'2022 Budget &amp; CF'!Z78</f>
        <v>0</v>
      </c>
      <c r="AE78" s="117">
        <f t="shared" si="29"/>
        <v>0</v>
      </c>
      <c r="AF78" s="117">
        <f t="shared" si="31"/>
        <v>0</v>
      </c>
    </row>
    <row r="79" spans="2:33" hidden="1" outlineLevel="1" x14ac:dyDescent="0.2">
      <c r="B79" s="82" t="s">
        <v>1044</v>
      </c>
      <c r="C79" s="102" t="s">
        <v>468</v>
      </c>
      <c r="D79" s="102" t="s">
        <v>145</v>
      </c>
      <c r="E79" s="102"/>
      <c r="F79" s="102" t="s">
        <v>689</v>
      </c>
      <c r="G79" s="102" t="s">
        <v>461</v>
      </c>
      <c r="H79" s="104" t="s">
        <v>1063</v>
      </c>
      <c r="I79" s="104"/>
      <c r="J79" s="342" t="str">
        <f t="shared" ref="J79:J82" si="32">CONCATENATE(C79,D79,F79,G79,H79,I79)</f>
        <v>10000014010000161</v>
      </c>
      <c r="K79" s="109">
        <v>2022</v>
      </c>
      <c r="L79" s="109" t="s">
        <v>348</v>
      </c>
      <c r="M79" s="109" t="s">
        <v>349</v>
      </c>
      <c r="N79" s="109" t="s">
        <v>350</v>
      </c>
      <c r="O79" s="12">
        <f>'2022 Budget &amp; CF'!J79</f>
        <v>0</v>
      </c>
      <c r="P79" s="12">
        <f>'2022 Budget &amp; CF'!K79</f>
        <v>17712.5</v>
      </c>
      <c r="Q79" s="12">
        <f>'2022 Budget &amp; CF'!L79</f>
        <v>0</v>
      </c>
      <c r="R79" s="12">
        <f>'2022 Budget &amp; CF'!M79</f>
        <v>0</v>
      </c>
      <c r="S79" s="12">
        <f>'2022 Budget &amp; CF'!N79</f>
        <v>0</v>
      </c>
      <c r="T79" s="12">
        <f>'2022 Budget &amp; CF'!O79</f>
        <v>0</v>
      </c>
      <c r="U79" s="12">
        <f>'2022 Budget &amp; CF'!P79</f>
        <v>0</v>
      </c>
      <c r="V79" s="12">
        <f>'2022 Budget &amp; CF'!Q79</f>
        <v>0</v>
      </c>
      <c r="W79" s="12">
        <f>'2022 Budget &amp; CF'!R79</f>
        <v>0</v>
      </c>
      <c r="X79" s="12">
        <f>'2022 Budget &amp; CF'!S79</f>
        <v>0</v>
      </c>
      <c r="Y79" s="12">
        <f>'2022 Budget &amp; CF'!T79</f>
        <v>0</v>
      </c>
      <c r="Z79" s="12">
        <f>'2022 Budget &amp; CF'!U79</f>
        <v>0</v>
      </c>
      <c r="AA79" s="12">
        <f>'2022 Budget &amp; CF'!V79</f>
        <v>0</v>
      </c>
      <c r="AB79" s="12"/>
      <c r="AC79" s="121">
        <f t="shared" ref="AC79:AC82" si="33">SUM(O79:AA79)</f>
        <v>17712.5</v>
      </c>
      <c r="AD79" s="115">
        <f>'2022 Budget &amp; CF'!Z79</f>
        <v>0</v>
      </c>
      <c r="AE79" s="117">
        <f t="shared" ref="AE79:AE82" si="34">AD79-AC79</f>
        <v>-17712.5</v>
      </c>
      <c r="AF79" s="117">
        <f t="shared" ref="AF79:AF82" si="35">AE79/$AF$6</f>
        <v>-1476.0416666666667</v>
      </c>
    </row>
    <row r="80" spans="2:33" hidden="1" outlineLevel="1" x14ac:dyDescent="0.2">
      <c r="B80" s="82" t="s">
        <v>1044</v>
      </c>
      <c r="C80" s="102" t="s">
        <v>135</v>
      </c>
      <c r="D80" s="102" t="s">
        <v>923</v>
      </c>
      <c r="E80" s="102"/>
      <c r="F80" s="102" t="s">
        <v>468</v>
      </c>
      <c r="G80" s="102" t="s">
        <v>461</v>
      </c>
      <c r="H80" s="104" t="s">
        <v>1063</v>
      </c>
      <c r="I80" s="104"/>
      <c r="J80" s="342" t="str">
        <f t="shared" si="32"/>
        <v>28066110010000161</v>
      </c>
      <c r="K80" s="109">
        <v>2022</v>
      </c>
      <c r="L80" s="109" t="s">
        <v>348</v>
      </c>
      <c r="M80" s="109" t="s">
        <v>349</v>
      </c>
      <c r="N80" s="109" t="s">
        <v>350</v>
      </c>
      <c r="O80" s="12">
        <f>'2022 Budget &amp; CF'!J80</f>
        <v>0</v>
      </c>
      <c r="P80" s="12">
        <f>'2022 Budget &amp; CF'!K80</f>
        <v>7000</v>
      </c>
      <c r="Q80" s="12">
        <f>'2022 Budget &amp; CF'!L80</f>
        <v>0</v>
      </c>
      <c r="R80" s="12">
        <f>'2022 Budget &amp; CF'!M80</f>
        <v>0</v>
      </c>
      <c r="S80" s="12">
        <f>'2022 Budget &amp; CF'!N80</f>
        <v>0</v>
      </c>
      <c r="T80" s="12">
        <f>'2022 Budget &amp; CF'!O80</f>
        <v>0</v>
      </c>
      <c r="U80" s="12">
        <f>'2022 Budget &amp; CF'!P80</f>
        <v>0</v>
      </c>
      <c r="V80" s="12">
        <f>'2022 Budget &amp; CF'!Q80</f>
        <v>0</v>
      </c>
      <c r="W80" s="12">
        <f>'2022 Budget &amp; CF'!R80</f>
        <v>0</v>
      </c>
      <c r="X80" s="12">
        <f>'2022 Budget &amp; CF'!S80</f>
        <v>0</v>
      </c>
      <c r="Y80" s="12">
        <f>'2022 Budget &amp; CF'!T80</f>
        <v>0</v>
      </c>
      <c r="Z80" s="12">
        <f>'2022 Budget &amp; CF'!U80</f>
        <v>0</v>
      </c>
      <c r="AA80" s="12">
        <f>'2022 Budget &amp; CF'!V80</f>
        <v>0</v>
      </c>
      <c r="AB80" s="12"/>
      <c r="AC80" s="121">
        <f t="shared" si="33"/>
        <v>7000</v>
      </c>
      <c r="AD80" s="115">
        <f>'2022 Budget &amp; CF'!Z80</f>
        <v>0</v>
      </c>
      <c r="AE80" s="117">
        <f t="shared" si="34"/>
        <v>-7000</v>
      </c>
      <c r="AF80" s="117">
        <f t="shared" si="35"/>
        <v>-583.33333333333337</v>
      </c>
    </row>
    <row r="81" spans="2:32" hidden="1" outlineLevel="1" x14ac:dyDescent="0.2">
      <c r="B81" s="82" t="s">
        <v>1044</v>
      </c>
      <c r="C81" s="102" t="s">
        <v>135</v>
      </c>
      <c r="D81" s="102" t="s">
        <v>923</v>
      </c>
      <c r="E81" s="102"/>
      <c r="F81" s="102" t="s">
        <v>468</v>
      </c>
      <c r="G81" s="102" t="s">
        <v>534</v>
      </c>
      <c r="H81" s="104" t="s">
        <v>1063</v>
      </c>
      <c r="I81" s="104"/>
      <c r="J81" s="342" t="str">
        <f t="shared" si="32"/>
        <v>28066110022100161</v>
      </c>
      <c r="K81" s="109">
        <v>2022</v>
      </c>
      <c r="L81" s="109" t="s">
        <v>348</v>
      </c>
      <c r="M81" s="109" t="s">
        <v>349</v>
      </c>
      <c r="N81" s="109" t="s">
        <v>350</v>
      </c>
      <c r="O81" s="12">
        <f>'2022 Budget &amp; CF'!J81</f>
        <v>0</v>
      </c>
      <c r="P81" s="12">
        <f>'2022 Budget &amp; CF'!K81</f>
        <v>7000</v>
      </c>
      <c r="Q81" s="12">
        <f>'2022 Budget &amp; CF'!L81</f>
        <v>0</v>
      </c>
      <c r="R81" s="12">
        <f>'2022 Budget &amp; CF'!M81</f>
        <v>0</v>
      </c>
      <c r="S81" s="12">
        <f>'2022 Budget &amp; CF'!N81</f>
        <v>0</v>
      </c>
      <c r="T81" s="12">
        <f>'2022 Budget &amp; CF'!O81</f>
        <v>0</v>
      </c>
      <c r="U81" s="12">
        <f>'2022 Budget &amp; CF'!P81</f>
        <v>0</v>
      </c>
      <c r="V81" s="12">
        <f>'2022 Budget &amp; CF'!Q81</f>
        <v>0</v>
      </c>
      <c r="W81" s="12">
        <f>'2022 Budget &amp; CF'!R81</f>
        <v>0</v>
      </c>
      <c r="X81" s="12">
        <f>'2022 Budget &amp; CF'!S81</f>
        <v>0</v>
      </c>
      <c r="Y81" s="12">
        <f>'2022 Budget &amp; CF'!T81</f>
        <v>0</v>
      </c>
      <c r="Z81" s="12">
        <f>'2022 Budget &amp; CF'!U81</f>
        <v>0</v>
      </c>
      <c r="AA81" s="12">
        <f>'2022 Budget &amp; CF'!V81</f>
        <v>0</v>
      </c>
      <c r="AB81" s="12"/>
      <c r="AC81" s="121">
        <f t="shared" si="33"/>
        <v>7000</v>
      </c>
      <c r="AD81" s="115">
        <f>'2022 Budget &amp; CF'!Z81</f>
        <v>0</v>
      </c>
      <c r="AE81" s="117">
        <f t="shared" si="34"/>
        <v>-7000</v>
      </c>
      <c r="AF81" s="117">
        <f t="shared" si="35"/>
        <v>-583.33333333333337</v>
      </c>
    </row>
    <row r="82" spans="2:32" hidden="1" outlineLevel="1" x14ac:dyDescent="0.2">
      <c r="B82" s="82" t="s">
        <v>1044</v>
      </c>
      <c r="C82" s="102" t="s">
        <v>135</v>
      </c>
      <c r="D82" s="102" t="s">
        <v>1042</v>
      </c>
      <c r="E82" s="102"/>
      <c r="F82" s="102" t="s">
        <v>532</v>
      </c>
      <c r="G82" s="102" t="s">
        <v>461</v>
      </c>
      <c r="H82" s="104" t="s">
        <v>1063</v>
      </c>
      <c r="I82" s="104"/>
      <c r="J82" s="342" t="str">
        <f t="shared" si="32"/>
        <v>28069843010000161</v>
      </c>
      <c r="K82" s="109">
        <v>2022</v>
      </c>
      <c r="L82" s="109" t="s">
        <v>348</v>
      </c>
      <c r="M82" s="109" t="s">
        <v>349</v>
      </c>
      <c r="N82" s="109" t="s">
        <v>350</v>
      </c>
      <c r="O82" s="12">
        <f>'2022 Budget &amp; CF'!J82</f>
        <v>0</v>
      </c>
      <c r="P82" s="12">
        <f>'2022 Budget &amp; CF'!K82</f>
        <v>360</v>
      </c>
      <c r="Q82" s="12">
        <f>'2022 Budget &amp; CF'!L82</f>
        <v>0</v>
      </c>
      <c r="R82" s="12">
        <f>'2022 Budget &amp; CF'!M82</f>
        <v>0</v>
      </c>
      <c r="S82" s="12">
        <f>'2022 Budget &amp; CF'!N82</f>
        <v>0</v>
      </c>
      <c r="T82" s="12">
        <f>'2022 Budget &amp; CF'!O82</f>
        <v>0</v>
      </c>
      <c r="U82" s="12">
        <f>'2022 Budget &amp; CF'!P82</f>
        <v>0</v>
      </c>
      <c r="V82" s="12">
        <f>'2022 Budget &amp; CF'!Q82</f>
        <v>0</v>
      </c>
      <c r="W82" s="12">
        <f>'2022 Budget &amp; CF'!R82</f>
        <v>0</v>
      </c>
      <c r="X82" s="12">
        <f>'2022 Budget &amp; CF'!S82</f>
        <v>0</v>
      </c>
      <c r="Y82" s="12">
        <f>'2022 Budget &amp; CF'!T82</f>
        <v>0</v>
      </c>
      <c r="Z82" s="12">
        <f>'2022 Budget &amp; CF'!U82</f>
        <v>0</v>
      </c>
      <c r="AA82" s="12">
        <f>'2022 Budget &amp; CF'!V82</f>
        <v>0</v>
      </c>
      <c r="AB82" s="12"/>
      <c r="AC82" s="121">
        <f t="shared" si="33"/>
        <v>360</v>
      </c>
      <c r="AD82" s="115">
        <f>'2022 Budget &amp; CF'!Z82</f>
        <v>0</v>
      </c>
      <c r="AE82" s="117">
        <f t="shared" si="34"/>
        <v>-360</v>
      </c>
      <c r="AF82" s="117">
        <f t="shared" si="35"/>
        <v>-30</v>
      </c>
    </row>
    <row r="83" spans="2:32" hidden="1" outlineLevel="1" x14ac:dyDescent="0.2">
      <c r="B83" s="82" t="s">
        <v>1044</v>
      </c>
      <c r="C83" s="101">
        <v>280</v>
      </c>
      <c r="D83" s="102" t="s">
        <v>247</v>
      </c>
      <c r="E83" s="101"/>
      <c r="F83" s="101">
        <v>240</v>
      </c>
      <c r="G83" s="101">
        <v>1000</v>
      </c>
      <c r="H83" s="103" t="s">
        <v>1063</v>
      </c>
      <c r="I83" s="103"/>
      <c r="J83" s="342" t="str">
        <f>CONCATENATE(C83,D83,F83,G83,H83,I83)</f>
        <v>28063924010000161</v>
      </c>
      <c r="K83" s="109">
        <v>2022</v>
      </c>
      <c r="L83" s="109" t="s">
        <v>348</v>
      </c>
      <c r="M83" s="109" t="s">
        <v>349</v>
      </c>
      <c r="N83" s="109" t="s">
        <v>350</v>
      </c>
      <c r="O83" s="12">
        <f>'2022 Budget &amp; CF'!J83</f>
        <v>0</v>
      </c>
      <c r="P83" s="12">
        <f>'2022 Budget &amp; CF'!K83</f>
        <v>3760</v>
      </c>
      <c r="Q83" s="12">
        <f>'2022 Budget &amp; CF'!L83</f>
        <v>0</v>
      </c>
      <c r="R83" s="12">
        <f>'2022 Budget &amp; CF'!M83</f>
        <v>0</v>
      </c>
      <c r="S83" s="12">
        <f>'2022 Budget &amp; CF'!N83</f>
        <v>0</v>
      </c>
      <c r="T83" s="12">
        <f>'2022 Budget &amp; CF'!O83</f>
        <v>0</v>
      </c>
      <c r="U83" s="12">
        <f>'2022 Budget &amp; CF'!P83</f>
        <v>0</v>
      </c>
      <c r="V83" s="12">
        <f>'2022 Budget &amp; CF'!Q83</f>
        <v>0</v>
      </c>
      <c r="W83" s="12">
        <f>'2022 Budget &amp; CF'!R83</f>
        <v>0</v>
      </c>
      <c r="X83" s="12">
        <f>'2022 Budget &amp; CF'!S83</f>
        <v>0</v>
      </c>
      <c r="Y83" s="12">
        <f>'2022 Budget &amp; CF'!T83</f>
        <v>0</v>
      </c>
      <c r="Z83" s="12">
        <f>'2022 Budget &amp; CF'!U83</f>
        <v>0</v>
      </c>
      <c r="AA83" s="12">
        <f>'2022 Budget &amp; CF'!V83</f>
        <v>0</v>
      </c>
      <c r="AB83" s="12"/>
      <c r="AC83" s="121">
        <f>SUM(O83:AA83)</f>
        <v>3760</v>
      </c>
      <c r="AD83" s="115">
        <f>'2022 Budget &amp; CF'!Z83</f>
        <v>0</v>
      </c>
      <c r="AE83" s="117">
        <f>AD83-AC83</f>
        <v>-3760</v>
      </c>
      <c r="AF83" s="117">
        <f t="shared" si="31"/>
        <v>-313.33333333333331</v>
      </c>
    </row>
    <row r="84" spans="2:32" hidden="1" outlineLevel="1" x14ac:dyDescent="0.2">
      <c r="B84" s="82"/>
      <c r="C84" s="102"/>
      <c r="D84" s="102"/>
      <c r="E84" s="102"/>
      <c r="F84" s="102"/>
      <c r="G84" s="102"/>
      <c r="H84" s="104"/>
      <c r="I84" s="104"/>
      <c r="J84" s="342"/>
      <c r="K84" s="109"/>
      <c r="L84" s="109"/>
      <c r="M84" s="109"/>
      <c r="N84" s="109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14"/>
      <c r="AD84" s="114"/>
      <c r="AE84" s="114"/>
      <c r="AF84" s="114"/>
    </row>
    <row r="85" spans="2:32" hidden="1" outlineLevel="1" x14ac:dyDescent="0.2">
      <c r="B85" s="82" t="s">
        <v>162</v>
      </c>
      <c r="C85" s="101">
        <v>100</v>
      </c>
      <c r="D85" s="102" t="s">
        <v>145</v>
      </c>
      <c r="E85" s="101"/>
      <c r="F85" s="101">
        <v>100</v>
      </c>
      <c r="G85" s="101">
        <v>1000</v>
      </c>
      <c r="H85" s="103" t="str">
        <f>'2022 Budget &amp; CF'!H85</f>
        <v>0103</v>
      </c>
      <c r="I85" s="103"/>
      <c r="J85" s="342" t="str">
        <f>CONCATENATE(C85,D85,F85,G85,H85,I85)</f>
        <v>10000010010000103</v>
      </c>
      <c r="K85" s="109">
        <v>2022</v>
      </c>
      <c r="L85" s="109" t="s">
        <v>348</v>
      </c>
      <c r="M85" s="109" t="s">
        <v>349</v>
      </c>
      <c r="N85" s="109" t="s">
        <v>350</v>
      </c>
      <c r="O85" s="12">
        <f>'2022 Budget &amp; CF'!J85</f>
        <v>0</v>
      </c>
      <c r="P85" s="12">
        <f>'2022 Budget &amp; CF'!K85</f>
        <v>0</v>
      </c>
      <c r="Q85" s="12">
        <f>'2022 Budget &amp; CF'!L85</f>
        <v>0</v>
      </c>
      <c r="R85" s="12">
        <f>'2022 Budget &amp; CF'!M85</f>
        <v>0</v>
      </c>
      <c r="S85" s="12">
        <f>'2022 Budget &amp; CF'!N85</f>
        <v>0</v>
      </c>
      <c r="T85" s="12">
        <f>'2022 Budget &amp; CF'!O85</f>
        <v>0</v>
      </c>
      <c r="U85" s="12">
        <f>'2022 Budget &amp; CF'!P85</f>
        <v>0</v>
      </c>
      <c r="V85" s="12">
        <f>'2022 Budget &amp; CF'!Q85</f>
        <v>0</v>
      </c>
      <c r="W85" s="12">
        <f>'2022 Budget &amp; CF'!R85</f>
        <v>0</v>
      </c>
      <c r="X85" s="12">
        <f>'2022 Budget &amp; CF'!S85</f>
        <v>0</v>
      </c>
      <c r="Y85" s="12">
        <f>'2022 Budget &amp; CF'!T85</f>
        <v>0</v>
      </c>
      <c r="Z85" s="12">
        <f>'2022 Budget &amp; CF'!U85</f>
        <v>0</v>
      </c>
      <c r="AA85" s="12">
        <f>'2022 Budget &amp; CF'!V85</f>
        <v>0</v>
      </c>
      <c r="AB85" s="12"/>
      <c r="AC85" s="121">
        <f>SUM(O85:AA85)</f>
        <v>0</v>
      </c>
      <c r="AD85" s="115">
        <f>'2022 Budget &amp; CF'!Z85</f>
        <v>0</v>
      </c>
      <c r="AE85" s="117">
        <f>AD85-AC85</f>
        <v>0</v>
      </c>
      <c r="AF85" s="117">
        <f t="shared" si="25"/>
        <v>0</v>
      </c>
    </row>
    <row r="86" spans="2:32" hidden="1" outlineLevel="1" x14ac:dyDescent="0.2">
      <c r="B86" s="82"/>
      <c r="C86" s="101"/>
      <c r="D86" s="102"/>
      <c r="E86" s="101"/>
      <c r="F86" s="101"/>
      <c r="G86" s="101"/>
      <c r="H86" s="103"/>
      <c r="I86" s="103"/>
      <c r="J86" s="342"/>
      <c r="K86" s="109"/>
      <c r="L86" s="109"/>
      <c r="M86" s="109"/>
      <c r="N86" s="109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14"/>
      <c r="AD86" s="114"/>
      <c r="AE86" s="114"/>
      <c r="AF86" s="114"/>
    </row>
    <row r="87" spans="2:32" hidden="1" outlineLevel="1" x14ac:dyDescent="0.2">
      <c r="B87" s="82" t="s">
        <v>164</v>
      </c>
      <c r="C87" s="101">
        <v>100</v>
      </c>
      <c r="D87" s="104" t="s">
        <v>145</v>
      </c>
      <c r="E87" s="104"/>
      <c r="F87" s="101">
        <v>100</v>
      </c>
      <c r="G87" s="101">
        <v>2320</v>
      </c>
      <c r="H87" s="103" t="s">
        <v>165</v>
      </c>
      <c r="I87" s="103"/>
      <c r="J87" s="342" t="str">
        <f>CONCATENATE(C87,D87,F87,G87,H87,I87)</f>
        <v>10000010023200104</v>
      </c>
      <c r="K87" s="109">
        <v>2022</v>
      </c>
      <c r="L87" s="109" t="s">
        <v>348</v>
      </c>
      <c r="M87" s="109" t="s">
        <v>349</v>
      </c>
      <c r="N87" s="109" t="s">
        <v>350</v>
      </c>
      <c r="O87" s="12">
        <f>'2022 Budget &amp; CF'!J87</f>
        <v>20441.54</v>
      </c>
      <c r="P87" s="12">
        <f>'2022 Budget &amp; CF'!K87</f>
        <v>20441.54</v>
      </c>
      <c r="Q87" s="12">
        <f>'2022 Budget &amp; CF'!L87</f>
        <v>30662.31</v>
      </c>
      <c r="R87" s="12">
        <f>'2022 Budget &amp; CF'!M87</f>
        <v>20441.55</v>
      </c>
      <c r="S87" s="12">
        <f>'2022 Budget &amp; CF'!N87</f>
        <v>20441.55</v>
      </c>
      <c r="T87" s="12"/>
      <c r="U87" s="12"/>
      <c r="V87" s="12"/>
      <c r="W87" s="12"/>
      <c r="X87" s="12"/>
      <c r="Y87" s="12"/>
      <c r="Z87" s="12"/>
      <c r="AA87" s="12"/>
      <c r="AB87" s="12"/>
      <c r="AC87" s="121">
        <f>SUM(O87:AA87)</f>
        <v>112428.49</v>
      </c>
      <c r="AD87" s="115">
        <f>'2022 Budget &amp; CF'!Z87</f>
        <v>265740</v>
      </c>
      <c r="AE87" s="117">
        <f>AD87-AC87</f>
        <v>153311.51</v>
      </c>
      <c r="AF87" s="117">
        <f t="shared" ref="AF87:AF89" si="36">AE87/$AF$6</f>
        <v>12775.959166666667</v>
      </c>
    </row>
    <row r="88" spans="2:32" hidden="1" outlineLevel="1" x14ac:dyDescent="0.2">
      <c r="B88" s="82"/>
      <c r="C88" s="102" t="s">
        <v>468</v>
      </c>
      <c r="D88" s="103" t="s">
        <v>145</v>
      </c>
      <c r="E88" s="104"/>
      <c r="F88" s="102" t="s">
        <v>468</v>
      </c>
      <c r="G88" s="101">
        <v>2410</v>
      </c>
      <c r="H88" s="103" t="s">
        <v>165</v>
      </c>
      <c r="I88" s="103"/>
      <c r="J88" s="342" t="str">
        <f>CONCATENATE(C88,D88,F88,G88,H88,I88)</f>
        <v>10000010024100104</v>
      </c>
      <c r="K88" s="109">
        <v>2022</v>
      </c>
      <c r="L88" s="109" t="s">
        <v>348</v>
      </c>
      <c r="M88" s="109" t="s">
        <v>349</v>
      </c>
      <c r="N88" s="109" t="s">
        <v>350</v>
      </c>
      <c r="O88" s="12">
        <f>'2022 Budget &amp; CF'!J88</f>
        <v>6500</v>
      </c>
      <c r="P88" s="12">
        <f>'2022 Budget &amp; CF'!K88</f>
        <v>6500</v>
      </c>
      <c r="Q88" s="12">
        <f>'2022 Budget &amp; CF'!L88</f>
        <v>-13000</v>
      </c>
      <c r="R88" s="12">
        <f>'2022 Budget &amp; CF'!M88</f>
        <v>0</v>
      </c>
      <c r="S88" s="12">
        <f>'2022 Budget &amp; CF'!N88</f>
        <v>325</v>
      </c>
      <c r="T88" s="12">
        <f>'2022 Budget &amp; CF'!O88</f>
        <v>0</v>
      </c>
      <c r="U88" s="12">
        <f>'2022 Budget &amp; CF'!P88</f>
        <v>0</v>
      </c>
      <c r="V88" s="12">
        <f>'2022 Budget &amp; CF'!Q88</f>
        <v>0</v>
      </c>
      <c r="W88" s="12">
        <f>'2022 Budget &amp; CF'!R88</f>
        <v>0</v>
      </c>
      <c r="X88" s="12">
        <f>'2022 Budget &amp; CF'!S88</f>
        <v>0</v>
      </c>
      <c r="Y88" s="12">
        <f>'2022 Budget &amp; CF'!T88</f>
        <v>0</v>
      </c>
      <c r="Z88" s="12">
        <f>'2022 Budget &amp; CF'!U88</f>
        <v>0</v>
      </c>
      <c r="AA88" s="12">
        <f>'2022 Budget &amp; CF'!V88</f>
        <v>0</v>
      </c>
      <c r="AB88" s="12"/>
      <c r="AC88" s="121">
        <f>SUM(O88:AA88)</f>
        <v>325</v>
      </c>
      <c r="AD88" s="115">
        <f>'2022 Budget &amp; CF'!Z88</f>
        <v>0</v>
      </c>
      <c r="AE88" s="117">
        <f>AD88-AC88</f>
        <v>-325</v>
      </c>
      <c r="AF88" s="117">
        <f t="shared" si="36"/>
        <v>-27.083333333333332</v>
      </c>
    </row>
    <row r="89" spans="2:32" hidden="1" outlineLevel="1" x14ac:dyDescent="0.2">
      <c r="B89" s="82"/>
      <c r="C89" s="102" t="s">
        <v>135</v>
      </c>
      <c r="D89" s="103" t="s">
        <v>242</v>
      </c>
      <c r="E89" s="104"/>
      <c r="F89" s="102" t="s">
        <v>532</v>
      </c>
      <c r="G89" s="101">
        <v>2410</v>
      </c>
      <c r="H89" s="103" t="s">
        <v>165</v>
      </c>
      <c r="I89" s="103"/>
      <c r="J89" s="342" t="str">
        <f>CONCATENATE(C89,D89,F89,G89,H89,I89)</f>
        <v>28062443024100104</v>
      </c>
      <c r="K89" s="109">
        <v>2022</v>
      </c>
      <c r="L89" s="109" t="s">
        <v>348</v>
      </c>
      <c r="M89" s="109" t="s">
        <v>349</v>
      </c>
      <c r="N89" s="109" t="s">
        <v>350</v>
      </c>
      <c r="O89" s="12">
        <f>'2022 Budget &amp; CF'!J89</f>
        <v>0</v>
      </c>
      <c r="P89" s="12">
        <f>'2022 Budget &amp; CF'!K89</f>
        <v>0</v>
      </c>
      <c r="Q89" s="12">
        <f>'2022 Budget &amp; CF'!L89</f>
        <v>22750</v>
      </c>
      <c r="R89" s="12">
        <f>'2022 Budget &amp; CF'!M89</f>
        <v>6500</v>
      </c>
      <c r="S89" s="12">
        <f>'2022 Budget &amp; CF'!N89</f>
        <v>6175</v>
      </c>
      <c r="T89" s="12">
        <f>'2022 Budget &amp; CF'!O89</f>
        <v>0</v>
      </c>
      <c r="U89" s="12">
        <f>'2022 Budget &amp; CF'!P89</f>
        <v>0</v>
      </c>
      <c r="V89" s="12">
        <f>'2022 Budget &amp; CF'!Q89</f>
        <v>0</v>
      </c>
      <c r="W89" s="12">
        <f>'2022 Budget &amp; CF'!R89</f>
        <v>0</v>
      </c>
      <c r="X89" s="12">
        <f>'2022 Budget &amp; CF'!S89</f>
        <v>0</v>
      </c>
      <c r="Y89" s="12">
        <f>'2022 Budget &amp; CF'!T89</f>
        <v>0</v>
      </c>
      <c r="Z89" s="12">
        <f>'2022 Budget &amp; CF'!U89</f>
        <v>0</v>
      </c>
      <c r="AA89" s="12">
        <f>'2022 Budget &amp; CF'!V89</f>
        <v>0</v>
      </c>
      <c r="AB89" s="12"/>
      <c r="AC89" s="121">
        <f>SUM(O89:AA89)</f>
        <v>35425</v>
      </c>
      <c r="AD89" s="115">
        <f>'2022 Budget &amp; CF'!Z89</f>
        <v>84500</v>
      </c>
      <c r="AE89" s="117">
        <f>AD89-AC89</f>
        <v>49075</v>
      </c>
      <c r="AF89" s="117">
        <f t="shared" si="36"/>
        <v>4089.5833333333335</v>
      </c>
    </row>
    <row r="90" spans="2:32" hidden="1" outlineLevel="1" x14ac:dyDescent="0.2">
      <c r="B90" s="82"/>
      <c r="C90" s="102"/>
      <c r="D90" s="104"/>
      <c r="E90" s="102"/>
      <c r="F90" s="102"/>
      <c r="G90" s="101"/>
      <c r="H90" s="103"/>
      <c r="I90" s="103"/>
      <c r="J90" s="342"/>
      <c r="K90" s="109"/>
      <c r="L90" s="109"/>
      <c r="M90" s="109"/>
      <c r="N90" s="109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14"/>
      <c r="AD90" s="114"/>
      <c r="AE90" s="114"/>
      <c r="AF90" s="114"/>
    </row>
    <row r="91" spans="2:32" hidden="1" outlineLevel="1" x14ac:dyDescent="0.2">
      <c r="B91" s="82" t="s">
        <v>1047</v>
      </c>
      <c r="C91" s="102" t="s">
        <v>135</v>
      </c>
      <c r="D91" s="104" t="s">
        <v>242</v>
      </c>
      <c r="E91" s="102"/>
      <c r="F91" s="102" t="s">
        <v>532</v>
      </c>
      <c r="G91" s="101" t="s">
        <v>464</v>
      </c>
      <c r="H91" s="103" t="s">
        <v>1045</v>
      </c>
      <c r="I91" s="103"/>
      <c r="J91" s="342" t="str">
        <f t="shared" ref="J91:J94" si="37">CONCATENATE(C91,D91,F91,G91,H91,I91)</f>
        <v>28062443023200154</v>
      </c>
      <c r="K91" s="109">
        <v>2022</v>
      </c>
      <c r="L91" s="109" t="s">
        <v>348</v>
      </c>
      <c r="M91" s="109" t="s">
        <v>349</v>
      </c>
      <c r="N91" s="109" t="s">
        <v>350</v>
      </c>
      <c r="O91" s="12">
        <f>'2022 Budget &amp; CF'!J91</f>
        <v>0</v>
      </c>
      <c r="P91" s="12">
        <f>'2022 Budget &amp; CF'!K91</f>
        <v>0</v>
      </c>
      <c r="Q91" s="12">
        <f>'2022 Budget &amp; CF'!L91</f>
        <v>0</v>
      </c>
      <c r="R91" s="12">
        <f>'2022 Budget &amp; CF'!M91</f>
        <v>425</v>
      </c>
      <c r="S91" s="12">
        <f>'2022 Budget &amp; CF'!N91</f>
        <v>0</v>
      </c>
      <c r="T91" s="12">
        <f>'2022 Budget &amp; CF'!O91</f>
        <v>0</v>
      </c>
      <c r="U91" s="12">
        <f>'2022 Budget &amp; CF'!P91</f>
        <v>0</v>
      </c>
      <c r="V91" s="12">
        <f>'2022 Budget &amp; CF'!Q91</f>
        <v>0</v>
      </c>
      <c r="W91" s="12">
        <f>'2022 Budget &amp; CF'!R91</f>
        <v>0</v>
      </c>
      <c r="X91" s="12">
        <f>'2022 Budget &amp; CF'!S91</f>
        <v>0</v>
      </c>
      <c r="Y91" s="12">
        <f>'2022 Budget &amp; CF'!T91</f>
        <v>0</v>
      </c>
      <c r="Z91" s="12">
        <f>'2022 Budget &amp; CF'!U91</f>
        <v>0</v>
      </c>
      <c r="AA91" s="12">
        <f>'2022 Budget &amp; CF'!V91</f>
        <v>0</v>
      </c>
      <c r="AB91" s="12"/>
      <c r="AC91" s="121">
        <f>SUM(O91:AA91)</f>
        <v>425</v>
      </c>
      <c r="AD91" s="115">
        <f>'2022 Budget &amp; CF'!Z91</f>
        <v>0</v>
      </c>
      <c r="AE91" s="117">
        <f t="shared" ref="AE91:AE94" si="38">AD91-AC91</f>
        <v>-425</v>
      </c>
      <c r="AF91" s="117">
        <f t="shared" ref="AF91:AF94" si="39">AE91/$AF$6</f>
        <v>-35.416666666666664</v>
      </c>
    </row>
    <row r="92" spans="2:32" hidden="1" outlineLevel="1" x14ac:dyDescent="0.2">
      <c r="B92" s="82" t="s">
        <v>1047</v>
      </c>
      <c r="C92" s="102" t="s">
        <v>135</v>
      </c>
      <c r="D92" s="104" t="s">
        <v>249</v>
      </c>
      <c r="E92" s="102"/>
      <c r="F92" s="102" t="s">
        <v>468</v>
      </c>
      <c r="G92" s="101" t="s">
        <v>464</v>
      </c>
      <c r="H92" s="103" t="s">
        <v>1045</v>
      </c>
      <c r="I92" s="103"/>
      <c r="J92" s="342" t="str">
        <f t="shared" ref="J92" si="40">CONCATENATE(C92,D92,F92,G92,H92,I92)</f>
        <v>28070910023200154</v>
      </c>
      <c r="K92" s="109">
        <v>2022</v>
      </c>
      <c r="L92" s="109" t="s">
        <v>348</v>
      </c>
      <c r="M92" s="109" t="s">
        <v>349</v>
      </c>
      <c r="N92" s="109" t="s">
        <v>350</v>
      </c>
      <c r="O92" s="12">
        <f>'2022 Budget &amp; CF'!J92</f>
        <v>0</v>
      </c>
      <c r="P92" s="12">
        <f>'2022 Budget &amp; CF'!K92</f>
        <v>0</v>
      </c>
      <c r="Q92" s="12">
        <f>'2022 Budget &amp; CF'!L92</f>
        <v>0</v>
      </c>
      <c r="R92" s="12">
        <f>'2022 Budget &amp; CF'!M92</f>
        <v>0</v>
      </c>
      <c r="S92" s="12">
        <f>'2022 Budget &amp; CF'!N92</f>
        <v>0</v>
      </c>
      <c r="T92" s="12">
        <f>'2022 Budget &amp; CF'!O92</f>
        <v>0</v>
      </c>
      <c r="U92" s="12">
        <f>'2022 Budget &amp; CF'!P92</f>
        <v>0</v>
      </c>
      <c r="V92" s="12">
        <f>'2022 Budget &amp; CF'!Q92</f>
        <v>0</v>
      </c>
      <c r="W92" s="12">
        <f>'2022 Budget &amp; CF'!R92</f>
        <v>0</v>
      </c>
      <c r="X92" s="12">
        <f>'2022 Budget &amp; CF'!S92</f>
        <v>0</v>
      </c>
      <c r="Y92" s="12">
        <f>'2022 Budget &amp; CF'!T92</f>
        <v>0</v>
      </c>
      <c r="Z92" s="12">
        <f>'2022 Budget &amp; CF'!U92</f>
        <v>0</v>
      </c>
      <c r="AA92" s="12">
        <f>'2022 Budget &amp; CF'!V92</f>
        <v>0</v>
      </c>
      <c r="AB92" s="12"/>
      <c r="AC92" s="121">
        <f>SUM(O92:AA92)</f>
        <v>0</v>
      </c>
      <c r="AD92" s="115">
        <f>'2022 Budget &amp; CF'!Z92</f>
        <v>0</v>
      </c>
      <c r="AE92" s="117">
        <f t="shared" ref="AE92" si="41">AD92-AC92</f>
        <v>0</v>
      </c>
      <c r="AF92" s="117">
        <f t="shared" ref="AF92" si="42">AE92/$AF$6</f>
        <v>0</v>
      </c>
    </row>
    <row r="93" spans="2:32" hidden="1" outlineLevel="1" x14ac:dyDescent="0.2">
      <c r="B93" s="82" t="s">
        <v>1047</v>
      </c>
      <c r="C93" s="102" t="s">
        <v>135</v>
      </c>
      <c r="D93" s="104" t="s">
        <v>242</v>
      </c>
      <c r="E93" s="102"/>
      <c r="F93" s="102" t="s">
        <v>532</v>
      </c>
      <c r="G93" s="101">
        <v>2410</v>
      </c>
      <c r="H93" s="103" t="s">
        <v>1045</v>
      </c>
      <c r="I93" s="103"/>
      <c r="J93" s="589" t="str">
        <f t="shared" ref="J93" si="43">CONCATENATE(C93,D93,F93,G93,H93,I93)</f>
        <v>28062443024100154</v>
      </c>
      <c r="K93" s="588">
        <v>2022</v>
      </c>
      <c r="L93" s="588" t="s">
        <v>348</v>
      </c>
      <c r="M93" s="588" t="s">
        <v>349</v>
      </c>
      <c r="N93" s="588" t="s">
        <v>350</v>
      </c>
      <c r="O93" s="12">
        <f>'2022 Budget &amp; CF'!J93</f>
        <v>0</v>
      </c>
      <c r="P93" s="12">
        <f>'2022 Budget &amp; CF'!K93</f>
        <v>0</v>
      </c>
      <c r="Q93" s="12">
        <f>'2022 Budget &amp; CF'!L93</f>
        <v>0</v>
      </c>
      <c r="R93" s="12">
        <f>'2022 Budget &amp; CF'!M93</f>
        <v>425</v>
      </c>
      <c r="S93" s="12">
        <f>'2022 Budget &amp; CF'!N93</f>
        <v>0</v>
      </c>
      <c r="T93" s="12">
        <f>'2022 Budget &amp; CF'!O93</f>
        <v>0</v>
      </c>
      <c r="U93" s="12">
        <f>'2022 Budget &amp; CF'!P93</f>
        <v>0</v>
      </c>
      <c r="V93" s="12">
        <f>'2022 Budget &amp; CF'!Q93</f>
        <v>0</v>
      </c>
      <c r="W93" s="12">
        <f>'2022 Budget &amp; CF'!R93</f>
        <v>0</v>
      </c>
      <c r="X93" s="12">
        <f>'2022 Budget &amp; CF'!S93</f>
        <v>0</v>
      </c>
      <c r="Y93" s="12">
        <f>'2022 Budget &amp; CF'!T93</f>
        <v>0</v>
      </c>
      <c r="Z93" s="12">
        <f>'2022 Budget &amp; CF'!U93</f>
        <v>0</v>
      </c>
      <c r="AA93" s="12">
        <f>'2022 Budget &amp; CF'!V93</f>
        <v>0</v>
      </c>
      <c r="AB93" s="12"/>
      <c r="AC93" s="121">
        <f t="shared" ref="AC93" si="44">SUM(O93:AA93)</f>
        <v>425</v>
      </c>
      <c r="AD93" s="115">
        <f>'2022 Budget &amp; CF'!Z93</f>
        <v>1700</v>
      </c>
      <c r="AE93" s="117">
        <f t="shared" si="38"/>
        <v>1275</v>
      </c>
      <c r="AF93" s="117">
        <f t="shared" si="39"/>
        <v>106.25</v>
      </c>
    </row>
    <row r="94" spans="2:32" hidden="1" outlineLevel="1" x14ac:dyDescent="0.2">
      <c r="B94" s="82" t="s">
        <v>1047</v>
      </c>
      <c r="C94" s="102" t="s">
        <v>135</v>
      </c>
      <c r="D94" s="104" t="s">
        <v>249</v>
      </c>
      <c r="E94" s="102"/>
      <c r="F94" s="102" t="s">
        <v>468</v>
      </c>
      <c r="G94" s="101" t="s">
        <v>460</v>
      </c>
      <c r="H94" s="103" t="s">
        <v>1045</v>
      </c>
      <c r="I94" s="103"/>
      <c r="J94" s="589" t="str">
        <f t="shared" si="37"/>
        <v>28070910024100154</v>
      </c>
      <c r="K94" s="588">
        <v>2022</v>
      </c>
      <c r="L94" s="588" t="s">
        <v>348</v>
      </c>
      <c r="M94" s="588" t="s">
        <v>349</v>
      </c>
      <c r="N94" s="588" t="s">
        <v>350</v>
      </c>
      <c r="O94" s="12">
        <f>'2022 Budget &amp; CF'!J94</f>
        <v>1700</v>
      </c>
      <c r="P94" s="12">
        <f>'2022 Budget &amp; CF'!K94</f>
        <v>0</v>
      </c>
      <c r="Q94" s="12">
        <f>'2022 Budget &amp; CF'!L94</f>
        <v>0</v>
      </c>
      <c r="R94" s="12">
        <f>'2022 Budget &amp; CF'!M94</f>
        <v>0</v>
      </c>
      <c r="S94" s="12">
        <f>'2022 Budget &amp; CF'!N94</f>
        <v>0</v>
      </c>
      <c r="T94" s="12">
        <f>'2022 Budget &amp; CF'!O94</f>
        <v>0</v>
      </c>
      <c r="U94" s="12">
        <f>'2022 Budget &amp; CF'!P94</f>
        <v>0</v>
      </c>
      <c r="V94" s="12">
        <f>'2022 Budget &amp; CF'!Q94</f>
        <v>0</v>
      </c>
      <c r="W94" s="12">
        <f>'2022 Budget &amp; CF'!R94</f>
        <v>0</v>
      </c>
      <c r="X94" s="12">
        <f>'2022 Budget &amp; CF'!S94</f>
        <v>0</v>
      </c>
      <c r="Y94" s="12">
        <f>'2022 Budget &amp; CF'!T94</f>
        <v>0</v>
      </c>
      <c r="Z94" s="12">
        <f>'2022 Budget &amp; CF'!U94</f>
        <v>0</v>
      </c>
      <c r="AA94" s="12">
        <f>'2022 Budget &amp; CF'!V94</f>
        <v>0</v>
      </c>
      <c r="AB94" s="12"/>
      <c r="AC94" s="121">
        <f>SUM(O94:AA94)</f>
        <v>1700</v>
      </c>
      <c r="AD94" s="115">
        <f>'2022 Budget &amp; CF'!Z94</f>
        <v>0</v>
      </c>
      <c r="AE94" s="117">
        <f t="shared" si="38"/>
        <v>-1700</v>
      </c>
      <c r="AF94" s="117">
        <f t="shared" si="39"/>
        <v>-141.66666666666666</v>
      </c>
    </row>
    <row r="95" spans="2:32" hidden="1" outlineLevel="1" x14ac:dyDescent="0.2">
      <c r="B95" s="82"/>
      <c r="C95" s="102"/>
      <c r="D95" s="104"/>
      <c r="E95" s="102"/>
      <c r="F95" s="102"/>
      <c r="G95" s="101"/>
      <c r="H95" s="103"/>
      <c r="I95" s="103"/>
      <c r="J95" s="342"/>
      <c r="K95" s="109"/>
      <c r="L95" s="109"/>
      <c r="M95" s="109"/>
      <c r="N95" s="109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14"/>
      <c r="AD95" s="114"/>
      <c r="AE95" s="114"/>
      <c r="AF95" s="114"/>
    </row>
    <row r="96" spans="2:32" hidden="1" outlineLevel="1" x14ac:dyDescent="0.2">
      <c r="B96" s="82" t="s">
        <v>166</v>
      </c>
      <c r="C96" s="101"/>
      <c r="D96" s="104"/>
      <c r="E96" s="104"/>
      <c r="F96" s="101"/>
      <c r="G96" s="101"/>
      <c r="H96" s="103" t="s">
        <v>167</v>
      </c>
      <c r="I96" s="103"/>
      <c r="J96" s="342"/>
      <c r="K96" s="109"/>
      <c r="L96" s="109"/>
      <c r="M96" s="109"/>
      <c r="N96" s="109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14"/>
      <c r="AD96" s="114"/>
      <c r="AE96" s="114"/>
      <c r="AF96" s="114"/>
    </row>
    <row r="97" spans="2:32" hidden="1" outlineLevel="1" x14ac:dyDescent="0.2">
      <c r="B97" s="82"/>
      <c r="C97" s="102">
        <v>100</v>
      </c>
      <c r="D97" s="104" t="s">
        <v>145</v>
      </c>
      <c r="E97" s="104"/>
      <c r="F97" s="102">
        <v>100</v>
      </c>
      <c r="G97" s="102">
        <v>2110</v>
      </c>
      <c r="H97" s="104" t="s">
        <v>167</v>
      </c>
      <c r="I97" s="104"/>
      <c r="J97" s="342" t="str">
        <f t="shared" ref="J97:J98" si="45">CONCATENATE(C97,D97,F97,G97,H97,I97)</f>
        <v>10000010021100106</v>
      </c>
      <c r="K97" s="109">
        <v>2022</v>
      </c>
      <c r="L97" s="109" t="s">
        <v>348</v>
      </c>
      <c r="M97" s="109" t="s">
        <v>349</v>
      </c>
      <c r="N97" s="109" t="s">
        <v>350</v>
      </c>
      <c r="O97" s="12">
        <f>'2022 Budget &amp; CF'!J97</f>
        <v>13857.22</v>
      </c>
      <c r="P97" s="12">
        <f>'2022 Budget &amp; CF'!K97</f>
        <v>9161.76</v>
      </c>
      <c r="Q97" s="12">
        <f>'2022 Budget &amp; CF'!L97</f>
        <v>15178.76</v>
      </c>
      <c r="R97" s="12">
        <f>'2022 Budget &amp; CF'!M97</f>
        <v>7695.74</v>
      </c>
      <c r="S97" s="12">
        <f>'2022 Budget &amp; CF'!N97</f>
        <v>7695.87</v>
      </c>
      <c r="T97" s="12">
        <f>'2022 Budget &amp; CF'!O97</f>
        <v>0</v>
      </c>
      <c r="U97" s="12">
        <f>'2022 Budget &amp; CF'!P97</f>
        <v>0</v>
      </c>
      <c r="V97" s="12">
        <f>'2022 Budget &amp; CF'!Q97</f>
        <v>0</v>
      </c>
      <c r="W97" s="12">
        <f>'2022 Budget &amp; CF'!R97</f>
        <v>0</v>
      </c>
      <c r="X97" s="12">
        <f>'2022 Budget &amp; CF'!S97</f>
        <v>0</v>
      </c>
      <c r="Y97" s="12">
        <f>'2022 Budget &amp; CF'!T97</f>
        <v>0</v>
      </c>
      <c r="Z97" s="12">
        <f>'2022 Budget &amp; CF'!U97</f>
        <v>0</v>
      </c>
      <c r="AA97" s="12">
        <f>'2022 Budget &amp; CF'!V97</f>
        <v>0</v>
      </c>
      <c r="AB97" s="12"/>
      <c r="AC97" s="121">
        <f>SUM(O97:AA97)</f>
        <v>53589.35</v>
      </c>
      <c r="AD97" s="115">
        <f>'2022 Budget &amp; CF'!Z97</f>
        <v>100046</v>
      </c>
      <c r="AE97" s="117">
        <f t="shared" ref="AE97:AE110" si="46">AD97-AC97</f>
        <v>46456.65</v>
      </c>
      <c r="AF97" s="117">
        <f t="shared" ref="AF97:AF110" si="47">AE97/$AF$6</f>
        <v>3871.3875000000003</v>
      </c>
    </row>
    <row r="98" spans="2:32" hidden="1" outlineLevel="1" x14ac:dyDescent="0.2">
      <c r="B98" s="82"/>
      <c r="C98" s="102" t="s">
        <v>473</v>
      </c>
      <c r="D98" s="104" t="s">
        <v>135</v>
      </c>
      <c r="E98" s="104"/>
      <c r="F98" s="102" t="s">
        <v>557</v>
      </c>
      <c r="G98" s="102">
        <v>2110</v>
      </c>
      <c r="H98" s="104" t="s">
        <v>167</v>
      </c>
      <c r="I98" s="104"/>
      <c r="J98" s="342" t="str">
        <f t="shared" si="45"/>
        <v>24028042021100106</v>
      </c>
      <c r="K98" s="109">
        <v>2022</v>
      </c>
      <c r="L98" s="109" t="s">
        <v>348</v>
      </c>
      <c r="M98" s="109" t="s">
        <v>349</v>
      </c>
      <c r="N98" s="109" t="s">
        <v>350</v>
      </c>
      <c r="O98" s="12">
        <f>'2022 Budget &amp; CF'!J98</f>
        <v>0</v>
      </c>
      <c r="P98" s="12">
        <f>'2022 Budget &amp; CF'!K98</f>
        <v>0</v>
      </c>
      <c r="Q98" s="12">
        <f>'2022 Budget &amp; CF'!L98</f>
        <v>0</v>
      </c>
      <c r="R98" s="12">
        <f>'2022 Budget &amp; CF'!M98</f>
        <v>0</v>
      </c>
      <c r="S98" s="12">
        <f>'2022 Budget &amp; CF'!N98</f>
        <v>0</v>
      </c>
      <c r="T98" s="12">
        <f>'2022 Budget &amp; CF'!O98</f>
        <v>0</v>
      </c>
      <c r="U98" s="12">
        <f>'2022 Budget &amp; CF'!P98</f>
        <v>0</v>
      </c>
      <c r="V98" s="12">
        <f>'2022 Budget &amp; CF'!Q98</f>
        <v>0</v>
      </c>
      <c r="W98" s="12">
        <f>'2022 Budget &amp; CF'!R98</f>
        <v>0</v>
      </c>
      <c r="X98" s="12">
        <f>'2022 Budget &amp; CF'!S98</f>
        <v>0</v>
      </c>
      <c r="Y98" s="12">
        <f>'2022 Budget &amp; CF'!T98</f>
        <v>0</v>
      </c>
      <c r="Z98" s="12">
        <f>'2022 Budget &amp; CF'!U98</f>
        <v>0</v>
      </c>
      <c r="AA98" s="12">
        <f>'2022 Budget &amp; CF'!V98</f>
        <v>0</v>
      </c>
      <c r="AB98" s="12"/>
      <c r="AC98" s="121">
        <f>SUM(O98:AA98)</f>
        <v>0</v>
      </c>
      <c r="AD98" s="115">
        <f>'2022 Budget &amp; CF'!Z98</f>
        <v>0</v>
      </c>
      <c r="AE98" s="117">
        <f t="shared" si="46"/>
        <v>0</v>
      </c>
      <c r="AF98" s="117">
        <f t="shared" si="47"/>
        <v>0</v>
      </c>
    </row>
    <row r="99" spans="2:32" hidden="1" outlineLevel="1" x14ac:dyDescent="0.2">
      <c r="B99" s="82"/>
      <c r="C99" s="102" t="s">
        <v>135</v>
      </c>
      <c r="D99" s="101">
        <v>624</v>
      </c>
      <c r="E99" s="104"/>
      <c r="F99" s="102" t="s">
        <v>532</v>
      </c>
      <c r="G99" s="102">
        <v>2110</v>
      </c>
      <c r="H99" s="103" t="s">
        <v>167</v>
      </c>
      <c r="I99" s="103"/>
      <c r="J99" s="342" t="str">
        <f t="shared" ref="J99:J109" si="48">CONCATENATE(C99,D99,F99,G99,H99,I99)</f>
        <v>28062443021100106</v>
      </c>
      <c r="K99" s="109">
        <v>2022</v>
      </c>
      <c r="L99" s="109" t="s">
        <v>348</v>
      </c>
      <c r="M99" s="109" t="s">
        <v>349</v>
      </c>
      <c r="N99" s="109" t="s">
        <v>350</v>
      </c>
      <c r="O99" s="12">
        <f>'2022 Budget &amp; CF'!J99</f>
        <v>0</v>
      </c>
      <c r="P99" s="12">
        <f>'2022 Budget &amp; CF'!K99</f>
        <v>0</v>
      </c>
      <c r="Q99" s="12">
        <f>'2022 Budget &amp; CF'!L99</f>
        <v>0</v>
      </c>
      <c r="R99" s="12">
        <f>'2022 Budget &amp; CF'!M99</f>
        <v>0</v>
      </c>
      <c r="S99" s="12">
        <f>'2022 Budget &amp; CF'!N99</f>
        <v>0</v>
      </c>
      <c r="T99" s="12">
        <f>'2022 Budget &amp; CF'!O99</f>
        <v>0</v>
      </c>
      <c r="U99" s="12">
        <f>'2022 Budget &amp; CF'!P99</f>
        <v>0</v>
      </c>
      <c r="V99" s="12">
        <f>'2022 Budget &amp; CF'!Q99</f>
        <v>0</v>
      </c>
      <c r="W99" s="12">
        <f>'2022 Budget &amp; CF'!R99</f>
        <v>0</v>
      </c>
      <c r="X99" s="12">
        <f>'2022 Budget &amp; CF'!S99</f>
        <v>0</v>
      </c>
      <c r="Y99" s="12">
        <f>'2022 Budget &amp; CF'!T99</f>
        <v>0</v>
      </c>
      <c r="Z99" s="12">
        <f>'2022 Budget &amp; CF'!U99</f>
        <v>0</v>
      </c>
      <c r="AA99" s="12">
        <f>'2022 Budget &amp; CF'!V99</f>
        <v>0</v>
      </c>
      <c r="AB99" s="12"/>
      <c r="AC99" s="121">
        <f>SUM(O99:AA99)</f>
        <v>0</v>
      </c>
      <c r="AD99" s="115">
        <f>'2022 Budget &amp; CF'!Z99</f>
        <v>0</v>
      </c>
      <c r="AE99" s="117">
        <f t="shared" si="46"/>
        <v>0</v>
      </c>
      <c r="AF99" s="117">
        <f t="shared" si="47"/>
        <v>0</v>
      </c>
    </row>
    <row r="100" spans="2:32" hidden="1" outlineLevel="1" x14ac:dyDescent="0.2">
      <c r="B100" s="82"/>
      <c r="C100" s="101">
        <v>280</v>
      </c>
      <c r="D100" s="104">
        <v>715</v>
      </c>
      <c r="E100" s="104"/>
      <c r="F100" s="101">
        <v>430</v>
      </c>
      <c r="G100" s="101">
        <v>2110</v>
      </c>
      <c r="H100" s="103" t="s">
        <v>167</v>
      </c>
      <c r="I100" s="182"/>
      <c r="J100" s="419" t="str">
        <f t="shared" ref="J100" si="49">CONCATENATE(C100,D100,F100,G100,H100,I100)</f>
        <v>28071543021100106</v>
      </c>
      <c r="K100" s="420">
        <v>2022</v>
      </c>
      <c r="L100" s="420" t="s">
        <v>348</v>
      </c>
      <c r="M100" s="420" t="s">
        <v>349</v>
      </c>
      <c r="N100" s="420" t="s">
        <v>350</v>
      </c>
      <c r="O100" s="12">
        <f>'2022 Budget &amp; CF'!J100</f>
        <v>0</v>
      </c>
      <c r="P100" s="12">
        <f>'2022 Budget &amp; CF'!K100</f>
        <v>0</v>
      </c>
      <c r="Q100" s="12">
        <f>'2022 Budget &amp; CF'!L100</f>
        <v>0</v>
      </c>
      <c r="R100" s="12">
        <f>'2022 Budget &amp; CF'!M100</f>
        <v>0</v>
      </c>
      <c r="S100" s="12">
        <f>'2022 Budget &amp; CF'!N100</f>
        <v>0</v>
      </c>
      <c r="T100" s="12">
        <f>'2022 Budget &amp; CF'!O100</f>
        <v>0</v>
      </c>
      <c r="U100" s="12">
        <f>'2022 Budget &amp; CF'!P100</f>
        <v>0</v>
      </c>
      <c r="V100" s="12">
        <f>'2022 Budget &amp; CF'!Q100</f>
        <v>0</v>
      </c>
      <c r="W100" s="12">
        <f>'2022 Budget &amp; CF'!R100</f>
        <v>0</v>
      </c>
      <c r="X100" s="12">
        <f>'2022 Budget &amp; CF'!S100</f>
        <v>0</v>
      </c>
      <c r="Y100" s="12">
        <f>'2022 Budget &amp; CF'!T100</f>
        <v>0</v>
      </c>
      <c r="Z100" s="12">
        <f>'2022 Budget &amp; CF'!U100</f>
        <v>0</v>
      </c>
      <c r="AA100" s="12">
        <f>'2022 Budget &amp; CF'!V100</f>
        <v>0</v>
      </c>
      <c r="AB100" s="12"/>
      <c r="AC100" s="121">
        <f t="shared" ref="AC100" si="50">SUM(O100:AA100)</f>
        <v>0</v>
      </c>
      <c r="AD100" s="115">
        <f>'2022 Budget &amp; CF'!Z100</f>
        <v>0</v>
      </c>
      <c r="AE100" s="117">
        <f t="shared" si="46"/>
        <v>0</v>
      </c>
      <c r="AF100" s="117">
        <f t="shared" si="47"/>
        <v>0</v>
      </c>
    </row>
    <row r="101" spans="2:32" hidden="1" outlineLevel="1" x14ac:dyDescent="0.2">
      <c r="B101" s="82"/>
      <c r="C101" s="101">
        <v>280</v>
      </c>
      <c r="D101" s="104" t="s">
        <v>923</v>
      </c>
      <c r="E101" s="104"/>
      <c r="F101" s="101">
        <v>100</v>
      </c>
      <c r="G101" s="101">
        <v>2110</v>
      </c>
      <c r="H101" s="103" t="s">
        <v>167</v>
      </c>
      <c r="I101" s="182"/>
      <c r="J101" s="419" t="str">
        <f t="shared" si="48"/>
        <v>28066110021100106</v>
      </c>
      <c r="K101" s="420">
        <v>2022</v>
      </c>
      <c r="L101" s="420" t="s">
        <v>348</v>
      </c>
      <c r="M101" s="420" t="s">
        <v>349</v>
      </c>
      <c r="N101" s="420" t="s">
        <v>350</v>
      </c>
      <c r="O101" s="12">
        <f>'2022 Budget &amp; CF'!J101</f>
        <v>0</v>
      </c>
      <c r="P101" s="12">
        <f>'2022 Budget &amp; CF'!K101</f>
        <v>0</v>
      </c>
      <c r="Q101" s="12">
        <f>'2022 Budget &amp; CF'!L101</f>
        <v>6460.96</v>
      </c>
      <c r="R101" s="12">
        <f>'2022 Budget &amp; CF'!M101</f>
        <v>2385.6</v>
      </c>
      <c r="S101" s="12">
        <f>'2022 Budget &amp; CF'!N101</f>
        <v>3180.8</v>
      </c>
      <c r="T101" s="12">
        <f>'2022 Budget &amp; CF'!O101</f>
        <v>0</v>
      </c>
      <c r="U101" s="12">
        <f>'2022 Budget &amp; CF'!P101</f>
        <v>0</v>
      </c>
      <c r="V101" s="12">
        <f>'2022 Budget &amp; CF'!Q101</f>
        <v>0</v>
      </c>
      <c r="W101" s="12">
        <f>'2022 Budget &amp; CF'!R101</f>
        <v>0</v>
      </c>
      <c r="X101" s="12">
        <f>'2022 Budget &amp; CF'!S101</f>
        <v>0</v>
      </c>
      <c r="Y101" s="12">
        <f>'2022 Budget &amp; CF'!T101</f>
        <v>0</v>
      </c>
      <c r="Z101" s="12">
        <f>'2022 Budget &amp; CF'!U101</f>
        <v>0</v>
      </c>
      <c r="AA101" s="12">
        <f>'2022 Budget &amp; CF'!V101</f>
        <v>0</v>
      </c>
      <c r="AB101" s="12"/>
      <c r="AC101" s="121">
        <f>SUM(O101:AA101)</f>
        <v>12027.36</v>
      </c>
      <c r="AD101" s="115">
        <f>'2022 Budget &amp; CF'!Z101</f>
        <v>58200</v>
      </c>
      <c r="AE101" s="117">
        <f t="shared" si="46"/>
        <v>46172.639999999999</v>
      </c>
      <c r="AF101" s="117">
        <f t="shared" si="47"/>
        <v>3847.72</v>
      </c>
    </row>
    <row r="102" spans="2:32" hidden="1" outlineLevel="1" x14ac:dyDescent="0.2">
      <c r="B102" s="82"/>
      <c r="C102" s="101">
        <v>280</v>
      </c>
      <c r="D102" s="104" t="s">
        <v>552</v>
      </c>
      <c r="E102" s="104"/>
      <c r="F102" s="101">
        <v>100</v>
      </c>
      <c r="G102" s="101">
        <v>2110</v>
      </c>
      <c r="H102" s="103" t="s">
        <v>167</v>
      </c>
      <c r="I102" s="104"/>
      <c r="J102" s="342" t="str">
        <f t="shared" si="48"/>
        <v>28074010021100106</v>
      </c>
      <c r="K102" s="109">
        <v>2022</v>
      </c>
      <c r="L102" s="109" t="s">
        <v>348</v>
      </c>
      <c r="M102" s="109" t="s">
        <v>349</v>
      </c>
      <c r="N102" s="109" t="s">
        <v>350</v>
      </c>
      <c r="O102" s="12">
        <f>'2022 Budget &amp; CF'!J102</f>
        <v>0</v>
      </c>
      <c r="P102" s="12">
        <f>'2022 Budget &amp; CF'!K102</f>
        <v>0</v>
      </c>
      <c r="Q102" s="12">
        <f>'2022 Budget &amp; CF'!L102</f>
        <v>0</v>
      </c>
      <c r="R102" s="12">
        <f>'2022 Budget &amp; CF'!M102</f>
        <v>0</v>
      </c>
      <c r="S102" s="12">
        <f>'2022 Budget &amp; CF'!N102</f>
        <v>0</v>
      </c>
      <c r="T102" s="12">
        <f>'2022 Budget &amp; CF'!O102</f>
        <v>0</v>
      </c>
      <c r="U102" s="12">
        <f>'2022 Budget &amp; CF'!P102</f>
        <v>0</v>
      </c>
      <c r="V102" s="12">
        <f>'2022 Budget &amp; CF'!Q102</f>
        <v>0</v>
      </c>
      <c r="W102" s="12">
        <f>'2022 Budget &amp; CF'!R102</f>
        <v>0</v>
      </c>
      <c r="X102" s="12">
        <f>'2022 Budget &amp; CF'!S102</f>
        <v>0</v>
      </c>
      <c r="Y102" s="12">
        <f>'2022 Budget &amp; CF'!T102</f>
        <v>0</v>
      </c>
      <c r="Z102" s="12">
        <f>'2022 Budget &amp; CF'!U102</f>
        <v>0</v>
      </c>
      <c r="AA102" s="12">
        <f>'2022 Budget &amp; CF'!V102</f>
        <v>0</v>
      </c>
      <c r="AB102" s="12"/>
      <c r="AC102" s="121">
        <f>SUM(O102:AA102)</f>
        <v>0</v>
      </c>
      <c r="AD102" s="115">
        <f>'2022 Budget &amp; CF'!Z102</f>
        <v>0</v>
      </c>
      <c r="AE102" s="117">
        <f t="shared" si="46"/>
        <v>0</v>
      </c>
      <c r="AF102" s="117">
        <f t="shared" si="47"/>
        <v>0</v>
      </c>
    </row>
    <row r="103" spans="2:32" hidden="1" outlineLevel="1" x14ac:dyDescent="0.2">
      <c r="B103" s="82"/>
      <c r="C103" s="102" t="s">
        <v>135</v>
      </c>
      <c r="D103" s="101">
        <v>741</v>
      </c>
      <c r="E103" s="104"/>
      <c r="F103" s="102" t="s">
        <v>468</v>
      </c>
      <c r="G103" s="102">
        <v>2110</v>
      </c>
      <c r="H103" s="103" t="s">
        <v>167</v>
      </c>
      <c r="I103" s="103"/>
      <c r="J103" s="342" t="str">
        <f t="shared" ref="J103" si="51">CONCATENATE(C103,D103,F103,G103,H103,I103)</f>
        <v>28074110021100106</v>
      </c>
      <c r="K103" s="109">
        <v>2022</v>
      </c>
      <c r="L103" s="109" t="s">
        <v>348</v>
      </c>
      <c r="M103" s="109" t="s">
        <v>349</v>
      </c>
      <c r="N103" s="109" t="s">
        <v>350</v>
      </c>
      <c r="O103" s="12">
        <f>'2022 Budget &amp; CF'!J103</f>
        <v>0</v>
      </c>
      <c r="P103" s="12">
        <f>'2022 Budget &amp; CF'!K103</f>
        <v>4938.75</v>
      </c>
      <c r="Q103" s="12">
        <f>'2022 Budget &amp; CF'!L103</f>
        <v>15185.74</v>
      </c>
      <c r="R103" s="12">
        <f>'2022 Budget &amp; CF'!M103</f>
        <v>10663.62</v>
      </c>
      <c r="S103" s="12">
        <f>'2022 Budget &amp; CF'!N103</f>
        <v>10811</v>
      </c>
      <c r="T103" s="12">
        <f>'2022 Budget &amp; CF'!O103</f>
        <v>0</v>
      </c>
      <c r="U103" s="12">
        <f>'2022 Budget &amp; CF'!P103</f>
        <v>0</v>
      </c>
      <c r="V103" s="12">
        <f>'2022 Budget &amp; CF'!Q103</f>
        <v>0</v>
      </c>
      <c r="W103" s="12">
        <f>'2022 Budget &amp; CF'!R103</f>
        <v>0</v>
      </c>
      <c r="X103" s="12">
        <f>'2022 Budget &amp; CF'!S103</f>
        <v>0</v>
      </c>
      <c r="Y103" s="12">
        <f>'2022 Budget &amp; CF'!T103</f>
        <v>0</v>
      </c>
      <c r="Z103" s="12">
        <f>'2022 Budget &amp; CF'!U103</f>
        <v>0</v>
      </c>
      <c r="AA103" s="12">
        <f>'2022 Budget &amp; CF'!V103</f>
        <v>0</v>
      </c>
      <c r="AB103" s="12"/>
      <c r="AC103" s="121">
        <f t="shared" ref="AC103" si="52">SUM(O103:AA103)</f>
        <v>41599.11</v>
      </c>
      <c r="AD103" s="115">
        <f>'2022 Budget &amp; CF'!Z103</f>
        <v>138625</v>
      </c>
      <c r="AE103" s="117">
        <f t="shared" si="46"/>
        <v>97025.89</v>
      </c>
      <c r="AF103" s="117">
        <f t="shared" si="47"/>
        <v>8085.4908333333333</v>
      </c>
    </row>
    <row r="104" spans="2:32" hidden="1" outlineLevel="1" x14ac:dyDescent="0.2">
      <c r="B104" s="82"/>
      <c r="C104" s="102">
        <v>100</v>
      </c>
      <c r="D104" s="104" t="s">
        <v>145</v>
      </c>
      <c r="E104" s="104"/>
      <c r="F104" s="102">
        <v>100</v>
      </c>
      <c r="G104" s="102" t="s">
        <v>556</v>
      </c>
      <c r="H104" s="104" t="s">
        <v>167</v>
      </c>
      <c r="I104" s="103"/>
      <c r="J104" s="342" t="str">
        <f t="shared" si="48"/>
        <v>10000010021200106</v>
      </c>
      <c r="K104" s="109">
        <v>2022</v>
      </c>
      <c r="L104" s="109" t="s">
        <v>348</v>
      </c>
      <c r="M104" s="109" t="s">
        <v>349</v>
      </c>
      <c r="N104" s="109" t="s">
        <v>350</v>
      </c>
      <c r="O104" s="12">
        <f>'2022 Budget &amp; CF'!J104</f>
        <v>5639.52</v>
      </c>
      <c r="P104" s="12">
        <f>'2022 Budget &amp; CF'!K104</f>
        <v>5639.52</v>
      </c>
      <c r="Q104" s="12">
        <f>'2022 Budget &amp; CF'!L104</f>
        <v>8445.1299999999992</v>
      </c>
      <c r="R104" s="12">
        <f>'2022 Budget &amp; CF'!M104</f>
        <v>5639.52</v>
      </c>
      <c r="S104" s="12">
        <f>'2022 Budget &amp; CF'!N104</f>
        <v>5639.52</v>
      </c>
      <c r="T104" s="12">
        <f>'2022 Budget &amp; CF'!O104</f>
        <v>0</v>
      </c>
      <c r="U104" s="12">
        <f>'2022 Budget &amp; CF'!P104</f>
        <v>0</v>
      </c>
      <c r="V104" s="12">
        <f>'2022 Budget &amp; CF'!Q104</f>
        <v>0</v>
      </c>
      <c r="W104" s="12">
        <f>'2022 Budget &amp; CF'!R104</f>
        <v>0</v>
      </c>
      <c r="X104" s="12">
        <f>'2022 Budget &amp; CF'!S104</f>
        <v>0</v>
      </c>
      <c r="Y104" s="12">
        <f>'2022 Budget &amp; CF'!T104</f>
        <v>0</v>
      </c>
      <c r="Z104" s="12">
        <f>'2022 Budget &amp; CF'!U104</f>
        <v>0</v>
      </c>
      <c r="AA104" s="12">
        <f>'2022 Budget &amp; CF'!V104</f>
        <v>0</v>
      </c>
      <c r="AB104" s="12"/>
      <c r="AC104" s="121">
        <f>SUM(O104:AA104)</f>
        <v>31003.21</v>
      </c>
      <c r="AD104" s="115">
        <f>'2022 Budget &amp; CF'!Z104</f>
        <v>73313</v>
      </c>
      <c r="AE104" s="117">
        <f t="shared" si="46"/>
        <v>42309.79</v>
      </c>
      <c r="AF104" s="117">
        <f t="shared" si="47"/>
        <v>3525.8158333333336</v>
      </c>
    </row>
    <row r="105" spans="2:32" hidden="1" outlineLevel="1" x14ac:dyDescent="0.2">
      <c r="B105" s="82"/>
      <c r="C105" s="102" t="s">
        <v>135</v>
      </c>
      <c r="D105" s="101">
        <v>624</v>
      </c>
      <c r="E105" s="104"/>
      <c r="F105" s="102" t="s">
        <v>532</v>
      </c>
      <c r="G105" s="102" t="s">
        <v>556</v>
      </c>
      <c r="H105" s="103" t="s">
        <v>167</v>
      </c>
      <c r="I105" s="104"/>
      <c r="J105" s="342" t="str">
        <f t="shared" si="48"/>
        <v>28062443021200106</v>
      </c>
      <c r="K105" s="109">
        <v>2022</v>
      </c>
      <c r="L105" s="109" t="s">
        <v>348</v>
      </c>
      <c r="M105" s="109" t="s">
        <v>349</v>
      </c>
      <c r="N105" s="109" t="s">
        <v>350</v>
      </c>
      <c r="O105" s="12">
        <f>'2022 Budget &amp; CF'!J105</f>
        <v>0</v>
      </c>
      <c r="P105" s="12">
        <f>'2022 Budget &amp; CF'!K105</f>
        <v>0</v>
      </c>
      <c r="Q105" s="12">
        <f>'2022 Budget &amp; CF'!L105</f>
        <v>0</v>
      </c>
      <c r="R105" s="12">
        <f>'2022 Budget &amp; CF'!M105</f>
        <v>0</v>
      </c>
      <c r="S105" s="12">
        <f>'2022 Budget &amp; CF'!N105</f>
        <v>0</v>
      </c>
      <c r="T105" s="12">
        <f>'2022 Budget &amp; CF'!O105</f>
        <v>0</v>
      </c>
      <c r="U105" s="12">
        <f>'2022 Budget &amp; CF'!P105</f>
        <v>0</v>
      </c>
      <c r="V105" s="12">
        <f>'2022 Budget &amp; CF'!Q105</f>
        <v>0</v>
      </c>
      <c r="W105" s="12">
        <f>'2022 Budget &amp; CF'!R105</f>
        <v>0</v>
      </c>
      <c r="X105" s="12">
        <f>'2022 Budget &amp; CF'!S105</f>
        <v>0</v>
      </c>
      <c r="Y105" s="12">
        <f>'2022 Budget &amp; CF'!T105</f>
        <v>0</v>
      </c>
      <c r="Z105" s="12">
        <f>'2022 Budget &amp; CF'!U105</f>
        <v>0</v>
      </c>
      <c r="AA105" s="12">
        <f>'2022 Budget &amp; CF'!V105</f>
        <v>0</v>
      </c>
      <c r="AB105" s="12"/>
      <c r="AC105" s="121">
        <f>SUM(O105:AA105)</f>
        <v>0</v>
      </c>
      <c r="AD105" s="115">
        <f>'2022 Budget &amp; CF'!Z105</f>
        <v>0</v>
      </c>
      <c r="AE105" s="117">
        <f t="shared" si="46"/>
        <v>0</v>
      </c>
      <c r="AF105" s="117">
        <f t="shared" si="47"/>
        <v>0</v>
      </c>
    </row>
    <row r="106" spans="2:32" hidden="1" outlineLevel="1" x14ac:dyDescent="0.2">
      <c r="B106" s="82"/>
      <c r="C106" s="102" t="s">
        <v>462</v>
      </c>
      <c r="D106" s="104">
        <v>205</v>
      </c>
      <c r="E106" s="104"/>
      <c r="F106" s="102" t="s">
        <v>463</v>
      </c>
      <c r="G106" s="102" t="s">
        <v>484</v>
      </c>
      <c r="H106" s="104" t="s">
        <v>167</v>
      </c>
      <c r="I106" s="104"/>
      <c r="J106" s="342" t="str">
        <f t="shared" si="48"/>
        <v>25020520021300106</v>
      </c>
      <c r="K106" s="109">
        <v>2022</v>
      </c>
      <c r="L106" s="109" t="s">
        <v>348</v>
      </c>
      <c r="M106" s="109" t="s">
        <v>349</v>
      </c>
      <c r="N106" s="109" t="s">
        <v>350</v>
      </c>
      <c r="O106" s="12">
        <f>'2022 Budget &amp; CF'!J106</f>
        <v>1203.75</v>
      </c>
      <c r="P106" s="12">
        <f>'2022 Budget &amp; CF'!K106</f>
        <v>0</v>
      </c>
      <c r="Q106" s="12">
        <f>'2022 Budget &amp; CF'!L106</f>
        <v>4896.5600000000004</v>
      </c>
      <c r="R106" s="12">
        <f>'2022 Budget &amp; CF'!M106</f>
        <v>3203.3</v>
      </c>
      <c r="S106" s="12">
        <f>'2022 Budget &amp; CF'!N106</f>
        <v>0</v>
      </c>
      <c r="T106" s="12">
        <f>'2022 Budget &amp; CF'!O106</f>
        <v>0</v>
      </c>
      <c r="U106" s="12">
        <f>'2022 Budget &amp; CF'!P106</f>
        <v>0</v>
      </c>
      <c r="V106" s="12">
        <f>'2022 Budget &amp; CF'!Q106</f>
        <v>0</v>
      </c>
      <c r="W106" s="12">
        <f>'2022 Budget &amp; CF'!R106</f>
        <v>0</v>
      </c>
      <c r="X106" s="12">
        <f>'2022 Budget &amp; CF'!S106</f>
        <v>0</v>
      </c>
      <c r="Y106" s="12">
        <f>'2022 Budget &amp; CF'!T106</f>
        <v>0</v>
      </c>
      <c r="Z106" s="12">
        <f>'2022 Budget &amp; CF'!U106</f>
        <v>0</v>
      </c>
      <c r="AA106" s="12">
        <f>'2022 Budget &amp; CF'!V106</f>
        <v>0</v>
      </c>
      <c r="AB106" s="12"/>
      <c r="AC106" s="121">
        <f>SUM(O106:AA106)</f>
        <v>9303.61</v>
      </c>
      <c r="AD106" s="115">
        <f>'2022 Budget &amp; CF'!Z106</f>
        <v>23580</v>
      </c>
      <c r="AE106" s="117">
        <f t="shared" si="46"/>
        <v>14276.39</v>
      </c>
      <c r="AF106" s="117">
        <f t="shared" si="47"/>
        <v>1189.6991666666665</v>
      </c>
    </row>
    <row r="107" spans="2:32" hidden="1" outlineLevel="1" x14ac:dyDescent="0.2">
      <c r="B107" s="82"/>
      <c r="C107" s="102" t="s">
        <v>135</v>
      </c>
      <c r="D107" s="101">
        <v>715</v>
      </c>
      <c r="E107" s="104"/>
      <c r="F107" s="102" t="s">
        <v>532</v>
      </c>
      <c r="G107" s="102" t="s">
        <v>484</v>
      </c>
      <c r="H107" s="103" t="s">
        <v>167</v>
      </c>
      <c r="I107" s="103"/>
      <c r="J107" s="342" t="str">
        <f t="shared" ref="J107" si="53">CONCATENATE(C107,D107,F107,G107,H107,I107)</f>
        <v>28071543021300106</v>
      </c>
      <c r="K107" s="109">
        <v>2022</v>
      </c>
      <c r="L107" s="109" t="s">
        <v>348</v>
      </c>
      <c r="M107" s="109" t="s">
        <v>349</v>
      </c>
      <c r="N107" s="109" t="s">
        <v>350</v>
      </c>
      <c r="O107" s="12">
        <f>'2022 Budget &amp; CF'!J107</f>
        <v>0</v>
      </c>
      <c r="P107" s="12">
        <f>'2022 Budget &amp; CF'!K107</f>
        <v>2013.75</v>
      </c>
      <c r="Q107" s="12">
        <f>'2022 Budget &amp; CF'!L107</f>
        <v>19.690000000000001</v>
      </c>
      <c r="R107" s="12">
        <f>'2022 Budget &amp; CF'!M107</f>
        <v>1777.5</v>
      </c>
      <c r="S107" s="12">
        <f>'2022 Budget &amp; CF'!N107</f>
        <v>3386.25</v>
      </c>
      <c r="T107" s="12">
        <f>'2022 Budget &amp; CF'!O107</f>
        <v>0</v>
      </c>
      <c r="U107" s="12">
        <f>'2022 Budget &amp; CF'!P107</f>
        <v>0</v>
      </c>
      <c r="V107" s="12">
        <f>'2022 Budget &amp; CF'!Q107</f>
        <v>0</v>
      </c>
      <c r="W107" s="12">
        <f>'2022 Budget &amp; CF'!R107</f>
        <v>0</v>
      </c>
      <c r="X107" s="12">
        <f>'2022 Budget &amp; CF'!S107</f>
        <v>0</v>
      </c>
      <c r="Y107" s="12">
        <f>'2022 Budget &amp; CF'!T107</f>
        <v>0</v>
      </c>
      <c r="Z107" s="12">
        <f>'2022 Budget &amp; CF'!U107</f>
        <v>0</v>
      </c>
      <c r="AA107" s="12">
        <f>'2022 Budget &amp; CF'!V107</f>
        <v>0</v>
      </c>
      <c r="AB107" s="12"/>
      <c r="AC107" s="121">
        <f t="shared" ref="AC107" si="54">SUM(O107:AA107)</f>
        <v>7197.1900000000005</v>
      </c>
      <c r="AD107" s="115">
        <f>'2022 Budget &amp; CF'!Z107</f>
        <v>11644</v>
      </c>
      <c r="AE107" s="117">
        <f t="shared" si="46"/>
        <v>4446.8099999999995</v>
      </c>
      <c r="AF107" s="117">
        <f t="shared" si="47"/>
        <v>370.56749999999994</v>
      </c>
    </row>
    <row r="108" spans="2:32" hidden="1" outlineLevel="1" x14ac:dyDescent="0.2">
      <c r="B108" s="82"/>
      <c r="C108" s="102" t="s">
        <v>462</v>
      </c>
      <c r="D108" s="104">
        <v>205</v>
      </c>
      <c r="E108" s="104"/>
      <c r="F108" s="102" t="s">
        <v>463</v>
      </c>
      <c r="G108" s="102" t="s">
        <v>485</v>
      </c>
      <c r="H108" s="104" t="s">
        <v>167</v>
      </c>
      <c r="I108" s="103"/>
      <c r="J108" s="342" t="str">
        <f t="shared" si="48"/>
        <v>25020520021400106</v>
      </c>
      <c r="K108" s="109">
        <v>2022</v>
      </c>
      <c r="L108" s="109" t="s">
        <v>348</v>
      </c>
      <c r="M108" s="109" t="s">
        <v>349</v>
      </c>
      <c r="N108" s="109" t="s">
        <v>350</v>
      </c>
      <c r="O108" s="12">
        <f>'2022 Budget &amp; CF'!J108</f>
        <v>0</v>
      </c>
      <c r="P108" s="12">
        <f>'2022 Budget &amp; CF'!K108</f>
        <v>6310.62</v>
      </c>
      <c r="Q108" s="12">
        <f>'2022 Budget &amp; CF'!L108</f>
        <v>9451.86</v>
      </c>
      <c r="R108" s="12">
        <f>'2022 Budget &amp; CF'!M108</f>
        <v>6310.62</v>
      </c>
      <c r="S108" s="12">
        <f>'2022 Budget &amp; CF'!N108</f>
        <v>6310.62</v>
      </c>
      <c r="T108" s="12">
        <f>'2022 Budget &amp; CF'!O108</f>
        <v>0</v>
      </c>
      <c r="U108" s="12">
        <f>'2022 Budget &amp; CF'!P108</f>
        <v>0</v>
      </c>
      <c r="V108" s="12">
        <f>'2022 Budget &amp; CF'!Q108</f>
        <v>0</v>
      </c>
      <c r="W108" s="12">
        <f>'2022 Budget &amp; CF'!R108</f>
        <v>0</v>
      </c>
      <c r="X108" s="12">
        <f>'2022 Budget &amp; CF'!S108</f>
        <v>0</v>
      </c>
      <c r="Y108" s="12">
        <f>'2022 Budget &amp; CF'!T108</f>
        <v>0</v>
      </c>
      <c r="Z108" s="12">
        <f>'2022 Budget &amp; CF'!U108</f>
        <v>0</v>
      </c>
      <c r="AA108" s="12">
        <f>'2022 Budget &amp; CF'!V108</f>
        <v>0</v>
      </c>
      <c r="AB108" s="12"/>
      <c r="AC108" s="121">
        <f>SUM(O108:AA108)</f>
        <v>28383.719999999998</v>
      </c>
      <c r="AD108" s="115">
        <f>'2022 Budget &amp; CF'!Z108</f>
        <v>82037</v>
      </c>
      <c r="AE108" s="117">
        <f t="shared" si="46"/>
        <v>53653.279999999999</v>
      </c>
      <c r="AF108" s="117">
        <f t="shared" si="47"/>
        <v>4471.1066666666666</v>
      </c>
    </row>
    <row r="109" spans="2:32" hidden="1" outlineLevel="1" x14ac:dyDescent="0.2">
      <c r="B109" s="82"/>
      <c r="C109" s="102" t="s">
        <v>135</v>
      </c>
      <c r="D109" s="101">
        <v>624</v>
      </c>
      <c r="E109" s="104"/>
      <c r="F109" s="102" t="s">
        <v>532</v>
      </c>
      <c r="G109" s="102" t="s">
        <v>485</v>
      </c>
      <c r="H109" s="103" t="s">
        <v>167</v>
      </c>
      <c r="I109" s="103"/>
      <c r="J109" s="342" t="str">
        <f t="shared" si="48"/>
        <v>28062443021400106</v>
      </c>
      <c r="K109" s="109">
        <v>2022</v>
      </c>
      <c r="L109" s="109" t="s">
        <v>348</v>
      </c>
      <c r="M109" s="109" t="s">
        <v>349</v>
      </c>
      <c r="N109" s="109" t="s">
        <v>350</v>
      </c>
      <c r="O109" s="12">
        <f>'2022 Budget &amp; CF'!J109</f>
        <v>0</v>
      </c>
      <c r="P109" s="12">
        <f>'2022 Budget &amp; CF'!K109</f>
        <v>0</v>
      </c>
      <c r="Q109" s="12">
        <f>'2022 Budget &amp; CF'!L109</f>
        <v>0</v>
      </c>
      <c r="R109" s="12">
        <f>'2022 Budget &amp; CF'!M109</f>
        <v>0</v>
      </c>
      <c r="S109" s="12">
        <f>'2022 Budget &amp; CF'!N109</f>
        <v>0</v>
      </c>
      <c r="T109" s="12">
        <f>'2022 Budget &amp; CF'!O109</f>
        <v>0</v>
      </c>
      <c r="U109" s="12">
        <f>'2022 Budget &amp; CF'!P109</f>
        <v>0</v>
      </c>
      <c r="V109" s="12">
        <f>'2022 Budget &amp; CF'!Q109</f>
        <v>0</v>
      </c>
      <c r="W109" s="12">
        <f>'2022 Budget &amp; CF'!R109</f>
        <v>0</v>
      </c>
      <c r="X109" s="12">
        <f>'2022 Budget &amp; CF'!S109</f>
        <v>0</v>
      </c>
      <c r="Y109" s="12">
        <f>'2022 Budget &amp; CF'!T109</f>
        <v>0</v>
      </c>
      <c r="Z109" s="12">
        <f>'2022 Budget &amp; CF'!U109</f>
        <v>0</v>
      </c>
      <c r="AA109" s="12">
        <f>'2022 Budget &amp; CF'!V109</f>
        <v>0</v>
      </c>
      <c r="AB109" s="12"/>
      <c r="AC109" s="121">
        <f>SUM(O109:AA109)</f>
        <v>0</v>
      </c>
      <c r="AD109" s="115">
        <f>'2022 Budget &amp; CF'!Z109</f>
        <v>0</v>
      </c>
      <c r="AE109" s="117">
        <f t="shared" si="46"/>
        <v>0</v>
      </c>
      <c r="AF109" s="117">
        <f t="shared" si="47"/>
        <v>0</v>
      </c>
    </row>
    <row r="110" spans="2:32" hidden="1" outlineLevel="1" x14ac:dyDescent="0.2">
      <c r="B110" s="82"/>
      <c r="C110" s="102" t="s">
        <v>135</v>
      </c>
      <c r="D110" s="101">
        <v>639</v>
      </c>
      <c r="E110" s="104"/>
      <c r="F110" s="102" t="s">
        <v>463</v>
      </c>
      <c r="G110" s="102" t="s">
        <v>485</v>
      </c>
      <c r="H110" s="103" t="s">
        <v>167</v>
      </c>
      <c r="I110" s="103"/>
      <c r="J110" s="342" t="str">
        <f t="shared" ref="J110:J121" si="55">CONCATENATE(C110,D110,F110,G110,H110,I110)</f>
        <v>28063920021400106</v>
      </c>
      <c r="K110" s="109">
        <v>2022</v>
      </c>
      <c r="L110" s="109" t="s">
        <v>348</v>
      </c>
      <c r="M110" s="109" t="s">
        <v>349</v>
      </c>
      <c r="N110" s="109" t="s">
        <v>350</v>
      </c>
      <c r="O110" s="12">
        <f>'2022 Budget &amp; CF'!J110</f>
        <v>0</v>
      </c>
      <c r="P110" s="12">
        <f>'2022 Budget &amp; CF'!K110</f>
        <v>0</v>
      </c>
      <c r="Q110" s="12">
        <f>'2022 Budget &amp; CF'!L110</f>
        <v>0</v>
      </c>
      <c r="R110" s="12">
        <f>'2022 Budget &amp; CF'!M110</f>
        <v>0</v>
      </c>
      <c r="S110" s="12">
        <f>'2022 Budget &amp; CF'!N110</f>
        <v>0</v>
      </c>
      <c r="T110" s="12">
        <f>'2022 Budget &amp; CF'!O110</f>
        <v>0</v>
      </c>
      <c r="U110" s="12">
        <f>'2022 Budget &amp; CF'!P110</f>
        <v>0</v>
      </c>
      <c r="V110" s="12">
        <f>'2022 Budget &amp; CF'!Q110</f>
        <v>0</v>
      </c>
      <c r="W110" s="12">
        <f>'2022 Budget &amp; CF'!R110</f>
        <v>0</v>
      </c>
      <c r="X110" s="12">
        <f>'2022 Budget &amp; CF'!S110</f>
        <v>0</v>
      </c>
      <c r="Y110" s="12">
        <f>'2022 Budget &amp; CF'!T110</f>
        <v>0</v>
      </c>
      <c r="Z110" s="12">
        <f>'2022 Budget &amp; CF'!U110</f>
        <v>0</v>
      </c>
      <c r="AA110" s="12">
        <f>'2022 Budget &amp; CF'!V110</f>
        <v>0</v>
      </c>
      <c r="AB110" s="12"/>
      <c r="AC110" s="121">
        <f>SUM(O110:AA110)</f>
        <v>0</v>
      </c>
      <c r="AD110" s="115">
        <f>'2022 Budget &amp; CF'!Z110</f>
        <v>0</v>
      </c>
      <c r="AE110" s="117">
        <f t="shared" si="46"/>
        <v>0</v>
      </c>
      <c r="AF110" s="117">
        <f t="shared" si="47"/>
        <v>0</v>
      </c>
    </row>
    <row r="111" spans="2:32" hidden="1" outlineLevel="1" x14ac:dyDescent="0.2">
      <c r="B111" s="82"/>
      <c r="C111" s="102"/>
      <c r="D111" s="101"/>
      <c r="E111" s="104"/>
      <c r="F111" s="102"/>
      <c r="G111" s="102"/>
      <c r="H111" s="103"/>
      <c r="I111" s="103"/>
      <c r="J111" s="342"/>
      <c r="K111" s="109"/>
      <c r="L111" s="109"/>
      <c r="M111" s="109"/>
      <c r="N111" s="109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14"/>
      <c r="AD111" s="114"/>
      <c r="AE111" s="114"/>
      <c r="AF111" s="114"/>
    </row>
    <row r="112" spans="2:32" hidden="1" outlineLevel="1" x14ac:dyDescent="0.2">
      <c r="B112" s="82" t="s">
        <v>1048</v>
      </c>
      <c r="C112" s="102" t="s">
        <v>135</v>
      </c>
      <c r="D112" s="101" t="s">
        <v>242</v>
      </c>
      <c r="E112" s="104"/>
      <c r="F112" s="102" t="s">
        <v>532</v>
      </c>
      <c r="G112" s="102" t="s">
        <v>465</v>
      </c>
      <c r="H112" s="103" t="s">
        <v>1046</v>
      </c>
      <c r="I112" s="103"/>
      <c r="J112" s="342" t="str">
        <f t="shared" si="55"/>
        <v>28062443021100156</v>
      </c>
      <c r="K112" s="109">
        <v>2022</v>
      </c>
      <c r="L112" s="109" t="s">
        <v>348</v>
      </c>
      <c r="M112" s="109" t="s">
        <v>349</v>
      </c>
      <c r="N112" s="109" t="s">
        <v>350</v>
      </c>
      <c r="O112" s="12">
        <f>'2022 Budget &amp; CF'!J112</f>
        <v>0</v>
      </c>
      <c r="P112" s="12">
        <f>'2022 Budget &amp; CF'!K112</f>
        <v>0</v>
      </c>
      <c r="Q112" s="12">
        <f>'2022 Budget &amp; CF'!L112</f>
        <v>0</v>
      </c>
      <c r="R112" s="12">
        <f>'2022 Budget &amp; CF'!M112</f>
        <v>0</v>
      </c>
      <c r="S112" s="12">
        <f>'2022 Budget &amp; CF'!N112</f>
        <v>0</v>
      </c>
      <c r="T112" s="12">
        <f>'2022 Budget &amp; CF'!O112</f>
        <v>0</v>
      </c>
      <c r="U112" s="12">
        <f>'2022 Budget &amp; CF'!P112</f>
        <v>0</v>
      </c>
      <c r="V112" s="12">
        <f>'2022 Budget &amp; CF'!Q112</f>
        <v>0</v>
      </c>
      <c r="W112" s="12">
        <f>'2022 Budget &amp; CF'!R112</f>
        <v>0</v>
      </c>
      <c r="X112" s="12">
        <f>'2022 Budget &amp; CF'!S112</f>
        <v>0</v>
      </c>
      <c r="Y112" s="12">
        <f>'2022 Budget &amp; CF'!T112</f>
        <v>0</v>
      </c>
      <c r="Z112" s="12">
        <f>'2022 Budget &amp; CF'!U112</f>
        <v>0</v>
      </c>
      <c r="AA112" s="12">
        <f>'2022 Budget &amp; CF'!V112</f>
        <v>0</v>
      </c>
      <c r="AB112" s="12"/>
      <c r="AC112" s="121">
        <f>SUM(O112:AA112)</f>
        <v>0</v>
      </c>
      <c r="AD112" s="115">
        <f>'2022 Budget &amp; CF'!Z112</f>
        <v>0</v>
      </c>
      <c r="AE112" s="117">
        <f t="shared" ref="AE112:AE121" si="56">AD112-AC112</f>
        <v>0</v>
      </c>
      <c r="AF112" s="117">
        <f t="shared" ref="AF112:AF121" si="57">AE112/$AF$6</f>
        <v>0</v>
      </c>
    </row>
    <row r="113" spans="2:36" hidden="1" outlineLevel="1" x14ac:dyDescent="0.2">
      <c r="B113" s="82" t="s">
        <v>1048</v>
      </c>
      <c r="C113" s="102" t="s">
        <v>135</v>
      </c>
      <c r="D113" s="101" t="s">
        <v>249</v>
      </c>
      <c r="E113" s="104"/>
      <c r="F113" s="102" t="s">
        <v>468</v>
      </c>
      <c r="G113" s="102" t="s">
        <v>465</v>
      </c>
      <c r="H113" s="103" t="s">
        <v>1046</v>
      </c>
      <c r="I113" s="103"/>
      <c r="J113" s="342" t="str">
        <f t="shared" si="55"/>
        <v>28070910021100156</v>
      </c>
      <c r="K113" s="109">
        <v>2022</v>
      </c>
      <c r="L113" s="109" t="s">
        <v>348</v>
      </c>
      <c r="M113" s="109" t="s">
        <v>349</v>
      </c>
      <c r="N113" s="109" t="s">
        <v>350</v>
      </c>
      <c r="O113" s="12">
        <f>'2022 Budget &amp; CF'!J113</f>
        <v>1000</v>
      </c>
      <c r="P113" s="12">
        <f>'2022 Budget &amp; CF'!K113</f>
        <v>0</v>
      </c>
      <c r="Q113" s="12">
        <f>'2022 Budget &amp; CF'!L113</f>
        <v>0</v>
      </c>
      <c r="R113" s="12">
        <f>'2022 Budget &amp; CF'!M113</f>
        <v>0</v>
      </c>
      <c r="S113" s="12">
        <f>'2022 Budget &amp; CF'!N113</f>
        <v>0</v>
      </c>
      <c r="T113" s="12">
        <f>'2022 Budget &amp; CF'!O113</f>
        <v>0</v>
      </c>
      <c r="U113" s="12">
        <f>'2022 Budget &amp; CF'!P113</f>
        <v>0</v>
      </c>
      <c r="V113" s="12">
        <f>'2022 Budget &amp; CF'!Q113</f>
        <v>0</v>
      </c>
      <c r="W113" s="12">
        <f>'2022 Budget &amp; CF'!R113</f>
        <v>0</v>
      </c>
      <c r="X113" s="12">
        <f>'2022 Budget &amp; CF'!S113</f>
        <v>0</v>
      </c>
      <c r="Y113" s="12">
        <f>'2022 Budget &amp; CF'!T113</f>
        <v>0</v>
      </c>
      <c r="Z113" s="12">
        <f>'2022 Budget &amp; CF'!U113</f>
        <v>0</v>
      </c>
      <c r="AA113" s="12">
        <f>'2022 Budget &amp; CF'!V113</f>
        <v>0</v>
      </c>
      <c r="AB113" s="12"/>
      <c r="AC113" s="121">
        <f>SUM(O113:AA113)</f>
        <v>1000</v>
      </c>
      <c r="AD113" s="115">
        <f>'2022 Budget &amp; CF'!Z113</f>
        <v>0</v>
      </c>
      <c r="AE113" s="117">
        <f t="shared" si="56"/>
        <v>-1000</v>
      </c>
      <c r="AF113" s="117">
        <f t="shared" si="57"/>
        <v>-83.333333333333329</v>
      </c>
    </row>
    <row r="114" spans="2:36" hidden="1" outlineLevel="1" x14ac:dyDescent="0.2">
      <c r="B114" s="82" t="s">
        <v>1048</v>
      </c>
      <c r="C114" s="102" t="s">
        <v>468</v>
      </c>
      <c r="D114" s="103" t="s">
        <v>145</v>
      </c>
      <c r="E114" s="104"/>
      <c r="F114" s="102" t="s">
        <v>468</v>
      </c>
      <c r="G114" s="102" t="s">
        <v>556</v>
      </c>
      <c r="H114" s="103" t="s">
        <v>1046</v>
      </c>
      <c r="I114" s="103"/>
      <c r="J114" s="342" t="str">
        <f t="shared" si="55"/>
        <v>10000010021200156</v>
      </c>
      <c r="K114" s="109">
        <v>2022</v>
      </c>
      <c r="L114" s="109" t="s">
        <v>348</v>
      </c>
      <c r="M114" s="109" t="s">
        <v>349</v>
      </c>
      <c r="N114" s="109" t="s">
        <v>350</v>
      </c>
      <c r="O114" s="12">
        <f>'2022 Budget &amp; CF'!J114</f>
        <v>0</v>
      </c>
      <c r="P114" s="12">
        <f>'2022 Budget &amp; CF'!K114</f>
        <v>0</v>
      </c>
      <c r="Q114" s="12">
        <f>'2022 Budget &amp; CF'!L114</f>
        <v>0</v>
      </c>
      <c r="R114" s="12">
        <f>'2022 Budget &amp; CF'!M114</f>
        <v>1500</v>
      </c>
      <c r="S114" s="12">
        <f>'2022 Budget &amp; CF'!N114</f>
        <v>0</v>
      </c>
      <c r="T114" s="12">
        <f>'2022 Budget &amp; CF'!O114</f>
        <v>0</v>
      </c>
      <c r="U114" s="12">
        <f>'2022 Budget &amp; CF'!P114</f>
        <v>0</v>
      </c>
      <c r="V114" s="12">
        <f>'2022 Budget &amp; CF'!Q114</f>
        <v>0</v>
      </c>
      <c r="W114" s="12">
        <f>'2022 Budget &amp; CF'!R114</f>
        <v>0</v>
      </c>
      <c r="X114" s="12">
        <f>'2022 Budget &amp; CF'!S114</f>
        <v>0</v>
      </c>
      <c r="Y114" s="12">
        <f>'2022 Budget &amp; CF'!T114</f>
        <v>0</v>
      </c>
      <c r="Z114" s="12">
        <f>'2022 Budget &amp; CF'!U114</f>
        <v>0</v>
      </c>
      <c r="AA114" s="12">
        <f>'2022 Budget &amp; CF'!V114</f>
        <v>0</v>
      </c>
      <c r="AB114" s="12"/>
      <c r="AC114" s="121">
        <f>SUM(O114:AA114)</f>
        <v>1500</v>
      </c>
      <c r="AD114" s="115">
        <f>'2022 Budget &amp; CF'!Z114</f>
        <v>0</v>
      </c>
      <c r="AE114" s="117">
        <f t="shared" si="56"/>
        <v>-1500</v>
      </c>
      <c r="AF114" s="117">
        <f t="shared" si="57"/>
        <v>-125</v>
      </c>
    </row>
    <row r="115" spans="2:36" hidden="1" outlineLevel="1" x14ac:dyDescent="0.2">
      <c r="B115" s="82" t="s">
        <v>1048</v>
      </c>
      <c r="C115" s="102" t="s">
        <v>135</v>
      </c>
      <c r="D115" s="101" t="s">
        <v>242</v>
      </c>
      <c r="E115" s="104"/>
      <c r="F115" s="102" t="s">
        <v>532</v>
      </c>
      <c r="G115" s="102" t="s">
        <v>556</v>
      </c>
      <c r="H115" s="103" t="s">
        <v>1046</v>
      </c>
      <c r="I115" s="103"/>
      <c r="J115" s="342" t="str">
        <f t="shared" si="55"/>
        <v>28062443021200156</v>
      </c>
      <c r="K115" s="109">
        <v>2022</v>
      </c>
      <c r="L115" s="109" t="s">
        <v>348</v>
      </c>
      <c r="M115" s="109" t="s">
        <v>349</v>
      </c>
      <c r="N115" s="109" t="s">
        <v>350</v>
      </c>
      <c r="O115" s="12">
        <f>'2022 Budget &amp; CF'!J115</f>
        <v>0</v>
      </c>
      <c r="P115" s="12">
        <f>'2022 Budget &amp; CF'!K115</f>
        <v>0</v>
      </c>
      <c r="Q115" s="12">
        <f>'2022 Budget &amp; CF'!L115</f>
        <v>0</v>
      </c>
      <c r="R115" s="12">
        <f>'2022 Budget &amp; CF'!M115</f>
        <v>375</v>
      </c>
      <c r="S115" s="12">
        <f>'2022 Budget &amp; CF'!N115</f>
        <v>0</v>
      </c>
      <c r="T115" s="12">
        <f>'2022 Budget &amp; CF'!O115</f>
        <v>0</v>
      </c>
      <c r="U115" s="12">
        <f>'2022 Budget &amp; CF'!P115</f>
        <v>0</v>
      </c>
      <c r="V115" s="12">
        <f>'2022 Budget &amp; CF'!Q115</f>
        <v>0</v>
      </c>
      <c r="W115" s="12">
        <f>'2022 Budget &amp; CF'!R115</f>
        <v>0</v>
      </c>
      <c r="X115" s="12">
        <f>'2022 Budget &amp; CF'!S115</f>
        <v>0</v>
      </c>
      <c r="Y115" s="12">
        <f>'2022 Budget &amp; CF'!T115</f>
        <v>0</v>
      </c>
      <c r="Z115" s="12">
        <f>'2022 Budget &amp; CF'!U115</f>
        <v>0</v>
      </c>
      <c r="AA115" s="12">
        <f>'2022 Budget &amp; CF'!V115</f>
        <v>0</v>
      </c>
      <c r="AB115" s="12"/>
      <c r="AC115" s="121">
        <f>SUM(O115:AA115)</f>
        <v>375</v>
      </c>
      <c r="AD115" s="115">
        <f>'2022 Budget &amp; CF'!Z115</f>
        <v>0</v>
      </c>
      <c r="AE115" s="117">
        <f t="shared" si="56"/>
        <v>-375</v>
      </c>
      <c r="AF115" s="117">
        <f t="shared" si="57"/>
        <v>-31.25</v>
      </c>
    </row>
    <row r="116" spans="2:36" hidden="1" outlineLevel="1" x14ac:dyDescent="0.2">
      <c r="B116" s="82" t="s">
        <v>1048</v>
      </c>
      <c r="C116" s="102" t="s">
        <v>135</v>
      </c>
      <c r="D116" s="101" t="s">
        <v>249</v>
      </c>
      <c r="E116" s="104"/>
      <c r="F116" s="102" t="s">
        <v>468</v>
      </c>
      <c r="G116" s="102" t="s">
        <v>556</v>
      </c>
      <c r="H116" s="103" t="s">
        <v>1046</v>
      </c>
      <c r="I116" s="103"/>
      <c r="J116" s="342" t="str">
        <f t="shared" si="55"/>
        <v>28070910021200156</v>
      </c>
      <c r="K116" s="109">
        <v>2022</v>
      </c>
      <c r="L116" s="109" t="s">
        <v>348</v>
      </c>
      <c r="M116" s="109" t="s">
        <v>349</v>
      </c>
      <c r="N116" s="109" t="s">
        <v>350</v>
      </c>
      <c r="O116" s="12">
        <f>'2022 Budget &amp; CF'!J116</f>
        <v>0</v>
      </c>
      <c r="P116" s="12">
        <f>'2022 Budget &amp; CF'!K116</f>
        <v>0</v>
      </c>
      <c r="Q116" s="12">
        <f>'2022 Budget &amp; CF'!L116</f>
        <v>0</v>
      </c>
      <c r="R116" s="12">
        <f>'2022 Budget &amp; CF'!M116</f>
        <v>0</v>
      </c>
      <c r="S116" s="12">
        <f>'2022 Budget &amp; CF'!N116</f>
        <v>0</v>
      </c>
      <c r="T116" s="12">
        <f>'2022 Budget &amp; CF'!O116</f>
        <v>0</v>
      </c>
      <c r="U116" s="12">
        <f>'2022 Budget &amp; CF'!P116</f>
        <v>0</v>
      </c>
      <c r="V116" s="12">
        <f>'2022 Budget &amp; CF'!Q116</f>
        <v>0</v>
      </c>
      <c r="W116" s="12">
        <f>'2022 Budget &amp; CF'!R116</f>
        <v>0</v>
      </c>
      <c r="X116" s="12">
        <f>'2022 Budget &amp; CF'!S116</f>
        <v>0</v>
      </c>
      <c r="Y116" s="12">
        <f>'2022 Budget &amp; CF'!T116</f>
        <v>0</v>
      </c>
      <c r="Z116" s="12">
        <f>'2022 Budget &amp; CF'!U116</f>
        <v>0</v>
      </c>
      <c r="AA116" s="12">
        <f>'2022 Budget &amp; CF'!V116</f>
        <v>0</v>
      </c>
      <c r="AB116" s="12"/>
      <c r="AC116" s="121">
        <f>SUM(O116:AA116)</f>
        <v>0</v>
      </c>
      <c r="AD116" s="115">
        <f>'2022 Budget &amp; CF'!Z116</f>
        <v>0</v>
      </c>
      <c r="AE116" s="117">
        <f t="shared" si="56"/>
        <v>0</v>
      </c>
      <c r="AF116" s="117">
        <f t="shared" si="57"/>
        <v>0</v>
      </c>
    </row>
    <row r="117" spans="2:36" hidden="1" outlineLevel="1" x14ac:dyDescent="0.2">
      <c r="B117" s="82" t="s">
        <v>1048</v>
      </c>
      <c r="C117" s="102" t="s">
        <v>135</v>
      </c>
      <c r="D117" s="101" t="s">
        <v>923</v>
      </c>
      <c r="E117" s="104"/>
      <c r="F117" s="102" t="s">
        <v>468</v>
      </c>
      <c r="G117" s="102" t="s">
        <v>465</v>
      </c>
      <c r="H117" s="103" t="s">
        <v>1204</v>
      </c>
      <c r="I117" s="103"/>
      <c r="J117" s="342" t="str">
        <f t="shared" ref="J117:J118" si="58">CONCATENATE(C117,D117,F117,G117,H117,I117)</f>
        <v>28066110021100166</v>
      </c>
      <c r="K117" s="109">
        <v>2022</v>
      </c>
      <c r="L117" s="109" t="s">
        <v>348</v>
      </c>
      <c r="M117" s="109" t="s">
        <v>349</v>
      </c>
      <c r="N117" s="109" t="s">
        <v>350</v>
      </c>
      <c r="O117" s="12">
        <f>'2022 Budget &amp; CF'!J117</f>
        <v>0</v>
      </c>
      <c r="P117" s="12">
        <f>'2022 Budget &amp; CF'!K117</f>
        <v>350</v>
      </c>
      <c r="Q117" s="12">
        <f>'2022 Budget &amp; CF'!L117</f>
        <v>0</v>
      </c>
      <c r="R117" s="12">
        <f>'2022 Budget &amp; CF'!M117</f>
        <v>0</v>
      </c>
      <c r="S117" s="12">
        <f>'2022 Budget &amp; CF'!N117</f>
        <v>0</v>
      </c>
      <c r="T117" s="12">
        <f>'2022 Budget &amp; CF'!O117</f>
        <v>0</v>
      </c>
      <c r="U117" s="12">
        <f>'2022 Budget &amp; CF'!P117</f>
        <v>0</v>
      </c>
      <c r="V117" s="12">
        <f>'2022 Budget &amp; CF'!Q117</f>
        <v>0</v>
      </c>
      <c r="W117" s="12">
        <f>'2022 Budget &amp; CF'!R117</f>
        <v>0</v>
      </c>
      <c r="X117" s="12">
        <f>'2022 Budget &amp; CF'!S117</f>
        <v>0</v>
      </c>
      <c r="Y117" s="12">
        <f>'2022 Budget &amp; CF'!T117</f>
        <v>0</v>
      </c>
      <c r="Z117" s="12">
        <f>'2022 Budget &amp; CF'!U117</f>
        <v>0</v>
      </c>
      <c r="AA117" s="12">
        <f>'2022 Budget &amp; CF'!V117</f>
        <v>0</v>
      </c>
      <c r="AB117" s="12"/>
      <c r="AC117" s="121">
        <f t="shared" ref="AC117:AC118" si="59">SUM(O117:AA117)</f>
        <v>350</v>
      </c>
      <c r="AD117" s="115">
        <f>'2022 Budget &amp; CF'!Z117</f>
        <v>0</v>
      </c>
      <c r="AE117" s="117">
        <f t="shared" ref="AE117:AE118" si="60">AD117-AC117</f>
        <v>-350</v>
      </c>
      <c r="AF117" s="117">
        <f t="shared" ref="AF117:AF118" si="61">AE117/$AF$6</f>
        <v>-29.166666666666668</v>
      </c>
    </row>
    <row r="118" spans="2:36" hidden="1" outlineLevel="1" x14ac:dyDescent="0.2">
      <c r="B118" s="82" t="s">
        <v>1048</v>
      </c>
      <c r="C118" s="102" t="s">
        <v>135</v>
      </c>
      <c r="D118" s="101" t="s">
        <v>1042</v>
      </c>
      <c r="E118" s="104"/>
      <c r="F118" s="102" t="s">
        <v>532</v>
      </c>
      <c r="G118" s="102" t="s">
        <v>465</v>
      </c>
      <c r="H118" s="103" t="s">
        <v>1204</v>
      </c>
      <c r="I118" s="103"/>
      <c r="J118" s="342" t="str">
        <f t="shared" si="58"/>
        <v>28069843021100166</v>
      </c>
      <c r="K118" s="109">
        <v>2022</v>
      </c>
      <c r="L118" s="109" t="s">
        <v>348</v>
      </c>
      <c r="M118" s="109" t="s">
        <v>349</v>
      </c>
      <c r="N118" s="109" t="s">
        <v>350</v>
      </c>
      <c r="O118" s="12">
        <f>'2022 Budget &amp; CF'!J118</f>
        <v>0</v>
      </c>
      <c r="P118" s="12">
        <f>'2022 Budget &amp; CF'!K118</f>
        <v>360</v>
      </c>
      <c r="Q118" s="12">
        <f>'2022 Budget &amp; CF'!L118</f>
        <v>0</v>
      </c>
      <c r="R118" s="12">
        <f>'2022 Budget &amp; CF'!M118</f>
        <v>0</v>
      </c>
      <c r="S118" s="12">
        <f>'2022 Budget &amp; CF'!N118</f>
        <v>0</v>
      </c>
      <c r="T118" s="12">
        <f>'2022 Budget &amp; CF'!O118</f>
        <v>0</v>
      </c>
      <c r="U118" s="12">
        <f>'2022 Budget &amp; CF'!P118</f>
        <v>0</v>
      </c>
      <c r="V118" s="12">
        <f>'2022 Budget &amp; CF'!Q118</f>
        <v>0</v>
      </c>
      <c r="W118" s="12">
        <f>'2022 Budget &amp; CF'!R118</f>
        <v>0</v>
      </c>
      <c r="X118" s="12">
        <f>'2022 Budget &amp; CF'!S118</f>
        <v>0</v>
      </c>
      <c r="Y118" s="12">
        <f>'2022 Budget &amp; CF'!T118</f>
        <v>0</v>
      </c>
      <c r="Z118" s="12">
        <f>'2022 Budget &amp; CF'!U118</f>
        <v>0</v>
      </c>
      <c r="AA118" s="12">
        <f>'2022 Budget &amp; CF'!V118</f>
        <v>0</v>
      </c>
      <c r="AB118" s="12"/>
      <c r="AC118" s="121">
        <f t="shared" si="59"/>
        <v>360</v>
      </c>
      <c r="AD118" s="115">
        <f>'2022 Budget &amp; CF'!Z118</f>
        <v>0</v>
      </c>
      <c r="AE118" s="117">
        <f t="shared" si="60"/>
        <v>-360</v>
      </c>
      <c r="AF118" s="117">
        <f t="shared" si="61"/>
        <v>-30</v>
      </c>
    </row>
    <row r="119" spans="2:36" hidden="1" outlineLevel="1" x14ac:dyDescent="0.2">
      <c r="B119" s="82" t="s">
        <v>1048</v>
      </c>
      <c r="C119" s="102" t="s">
        <v>135</v>
      </c>
      <c r="D119" s="101" t="s">
        <v>242</v>
      </c>
      <c r="E119" s="104"/>
      <c r="F119" s="102" t="s">
        <v>532</v>
      </c>
      <c r="G119" s="102" t="s">
        <v>485</v>
      </c>
      <c r="H119" s="103" t="s">
        <v>1046</v>
      </c>
      <c r="I119" s="103"/>
      <c r="J119" s="342" t="str">
        <f t="shared" si="55"/>
        <v>28062443021400156</v>
      </c>
      <c r="K119" s="109">
        <v>2022</v>
      </c>
      <c r="L119" s="109" t="s">
        <v>348</v>
      </c>
      <c r="M119" s="109" t="s">
        <v>349</v>
      </c>
      <c r="N119" s="109" t="s">
        <v>350</v>
      </c>
      <c r="O119" s="12">
        <f>'2022 Budget &amp; CF'!J119</f>
        <v>0</v>
      </c>
      <c r="P119" s="12">
        <f>'2022 Budget &amp; CF'!K119</f>
        <v>0</v>
      </c>
      <c r="Q119" s="12">
        <f>'2022 Budget &amp; CF'!L119</f>
        <v>0</v>
      </c>
      <c r="R119" s="12">
        <f>'2022 Budget &amp; CF'!M119</f>
        <v>0</v>
      </c>
      <c r="S119" s="12">
        <f>'2022 Budget &amp; CF'!N119</f>
        <v>0</v>
      </c>
      <c r="T119" s="12">
        <f>'2022 Budget &amp; CF'!O119</f>
        <v>0</v>
      </c>
      <c r="U119" s="12">
        <f>'2022 Budget &amp; CF'!P119</f>
        <v>0</v>
      </c>
      <c r="V119" s="12">
        <f>'2022 Budget &amp; CF'!Q119</f>
        <v>0</v>
      </c>
      <c r="W119" s="12">
        <f>'2022 Budget &amp; CF'!R119</f>
        <v>0</v>
      </c>
      <c r="X119" s="12">
        <f>'2022 Budget &amp; CF'!S119</f>
        <v>0</v>
      </c>
      <c r="Y119" s="12">
        <f>'2022 Budget &amp; CF'!T119</f>
        <v>0</v>
      </c>
      <c r="Z119" s="12">
        <f>'2022 Budget &amp; CF'!U119</f>
        <v>0</v>
      </c>
      <c r="AA119" s="12">
        <f>'2022 Budget &amp; CF'!V119</f>
        <v>0</v>
      </c>
      <c r="AB119" s="12"/>
      <c r="AC119" s="121">
        <f>SUM(O119:AA119)</f>
        <v>0</v>
      </c>
      <c r="AD119" s="115">
        <f>'2022 Budget &amp; CF'!Z119</f>
        <v>0</v>
      </c>
      <c r="AE119" s="117">
        <f t="shared" si="56"/>
        <v>0</v>
      </c>
      <c r="AF119" s="117">
        <f t="shared" si="57"/>
        <v>0</v>
      </c>
    </row>
    <row r="120" spans="2:36" hidden="1" outlineLevel="1" x14ac:dyDescent="0.2">
      <c r="B120" s="82" t="s">
        <v>1048</v>
      </c>
      <c r="C120" s="102" t="s">
        <v>135</v>
      </c>
      <c r="D120" s="101">
        <v>698</v>
      </c>
      <c r="E120" s="104"/>
      <c r="F120" s="102" t="s">
        <v>468</v>
      </c>
      <c r="G120" s="102" t="s">
        <v>465</v>
      </c>
      <c r="H120" s="103" t="s">
        <v>1046</v>
      </c>
      <c r="I120" s="103"/>
      <c r="J120" s="342" t="str">
        <f t="shared" ref="J120" si="62">CONCATENATE(C120,D120,F120,G120,H120,I120)</f>
        <v>28069810021100156</v>
      </c>
      <c r="K120" s="109">
        <v>2022</v>
      </c>
      <c r="L120" s="109" t="s">
        <v>348</v>
      </c>
      <c r="M120" s="109" t="s">
        <v>349</v>
      </c>
      <c r="N120" s="109" t="s">
        <v>350</v>
      </c>
      <c r="O120" s="12">
        <f>'2022 Budget &amp; CF'!J120</f>
        <v>330</v>
      </c>
      <c r="P120" s="12">
        <f>'2022 Budget &amp; CF'!K120</f>
        <v>0</v>
      </c>
      <c r="Q120" s="12">
        <f>'2022 Budget &amp; CF'!L120</f>
        <v>0</v>
      </c>
      <c r="R120" s="12">
        <f>'2022 Budget &amp; CF'!M120</f>
        <v>0</v>
      </c>
      <c r="S120" s="12">
        <f>'2022 Budget &amp; CF'!N120</f>
        <v>0</v>
      </c>
      <c r="T120" s="12">
        <f>'2022 Budget &amp; CF'!O120</f>
        <v>0</v>
      </c>
      <c r="U120" s="12">
        <f>'2022 Budget &amp; CF'!P120</f>
        <v>0</v>
      </c>
      <c r="V120" s="12">
        <f>'2022 Budget &amp; CF'!Q120</f>
        <v>0</v>
      </c>
      <c r="W120" s="12">
        <f>'2022 Budget &amp; CF'!R120</f>
        <v>0</v>
      </c>
      <c r="X120" s="12">
        <f>'2022 Budget &amp; CF'!S120</f>
        <v>0</v>
      </c>
      <c r="Y120" s="12">
        <f>'2022 Budget &amp; CF'!T120</f>
        <v>0</v>
      </c>
      <c r="Z120" s="12">
        <f>'2022 Budget &amp; CF'!U120</f>
        <v>0</v>
      </c>
      <c r="AA120" s="12">
        <f>'2022 Budget &amp; CF'!V120</f>
        <v>0</v>
      </c>
      <c r="AB120" s="12"/>
      <c r="AC120" s="121">
        <f>SUM(O120:AA120)</f>
        <v>330</v>
      </c>
      <c r="AD120" s="115">
        <f>'2022 Budget &amp; CF'!Z120</f>
        <v>0</v>
      </c>
      <c r="AE120" s="117">
        <f t="shared" ref="AE120" si="63">AD120-AC120</f>
        <v>-330</v>
      </c>
      <c r="AF120" s="117">
        <f t="shared" ref="AF120" si="64">AE120/$AF$6</f>
        <v>-27.5</v>
      </c>
    </row>
    <row r="121" spans="2:36" hidden="1" outlineLevel="1" x14ac:dyDescent="0.2">
      <c r="B121" s="82" t="s">
        <v>1048</v>
      </c>
      <c r="C121" s="102" t="s">
        <v>135</v>
      </c>
      <c r="D121" s="101" t="s">
        <v>249</v>
      </c>
      <c r="E121" s="104"/>
      <c r="F121" s="102" t="s">
        <v>468</v>
      </c>
      <c r="G121" s="102" t="s">
        <v>485</v>
      </c>
      <c r="H121" s="103" t="s">
        <v>1046</v>
      </c>
      <c r="I121" s="103"/>
      <c r="J121" s="342" t="str">
        <f t="shared" si="55"/>
        <v>28070910021400156</v>
      </c>
      <c r="K121" s="109">
        <v>2022</v>
      </c>
      <c r="L121" s="109" t="s">
        <v>348</v>
      </c>
      <c r="M121" s="109" t="s">
        <v>349</v>
      </c>
      <c r="N121" s="109" t="s">
        <v>350</v>
      </c>
      <c r="O121" s="12">
        <f>'2022 Budget &amp; CF'!J121</f>
        <v>0</v>
      </c>
      <c r="P121" s="12">
        <f>'2022 Budget &amp; CF'!K121</f>
        <v>0</v>
      </c>
      <c r="Q121" s="12">
        <f>'2022 Budget &amp; CF'!L121</f>
        <v>0</v>
      </c>
      <c r="R121" s="12">
        <f>'2022 Budget &amp; CF'!M121</f>
        <v>0</v>
      </c>
      <c r="S121" s="12">
        <f>'2022 Budget &amp; CF'!N121</f>
        <v>0</v>
      </c>
      <c r="T121" s="12">
        <f>'2022 Budget &amp; CF'!O121</f>
        <v>0</v>
      </c>
      <c r="U121" s="12">
        <f>'2022 Budget &amp; CF'!P121</f>
        <v>0</v>
      </c>
      <c r="V121" s="12">
        <f>'2022 Budget &amp; CF'!Q121</f>
        <v>0</v>
      </c>
      <c r="W121" s="12">
        <f>'2022 Budget &amp; CF'!R121</f>
        <v>0</v>
      </c>
      <c r="X121" s="12">
        <f>'2022 Budget &amp; CF'!S121</f>
        <v>0</v>
      </c>
      <c r="Y121" s="12">
        <f>'2022 Budget &amp; CF'!T121</f>
        <v>0</v>
      </c>
      <c r="Z121" s="12">
        <f>'2022 Budget &amp; CF'!U121</f>
        <v>0</v>
      </c>
      <c r="AA121" s="12">
        <f>'2022 Budget &amp; CF'!V121</f>
        <v>0</v>
      </c>
      <c r="AB121" s="12"/>
      <c r="AC121" s="121">
        <f>SUM(O121:AA121)</f>
        <v>0</v>
      </c>
      <c r="AD121" s="115">
        <f>'2022 Budget &amp; CF'!Z121</f>
        <v>0</v>
      </c>
      <c r="AE121" s="117">
        <f t="shared" si="56"/>
        <v>0</v>
      </c>
      <c r="AF121" s="117">
        <f t="shared" si="57"/>
        <v>0</v>
      </c>
    </row>
    <row r="122" spans="2:36" s="2" customFormat="1" ht="13.5" collapsed="1" thickTop="1" x14ac:dyDescent="0.2">
      <c r="B122" s="212" t="s">
        <v>174</v>
      </c>
      <c r="C122" s="331"/>
      <c r="D122" s="330"/>
      <c r="E122" s="330"/>
      <c r="F122" s="331"/>
      <c r="G122" s="331"/>
      <c r="H122" s="458"/>
      <c r="I122" s="457"/>
      <c r="J122" s="549"/>
      <c r="K122" s="457"/>
      <c r="L122" s="457"/>
      <c r="M122" s="457"/>
      <c r="N122" s="458"/>
      <c r="O122" s="303">
        <f t="shared" ref="O122:AA122" si="65">SUM(O54:O121)</f>
        <v>56751.73000000001</v>
      </c>
      <c r="P122" s="303">
        <f t="shared" si="65"/>
        <v>163655.06999999998</v>
      </c>
      <c r="Q122" s="303">
        <f t="shared" si="65"/>
        <v>195416.01</v>
      </c>
      <c r="R122" s="303">
        <f t="shared" si="65"/>
        <v>150073.62999999998</v>
      </c>
      <c r="S122" s="303">
        <f t="shared" si="65"/>
        <v>129544.77</v>
      </c>
      <c r="T122" s="303">
        <f t="shared" si="65"/>
        <v>0</v>
      </c>
      <c r="U122" s="303">
        <f t="shared" si="65"/>
        <v>0</v>
      </c>
      <c r="V122" s="303">
        <f t="shared" si="65"/>
        <v>0</v>
      </c>
      <c r="W122" s="303">
        <f t="shared" si="65"/>
        <v>0</v>
      </c>
      <c r="X122" s="303">
        <f t="shared" si="65"/>
        <v>0</v>
      </c>
      <c r="Y122" s="303">
        <f t="shared" si="65"/>
        <v>0</v>
      </c>
      <c r="Z122" s="303">
        <f t="shared" si="65"/>
        <v>0</v>
      </c>
      <c r="AA122" s="303">
        <f t="shared" si="65"/>
        <v>0</v>
      </c>
      <c r="AB122" s="303"/>
      <c r="AC122" s="303">
        <f>SUM(AC54:AC121)</f>
        <v>695441.20999999985</v>
      </c>
      <c r="AD122" s="303">
        <f>SUM(AD54:AD121)</f>
        <v>1822230</v>
      </c>
      <c r="AE122" s="303">
        <f t="shared" ref="AE122" si="66">AD122-AC122</f>
        <v>1126788.79</v>
      </c>
      <c r="AF122" s="303">
        <f t="shared" ref="AF122" si="67">AE122/$AF$6</f>
        <v>93899.065833333341</v>
      </c>
      <c r="AG122" s="553"/>
      <c r="AH122" s="553"/>
      <c r="AI122" s="553"/>
      <c r="AJ122" s="553"/>
    </row>
    <row r="123" spans="2:36" hidden="1" outlineLevel="1" x14ac:dyDescent="0.2">
      <c r="B123" s="717" t="s">
        <v>168</v>
      </c>
      <c r="C123" s="276"/>
      <c r="D123" s="718"/>
      <c r="E123" s="718"/>
      <c r="F123" s="276"/>
      <c r="G123" s="276"/>
      <c r="H123" s="108"/>
      <c r="I123" s="726"/>
      <c r="J123" s="342"/>
      <c r="K123" s="109"/>
      <c r="L123" s="109"/>
      <c r="M123" s="109"/>
      <c r="N123" s="109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14"/>
      <c r="AD123" s="114"/>
      <c r="AE123" s="114"/>
      <c r="AF123" s="114"/>
    </row>
    <row r="124" spans="2:36" hidden="1" outlineLevel="1" x14ac:dyDescent="0.2">
      <c r="B124" s="717"/>
      <c r="C124" s="275" t="s">
        <v>468</v>
      </c>
      <c r="D124" s="718" t="s">
        <v>145</v>
      </c>
      <c r="E124" s="718"/>
      <c r="F124" s="275" t="s">
        <v>468</v>
      </c>
      <c r="G124" s="275">
        <v>1000</v>
      </c>
      <c r="H124" s="718" t="s">
        <v>169</v>
      </c>
      <c r="I124" s="726"/>
      <c r="J124" s="342" t="str">
        <f t="shared" ref="J124:J141" si="68">CONCATENATE(C124,D124,F124,G124,H124,I124)</f>
        <v>10000010010000102</v>
      </c>
      <c r="K124" s="109">
        <v>2022</v>
      </c>
      <c r="L124" s="109" t="s">
        <v>348</v>
      </c>
      <c r="M124" s="109" t="s">
        <v>349</v>
      </c>
      <c r="N124" s="109" t="s">
        <v>350</v>
      </c>
      <c r="O124" s="12">
        <f>'2022 Budget &amp; CF'!J124</f>
        <v>0</v>
      </c>
      <c r="P124" s="12">
        <f>'2022 Budget &amp; CF'!K124</f>
        <v>13586.51</v>
      </c>
      <c r="Q124" s="12">
        <f>'2022 Budget &amp; CF'!L124</f>
        <v>16463.32</v>
      </c>
      <c r="R124" s="12">
        <f>'2022 Budget &amp; CF'!M124</f>
        <v>15599.13</v>
      </c>
      <c r="S124" s="12">
        <f>'2022 Budget &amp; CF'!N124</f>
        <v>14337.7</v>
      </c>
      <c r="T124" s="12">
        <f>'2022 Budget &amp; CF'!O124</f>
        <v>0</v>
      </c>
      <c r="U124" s="12">
        <f>'2022 Budget &amp; CF'!P124</f>
        <v>0</v>
      </c>
      <c r="V124" s="12">
        <f>'2022 Budget &amp; CF'!Q124</f>
        <v>0</v>
      </c>
      <c r="W124" s="12">
        <f>'2022 Budget &amp; CF'!R124</f>
        <v>0</v>
      </c>
      <c r="X124" s="12">
        <f>'2022 Budget &amp; CF'!S124</f>
        <v>0</v>
      </c>
      <c r="Y124" s="12">
        <f>'2022 Budget &amp; CF'!T124</f>
        <v>0</v>
      </c>
      <c r="Z124" s="12">
        <f>'2022 Budget &amp; CF'!U124</f>
        <v>0</v>
      </c>
      <c r="AA124" s="12">
        <f>'2022 Budget &amp; CF'!V124</f>
        <v>0</v>
      </c>
      <c r="AB124" s="12"/>
      <c r="AC124" s="121">
        <f t="shared" ref="AC124" si="69">SUM(O124:AA124)</f>
        <v>59986.66</v>
      </c>
      <c r="AD124" s="115">
        <f>'2022 Budget &amp; CF'!Z124</f>
        <v>248252</v>
      </c>
      <c r="AE124" s="117">
        <f t="shared" ref="AE124" si="70">AD124-AC124</f>
        <v>188265.34</v>
      </c>
      <c r="AF124" s="117">
        <f t="shared" ref="AF124" si="71">AE124/$AF$6</f>
        <v>15688.778333333334</v>
      </c>
    </row>
    <row r="125" spans="2:36" hidden="1" outlineLevel="1" x14ac:dyDescent="0.2">
      <c r="B125" s="717"/>
      <c r="C125" s="275" t="s">
        <v>473</v>
      </c>
      <c r="D125" s="727">
        <v>289</v>
      </c>
      <c r="E125" s="718"/>
      <c r="F125" s="275" t="s">
        <v>557</v>
      </c>
      <c r="G125" s="275">
        <v>1000</v>
      </c>
      <c r="H125" s="718" t="s">
        <v>169</v>
      </c>
      <c r="I125" s="726"/>
      <c r="J125" s="342" t="str">
        <f t="shared" si="68"/>
        <v>24028942010000102</v>
      </c>
      <c r="K125" s="109">
        <v>2022</v>
      </c>
      <c r="L125" s="109" t="s">
        <v>348</v>
      </c>
      <c r="M125" s="109" t="s">
        <v>349</v>
      </c>
      <c r="N125" s="109" t="s">
        <v>350</v>
      </c>
      <c r="O125" s="12">
        <f>'2022 Budget &amp; CF'!J125</f>
        <v>0</v>
      </c>
      <c r="P125" s="12">
        <f>'2022 Budget &amp; CF'!K125</f>
        <v>0</v>
      </c>
      <c r="Q125" s="12">
        <f>'2022 Budget &amp; CF'!L125</f>
        <v>0</v>
      </c>
      <c r="R125" s="12">
        <f>'2022 Budget &amp; CF'!M125</f>
        <v>0</v>
      </c>
      <c r="S125" s="12">
        <f>'2022 Budget &amp; CF'!N125</f>
        <v>0</v>
      </c>
      <c r="T125" s="12">
        <f>'2022 Budget &amp; CF'!O125</f>
        <v>0</v>
      </c>
      <c r="U125" s="12">
        <f>'2022 Budget &amp; CF'!P125</f>
        <v>0</v>
      </c>
      <c r="V125" s="12">
        <f>'2022 Budget &amp; CF'!Q125</f>
        <v>0</v>
      </c>
      <c r="W125" s="12">
        <f>'2022 Budget &amp; CF'!R125</f>
        <v>0</v>
      </c>
      <c r="X125" s="12">
        <f>'2022 Budget &amp; CF'!S125</f>
        <v>0</v>
      </c>
      <c r="Y125" s="12">
        <f>'2022 Budget &amp; CF'!T125</f>
        <v>0</v>
      </c>
      <c r="Z125" s="12">
        <f>'2022 Budget &amp; CF'!U125</f>
        <v>0</v>
      </c>
      <c r="AA125" s="12">
        <f>'2022 Budget &amp; CF'!V125</f>
        <v>0</v>
      </c>
      <c r="AB125" s="12"/>
      <c r="AC125" s="121">
        <f t="shared" ref="AC125:AC158" si="72">SUM(O125:AA125)</f>
        <v>0</v>
      </c>
      <c r="AD125" s="115">
        <f>'2022 Budget &amp; CF'!Z125</f>
        <v>0</v>
      </c>
      <c r="AE125" s="117">
        <f t="shared" ref="AE125:AE160" si="73">AD125-AC125</f>
        <v>0</v>
      </c>
      <c r="AF125" s="117">
        <f t="shared" ref="AF125:AF160" si="74">AE125/$AF$6</f>
        <v>0</v>
      </c>
    </row>
    <row r="126" spans="2:36" hidden="1" outlineLevel="1" x14ac:dyDescent="0.2">
      <c r="B126" s="717"/>
      <c r="C126" s="276">
        <v>280</v>
      </c>
      <c r="D126" s="276">
        <v>624</v>
      </c>
      <c r="E126" s="718"/>
      <c r="F126" s="276">
        <v>430</v>
      </c>
      <c r="G126" s="276">
        <v>1000</v>
      </c>
      <c r="H126" s="108" t="s">
        <v>169</v>
      </c>
      <c r="I126" s="726"/>
      <c r="J126" s="342" t="str">
        <f t="shared" si="68"/>
        <v>28062443010000102</v>
      </c>
      <c r="K126" s="109">
        <v>2022</v>
      </c>
      <c r="L126" s="109" t="s">
        <v>348</v>
      </c>
      <c r="M126" s="109" t="s">
        <v>349</v>
      </c>
      <c r="N126" s="109" t="s">
        <v>350</v>
      </c>
      <c r="O126" s="12">
        <f>'2022 Budget &amp; CF'!J126</f>
        <v>0</v>
      </c>
      <c r="P126" s="12">
        <f>'2022 Budget &amp; CF'!K126</f>
        <v>0</v>
      </c>
      <c r="Q126" s="12">
        <f>'2022 Budget &amp; CF'!L126</f>
        <v>10259.83</v>
      </c>
      <c r="R126" s="12">
        <f>'2022 Budget &amp; CF'!M126</f>
        <v>4614.3999999999996</v>
      </c>
      <c r="S126" s="12">
        <f>'2022 Budget &amp; CF'!N126</f>
        <v>4607.1899999999996</v>
      </c>
      <c r="T126" s="12">
        <f>'2022 Budget &amp; CF'!O126</f>
        <v>0</v>
      </c>
      <c r="U126" s="12">
        <f>'2022 Budget &amp; CF'!P126</f>
        <v>0</v>
      </c>
      <c r="V126" s="12">
        <f>'2022 Budget &amp; CF'!Q126</f>
        <v>0</v>
      </c>
      <c r="W126" s="12">
        <f>'2022 Budget &amp; CF'!R126</f>
        <v>0</v>
      </c>
      <c r="X126" s="12">
        <f>'2022 Budget &amp; CF'!S126</f>
        <v>0</v>
      </c>
      <c r="Y126" s="12">
        <f>'2022 Budget &amp; CF'!T126</f>
        <v>0</v>
      </c>
      <c r="Z126" s="12">
        <f>'2022 Budget &amp; CF'!U126</f>
        <v>0</v>
      </c>
      <c r="AA126" s="12">
        <f>'2022 Budget &amp; CF'!V126</f>
        <v>0</v>
      </c>
      <c r="AB126" s="12"/>
      <c r="AC126" s="121">
        <f t="shared" si="72"/>
        <v>19481.419999999998</v>
      </c>
      <c r="AD126" s="115">
        <f>'2022 Budget &amp; CF'!Z126</f>
        <v>0</v>
      </c>
      <c r="AE126" s="117">
        <f t="shared" si="73"/>
        <v>-19481.419999999998</v>
      </c>
      <c r="AF126" s="117">
        <f t="shared" si="74"/>
        <v>-1623.4516666666666</v>
      </c>
    </row>
    <row r="127" spans="2:36" hidden="1" outlineLevel="1" x14ac:dyDescent="0.2">
      <c r="B127" s="717"/>
      <c r="C127" s="276">
        <v>280</v>
      </c>
      <c r="D127" s="276">
        <v>633</v>
      </c>
      <c r="E127" s="718"/>
      <c r="F127" s="276">
        <v>430</v>
      </c>
      <c r="G127" s="276">
        <v>1000</v>
      </c>
      <c r="H127" s="108" t="s">
        <v>169</v>
      </c>
      <c r="I127" s="726"/>
      <c r="J127" s="342" t="str">
        <f t="shared" ref="J127" si="75">CONCATENATE(C127,D127,F127,G127,H127,I127)</f>
        <v>28063343010000102</v>
      </c>
      <c r="K127" s="109">
        <v>2022</v>
      </c>
      <c r="L127" s="109" t="s">
        <v>348</v>
      </c>
      <c r="M127" s="109" t="s">
        <v>349</v>
      </c>
      <c r="N127" s="109" t="s">
        <v>350</v>
      </c>
      <c r="O127" s="12">
        <f>'2022 Budget &amp; CF'!J127</f>
        <v>0</v>
      </c>
      <c r="P127" s="12">
        <f>'2022 Budget &amp; CF'!K127</f>
        <v>2263.94</v>
      </c>
      <c r="Q127" s="12">
        <f>'2022 Budget &amp; CF'!L127</f>
        <v>8003.1</v>
      </c>
      <c r="R127" s="12">
        <f>'2022 Budget &amp; CF'!M127</f>
        <v>4614.3999999999996</v>
      </c>
      <c r="S127" s="12">
        <f>'2022 Budget &amp; CF'!N127</f>
        <v>4614.3999999999996</v>
      </c>
      <c r="T127" s="12">
        <f>'2022 Budget &amp; CF'!O127</f>
        <v>0</v>
      </c>
      <c r="U127" s="12">
        <f>'2022 Budget &amp; CF'!P127</f>
        <v>0</v>
      </c>
      <c r="V127" s="12">
        <f>'2022 Budget &amp; CF'!Q127</f>
        <v>0</v>
      </c>
      <c r="W127" s="12">
        <f>'2022 Budget &amp; CF'!R127</f>
        <v>0</v>
      </c>
      <c r="X127" s="12">
        <f>'2022 Budget &amp; CF'!S127</f>
        <v>0</v>
      </c>
      <c r="Y127" s="12">
        <f>'2022 Budget &amp; CF'!T127</f>
        <v>0</v>
      </c>
      <c r="Z127" s="12">
        <f>'2022 Budget &amp; CF'!U127</f>
        <v>0</v>
      </c>
      <c r="AA127" s="12">
        <f>'2022 Budget &amp; CF'!V127</f>
        <v>0</v>
      </c>
      <c r="AB127" s="12"/>
      <c r="AC127" s="121">
        <f t="shared" ref="AC127" si="76">SUM(O127:AA127)</f>
        <v>19495.84</v>
      </c>
      <c r="AD127" s="115">
        <f>'2022 Budget &amp; CF'!Z127</f>
        <v>36338</v>
      </c>
      <c r="AE127" s="117">
        <f t="shared" ref="AE127" si="77">AD127-AC127</f>
        <v>16842.16</v>
      </c>
      <c r="AF127" s="117">
        <f t="shared" ref="AF127" si="78">AE127/$AF$6</f>
        <v>1403.5133333333333</v>
      </c>
    </row>
    <row r="128" spans="2:36" hidden="1" outlineLevel="1" x14ac:dyDescent="0.2">
      <c r="B128" s="717"/>
      <c r="C128" s="275"/>
      <c r="D128" s="276"/>
      <c r="E128" s="718"/>
      <c r="F128" s="275"/>
      <c r="G128" s="275"/>
      <c r="H128" s="108"/>
      <c r="I128" s="726"/>
      <c r="J128" s="342"/>
      <c r="K128" s="109"/>
      <c r="L128" s="109"/>
      <c r="M128" s="109"/>
      <c r="N128" s="109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14"/>
      <c r="AD128" s="114"/>
      <c r="AE128" s="114"/>
      <c r="AF128" s="114"/>
    </row>
    <row r="129" spans="2:32" hidden="1" outlineLevel="1" x14ac:dyDescent="0.2">
      <c r="B129" s="756"/>
      <c r="C129" s="757" t="s">
        <v>135</v>
      </c>
      <c r="D129" s="757" t="s">
        <v>242</v>
      </c>
      <c r="E129" s="758"/>
      <c r="F129" s="757" t="s">
        <v>532</v>
      </c>
      <c r="G129" s="757" t="s">
        <v>461</v>
      </c>
      <c r="H129" s="750" t="s">
        <v>1062</v>
      </c>
      <c r="I129" s="759"/>
      <c r="J129" s="760" t="str">
        <f>CONCATENATE(C129,D129,F129,G129,H129,I129)</f>
        <v>28062443010000152</v>
      </c>
      <c r="K129" s="751">
        <v>2022</v>
      </c>
      <c r="L129" s="751" t="s">
        <v>348</v>
      </c>
      <c r="M129" s="751" t="s">
        <v>349</v>
      </c>
      <c r="N129" s="751" t="s">
        <v>350</v>
      </c>
      <c r="O129" s="12">
        <f>'2022 Budget &amp; CF'!J129</f>
        <v>0</v>
      </c>
      <c r="P129" s="12">
        <f>'2022 Budget &amp; CF'!K129</f>
        <v>0</v>
      </c>
      <c r="Q129" s="12">
        <f>'2022 Budget &amp; CF'!L129</f>
        <v>0</v>
      </c>
      <c r="R129" s="12">
        <f>'2022 Budget &amp; CF'!M129</f>
        <v>900</v>
      </c>
      <c r="S129" s="12">
        <f>'2022 Budget &amp; CF'!N129</f>
        <v>0</v>
      </c>
      <c r="T129" s="12">
        <f>'2022 Budget &amp; CF'!O129</f>
        <v>0</v>
      </c>
      <c r="U129" s="12">
        <f>'2022 Budget &amp; CF'!P129</f>
        <v>0</v>
      </c>
      <c r="V129" s="12">
        <f>'2022 Budget &amp; CF'!Q129</f>
        <v>0</v>
      </c>
      <c r="W129" s="12">
        <f>'2022 Budget &amp; CF'!R129</f>
        <v>0</v>
      </c>
      <c r="X129" s="12">
        <f>'2022 Budget &amp; CF'!S129</f>
        <v>0</v>
      </c>
      <c r="Y129" s="12">
        <f>'2022 Budget &amp; CF'!T129</f>
        <v>0</v>
      </c>
      <c r="Z129" s="12">
        <f>'2022 Budget &amp; CF'!U129</f>
        <v>0</v>
      </c>
      <c r="AA129" s="12">
        <f>'2022 Budget &amp; CF'!V129</f>
        <v>0</v>
      </c>
      <c r="AB129" s="12"/>
      <c r="AC129" s="121">
        <f>SUM(O129:AA129)</f>
        <v>900</v>
      </c>
      <c r="AD129" s="115">
        <f>'2022 Budget &amp; CF'!Z129</f>
        <v>0</v>
      </c>
      <c r="AE129" s="117">
        <f>AD129-AC129</f>
        <v>-900</v>
      </c>
      <c r="AF129" s="117">
        <f>AE129/$AF$6</f>
        <v>-75</v>
      </c>
    </row>
    <row r="130" spans="2:32" hidden="1" outlineLevel="1" x14ac:dyDescent="0.2">
      <c r="B130" s="717"/>
      <c r="C130" s="275"/>
      <c r="D130" s="276"/>
      <c r="E130" s="718"/>
      <c r="F130" s="275"/>
      <c r="G130" s="275"/>
      <c r="H130" s="108"/>
      <c r="I130" s="726"/>
      <c r="J130" s="342"/>
      <c r="K130" s="109"/>
      <c r="L130" s="109"/>
      <c r="M130" s="109"/>
      <c r="N130" s="109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14"/>
      <c r="AD130" s="114"/>
      <c r="AE130" s="114"/>
      <c r="AF130" s="114"/>
    </row>
    <row r="131" spans="2:32" hidden="1" outlineLevel="1" x14ac:dyDescent="0.2">
      <c r="B131" s="717" t="s">
        <v>170</v>
      </c>
      <c r="C131" s="276"/>
      <c r="D131" s="718"/>
      <c r="E131" s="718"/>
      <c r="F131" s="276"/>
      <c r="G131" s="276"/>
      <c r="H131" s="108"/>
      <c r="I131" s="726"/>
      <c r="J131" s="342"/>
      <c r="K131" s="109"/>
      <c r="L131" s="109"/>
      <c r="M131" s="109"/>
      <c r="N131" s="109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14"/>
      <c r="AD131" s="114"/>
      <c r="AE131" s="114"/>
      <c r="AF131" s="114"/>
    </row>
    <row r="132" spans="2:32" hidden="1" outlineLevel="1" x14ac:dyDescent="0.2">
      <c r="B132" s="717"/>
      <c r="C132" s="275" t="s">
        <v>468</v>
      </c>
      <c r="D132" s="718" t="s">
        <v>145</v>
      </c>
      <c r="E132" s="718"/>
      <c r="F132" s="275" t="s">
        <v>468</v>
      </c>
      <c r="G132" s="275" t="s">
        <v>458</v>
      </c>
      <c r="H132" s="718" t="s">
        <v>171</v>
      </c>
      <c r="I132" s="726"/>
      <c r="J132" s="342" t="str">
        <f t="shared" si="68"/>
        <v>10000010025100105</v>
      </c>
      <c r="K132" s="109">
        <v>2022</v>
      </c>
      <c r="L132" s="109" t="s">
        <v>348</v>
      </c>
      <c r="M132" s="109" t="s">
        <v>349</v>
      </c>
      <c r="N132" s="109" t="s">
        <v>350</v>
      </c>
      <c r="O132" s="12">
        <f>'2022 Budget &amp; CF'!J132</f>
        <v>7576.92</v>
      </c>
      <c r="P132" s="12">
        <f>'2022 Budget &amp; CF'!K132</f>
        <v>7576.92</v>
      </c>
      <c r="Q132" s="12">
        <f>'2022 Budget &amp; CF'!L132</f>
        <v>11365.38</v>
      </c>
      <c r="R132" s="12">
        <f>'2022 Budget &amp; CF'!M132</f>
        <v>7576.92</v>
      </c>
      <c r="S132" s="12">
        <f>'2022 Budget &amp; CF'!N132</f>
        <v>9206.5300000000007</v>
      </c>
      <c r="T132" s="12">
        <f>'2022 Budget &amp; CF'!O132</f>
        <v>0</v>
      </c>
      <c r="U132" s="12">
        <f>'2022 Budget &amp; CF'!P132</f>
        <v>0</v>
      </c>
      <c r="V132" s="12">
        <f>'2022 Budget &amp; CF'!Q132</f>
        <v>0</v>
      </c>
      <c r="W132" s="12">
        <f>'2022 Budget &amp; CF'!R132</f>
        <v>0</v>
      </c>
      <c r="X132" s="12">
        <f>'2022 Budget &amp; CF'!S132</f>
        <v>0</v>
      </c>
      <c r="Y132" s="12">
        <f>'2022 Budget &amp; CF'!T132</f>
        <v>0</v>
      </c>
      <c r="Z132" s="12">
        <f>'2022 Budget &amp; CF'!U132</f>
        <v>0</v>
      </c>
      <c r="AA132" s="12">
        <f>'2022 Budget &amp; CF'!V132</f>
        <v>0</v>
      </c>
      <c r="AB132" s="12"/>
      <c r="AC132" s="121">
        <f t="shared" si="72"/>
        <v>43302.67</v>
      </c>
      <c r="AD132" s="115">
        <f>'2022 Budget &amp; CF'!Z132</f>
        <v>98500</v>
      </c>
      <c r="AE132" s="117">
        <f t="shared" si="73"/>
        <v>55197.33</v>
      </c>
      <c r="AF132" s="117">
        <f t="shared" si="74"/>
        <v>4599.7775000000001</v>
      </c>
    </row>
    <row r="133" spans="2:32" hidden="1" outlineLevel="1" x14ac:dyDescent="0.2">
      <c r="B133" s="717"/>
      <c r="C133" s="275" t="s">
        <v>462</v>
      </c>
      <c r="D133" s="276">
        <v>205</v>
      </c>
      <c r="E133" s="718"/>
      <c r="F133" s="275" t="s">
        <v>463</v>
      </c>
      <c r="G133" s="275" t="s">
        <v>461</v>
      </c>
      <c r="H133" s="718" t="s">
        <v>171</v>
      </c>
      <c r="I133" s="726"/>
      <c r="J133" s="342" t="str">
        <f t="shared" ref="J133" si="79">CONCATENATE(C133,D133,F133,G133,H133,I133)</f>
        <v>25020520010000105</v>
      </c>
      <c r="K133" s="109">
        <v>2022</v>
      </c>
      <c r="L133" s="109" t="s">
        <v>348</v>
      </c>
      <c r="M133" s="109" t="s">
        <v>349</v>
      </c>
      <c r="N133" s="109" t="s">
        <v>350</v>
      </c>
      <c r="O133" s="12">
        <f>'2022 Budget &amp; CF'!J133</f>
        <v>6269.24</v>
      </c>
      <c r="P133" s="12">
        <f>'2022 Budget &amp; CF'!K133</f>
        <v>0</v>
      </c>
      <c r="Q133" s="12">
        <f>'2022 Budget &amp; CF'!L133</f>
        <v>0</v>
      </c>
      <c r="R133" s="12">
        <f>'2022 Budget &amp; CF'!M133</f>
        <v>0</v>
      </c>
      <c r="S133" s="12">
        <f>'2022 Budget &amp; CF'!N133</f>
        <v>0</v>
      </c>
      <c r="T133" s="12">
        <f>'2022 Budget &amp; CF'!O133</f>
        <v>0</v>
      </c>
      <c r="U133" s="12">
        <f>'2022 Budget &amp; CF'!P133</f>
        <v>0</v>
      </c>
      <c r="V133" s="12">
        <f>'2022 Budget &amp; CF'!Q133</f>
        <v>0</v>
      </c>
      <c r="W133" s="12">
        <f>'2022 Budget &amp; CF'!R133</f>
        <v>0</v>
      </c>
      <c r="X133" s="12">
        <f>'2022 Budget &amp; CF'!S133</f>
        <v>0</v>
      </c>
      <c r="Y133" s="12">
        <f>'2022 Budget &amp; CF'!T133</f>
        <v>0</v>
      </c>
      <c r="Z133" s="12">
        <f>'2022 Budget &amp; CF'!U133</f>
        <v>0</v>
      </c>
      <c r="AA133" s="12">
        <f>'2022 Budget &amp; CF'!V133</f>
        <v>0</v>
      </c>
      <c r="AB133" s="12"/>
      <c r="AC133" s="121">
        <f t="shared" ref="AC133" si="80">SUM(O133:AA133)</f>
        <v>6269.24</v>
      </c>
      <c r="AD133" s="115">
        <f>'2022 Budget &amp; CF'!Z133</f>
        <v>0</v>
      </c>
      <c r="AE133" s="117">
        <f t="shared" ref="AE133" si="81">AD133-AC133</f>
        <v>-6269.24</v>
      </c>
      <c r="AF133" s="117">
        <f t="shared" ref="AF133" si="82">AE133/$AF$6</f>
        <v>-522.43666666666661</v>
      </c>
    </row>
    <row r="134" spans="2:32" hidden="1" outlineLevel="1" x14ac:dyDescent="0.2">
      <c r="B134" s="717"/>
      <c r="C134" s="275" t="s">
        <v>135</v>
      </c>
      <c r="D134" s="276">
        <v>624</v>
      </c>
      <c r="E134" s="718"/>
      <c r="F134" s="275" t="s">
        <v>532</v>
      </c>
      <c r="G134" s="275" t="s">
        <v>461</v>
      </c>
      <c r="H134" s="718" t="s">
        <v>171</v>
      </c>
      <c r="I134" s="726"/>
      <c r="J134" s="342" t="str">
        <f t="shared" si="68"/>
        <v>28062443010000105</v>
      </c>
      <c r="K134" s="109">
        <v>2022</v>
      </c>
      <c r="L134" s="109" t="s">
        <v>348</v>
      </c>
      <c r="M134" s="109" t="s">
        <v>349</v>
      </c>
      <c r="N134" s="109" t="s">
        <v>350</v>
      </c>
      <c r="O134" s="12">
        <f>'2022 Budget &amp; CF'!J134</f>
        <v>0</v>
      </c>
      <c r="P134" s="12">
        <f>'2022 Budget &amp; CF'!K134</f>
        <v>0</v>
      </c>
      <c r="Q134" s="12">
        <f>'2022 Budget &amp; CF'!L134</f>
        <v>0</v>
      </c>
      <c r="R134" s="12">
        <f>'2022 Budget &amp; CF'!M134</f>
        <v>0</v>
      </c>
      <c r="S134" s="12">
        <f>'2022 Budget &amp; CF'!N134</f>
        <v>0</v>
      </c>
      <c r="T134" s="12">
        <f>'2022 Budget &amp; CF'!O134</f>
        <v>0</v>
      </c>
      <c r="U134" s="12">
        <f>'2022 Budget &amp; CF'!P134</f>
        <v>0</v>
      </c>
      <c r="V134" s="12">
        <f>'2022 Budget &amp; CF'!Q134</f>
        <v>0</v>
      </c>
      <c r="W134" s="12">
        <f>'2022 Budget &amp; CF'!R134</f>
        <v>0</v>
      </c>
      <c r="X134" s="12">
        <f>'2022 Budget &amp; CF'!S134</f>
        <v>0</v>
      </c>
      <c r="Y134" s="12">
        <f>'2022 Budget &amp; CF'!T134</f>
        <v>0</v>
      </c>
      <c r="Z134" s="12">
        <f>'2022 Budget &amp; CF'!U134</f>
        <v>0</v>
      </c>
      <c r="AA134" s="12">
        <f>'2022 Budget &amp; CF'!V134</f>
        <v>0</v>
      </c>
      <c r="AB134" s="12"/>
      <c r="AC134" s="121">
        <f t="shared" si="72"/>
        <v>0</v>
      </c>
      <c r="AD134" s="115">
        <f>'2022 Budget &amp; CF'!Z134</f>
        <v>0</v>
      </c>
      <c r="AE134" s="117">
        <f t="shared" si="73"/>
        <v>0</v>
      </c>
      <c r="AF134" s="117">
        <f t="shared" si="74"/>
        <v>0</v>
      </c>
    </row>
    <row r="135" spans="2:32" hidden="1" outlineLevel="1" x14ac:dyDescent="0.2">
      <c r="B135" s="717"/>
      <c r="C135" s="275"/>
      <c r="D135" s="276"/>
      <c r="E135" s="718"/>
      <c r="F135" s="275"/>
      <c r="G135" s="275"/>
      <c r="H135" s="108"/>
      <c r="I135" s="726"/>
      <c r="J135" s="342"/>
      <c r="K135" s="109"/>
      <c r="L135" s="109"/>
      <c r="M135" s="109"/>
      <c r="N135" s="109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14"/>
      <c r="AD135" s="114"/>
      <c r="AE135" s="114"/>
      <c r="AF135" s="114"/>
    </row>
    <row r="136" spans="2:32" hidden="1" outlineLevel="1" x14ac:dyDescent="0.2">
      <c r="B136" s="717" t="s">
        <v>1049</v>
      </c>
      <c r="C136" s="275" t="s">
        <v>135</v>
      </c>
      <c r="D136" s="276">
        <v>624</v>
      </c>
      <c r="E136" s="718"/>
      <c r="F136" s="275" t="s">
        <v>532</v>
      </c>
      <c r="G136" s="275" t="s">
        <v>461</v>
      </c>
      <c r="H136" s="718" t="s">
        <v>992</v>
      </c>
      <c r="I136" s="726"/>
      <c r="J136" s="342" t="str">
        <f t="shared" si="68"/>
        <v>28062443010000155</v>
      </c>
      <c r="K136" s="109">
        <v>2022</v>
      </c>
      <c r="L136" s="109" t="s">
        <v>348</v>
      </c>
      <c r="M136" s="109" t="s">
        <v>349</v>
      </c>
      <c r="N136" s="109" t="s">
        <v>350</v>
      </c>
      <c r="O136" s="12">
        <f>'2022 Budget &amp; CF'!J136</f>
        <v>0</v>
      </c>
      <c r="P136" s="12">
        <f>'2022 Budget &amp; CF'!K136</f>
        <v>0</v>
      </c>
      <c r="Q136" s="12">
        <f>'2022 Budget &amp; CF'!L136</f>
        <v>0</v>
      </c>
      <c r="R136" s="12">
        <f>'2022 Budget &amp; CF'!M136</f>
        <v>0</v>
      </c>
      <c r="S136" s="12">
        <f>'2022 Budget &amp; CF'!N136</f>
        <v>0</v>
      </c>
      <c r="T136" s="12">
        <f>'2022 Budget &amp; CF'!O136</f>
        <v>0</v>
      </c>
      <c r="U136" s="12">
        <f>'2022 Budget &amp; CF'!P136</f>
        <v>0</v>
      </c>
      <c r="V136" s="12">
        <f>'2022 Budget &amp; CF'!Q136</f>
        <v>0</v>
      </c>
      <c r="W136" s="12">
        <f>'2022 Budget &amp; CF'!R136</f>
        <v>0</v>
      </c>
      <c r="X136" s="12">
        <f>'2022 Budget &amp; CF'!S136</f>
        <v>0</v>
      </c>
      <c r="Y136" s="12">
        <f>'2022 Budget &amp; CF'!T136</f>
        <v>0</v>
      </c>
      <c r="Z136" s="12">
        <f>'2022 Budget &amp; CF'!U136</f>
        <v>0</v>
      </c>
      <c r="AA136" s="12">
        <f>'2022 Budget &amp; CF'!V136</f>
        <v>0</v>
      </c>
      <c r="AB136" s="12"/>
      <c r="AC136" s="121">
        <f t="shared" si="72"/>
        <v>0</v>
      </c>
      <c r="AD136" s="115">
        <f>'2022 Budget &amp; CF'!Z136</f>
        <v>0</v>
      </c>
      <c r="AE136" s="117">
        <f t="shared" si="73"/>
        <v>0</v>
      </c>
      <c r="AF136" s="117">
        <f t="shared" si="74"/>
        <v>0</v>
      </c>
    </row>
    <row r="137" spans="2:32" hidden="1" outlineLevel="1" x14ac:dyDescent="0.2">
      <c r="B137" s="717" t="s">
        <v>1049</v>
      </c>
      <c r="C137" s="275" t="s">
        <v>135</v>
      </c>
      <c r="D137" s="276">
        <v>709</v>
      </c>
      <c r="E137" s="718"/>
      <c r="F137" s="275" t="s">
        <v>468</v>
      </c>
      <c r="G137" s="275" t="s">
        <v>461</v>
      </c>
      <c r="H137" s="718" t="s">
        <v>992</v>
      </c>
      <c r="I137" s="726"/>
      <c r="J137" s="342" t="str">
        <f t="shared" si="68"/>
        <v>28070910010000155</v>
      </c>
      <c r="K137" s="109">
        <v>2022</v>
      </c>
      <c r="L137" s="109" t="s">
        <v>348</v>
      </c>
      <c r="M137" s="109" t="s">
        <v>349</v>
      </c>
      <c r="N137" s="109" t="s">
        <v>350</v>
      </c>
      <c r="O137" s="12">
        <f>'2022 Budget &amp; CF'!J137</f>
        <v>0</v>
      </c>
      <c r="P137" s="12">
        <f>'2022 Budget &amp; CF'!K137</f>
        <v>0</v>
      </c>
      <c r="Q137" s="12">
        <f>'2022 Budget &amp; CF'!L137</f>
        <v>0</v>
      </c>
      <c r="R137" s="12">
        <f>'2022 Budget &amp; CF'!M137</f>
        <v>0</v>
      </c>
      <c r="S137" s="12">
        <f>'2022 Budget &amp; CF'!N137</f>
        <v>0</v>
      </c>
      <c r="T137" s="12">
        <f>'2022 Budget &amp; CF'!O137</f>
        <v>0</v>
      </c>
      <c r="U137" s="12">
        <f>'2022 Budget &amp; CF'!P137</f>
        <v>0</v>
      </c>
      <c r="V137" s="12">
        <f>'2022 Budget &amp; CF'!Q137</f>
        <v>0</v>
      </c>
      <c r="W137" s="12">
        <f>'2022 Budget &amp; CF'!R137</f>
        <v>0</v>
      </c>
      <c r="X137" s="12">
        <f>'2022 Budget &amp; CF'!S137</f>
        <v>0</v>
      </c>
      <c r="Y137" s="12">
        <f>'2022 Budget &amp; CF'!T137</f>
        <v>0</v>
      </c>
      <c r="Z137" s="12">
        <f>'2022 Budget &amp; CF'!U137</f>
        <v>0</v>
      </c>
      <c r="AA137" s="12">
        <f>'2022 Budget &amp; CF'!V137</f>
        <v>0</v>
      </c>
      <c r="AB137" s="12"/>
      <c r="AC137" s="121">
        <f t="shared" si="72"/>
        <v>0</v>
      </c>
      <c r="AD137" s="115">
        <f>'2022 Budget &amp; CF'!Z137</f>
        <v>0</v>
      </c>
      <c r="AE137" s="117">
        <f t="shared" si="73"/>
        <v>0</v>
      </c>
      <c r="AF137" s="117">
        <f t="shared" si="74"/>
        <v>0</v>
      </c>
    </row>
    <row r="138" spans="2:32" hidden="1" outlineLevel="1" x14ac:dyDescent="0.2">
      <c r="B138" s="717" t="s">
        <v>1049</v>
      </c>
      <c r="C138" s="275" t="s">
        <v>468</v>
      </c>
      <c r="D138" s="718" t="s">
        <v>145</v>
      </c>
      <c r="E138" s="718"/>
      <c r="F138" s="275" t="s">
        <v>468</v>
      </c>
      <c r="G138" s="275" t="s">
        <v>458</v>
      </c>
      <c r="H138" s="718" t="s">
        <v>992</v>
      </c>
      <c r="I138" s="726"/>
      <c r="J138" s="342" t="str">
        <f t="shared" si="68"/>
        <v>10000010025100155</v>
      </c>
      <c r="K138" s="109">
        <v>2022</v>
      </c>
      <c r="L138" s="109" t="s">
        <v>348</v>
      </c>
      <c r="M138" s="109" t="s">
        <v>349</v>
      </c>
      <c r="N138" s="109" t="s">
        <v>350</v>
      </c>
      <c r="O138" s="12">
        <f>'2022 Budget &amp; CF'!J138</f>
        <v>0</v>
      </c>
      <c r="P138" s="12">
        <f>'2022 Budget &amp; CF'!K138</f>
        <v>0</v>
      </c>
      <c r="Q138" s="12">
        <f>'2022 Budget &amp; CF'!L138</f>
        <v>0</v>
      </c>
      <c r="R138" s="12">
        <f>'2022 Budget &amp; CF'!M138</f>
        <v>0</v>
      </c>
      <c r="S138" s="12">
        <f>'2022 Budget &amp; CF'!N138</f>
        <v>0</v>
      </c>
      <c r="T138" s="12">
        <f>'2022 Budget &amp; CF'!O138</f>
        <v>0</v>
      </c>
      <c r="U138" s="12">
        <f>'2022 Budget &amp; CF'!P138</f>
        <v>0</v>
      </c>
      <c r="V138" s="12">
        <f>'2022 Budget &amp; CF'!Q138</f>
        <v>0</v>
      </c>
      <c r="W138" s="12">
        <f>'2022 Budget &amp; CF'!R138</f>
        <v>0</v>
      </c>
      <c r="X138" s="12">
        <f>'2022 Budget &amp; CF'!S138</f>
        <v>0</v>
      </c>
      <c r="Y138" s="12">
        <f>'2022 Budget &amp; CF'!T138</f>
        <v>0</v>
      </c>
      <c r="Z138" s="12">
        <f>'2022 Budget &amp; CF'!U138</f>
        <v>0</v>
      </c>
      <c r="AA138" s="12">
        <f>'2022 Budget &amp; CF'!V138</f>
        <v>0</v>
      </c>
      <c r="AB138" s="12"/>
      <c r="AC138" s="121">
        <f t="shared" si="72"/>
        <v>0</v>
      </c>
      <c r="AD138" s="115">
        <f>'2022 Budget &amp; CF'!Z138</f>
        <v>0</v>
      </c>
      <c r="AE138" s="117">
        <f t="shared" si="73"/>
        <v>0</v>
      </c>
      <c r="AF138" s="117">
        <f t="shared" si="74"/>
        <v>0</v>
      </c>
    </row>
    <row r="139" spans="2:32" hidden="1" outlineLevel="1" x14ac:dyDescent="0.2">
      <c r="B139" s="717"/>
      <c r="C139" s="275"/>
      <c r="D139" s="276"/>
      <c r="E139" s="718"/>
      <c r="F139" s="275"/>
      <c r="G139" s="275"/>
      <c r="H139" s="108"/>
      <c r="I139" s="726"/>
      <c r="J139" s="342"/>
      <c r="K139" s="109"/>
      <c r="L139" s="109"/>
      <c r="M139" s="109"/>
      <c r="N139" s="109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14"/>
      <c r="AD139" s="114"/>
      <c r="AE139" s="114"/>
      <c r="AF139" s="114"/>
    </row>
    <row r="140" spans="2:32" hidden="1" outlineLevel="1" x14ac:dyDescent="0.2">
      <c r="B140" s="717" t="s">
        <v>172</v>
      </c>
      <c r="C140" s="276"/>
      <c r="D140" s="718"/>
      <c r="E140" s="718"/>
      <c r="F140" s="276"/>
      <c r="G140" s="276"/>
      <c r="H140" s="108"/>
      <c r="I140" s="726"/>
      <c r="J140" s="342"/>
      <c r="K140" s="109"/>
      <c r="L140" s="109"/>
      <c r="M140" s="109"/>
      <c r="N140" s="109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14"/>
      <c r="AD140" s="114"/>
      <c r="AE140" s="114"/>
      <c r="AF140" s="114"/>
    </row>
    <row r="141" spans="2:32" hidden="1" outlineLevel="1" x14ac:dyDescent="0.2">
      <c r="B141" s="717"/>
      <c r="C141" s="275" t="s">
        <v>468</v>
      </c>
      <c r="D141" s="718" t="s">
        <v>145</v>
      </c>
      <c r="E141" s="718"/>
      <c r="F141" s="275" t="s">
        <v>468</v>
      </c>
      <c r="G141" s="275" t="s">
        <v>465</v>
      </c>
      <c r="H141" s="718" t="s">
        <v>173</v>
      </c>
      <c r="I141" s="726"/>
      <c r="J141" s="342" t="str">
        <f t="shared" si="68"/>
        <v>10000010021100107</v>
      </c>
      <c r="K141" s="109">
        <v>2022</v>
      </c>
      <c r="L141" s="109" t="s">
        <v>348</v>
      </c>
      <c r="M141" s="109" t="s">
        <v>349</v>
      </c>
      <c r="N141" s="109" t="s">
        <v>350</v>
      </c>
      <c r="O141" s="12">
        <f>'2022 Budget &amp; CF'!J141</f>
        <v>5503.03</v>
      </c>
      <c r="P141" s="12">
        <f>'2022 Budget &amp; CF'!K141</f>
        <v>0</v>
      </c>
      <c r="Q141" s="12">
        <f>'2022 Budget &amp; CF'!L141</f>
        <v>0</v>
      </c>
      <c r="R141" s="12">
        <f>'2022 Budget &amp; CF'!M141</f>
        <v>583.24</v>
      </c>
      <c r="S141" s="12">
        <f>'2022 Budget &amp; CF'!N141</f>
        <v>0</v>
      </c>
      <c r="T141" s="12">
        <f>'2022 Budget &amp; CF'!O141</f>
        <v>0</v>
      </c>
      <c r="U141" s="12">
        <f>'2022 Budget &amp; CF'!P141</f>
        <v>0</v>
      </c>
      <c r="V141" s="12">
        <f>'2022 Budget &amp; CF'!Q141</f>
        <v>0</v>
      </c>
      <c r="W141" s="12">
        <f>'2022 Budget &amp; CF'!R141</f>
        <v>0</v>
      </c>
      <c r="X141" s="12">
        <f>'2022 Budget &amp; CF'!S141</f>
        <v>0</v>
      </c>
      <c r="Y141" s="12">
        <f>'2022 Budget &amp; CF'!T141</f>
        <v>0</v>
      </c>
      <c r="Z141" s="12">
        <f>'2022 Budget &amp; CF'!U141</f>
        <v>0</v>
      </c>
      <c r="AA141" s="12">
        <f>'2022 Budget &amp; CF'!V141</f>
        <v>0</v>
      </c>
      <c r="AB141" s="12"/>
      <c r="AC141" s="121">
        <f t="shared" si="72"/>
        <v>6086.2699999999995</v>
      </c>
      <c r="AD141" s="115">
        <f>'2022 Budget &amp; CF'!Z141</f>
        <v>0</v>
      </c>
      <c r="AE141" s="117">
        <f t="shared" si="73"/>
        <v>-6086.2699999999995</v>
      </c>
      <c r="AF141" s="117">
        <f t="shared" si="74"/>
        <v>-507.18916666666661</v>
      </c>
    </row>
    <row r="142" spans="2:32" hidden="1" outlineLevel="1" x14ac:dyDescent="0.2">
      <c r="B142" s="717"/>
      <c r="C142" s="275">
        <v>280</v>
      </c>
      <c r="D142" s="718">
        <v>658</v>
      </c>
      <c r="E142" s="718"/>
      <c r="F142" s="275">
        <v>420</v>
      </c>
      <c r="G142" s="275" t="s">
        <v>465</v>
      </c>
      <c r="H142" s="718" t="s">
        <v>173</v>
      </c>
      <c r="I142" s="726"/>
      <c r="J142" s="589" t="str">
        <f t="shared" ref="J142:J158" si="83">CONCATENATE(C142,D142,F142,G142,H142,I142)</f>
        <v>28065842021100107</v>
      </c>
      <c r="K142" s="588">
        <v>2022</v>
      </c>
      <c r="L142" s="588" t="s">
        <v>348</v>
      </c>
      <c r="M142" s="588" t="s">
        <v>349</v>
      </c>
      <c r="N142" s="588" t="s">
        <v>350</v>
      </c>
      <c r="O142" s="12">
        <f>'2022 Budget &amp; CF'!J142</f>
        <v>0</v>
      </c>
      <c r="P142" s="12">
        <f>'2022 Budget &amp; CF'!K142</f>
        <v>0</v>
      </c>
      <c r="Q142" s="12">
        <f>'2022 Budget &amp; CF'!L142</f>
        <v>0</v>
      </c>
      <c r="R142" s="12">
        <f>'2022 Budget &amp; CF'!M142</f>
        <v>0</v>
      </c>
      <c r="S142" s="12">
        <f>'2022 Budget &amp; CF'!N142</f>
        <v>0</v>
      </c>
      <c r="T142" s="12">
        <f>'2022 Budget &amp; CF'!O142</f>
        <v>0</v>
      </c>
      <c r="U142" s="12">
        <f>'2022 Budget &amp; CF'!P142</f>
        <v>0</v>
      </c>
      <c r="V142" s="12">
        <f>'2022 Budget &amp; CF'!Q142</f>
        <v>0</v>
      </c>
      <c r="W142" s="12">
        <f>'2022 Budget &amp; CF'!R142</f>
        <v>0</v>
      </c>
      <c r="X142" s="12">
        <f>'2022 Budget &amp; CF'!S142</f>
        <v>0</v>
      </c>
      <c r="Y142" s="12">
        <f>'2022 Budget &amp; CF'!T142</f>
        <v>0</v>
      </c>
      <c r="Z142" s="12">
        <f>'2022 Budget &amp; CF'!U142</f>
        <v>0</v>
      </c>
      <c r="AA142" s="12">
        <f>'2022 Budget &amp; CF'!V142</f>
        <v>0</v>
      </c>
      <c r="AB142" s="12"/>
      <c r="AC142" s="121">
        <f t="shared" si="72"/>
        <v>0</v>
      </c>
      <c r="AD142" s="115">
        <f>'2022 Budget &amp; CF'!Z142</f>
        <v>0</v>
      </c>
      <c r="AE142" s="117">
        <f t="shared" si="73"/>
        <v>0</v>
      </c>
      <c r="AF142" s="117">
        <f t="shared" si="74"/>
        <v>0</v>
      </c>
    </row>
    <row r="143" spans="2:32" hidden="1" outlineLevel="1" x14ac:dyDescent="0.2">
      <c r="B143" s="717"/>
      <c r="C143" s="275">
        <v>280</v>
      </c>
      <c r="D143" s="718">
        <v>661</v>
      </c>
      <c r="E143" s="718"/>
      <c r="F143" s="275">
        <v>100</v>
      </c>
      <c r="G143" s="275" t="s">
        <v>465</v>
      </c>
      <c r="H143" s="718" t="s">
        <v>173</v>
      </c>
      <c r="I143" s="726"/>
      <c r="J143" s="342" t="str">
        <f t="shared" si="83"/>
        <v>28066110021100107</v>
      </c>
      <c r="K143" s="109">
        <v>2022</v>
      </c>
      <c r="L143" s="109" t="s">
        <v>348</v>
      </c>
      <c r="M143" s="109" t="s">
        <v>349</v>
      </c>
      <c r="N143" s="109" t="s">
        <v>350</v>
      </c>
      <c r="O143" s="12">
        <f>'2022 Budget &amp; CF'!J143</f>
        <v>1380.86</v>
      </c>
      <c r="P143" s="12">
        <f>'2022 Budget &amp; CF'!K143</f>
        <v>9447.41</v>
      </c>
      <c r="Q143" s="12">
        <f>'2022 Budget &amp; CF'!L143</f>
        <v>7761.94</v>
      </c>
      <c r="R143" s="12">
        <f>'2022 Budget &amp; CF'!M143</f>
        <v>8257.98</v>
      </c>
      <c r="S143" s="12">
        <f>'2022 Budget &amp; CF'!N143</f>
        <v>8946.5400000000009</v>
      </c>
      <c r="T143" s="12">
        <f>'2022 Budget &amp; CF'!O143</f>
        <v>0</v>
      </c>
      <c r="U143" s="12">
        <f>'2022 Budget &amp; CF'!P143</f>
        <v>0</v>
      </c>
      <c r="V143" s="12">
        <f>'2022 Budget &amp; CF'!Q143</f>
        <v>0</v>
      </c>
      <c r="W143" s="12">
        <f>'2022 Budget &amp; CF'!R143</f>
        <v>0</v>
      </c>
      <c r="X143" s="12">
        <f>'2022 Budget &amp; CF'!S143</f>
        <v>0</v>
      </c>
      <c r="Y143" s="12">
        <f>'2022 Budget &amp; CF'!T143</f>
        <v>0</v>
      </c>
      <c r="Z143" s="12">
        <f>'2022 Budget &amp; CF'!U143</f>
        <v>0</v>
      </c>
      <c r="AA143" s="12">
        <f>'2022 Budget &amp; CF'!V143</f>
        <v>0</v>
      </c>
      <c r="AB143" s="12"/>
      <c r="AC143" s="121">
        <f t="shared" si="72"/>
        <v>35794.729999999996</v>
      </c>
      <c r="AD143" s="115">
        <f>'2022 Budget &amp; CF'!Z143</f>
        <v>41350</v>
      </c>
      <c r="AE143" s="117">
        <f t="shared" si="73"/>
        <v>5555.2700000000041</v>
      </c>
      <c r="AF143" s="117">
        <f t="shared" si="74"/>
        <v>462.93916666666701</v>
      </c>
    </row>
    <row r="144" spans="2:32" hidden="1" outlineLevel="1" x14ac:dyDescent="0.2">
      <c r="B144" s="717"/>
      <c r="C144" s="275">
        <v>280</v>
      </c>
      <c r="D144" s="718" t="s">
        <v>864</v>
      </c>
      <c r="E144" s="718"/>
      <c r="F144" s="275" t="s">
        <v>557</v>
      </c>
      <c r="G144" s="275" t="s">
        <v>556</v>
      </c>
      <c r="H144" s="718" t="s">
        <v>173</v>
      </c>
      <c r="I144" s="726"/>
      <c r="J144" s="342" t="str">
        <f t="shared" ref="J144" si="84">CONCATENATE(C144,D144,F144,G144,H144,I144)</f>
        <v>28065842021200107</v>
      </c>
      <c r="K144" s="109">
        <v>2022</v>
      </c>
      <c r="L144" s="109" t="s">
        <v>348</v>
      </c>
      <c r="M144" s="109" t="s">
        <v>349</v>
      </c>
      <c r="N144" s="109" t="s">
        <v>350</v>
      </c>
      <c r="O144" s="12">
        <f>'2022 Budget &amp; CF'!J144</f>
        <v>0</v>
      </c>
      <c r="P144" s="12">
        <f>'2022 Budget &amp; CF'!K144</f>
        <v>0</v>
      </c>
      <c r="Q144" s="12">
        <f>'2022 Budget &amp; CF'!L144</f>
        <v>0</v>
      </c>
      <c r="R144" s="12">
        <f>'2022 Budget &amp; CF'!M144</f>
        <v>780</v>
      </c>
      <c r="S144" s="12">
        <f>'2022 Budget &amp; CF'!N144</f>
        <v>480</v>
      </c>
      <c r="T144" s="12">
        <f>'2022 Budget &amp; CF'!O144</f>
        <v>0</v>
      </c>
      <c r="U144" s="12">
        <f>'2022 Budget &amp; CF'!P144</f>
        <v>0</v>
      </c>
      <c r="V144" s="12">
        <f>'2022 Budget &amp; CF'!Q144</f>
        <v>0</v>
      </c>
      <c r="W144" s="12">
        <f>'2022 Budget &amp; CF'!R144</f>
        <v>0</v>
      </c>
      <c r="X144" s="12">
        <f>'2022 Budget &amp; CF'!S144</f>
        <v>0</v>
      </c>
      <c r="Y144" s="12">
        <f>'2022 Budget &amp; CF'!T144</f>
        <v>0</v>
      </c>
      <c r="Z144" s="12">
        <f>'2022 Budget &amp; CF'!U144</f>
        <v>0</v>
      </c>
      <c r="AA144" s="12">
        <f>'2022 Budget &amp; CF'!V144</f>
        <v>0</v>
      </c>
      <c r="AB144" s="12"/>
      <c r="AC144" s="121">
        <f t="shared" ref="AC144" si="85">SUM(O144:AA144)</f>
        <v>1260</v>
      </c>
      <c r="AD144" s="115">
        <f>'2022 Budget &amp; CF'!Z144</f>
        <v>6683</v>
      </c>
      <c r="AE144" s="117">
        <f t="shared" ref="AE144" si="86">AD144-AC144</f>
        <v>5423</v>
      </c>
      <c r="AF144" s="117">
        <f t="shared" ref="AF144" si="87">AE144/$AF$6</f>
        <v>451.91666666666669</v>
      </c>
    </row>
    <row r="145" spans="2:36" hidden="1" outlineLevel="1" x14ac:dyDescent="0.2">
      <c r="B145" s="717"/>
      <c r="C145" s="275" t="s">
        <v>468</v>
      </c>
      <c r="D145" s="718" t="s">
        <v>145</v>
      </c>
      <c r="E145" s="718"/>
      <c r="F145" s="275" t="s">
        <v>468</v>
      </c>
      <c r="G145" s="275" t="s">
        <v>558</v>
      </c>
      <c r="H145" s="718" t="s">
        <v>173</v>
      </c>
      <c r="I145" s="726"/>
      <c r="J145" s="342" t="str">
        <f t="shared" si="83"/>
        <v>10000010022120107</v>
      </c>
      <c r="K145" s="109">
        <v>2022</v>
      </c>
      <c r="L145" s="109" t="s">
        <v>348</v>
      </c>
      <c r="M145" s="109" t="s">
        <v>349</v>
      </c>
      <c r="N145" s="109" t="s">
        <v>350</v>
      </c>
      <c r="O145" s="12">
        <f>'2022 Budget &amp; CF'!J145</f>
        <v>3904.5</v>
      </c>
      <c r="P145" s="12">
        <f>'2022 Budget &amp; CF'!K145</f>
        <v>3904.5</v>
      </c>
      <c r="Q145" s="12">
        <f>'2022 Budget &amp; CF'!L145</f>
        <v>5846.96</v>
      </c>
      <c r="R145" s="12">
        <f>'2022 Budget &amp; CF'!M145</f>
        <v>3904.49</v>
      </c>
      <c r="S145" s="12">
        <f>'2022 Budget &amp; CF'!N145</f>
        <v>3904.5</v>
      </c>
      <c r="T145" s="12">
        <f>'2022 Budget &amp; CF'!O145</f>
        <v>0</v>
      </c>
      <c r="U145" s="12">
        <f>'2022 Budget &amp; CF'!P145</f>
        <v>0</v>
      </c>
      <c r="V145" s="12">
        <f>'2022 Budget &amp; CF'!Q145</f>
        <v>0</v>
      </c>
      <c r="W145" s="12">
        <f>'2022 Budget &amp; CF'!R145</f>
        <v>0</v>
      </c>
      <c r="X145" s="12">
        <f>'2022 Budget &amp; CF'!S145</f>
        <v>0</v>
      </c>
      <c r="Y145" s="12">
        <f>'2022 Budget &amp; CF'!T145</f>
        <v>0</v>
      </c>
      <c r="Z145" s="12">
        <f>'2022 Budget &amp; CF'!U145</f>
        <v>0</v>
      </c>
      <c r="AA145" s="12">
        <f>'2022 Budget &amp; CF'!V145</f>
        <v>0</v>
      </c>
      <c r="AB145" s="12"/>
      <c r="AC145" s="121">
        <f t="shared" si="72"/>
        <v>21464.949999999997</v>
      </c>
      <c r="AD145" s="115">
        <f>'2022 Budget &amp; CF'!Z145</f>
        <v>50758</v>
      </c>
      <c r="AE145" s="117">
        <f t="shared" si="73"/>
        <v>29293.050000000003</v>
      </c>
      <c r="AF145" s="117">
        <f t="shared" si="74"/>
        <v>2441.0875000000001</v>
      </c>
    </row>
    <row r="146" spans="2:36" hidden="1" outlineLevel="1" x14ac:dyDescent="0.2">
      <c r="B146" s="717"/>
      <c r="C146" s="275">
        <v>280</v>
      </c>
      <c r="D146" s="718">
        <v>624</v>
      </c>
      <c r="E146" s="718"/>
      <c r="F146" s="275">
        <v>430</v>
      </c>
      <c r="G146" s="275" t="s">
        <v>558</v>
      </c>
      <c r="H146" s="718" t="s">
        <v>173</v>
      </c>
      <c r="I146" s="726"/>
      <c r="J146" s="342" t="str">
        <f t="shared" si="83"/>
        <v>28062443022120107</v>
      </c>
      <c r="K146" s="109">
        <v>2022</v>
      </c>
      <c r="L146" s="109" t="s">
        <v>348</v>
      </c>
      <c r="M146" s="109" t="s">
        <v>349</v>
      </c>
      <c r="N146" s="109" t="s">
        <v>350</v>
      </c>
      <c r="O146" s="12">
        <f>'2022 Budget &amp; CF'!J146</f>
        <v>0</v>
      </c>
      <c r="P146" s="12">
        <f>'2022 Budget &amp; CF'!K146</f>
        <v>0</v>
      </c>
      <c r="Q146" s="12">
        <f>'2022 Budget &amp; CF'!L146</f>
        <v>0</v>
      </c>
      <c r="R146" s="12">
        <f>'2022 Budget &amp; CF'!M146</f>
        <v>0</v>
      </c>
      <c r="S146" s="12">
        <f>'2022 Budget &amp; CF'!N146</f>
        <v>0</v>
      </c>
      <c r="T146" s="12">
        <f>'2022 Budget &amp; CF'!O146</f>
        <v>0</v>
      </c>
      <c r="U146" s="12">
        <f>'2022 Budget &amp; CF'!P146</f>
        <v>0</v>
      </c>
      <c r="V146" s="12">
        <f>'2022 Budget &amp; CF'!Q146</f>
        <v>0</v>
      </c>
      <c r="W146" s="12">
        <f>'2022 Budget &amp; CF'!R146</f>
        <v>0</v>
      </c>
      <c r="X146" s="12">
        <f>'2022 Budget &amp; CF'!S146</f>
        <v>0</v>
      </c>
      <c r="Y146" s="12">
        <f>'2022 Budget &amp; CF'!T146</f>
        <v>0</v>
      </c>
      <c r="Z146" s="12">
        <f>'2022 Budget &amp; CF'!U146</f>
        <v>0</v>
      </c>
      <c r="AA146" s="12">
        <f>'2022 Budget &amp; CF'!V146</f>
        <v>0</v>
      </c>
      <c r="AB146" s="12"/>
      <c r="AC146" s="121">
        <f t="shared" si="72"/>
        <v>0</v>
      </c>
      <c r="AD146" s="115">
        <f>'2022 Budget &amp; CF'!Z146</f>
        <v>0</v>
      </c>
      <c r="AE146" s="117">
        <f t="shared" si="73"/>
        <v>0</v>
      </c>
      <c r="AF146" s="117">
        <f t="shared" si="74"/>
        <v>0</v>
      </c>
    </row>
    <row r="147" spans="2:36" hidden="1" outlineLevel="1" x14ac:dyDescent="0.2">
      <c r="B147" s="717"/>
      <c r="C147" s="275" t="s">
        <v>468</v>
      </c>
      <c r="D147" s="718" t="s">
        <v>145</v>
      </c>
      <c r="E147" s="718"/>
      <c r="F147" s="275" t="s">
        <v>468</v>
      </c>
      <c r="G147" s="275" t="s">
        <v>460</v>
      </c>
      <c r="H147" s="718" t="s">
        <v>173</v>
      </c>
      <c r="I147" s="726"/>
      <c r="J147" s="342" t="str">
        <f t="shared" si="83"/>
        <v>10000010024100107</v>
      </c>
      <c r="K147" s="109">
        <v>2022</v>
      </c>
      <c r="L147" s="109" t="s">
        <v>348</v>
      </c>
      <c r="M147" s="109" t="s">
        <v>349</v>
      </c>
      <c r="N147" s="109" t="s">
        <v>350</v>
      </c>
      <c r="O147" s="12">
        <f>'2022 Budget &amp; CF'!J147</f>
        <v>8823.9</v>
      </c>
      <c r="P147" s="12">
        <f>'2022 Budget &amp; CF'!K147</f>
        <v>9614.24</v>
      </c>
      <c r="Q147" s="12">
        <f>'2022 Budget &amp; CF'!L147</f>
        <v>14060.22</v>
      </c>
      <c r="R147" s="12">
        <f>'2022 Budget &amp; CF'!M147</f>
        <v>9384.8799999999992</v>
      </c>
      <c r="S147" s="12">
        <f>'2022 Budget &amp; CF'!N147</f>
        <v>12080.59</v>
      </c>
      <c r="T147" s="12">
        <f>'2022 Budget &amp; CF'!O147</f>
        <v>0</v>
      </c>
      <c r="U147" s="12">
        <f>'2022 Budget &amp; CF'!P147</f>
        <v>0</v>
      </c>
      <c r="V147" s="12">
        <f>'2022 Budget &amp; CF'!Q147</f>
        <v>0</v>
      </c>
      <c r="W147" s="12">
        <f>'2022 Budget &amp; CF'!R147</f>
        <v>0</v>
      </c>
      <c r="X147" s="12">
        <f>'2022 Budget &amp; CF'!S147</f>
        <v>0</v>
      </c>
      <c r="Y147" s="12">
        <f>'2022 Budget &amp; CF'!T147</f>
        <v>0</v>
      </c>
      <c r="Z147" s="12">
        <f>'2022 Budget &amp; CF'!U147</f>
        <v>0</v>
      </c>
      <c r="AA147" s="12">
        <f>'2022 Budget &amp; CF'!V147</f>
        <v>0</v>
      </c>
      <c r="AB147" s="12"/>
      <c r="AC147" s="121">
        <f t="shared" si="72"/>
        <v>53963.83</v>
      </c>
      <c r="AD147" s="115">
        <f>'2022 Budget &amp; CF'!Z147</f>
        <v>162002</v>
      </c>
      <c r="AE147" s="117">
        <f t="shared" si="73"/>
        <v>108038.17</v>
      </c>
      <c r="AF147" s="117">
        <f t="shared" si="74"/>
        <v>9003.1808333333338</v>
      </c>
    </row>
    <row r="148" spans="2:36" hidden="1" outlineLevel="1" x14ac:dyDescent="0.2">
      <c r="B148" s="717"/>
      <c r="C148" s="275" t="s">
        <v>462</v>
      </c>
      <c r="D148" s="718" t="s">
        <v>132</v>
      </c>
      <c r="E148" s="718"/>
      <c r="F148" s="275" t="s">
        <v>463</v>
      </c>
      <c r="G148" s="275" t="s">
        <v>460</v>
      </c>
      <c r="H148" s="718" t="s">
        <v>173</v>
      </c>
      <c r="I148" s="726"/>
      <c r="J148" s="342" t="str">
        <f t="shared" si="83"/>
        <v>25020520024100107</v>
      </c>
      <c r="K148" s="109">
        <v>2022</v>
      </c>
      <c r="L148" s="109" t="s">
        <v>348</v>
      </c>
      <c r="M148" s="109" t="s">
        <v>349</v>
      </c>
      <c r="N148" s="109" t="s">
        <v>350</v>
      </c>
      <c r="O148" s="12">
        <f>'2022 Budget &amp; CF'!J148</f>
        <v>0</v>
      </c>
      <c r="P148" s="12">
        <f>'2022 Budget &amp; CF'!K148</f>
        <v>0</v>
      </c>
      <c r="Q148" s="12">
        <f>'2022 Budget &amp; CF'!L148</f>
        <v>2321.5100000000002</v>
      </c>
      <c r="R148" s="12">
        <f>'2022 Budget &amp; CF'!M148</f>
        <v>1785.78</v>
      </c>
      <c r="S148" s="12">
        <f>'2022 Budget &amp; CF'!N148</f>
        <v>3571.56</v>
      </c>
      <c r="T148" s="12">
        <f>'2022 Budget &amp; CF'!O148</f>
        <v>0</v>
      </c>
      <c r="U148" s="12">
        <f>'2022 Budget &amp; CF'!P148</f>
        <v>0</v>
      </c>
      <c r="V148" s="12">
        <f>'2022 Budget &amp; CF'!Q148</f>
        <v>0</v>
      </c>
      <c r="W148" s="12">
        <f>'2022 Budget &amp; CF'!R148</f>
        <v>0</v>
      </c>
      <c r="X148" s="12">
        <f>'2022 Budget &amp; CF'!S148</f>
        <v>0</v>
      </c>
      <c r="Y148" s="12">
        <f>'2022 Budget &amp; CF'!T148</f>
        <v>0</v>
      </c>
      <c r="Z148" s="12">
        <f>'2022 Budget &amp; CF'!U148</f>
        <v>0</v>
      </c>
      <c r="AA148" s="12">
        <f>'2022 Budget &amp; CF'!V148</f>
        <v>0</v>
      </c>
      <c r="AB148" s="12"/>
      <c r="AC148" s="121">
        <f t="shared" si="72"/>
        <v>7678.85</v>
      </c>
      <c r="AD148" s="115">
        <f>'2022 Budget &amp; CF'!Z148</f>
        <v>46430</v>
      </c>
      <c r="AE148" s="117">
        <f t="shared" si="73"/>
        <v>38751.15</v>
      </c>
      <c r="AF148" s="117">
        <f t="shared" si="74"/>
        <v>3229.2625000000003</v>
      </c>
    </row>
    <row r="149" spans="2:36" hidden="1" outlineLevel="1" x14ac:dyDescent="0.2">
      <c r="B149" s="717"/>
      <c r="C149" s="275" t="s">
        <v>135</v>
      </c>
      <c r="D149" s="718" t="s">
        <v>923</v>
      </c>
      <c r="E149" s="718"/>
      <c r="F149" s="275" t="s">
        <v>468</v>
      </c>
      <c r="G149" s="275" t="s">
        <v>460</v>
      </c>
      <c r="H149" s="718" t="s">
        <v>173</v>
      </c>
      <c r="I149" s="726"/>
      <c r="J149" s="342" t="str">
        <f t="shared" ref="J149:J150" si="88">CONCATENATE(C149,D149,F149,G149,H149,I149)</f>
        <v>28066110024100107</v>
      </c>
      <c r="K149" s="109">
        <v>2022</v>
      </c>
      <c r="L149" s="109" t="s">
        <v>348</v>
      </c>
      <c r="M149" s="109" t="s">
        <v>349</v>
      </c>
      <c r="N149" s="109" t="s">
        <v>350</v>
      </c>
      <c r="O149" s="12">
        <f>'2022 Budget &amp; CF'!J149</f>
        <v>0</v>
      </c>
      <c r="P149" s="12">
        <f>'2022 Budget &amp; CF'!K149</f>
        <v>2155.4</v>
      </c>
      <c r="Q149" s="12">
        <f>'2022 Budget &amp; CF'!L149</f>
        <v>0</v>
      </c>
      <c r="R149" s="12">
        <f>'2022 Budget &amp; CF'!M149</f>
        <v>0</v>
      </c>
      <c r="S149" s="12">
        <f>'2022 Budget &amp; CF'!N149</f>
        <v>0</v>
      </c>
      <c r="T149" s="12">
        <f>'2022 Budget &amp; CF'!O149</f>
        <v>0</v>
      </c>
      <c r="U149" s="12">
        <f>'2022 Budget &amp; CF'!P149</f>
        <v>0</v>
      </c>
      <c r="V149" s="12">
        <f>'2022 Budget &amp; CF'!Q149</f>
        <v>0</v>
      </c>
      <c r="W149" s="12">
        <f>'2022 Budget &amp; CF'!R149</f>
        <v>0</v>
      </c>
      <c r="X149" s="12">
        <f>'2022 Budget &amp; CF'!S149</f>
        <v>0</v>
      </c>
      <c r="Y149" s="12">
        <f>'2022 Budget &amp; CF'!T149</f>
        <v>0</v>
      </c>
      <c r="Z149" s="12">
        <f>'2022 Budget &amp; CF'!U149</f>
        <v>0</v>
      </c>
      <c r="AA149" s="12">
        <f>'2022 Budget &amp; CF'!V149</f>
        <v>0</v>
      </c>
      <c r="AB149" s="12"/>
      <c r="AC149" s="121">
        <f t="shared" ref="AC149:AC150" si="89">SUM(O149:AA149)</f>
        <v>2155.4</v>
      </c>
      <c r="AD149" s="115">
        <f>'2022 Budget &amp; CF'!Z149</f>
        <v>58893</v>
      </c>
      <c r="AE149" s="117">
        <f t="shared" ref="AE149:AE150" si="90">AD149-AC149</f>
        <v>56737.599999999999</v>
      </c>
      <c r="AF149" s="117">
        <f t="shared" ref="AF149:AF150" si="91">AE149/$AF$6</f>
        <v>4728.1333333333332</v>
      </c>
    </row>
    <row r="150" spans="2:36" hidden="1" outlineLevel="1" x14ac:dyDescent="0.2">
      <c r="B150" s="717"/>
      <c r="C150" s="275" t="s">
        <v>135</v>
      </c>
      <c r="D150" s="718" t="s">
        <v>1030</v>
      </c>
      <c r="E150" s="718"/>
      <c r="F150" s="275" t="s">
        <v>468</v>
      </c>
      <c r="G150" s="275" t="s">
        <v>460</v>
      </c>
      <c r="H150" s="718" t="s">
        <v>173</v>
      </c>
      <c r="I150" s="726"/>
      <c r="J150" s="589" t="str">
        <f t="shared" si="88"/>
        <v>28074110024100107</v>
      </c>
      <c r="K150" s="588">
        <v>2022</v>
      </c>
      <c r="L150" s="588" t="s">
        <v>348</v>
      </c>
      <c r="M150" s="588" t="s">
        <v>349</v>
      </c>
      <c r="N150" s="588" t="s">
        <v>350</v>
      </c>
      <c r="O150" s="12">
        <f>'2022 Budget &amp; CF'!J150</f>
        <v>0</v>
      </c>
      <c r="P150" s="12">
        <f>'2022 Budget &amp; CF'!K150</f>
        <v>2743.35</v>
      </c>
      <c r="Q150" s="12">
        <f>'2022 Budget &amp; CF'!L150</f>
        <v>-2743.35</v>
      </c>
      <c r="R150" s="12">
        <f>'2022 Budget &amp; CF'!M150</f>
        <v>0</v>
      </c>
      <c r="S150" s="12">
        <f>'2022 Budget &amp; CF'!N150</f>
        <v>0</v>
      </c>
      <c r="T150" s="12">
        <f>'2022 Budget &amp; CF'!O150</f>
        <v>0</v>
      </c>
      <c r="U150" s="12">
        <f>'2022 Budget &amp; CF'!P150</f>
        <v>0</v>
      </c>
      <c r="V150" s="12">
        <f>'2022 Budget &amp; CF'!Q150</f>
        <v>0</v>
      </c>
      <c r="W150" s="12">
        <f>'2022 Budget &amp; CF'!R150</f>
        <v>0</v>
      </c>
      <c r="X150" s="12">
        <f>'2022 Budget &amp; CF'!S150</f>
        <v>0</v>
      </c>
      <c r="Y150" s="12">
        <f>'2022 Budget &amp; CF'!T150</f>
        <v>0</v>
      </c>
      <c r="Z150" s="12">
        <f>'2022 Budget &amp; CF'!U150</f>
        <v>0</v>
      </c>
      <c r="AA150" s="12">
        <f>'2022 Budget &amp; CF'!V150</f>
        <v>0</v>
      </c>
      <c r="AB150" s="12"/>
      <c r="AC150" s="121">
        <f t="shared" si="89"/>
        <v>0</v>
      </c>
      <c r="AD150" s="115">
        <f>'2022 Budget &amp; CF'!Z150</f>
        <v>0</v>
      </c>
      <c r="AE150" s="117">
        <f t="shared" si="90"/>
        <v>0</v>
      </c>
      <c r="AF150" s="117">
        <f t="shared" si="91"/>
        <v>0</v>
      </c>
    </row>
    <row r="151" spans="2:36" hidden="1" outlineLevel="1" x14ac:dyDescent="0.2">
      <c r="B151" s="717"/>
      <c r="C151" s="275" t="s">
        <v>468</v>
      </c>
      <c r="D151" s="718" t="s">
        <v>145</v>
      </c>
      <c r="E151" s="718"/>
      <c r="F151" s="275" t="s">
        <v>468</v>
      </c>
      <c r="G151" s="275" t="s">
        <v>479</v>
      </c>
      <c r="H151" s="718" t="s">
        <v>173</v>
      </c>
      <c r="I151" s="726"/>
      <c r="J151" s="342" t="str">
        <f t="shared" si="83"/>
        <v>10000010025800107</v>
      </c>
      <c r="K151" s="109">
        <v>2022</v>
      </c>
      <c r="L151" s="109" t="s">
        <v>348</v>
      </c>
      <c r="M151" s="109" t="s">
        <v>349</v>
      </c>
      <c r="N151" s="109" t="s">
        <v>350</v>
      </c>
      <c r="O151" s="12">
        <f>'2022 Budget &amp; CF'!J151</f>
        <v>3846.16</v>
      </c>
      <c r="P151" s="12">
        <f>'2022 Budget &amp; CF'!K151</f>
        <v>3846.16</v>
      </c>
      <c r="Q151" s="12">
        <f>'2022 Budget &amp; CF'!L151</f>
        <v>5769.24</v>
      </c>
      <c r="R151" s="12">
        <f>'2022 Budget &amp; CF'!M151</f>
        <v>3846.16</v>
      </c>
      <c r="S151" s="12">
        <f>'2022 Budget &amp; CF'!N151</f>
        <v>3846.16</v>
      </c>
      <c r="T151" s="12">
        <f>'2022 Budget &amp; CF'!O151</f>
        <v>0</v>
      </c>
      <c r="U151" s="12">
        <f>'2022 Budget &amp; CF'!P151</f>
        <v>0</v>
      </c>
      <c r="V151" s="12">
        <f>'2022 Budget &amp; CF'!Q151</f>
        <v>0</v>
      </c>
      <c r="W151" s="12">
        <f>'2022 Budget &amp; CF'!R151</f>
        <v>0</v>
      </c>
      <c r="X151" s="12">
        <f>'2022 Budget &amp; CF'!S151</f>
        <v>0</v>
      </c>
      <c r="Y151" s="12">
        <f>'2022 Budget &amp; CF'!T151</f>
        <v>0</v>
      </c>
      <c r="Z151" s="12">
        <f>'2022 Budget &amp; CF'!U151</f>
        <v>0</v>
      </c>
      <c r="AA151" s="12">
        <f>'2022 Budget &amp; CF'!V151</f>
        <v>0</v>
      </c>
      <c r="AB151" s="12"/>
      <c r="AC151" s="121">
        <f t="shared" si="72"/>
        <v>21153.88</v>
      </c>
      <c r="AD151" s="115">
        <f>'2022 Budget &amp; CF'!Z151</f>
        <v>50000</v>
      </c>
      <c r="AE151" s="117">
        <f t="shared" si="73"/>
        <v>28846.12</v>
      </c>
      <c r="AF151" s="117">
        <f t="shared" si="74"/>
        <v>2403.8433333333332</v>
      </c>
    </row>
    <row r="152" spans="2:36" hidden="1" outlineLevel="1" x14ac:dyDescent="0.2">
      <c r="B152" s="717"/>
      <c r="C152" s="275" t="s">
        <v>468</v>
      </c>
      <c r="D152" s="718" t="s">
        <v>145</v>
      </c>
      <c r="E152" s="718"/>
      <c r="F152" s="275" t="s">
        <v>468</v>
      </c>
      <c r="G152" s="275" t="s">
        <v>459</v>
      </c>
      <c r="H152" s="718" t="s">
        <v>173</v>
      </c>
      <c r="I152" s="726"/>
      <c r="J152" s="342" t="str">
        <f t="shared" si="83"/>
        <v>10000010025820107</v>
      </c>
      <c r="K152" s="109">
        <v>2022</v>
      </c>
      <c r="L152" s="109" t="s">
        <v>348</v>
      </c>
      <c r="M152" s="109" t="s">
        <v>349</v>
      </c>
      <c r="N152" s="109" t="s">
        <v>350</v>
      </c>
      <c r="O152" s="12">
        <f>'2022 Budget &amp; CF'!J152</f>
        <v>7897.72</v>
      </c>
      <c r="P152" s="12">
        <f>'2022 Budget &amp; CF'!K152</f>
        <v>7897.72</v>
      </c>
      <c r="Q152" s="12">
        <f>'2022 Budget &amp; CF'!L152</f>
        <v>11826.79</v>
      </c>
      <c r="R152" s="12">
        <f>'2022 Budget &amp; CF'!M152</f>
        <v>7897.72</v>
      </c>
      <c r="S152" s="12">
        <f>'2022 Budget &amp; CF'!N152</f>
        <v>7897.72</v>
      </c>
      <c r="T152" s="12">
        <f>'2022 Budget &amp; CF'!O152</f>
        <v>0</v>
      </c>
      <c r="U152" s="12">
        <f>'2022 Budget &amp; CF'!P152</f>
        <v>0</v>
      </c>
      <c r="V152" s="12">
        <f>'2022 Budget &amp; CF'!Q152</f>
        <v>0</v>
      </c>
      <c r="W152" s="12">
        <f>'2022 Budget &amp; CF'!R152</f>
        <v>0</v>
      </c>
      <c r="X152" s="12">
        <f>'2022 Budget &amp; CF'!S152</f>
        <v>0</v>
      </c>
      <c r="Y152" s="12">
        <f>'2022 Budget &amp; CF'!T152</f>
        <v>0</v>
      </c>
      <c r="Z152" s="12">
        <f>'2022 Budget &amp; CF'!U152</f>
        <v>0</v>
      </c>
      <c r="AA152" s="12">
        <f>'2022 Budget &amp; CF'!V152</f>
        <v>0</v>
      </c>
      <c r="AB152" s="12"/>
      <c r="AC152" s="121">
        <f t="shared" si="72"/>
        <v>43417.670000000006</v>
      </c>
      <c r="AD152" s="115">
        <f>'2022 Budget &amp; CF'!Z152</f>
        <v>102669</v>
      </c>
      <c r="AE152" s="117">
        <f t="shared" si="73"/>
        <v>59251.329999999994</v>
      </c>
      <c r="AF152" s="117">
        <f t="shared" si="74"/>
        <v>4937.6108333333332</v>
      </c>
    </row>
    <row r="153" spans="2:36" hidden="1" outlineLevel="1" x14ac:dyDescent="0.2">
      <c r="B153" s="717"/>
      <c r="C153" s="275"/>
      <c r="D153" s="718"/>
      <c r="E153" s="718"/>
      <c r="F153" s="275"/>
      <c r="G153" s="275"/>
      <c r="H153" s="718"/>
      <c r="I153" s="726"/>
      <c r="J153" s="342"/>
      <c r="K153" s="109"/>
      <c r="L153" s="109"/>
      <c r="M153" s="109"/>
      <c r="N153" s="109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14"/>
      <c r="AD153" s="114"/>
      <c r="AE153" s="114"/>
      <c r="AF153" s="114"/>
    </row>
    <row r="154" spans="2:36" hidden="1" outlineLevel="1" x14ac:dyDescent="0.2">
      <c r="B154" s="717" t="s">
        <v>1206</v>
      </c>
      <c r="C154" s="275" t="s">
        <v>462</v>
      </c>
      <c r="D154" s="718" t="s">
        <v>132</v>
      </c>
      <c r="E154" s="718"/>
      <c r="F154" s="275" t="s">
        <v>463</v>
      </c>
      <c r="G154" s="275" t="s">
        <v>460</v>
      </c>
      <c r="H154" s="718" t="s">
        <v>1205</v>
      </c>
      <c r="I154" s="726"/>
      <c r="J154" s="342" t="str">
        <f t="shared" ref="J154" si="92">CONCATENATE(C154,D154,F154,G154,H154,I154)</f>
        <v>25020520024100137</v>
      </c>
      <c r="K154" s="109">
        <v>2022</v>
      </c>
      <c r="L154" s="109" t="s">
        <v>348</v>
      </c>
      <c r="M154" s="109" t="s">
        <v>349</v>
      </c>
      <c r="N154" s="109" t="s">
        <v>350</v>
      </c>
      <c r="O154" s="12">
        <f>'2022 Budget &amp; CF'!J154</f>
        <v>0</v>
      </c>
      <c r="P154" s="12">
        <f>'2022 Budget &amp; CF'!K154</f>
        <v>0</v>
      </c>
      <c r="Q154" s="12">
        <f>'2022 Budget &amp; CF'!L154</f>
        <v>7.26</v>
      </c>
      <c r="R154" s="12">
        <f>'2022 Budget &amp; CF'!M154</f>
        <v>0</v>
      </c>
      <c r="S154" s="12">
        <f>'2022 Budget &amp; CF'!N154</f>
        <v>0</v>
      </c>
      <c r="T154" s="12">
        <f>'2022 Budget &amp; CF'!O154</f>
        <v>0</v>
      </c>
      <c r="U154" s="12">
        <f>'2022 Budget &amp; CF'!P154</f>
        <v>0</v>
      </c>
      <c r="V154" s="12">
        <f>'2022 Budget &amp; CF'!Q154</f>
        <v>0</v>
      </c>
      <c r="W154" s="12">
        <f>'2022 Budget &amp; CF'!R154</f>
        <v>0</v>
      </c>
      <c r="X154" s="12">
        <f>'2022 Budget &amp; CF'!S154</f>
        <v>0</v>
      </c>
      <c r="Y154" s="12">
        <f>'2022 Budget &amp; CF'!T154</f>
        <v>0</v>
      </c>
      <c r="Z154" s="12">
        <f>'2022 Budget &amp; CF'!U154</f>
        <v>0</v>
      </c>
      <c r="AA154" s="12">
        <f>'2022 Budget &amp; CF'!V154</f>
        <v>0</v>
      </c>
      <c r="AB154" s="12"/>
      <c r="AC154" s="121">
        <f t="shared" ref="AC154" si="93">SUM(O154:AA154)</f>
        <v>7.26</v>
      </c>
      <c r="AD154" s="115">
        <f>'2022 Budget &amp; CF'!Z154</f>
        <v>0</v>
      </c>
      <c r="AE154" s="117">
        <f t="shared" ref="AE154" si="94">AD154-AC154</f>
        <v>-7.26</v>
      </c>
      <c r="AF154" s="117">
        <f t="shared" ref="AF154" si="95">AE154/$AF$6</f>
        <v>-0.60499999999999998</v>
      </c>
    </row>
    <row r="155" spans="2:36" hidden="1" outlineLevel="1" x14ac:dyDescent="0.2">
      <c r="B155" s="717" t="s">
        <v>1050</v>
      </c>
      <c r="C155" s="275" t="s">
        <v>135</v>
      </c>
      <c r="D155" s="718" t="s">
        <v>242</v>
      </c>
      <c r="E155" s="718"/>
      <c r="F155" s="275" t="s">
        <v>532</v>
      </c>
      <c r="G155" s="275" t="s">
        <v>465</v>
      </c>
      <c r="H155" s="718" t="s">
        <v>993</v>
      </c>
      <c r="I155" s="726"/>
      <c r="J155" s="342" t="str">
        <f t="shared" si="83"/>
        <v>28062443021100157</v>
      </c>
      <c r="K155" s="109">
        <v>2022</v>
      </c>
      <c r="L155" s="109" t="s">
        <v>348</v>
      </c>
      <c r="M155" s="109" t="s">
        <v>349</v>
      </c>
      <c r="N155" s="109" t="s">
        <v>350</v>
      </c>
      <c r="O155" s="12">
        <f>'2022 Budget &amp; CF'!J155</f>
        <v>0</v>
      </c>
      <c r="P155" s="12">
        <f>'2022 Budget &amp; CF'!K155</f>
        <v>0</v>
      </c>
      <c r="Q155" s="12">
        <f>'2022 Budget &amp; CF'!L155</f>
        <v>0</v>
      </c>
      <c r="R155" s="12">
        <f>'2022 Budget &amp; CF'!M155</f>
        <v>0</v>
      </c>
      <c r="S155" s="12">
        <f>'2022 Budget &amp; CF'!N155</f>
        <v>0</v>
      </c>
      <c r="T155" s="12">
        <f>'2022 Budget &amp; CF'!O155</f>
        <v>0</v>
      </c>
      <c r="U155" s="12">
        <f>'2022 Budget &amp; CF'!P155</f>
        <v>0</v>
      </c>
      <c r="V155" s="12">
        <f>'2022 Budget &amp; CF'!Q155</f>
        <v>0</v>
      </c>
      <c r="W155" s="12">
        <f>'2022 Budget &amp; CF'!R155</f>
        <v>0</v>
      </c>
      <c r="X155" s="12">
        <f>'2022 Budget &amp; CF'!S155</f>
        <v>0</v>
      </c>
      <c r="Y155" s="12">
        <f>'2022 Budget &amp; CF'!T155</f>
        <v>0</v>
      </c>
      <c r="Z155" s="12">
        <f>'2022 Budget &amp; CF'!U155</f>
        <v>0</v>
      </c>
      <c r="AA155" s="12">
        <f>'2022 Budget &amp; CF'!V155</f>
        <v>0</v>
      </c>
      <c r="AB155" s="12"/>
      <c r="AC155" s="121">
        <f t="shared" si="72"/>
        <v>0</v>
      </c>
      <c r="AD155" s="115">
        <f>'2022 Budget &amp; CF'!Z155</f>
        <v>0</v>
      </c>
      <c r="AE155" s="117">
        <f t="shared" si="73"/>
        <v>0</v>
      </c>
      <c r="AF155" s="117">
        <f t="shared" si="74"/>
        <v>0</v>
      </c>
    </row>
    <row r="156" spans="2:36" hidden="1" outlineLevel="1" x14ac:dyDescent="0.2">
      <c r="B156" s="717" t="s">
        <v>1050</v>
      </c>
      <c r="C156" s="275" t="s">
        <v>468</v>
      </c>
      <c r="D156" s="718" t="s">
        <v>145</v>
      </c>
      <c r="E156" s="718"/>
      <c r="F156" s="275" t="s">
        <v>468</v>
      </c>
      <c r="G156" s="275" t="s">
        <v>558</v>
      </c>
      <c r="H156" s="718" t="s">
        <v>993</v>
      </c>
      <c r="I156" s="726"/>
      <c r="J156" s="342" t="str">
        <f t="shared" si="83"/>
        <v>10000010022120157</v>
      </c>
      <c r="K156" s="109">
        <v>2022</v>
      </c>
      <c r="L156" s="109" t="s">
        <v>348</v>
      </c>
      <c r="M156" s="109" t="s">
        <v>349</v>
      </c>
      <c r="N156" s="109" t="s">
        <v>350</v>
      </c>
      <c r="O156" s="12">
        <f>'2022 Budget &amp; CF'!J156</f>
        <v>0</v>
      </c>
      <c r="P156" s="12">
        <f>'2022 Budget &amp; CF'!K156</f>
        <v>0</v>
      </c>
      <c r="Q156" s="12">
        <f>'2022 Budget &amp; CF'!L156</f>
        <v>0</v>
      </c>
      <c r="R156" s="12">
        <f>'2022 Budget &amp; CF'!M156</f>
        <v>0</v>
      </c>
      <c r="S156" s="12">
        <f>'2022 Budget &amp; CF'!N156</f>
        <v>0</v>
      </c>
      <c r="T156" s="12">
        <f>'2022 Budget &amp; CF'!O156</f>
        <v>0</v>
      </c>
      <c r="U156" s="12">
        <f>'2022 Budget &amp; CF'!P156</f>
        <v>0</v>
      </c>
      <c r="V156" s="12">
        <f>'2022 Budget &amp; CF'!Q156</f>
        <v>0</v>
      </c>
      <c r="W156" s="12">
        <f>'2022 Budget &amp; CF'!R156</f>
        <v>0</v>
      </c>
      <c r="X156" s="12">
        <f>'2022 Budget &amp; CF'!S156</f>
        <v>0</v>
      </c>
      <c r="Y156" s="12">
        <f>'2022 Budget &amp; CF'!T156</f>
        <v>0</v>
      </c>
      <c r="Z156" s="12">
        <f>'2022 Budget &amp; CF'!U156</f>
        <v>0</v>
      </c>
      <c r="AA156" s="12">
        <f>'2022 Budget &amp; CF'!V156</f>
        <v>0</v>
      </c>
      <c r="AB156" s="12"/>
      <c r="AC156" s="121">
        <f t="shared" si="72"/>
        <v>0</v>
      </c>
      <c r="AD156" s="115">
        <f>'2022 Budget &amp; CF'!Z156</f>
        <v>0</v>
      </c>
      <c r="AE156" s="117">
        <f t="shared" si="73"/>
        <v>0</v>
      </c>
      <c r="AF156" s="117">
        <f t="shared" si="74"/>
        <v>0</v>
      </c>
    </row>
    <row r="157" spans="2:36" hidden="1" outlineLevel="1" x14ac:dyDescent="0.2">
      <c r="B157" s="717" t="s">
        <v>1050</v>
      </c>
      <c r="C157" s="275" t="s">
        <v>135</v>
      </c>
      <c r="D157" s="718" t="s">
        <v>242</v>
      </c>
      <c r="E157" s="718"/>
      <c r="F157" s="275" t="s">
        <v>532</v>
      </c>
      <c r="G157" s="275" t="s">
        <v>558</v>
      </c>
      <c r="H157" s="718" t="s">
        <v>993</v>
      </c>
      <c r="I157" s="726"/>
      <c r="J157" s="342" t="str">
        <f t="shared" si="83"/>
        <v>28062443022120157</v>
      </c>
      <c r="K157" s="109">
        <v>2022</v>
      </c>
      <c r="L157" s="109" t="s">
        <v>348</v>
      </c>
      <c r="M157" s="109" t="s">
        <v>349</v>
      </c>
      <c r="N157" s="109" t="s">
        <v>350</v>
      </c>
      <c r="O157" s="12">
        <f>'2022 Budget &amp; CF'!J157</f>
        <v>0</v>
      </c>
      <c r="P157" s="12">
        <f>'2022 Budget &amp; CF'!K157</f>
        <v>0</v>
      </c>
      <c r="Q157" s="12">
        <f>'2022 Budget &amp; CF'!L157</f>
        <v>0</v>
      </c>
      <c r="R157" s="12">
        <f>'2022 Budget &amp; CF'!M157</f>
        <v>225</v>
      </c>
      <c r="S157" s="12">
        <f>'2022 Budget &amp; CF'!N157</f>
        <v>0</v>
      </c>
      <c r="T157" s="12">
        <f>'2022 Budget &amp; CF'!O157</f>
        <v>0</v>
      </c>
      <c r="U157" s="12">
        <f>'2022 Budget &amp; CF'!P157</f>
        <v>0</v>
      </c>
      <c r="V157" s="12">
        <f>'2022 Budget &amp; CF'!Q157</f>
        <v>0</v>
      </c>
      <c r="W157" s="12">
        <f>'2022 Budget &amp; CF'!R157</f>
        <v>0</v>
      </c>
      <c r="X157" s="12">
        <f>'2022 Budget &amp; CF'!S157</f>
        <v>0</v>
      </c>
      <c r="Y157" s="12">
        <f>'2022 Budget &amp; CF'!T157</f>
        <v>0</v>
      </c>
      <c r="Z157" s="12">
        <f>'2022 Budget &amp; CF'!U157</f>
        <v>0</v>
      </c>
      <c r="AA157" s="12">
        <f>'2022 Budget &amp; CF'!V157</f>
        <v>0</v>
      </c>
      <c r="AB157" s="12"/>
      <c r="AC157" s="121">
        <f t="shared" si="72"/>
        <v>225</v>
      </c>
      <c r="AD157" s="115">
        <f>'2022 Budget &amp; CF'!Z157</f>
        <v>0</v>
      </c>
      <c r="AE157" s="117">
        <f t="shared" si="73"/>
        <v>-225</v>
      </c>
      <c r="AF157" s="117">
        <f t="shared" si="74"/>
        <v>-18.75</v>
      </c>
    </row>
    <row r="158" spans="2:36" hidden="1" outlineLevel="1" x14ac:dyDescent="0.2">
      <c r="B158" s="717" t="s">
        <v>1050</v>
      </c>
      <c r="C158" s="275" t="s">
        <v>135</v>
      </c>
      <c r="D158" s="718" t="s">
        <v>864</v>
      </c>
      <c r="E158" s="718"/>
      <c r="F158" s="275" t="s">
        <v>532</v>
      </c>
      <c r="G158" s="275" t="s">
        <v>558</v>
      </c>
      <c r="H158" s="718" t="s">
        <v>993</v>
      </c>
      <c r="I158" s="726"/>
      <c r="J158" s="342" t="str">
        <f t="shared" si="83"/>
        <v>28065843022120157</v>
      </c>
      <c r="K158" s="109">
        <v>2022</v>
      </c>
      <c r="L158" s="109" t="s">
        <v>348</v>
      </c>
      <c r="M158" s="109" t="s">
        <v>349</v>
      </c>
      <c r="N158" s="109" t="s">
        <v>350</v>
      </c>
      <c r="O158" s="12">
        <f>'2022 Budget &amp; CF'!J158</f>
        <v>0</v>
      </c>
      <c r="P158" s="12">
        <f>'2022 Budget &amp; CF'!K158</f>
        <v>0</v>
      </c>
      <c r="Q158" s="12">
        <f>'2022 Budget &amp; CF'!L158</f>
        <v>0</v>
      </c>
      <c r="R158" s="12">
        <f>'2022 Budget &amp; CF'!M158</f>
        <v>0</v>
      </c>
      <c r="S158" s="12">
        <f>'2022 Budget &amp; CF'!N158</f>
        <v>0</v>
      </c>
      <c r="T158" s="12">
        <f>'2022 Budget &amp; CF'!O158</f>
        <v>0</v>
      </c>
      <c r="U158" s="12">
        <f>'2022 Budget &amp; CF'!P158</f>
        <v>0</v>
      </c>
      <c r="V158" s="12">
        <f>'2022 Budget &amp; CF'!Q158</f>
        <v>0</v>
      </c>
      <c r="W158" s="12">
        <f>'2022 Budget &amp; CF'!R158</f>
        <v>0</v>
      </c>
      <c r="X158" s="12">
        <f>'2022 Budget &amp; CF'!S158</f>
        <v>0</v>
      </c>
      <c r="Y158" s="12">
        <f>'2022 Budget &amp; CF'!T158</f>
        <v>0</v>
      </c>
      <c r="Z158" s="12">
        <f>'2022 Budget &amp; CF'!U158</f>
        <v>0</v>
      </c>
      <c r="AA158" s="12">
        <f>'2022 Budget &amp; CF'!V158</f>
        <v>0</v>
      </c>
      <c r="AB158" s="12"/>
      <c r="AC158" s="121">
        <f t="shared" si="72"/>
        <v>0</v>
      </c>
      <c r="AD158" s="115">
        <f>'2022 Budget &amp; CF'!Z158</f>
        <v>0</v>
      </c>
      <c r="AE158" s="117">
        <f t="shared" si="73"/>
        <v>0</v>
      </c>
      <c r="AF158" s="117">
        <f t="shared" si="74"/>
        <v>0</v>
      </c>
    </row>
    <row r="159" spans="2:36" s="2" customFormat="1" collapsed="1" x14ac:dyDescent="0.2">
      <c r="B159" s="212" t="s">
        <v>175</v>
      </c>
      <c r="C159" s="331"/>
      <c r="D159" s="330"/>
      <c r="E159" s="330"/>
      <c r="F159" s="331"/>
      <c r="G159" s="331"/>
      <c r="H159" s="458"/>
      <c r="I159" s="457"/>
      <c r="J159" s="549"/>
      <c r="K159" s="457"/>
      <c r="L159" s="457"/>
      <c r="M159" s="457"/>
      <c r="N159" s="458"/>
      <c r="O159" s="303">
        <f t="shared" ref="O159:AA159" si="96">SUM(O123:O158)</f>
        <v>45202.33</v>
      </c>
      <c r="P159" s="303">
        <f t="shared" si="96"/>
        <v>63036.149999999994</v>
      </c>
      <c r="Q159" s="303">
        <f t="shared" si="96"/>
        <v>90942.2</v>
      </c>
      <c r="R159" s="303">
        <f t="shared" si="96"/>
        <v>69970.099999999991</v>
      </c>
      <c r="S159" s="303">
        <f t="shared" si="96"/>
        <v>73492.89</v>
      </c>
      <c r="T159" s="303">
        <f t="shared" si="96"/>
        <v>0</v>
      </c>
      <c r="U159" s="303">
        <f t="shared" si="96"/>
        <v>0</v>
      </c>
      <c r="V159" s="303">
        <f t="shared" si="96"/>
        <v>0</v>
      </c>
      <c r="W159" s="303">
        <f t="shared" si="96"/>
        <v>0</v>
      </c>
      <c r="X159" s="303">
        <f t="shared" si="96"/>
        <v>0</v>
      </c>
      <c r="Y159" s="303">
        <f t="shared" si="96"/>
        <v>0</v>
      </c>
      <c r="Z159" s="303">
        <f t="shared" si="96"/>
        <v>0</v>
      </c>
      <c r="AA159" s="303">
        <f t="shared" si="96"/>
        <v>0</v>
      </c>
      <c r="AB159" s="303"/>
      <c r="AC159" s="303">
        <f>SUM(AC123:AC158)</f>
        <v>342643.67</v>
      </c>
      <c r="AD159" s="303">
        <f>SUM(AD123:AD158)</f>
        <v>901875</v>
      </c>
      <c r="AE159" s="303">
        <f t="shared" si="73"/>
        <v>559231.33000000007</v>
      </c>
      <c r="AF159" s="303">
        <f t="shared" si="74"/>
        <v>46602.61083333334</v>
      </c>
      <c r="AG159" s="553"/>
      <c r="AH159" s="553"/>
      <c r="AI159" s="553"/>
      <c r="AJ159" s="553"/>
    </row>
    <row r="160" spans="2:36" s="2" customFormat="1" x14ac:dyDescent="0.2">
      <c r="B160" s="213" t="s">
        <v>176</v>
      </c>
      <c r="C160" s="334"/>
      <c r="D160" s="333"/>
      <c r="E160" s="333"/>
      <c r="F160" s="334"/>
      <c r="G160" s="334"/>
      <c r="H160" s="428"/>
      <c r="I160" s="427"/>
      <c r="J160" s="550"/>
      <c r="K160" s="427"/>
      <c r="L160" s="427"/>
      <c r="M160" s="427"/>
      <c r="N160" s="428"/>
      <c r="O160" s="304">
        <f t="shared" ref="O160:AA160" si="97">SUM(O122,O159)</f>
        <v>101954.06000000001</v>
      </c>
      <c r="P160" s="304">
        <f t="shared" si="97"/>
        <v>226691.21999999997</v>
      </c>
      <c r="Q160" s="304">
        <f t="shared" si="97"/>
        <v>286358.21000000002</v>
      </c>
      <c r="R160" s="304">
        <f t="shared" si="97"/>
        <v>220043.72999999998</v>
      </c>
      <c r="S160" s="304">
        <f t="shared" si="97"/>
        <v>203037.66</v>
      </c>
      <c r="T160" s="304">
        <f t="shared" si="97"/>
        <v>0</v>
      </c>
      <c r="U160" s="304">
        <f t="shared" si="97"/>
        <v>0</v>
      </c>
      <c r="V160" s="304">
        <f t="shared" si="97"/>
        <v>0</v>
      </c>
      <c r="W160" s="304">
        <f t="shared" si="97"/>
        <v>0</v>
      </c>
      <c r="X160" s="304">
        <f t="shared" si="97"/>
        <v>0</v>
      </c>
      <c r="Y160" s="304">
        <f t="shared" si="97"/>
        <v>0</v>
      </c>
      <c r="Z160" s="304">
        <f t="shared" si="97"/>
        <v>0</v>
      </c>
      <c r="AA160" s="304">
        <f t="shared" si="97"/>
        <v>0</v>
      </c>
      <c r="AB160" s="304"/>
      <c r="AC160" s="304">
        <f>SUM(AC122,AC159)</f>
        <v>1038084.8799999999</v>
      </c>
      <c r="AD160" s="304">
        <f>SUM(AD122,AD159)</f>
        <v>2724105</v>
      </c>
      <c r="AE160" s="304">
        <f t="shared" si="73"/>
        <v>1686020.12</v>
      </c>
      <c r="AF160" s="304">
        <f t="shared" si="74"/>
        <v>140501.67666666667</v>
      </c>
      <c r="AG160" s="553"/>
      <c r="AH160" s="553"/>
      <c r="AI160" s="553"/>
      <c r="AJ160" s="553"/>
    </row>
    <row r="161" spans="2:36" hidden="1" outlineLevel="1" x14ac:dyDescent="0.2">
      <c r="B161" s="485"/>
      <c r="C161" s="276"/>
      <c r="D161" s="275"/>
      <c r="E161" s="276"/>
      <c r="F161" s="276"/>
      <c r="G161" s="276"/>
      <c r="H161" s="718"/>
      <c r="I161" s="277"/>
      <c r="J161" s="725" t="s">
        <v>1226</v>
      </c>
      <c r="K161" s="109"/>
      <c r="L161" s="109"/>
      <c r="M161" s="109"/>
      <c r="N161" s="109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14"/>
      <c r="AD161" s="114"/>
      <c r="AE161" s="114"/>
      <c r="AF161" s="114"/>
    </row>
    <row r="162" spans="2:36" hidden="1" outlineLevel="1" x14ac:dyDescent="0.2">
      <c r="B162" s="717" t="s">
        <v>177</v>
      </c>
      <c r="C162" s="101">
        <v>100</v>
      </c>
      <c r="D162" s="102" t="s">
        <v>145</v>
      </c>
      <c r="E162" s="101"/>
      <c r="F162" s="101">
        <v>100</v>
      </c>
      <c r="G162" s="101">
        <v>1000</v>
      </c>
      <c r="H162" s="103" t="str">
        <f>'2022 Budget &amp; CF'!H162</f>
        <v>0210</v>
      </c>
      <c r="I162" s="726"/>
      <c r="J162" s="342" t="str">
        <f t="shared" ref="J162:J170" si="98">CONCATENATE(C162,D162,F162,G162,H162,I162)</f>
        <v>10000010010000210</v>
      </c>
      <c r="K162" s="109">
        <v>2022</v>
      </c>
      <c r="L162" s="109" t="s">
        <v>348</v>
      </c>
      <c r="M162" s="109" t="s">
        <v>349</v>
      </c>
      <c r="N162" s="109" t="s">
        <v>350</v>
      </c>
      <c r="O162" s="12">
        <f>'2022 Budget &amp; CF'!J162</f>
        <v>36624.589999999997</v>
      </c>
      <c r="P162" s="12">
        <f>'2022 Budget &amp; CF'!K162</f>
        <v>23999.150000000009</v>
      </c>
      <c r="Q162" s="12">
        <f>'2022 Budget &amp; CF'!L162</f>
        <v>33980.009999999987</v>
      </c>
      <c r="R162" s="12">
        <f>'2022 Budget &amp; CF'!M162</f>
        <v>27566.18</v>
      </c>
      <c r="S162" s="12">
        <f>'2022 Budget &amp; CF'!N162</f>
        <v>28264.960000000006</v>
      </c>
      <c r="T162" s="12">
        <f>'2022 Budget &amp; CF'!O162</f>
        <v>0</v>
      </c>
      <c r="U162" s="12">
        <f>'2022 Budget &amp; CF'!P162</f>
        <v>0</v>
      </c>
      <c r="V162" s="12">
        <f>'2022 Budget &amp; CF'!Q162</f>
        <v>0</v>
      </c>
      <c r="W162" s="12">
        <f>'2022 Budget &amp; CF'!R162</f>
        <v>0</v>
      </c>
      <c r="X162" s="12">
        <f>'2022 Budget &amp; CF'!S162</f>
        <v>0</v>
      </c>
      <c r="Y162" s="12">
        <f>'2022 Budget &amp; CF'!T162</f>
        <v>0</v>
      </c>
      <c r="Z162" s="12">
        <f>'2022 Budget &amp; CF'!U162</f>
        <v>0</v>
      </c>
      <c r="AA162" s="12">
        <f>'2022 Budget &amp; CF'!V162</f>
        <v>0</v>
      </c>
      <c r="AB162" s="12"/>
      <c r="AC162" s="121">
        <f t="shared" ref="AC162" si="99">SUM(O162:AA162)</f>
        <v>150434.89000000001</v>
      </c>
      <c r="AD162" s="115">
        <f>'2022 Budget &amp; CF'!Z162</f>
        <v>357469</v>
      </c>
      <c r="AE162" s="117">
        <f t="shared" ref="AE162" si="100">AD162-AC162</f>
        <v>207034.11</v>
      </c>
      <c r="AF162" s="117">
        <f t="shared" ref="AF162" si="101">AE162/$AF$6</f>
        <v>17252.842499999999</v>
      </c>
    </row>
    <row r="163" spans="2:36" hidden="1" outlineLevel="1" x14ac:dyDescent="0.2">
      <c r="B163" s="717" t="s">
        <v>179</v>
      </c>
      <c r="C163" s="101">
        <v>100</v>
      </c>
      <c r="D163" s="102" t="s">
        <v>145</v>
      </c>
      <c r="E163" s="101"/>
      <c r="F163" s="101">
        <v>100</v>
      </c>
      <c r="G163" s="101">
        <v>1000</v>
      </c>
      <c r="H163" s="103" t="str">
        <f>'2022 Budget &amp; CF'!H163</f>
        <v>0220</v>
      </c>
      <c r="I163" s="726"/>
      <c r="J163" s="342" t="str">
        <f t="shared" si="98"/>
        <v>10000010010000220</v>
      </c>
      <c r="K163" s="109">
        <v>2022</v>
      </c>
      <c r="L163" s="109" t="s">
        <v>348</v>
      </c>
      <c r="M163" s="109" t="s">
        <v>349</v>
      </c>
      <c r="N163" s="109" t="s">
        <v>350</v>
      </c>
      <c r="O163" s="12">
        <f>'2022 Budget &amp; CF'!J163</f>
        <v>74.63</v>
      </c>
      <c r="P163" s="12">
        <f>'2022 Budget &amp; CF'!K163</f>
        <v>124.86</v>
      </c>
      <c r="Q163" s="12">
        <f>'2022 Budget &amp; CF'!L163</f>
        <v>304.78999999999996</v>
      </c>
      <c r="R163" s="12">
        <f>'2022 Budget &amp; CF'!M163</f>
        <v>246.45999999999998</v>
      </c>
      <c r="S163" s="12">
        <f>'2022 Budget &amp; CF'!N163</f>
        <v>239.70999999999998</v>
      </c>
      <c r="T163" s="12">
        <f>'2022 Budget &amp; CF'!O163</f>
        <v>0</v>
      </c>
      <c r="U163" s="12">
        <f>'2022 Budget &amp; CF'!P163</f>
        <v>0</v>
      </c>
      <c r="V163" s="12">
        <f>'2022 Budget &amp; CF'!Q163</f>
        <v>0</v>
      </c>
      <c r="W163" s="12">
        <f>'2022 Budget &amp; CF'!R163</f>
        <v>0</v>
      </c>
      <c r="X163" s="12">
        <f>'2022 Budget &amp; CF'!S163</f>
        <v>0</v>
      </c>
      <c r="Y163" s="12">
        <f>'2022 Budget &amp; CF'!T163</f>
        <v>0</v>
      </c>
      <c r="Z163" s="12">
        <f>'2022 Budget &amp; CF'!U163</f>
        <v>0</v>
      </c>
      <c r="AA163" s="12">
        <f>'2022 Budget &amp; CF'!V163</f>
        <v>0</v>
      </c>
      <c r="AB163" s="12"/>
      <c r="AC163" s="121">
        <f t="shared" ref="AC163:AC170" si="102">SUM(O163:AA163)</f>
        <v>990.45</v>
      </c>
      <c r="AD163" s="115">
        <f>'2022 Budget &amp; CF'!Z163</f>
        <v>2184</v>
      </c>
      <c r="AE163" s="117">
        <f t="shared" ref="AE163:AE170" si="103">AD163-AC163</f>
        <v>1193.55</v>
      </c>
      <c r="AF163" s="117">
        <f t="shared" ref="AF163:AF170" si="104">AE163/$AF$6</f>
        <v>99.462499999999991</v>
      </c>
    </row>
    <row r="164" spans="2:36" hidden="1" outlineLevel="1" x14ac:dyDescent="0.2">
      <c r="B164" s="717" t="s">
        <v>181</v>
      </c>
      <c r="C164" s="101">
        <v>100</v>
      </c>
      <c r="D164" s="102" t="s">
        <v>145</v>
      </c>
      <c r="E164" s="101"/>
      <c r="F164" s="101">
        <v>100</v>
      </c>
      <c r="G164" s="101">
        <v>1000</v>
      </c>
      <c r="H164" s="103" t="str">
        <f>'2022 Budget &amp; CF'!H164</f>
        <v>0230</v>
      </c>
      <c r="I164" s="726"/>
      <c r="J164" s="342" t="str">
        <f t="shared" si="98"/>
        <v>10000010010000230</v>
      </c>
      <c r="K164" s="109">
        <v>2022</v>
      </c>
      <c r="L164" s="109" t="s">
        <v>348</v>
      </c>
      <c r="M164" s="109" t="s">
        <v>349</v>
      </c>
      <c r="N164" s="109" t="s">
        <v>350</v>
      </c>
      <c r="O164" s="12">
        <f>'2022 Budget &amp; CF'!J164</f>
        <v>24547.74</v>
      </c>
      <c r="P164" s="12">
        <f>'2022 Budget &amp; CF'!K164</f>
        <v>40514.9</v>
      </c>
      <c r="Q164" s="12">
        <f>'2022 Budget &amp; CF'!L164</f>
        <v>63397.29</v>
      </c>
      <c r="R164" s="12">
        <f>'2022 Budget &amp; CF'!M164</f>
        <v>44175.180000000008</v>
      </c>
      <c r="S164" s="12">
        <f>'2022 Budget &amp; CF'!N164</f>
        <v>45024.530000000006</v>
      </c>
      <c r="T164" s="12">
        <f>'2022 Budget &amp; CF'!O164</f>
        <v>0</v>
      </c>
      <c r="U164" s="12">
        <f>'2022 Budget &amp; CF'!P164</f>
        <v>0</v>
      </c>
      <c r="V164" s="12">
        <f>'2022 Budget &amp; CF'!Q164</f>
        <v>0</v>
      </c>
      <c r="W164" s="12">
        <f>'2022 Budget &amp; CF'!R164</f>
        <v>0</v>
      </c>
      <c r="X164" s="12">
        <f>'2022 Budget &amp; CF'!S164</f>
        <v>0</v>
      </c>
      <c r="Y164" s="12">
        <f>'2022 Budget &amp; CF'!T164</f>
        <v>0</v>
      </c>
      <c r="Z164" s="12">
        <f>'2022 Budget &amp; CF'!U164</f>
        <v>0</v>
      </c>
      <c r="AA164" s="12">
        <f>'2022 Budget &amp; CF'!V164</f>
        <v>0</v>
      </c>
      <c r="AB164" s="12"/>
      <c r="AC164" s="121">
        <f t="shared" si="102"/>
        <v>217659.63999999998</v>
      </c>
      <c r="AD164" s="115">
        <f>'2022 Budget &amp; CF'!Z164</f>
        <v>606388</v>
      </c>
      <c r="AE164" s="117">
        <f t="shared" si="103"/>
        <v>388728.36</v>
      </c>
      <c r="AF164" s="117">
        <f t="shared" si="104"/>
        <v>32394.03</v>
      </c>
    </row>
    <row r="165" spans="2:36" hidden="1" outlineLevel="1" x14ac:dyDescent="0.2">
      <c r="B165" s="717" t="s">
        <v>183</v>
      </c>
      <c r="C165" s="101">
        <v>100</v>
      </c>
      <c r="D165" s="102" t="s">
        <v>145</v>
      </c>
      <c r="E165" s="101"/>
      <c r="F165" s="101">
        <v>100</v>
      </c>
      <c r="G165" s="101">
        <v>1000</v>
      </c>
      <c r="H165" s="103" t="str">
        <f>'2022 Budget &amp; CF'!H165</f>
        <v>0240</v>
      </c>
      <c r="I165" s="726"/>
      <c r="J165" s="342" t="str">
        <f t="shared" si="98"/>
        <v>10000010010000240</v>
      </c>
      <c r="K165" s="109">
        <v>2022</v>
      </c>
      <c r="L165" s="109" t="s">
        <v>348</v>
      </c>
      <c r="M165" s="109" t="s">
        <v>349</v>
      </c>
      <c r="N165" s="109" t="s">
        <v>350</v>
      </c>
      <c r="O165" s="12">
        <f>'2022 Budget &amp; CF'!J165</f>
        <v>1502.25</v>
      </c>
      <c r="P165" s="12">
        <f>'2022 Budget &amp; CF'!K165</f>
        <v>3257.5299999999997</v>
      </c>
      <c r="Q165" s="12">
        <f>'2022 Budget &amp; CF'!L165</f>
        <v>4098.4299999999994</v>
      </c>
      <c r="R165" s="12">
        <f>'2022 Budget &amp; CF'!M165</f>
        <v>3153.5099999999998</v>
      </c>
      <c r="S165" s="12">
        <f>'2022 Budget &amp; CF'!N165</f>
        <v>2893.9700000000003</v>
      </c>
      <c r="T165" s="12">
        <f>'2022 Budget &amp; CF'!O165</f>
        <v>0</v>
      </c>
      <c r="U165" s="12">
        <f>'2022 Budget &amp; CF'!P165</f>
        <v>0</v>
      </c>
      <c r="V165" s="12">
        <f>'2022 Budget &amp; CF'!Q165</f>
        <v>0</v>
      </c>
      <c r="W165" s="12">
        <f>'2022 Budget &amp; CF'!R165</f>
        <v>0</v>
      </c>
      <c r="X165" s="12">
        <f>'2022 Budget &amp; CF'!S165</f>
        <v>0</v>
      </c>
      <c r="Y165" s="12">
        <f>'2022 Budget &amp; CF'!T165</f>
        <v>0</v>
      </c>
      <c r="Z165" s="12">
        <f>'2022 Budget &amp; CF'!U165</f>
        <v>0</v>
      </c>
      <c r="AA165" s="12">
        <f>'2022 Budget &amp; CF'!V165</f>
        <v>0</v>
      </c>
      <c r="AB165" s="12"/>
      <c r="AC165" s="121">
        <f t="shared" si="102"/>
        <v>14905.689999999999</v>
      </c>
      <c r="AD165" s="115">
        <f>'2022 Budget &amp; CF'!Z165</f>
        <v>39500</v>
      </c>
      <c r="AE165" s="117">
        <f t="shared" si="103"/>
        <v>24594.31</v>
      </c>
      <c r="AF165" s="117">
        <f t="shared" si="104"/>
        <v>2049.5258333333336</v>
      </c>
    </row>
    <row r="166" spans="2:36" hidden="1" outlineLevel="1" x14ac:dyDescent="0.2">
      <c r="B166" s="717" t="s">
        <v>185</v>
      </c>
      <c r="C166" s="101">
        <v>100</v>
      </c>
      <c r="D166" s="102" t="s">
        <v>145</v>
      </c>
      <c r="E166" s="101"/>
      <c r="F166" s="101">
        <v>100</v>
      </c>
      <c r="G166" s="101">
        <v>1000</v>
      </c>
      <c r="H166" s="103" t="str">
        <f>'2022 Budget &amp; CF'!H166</f>
        <v>0250</v>
      </c>
      <c r="I166" s="726"/>
      <c r="J166" s="342" t="str">
        <f t="shared" si="98"/>
        <v>10000010010000250</v>
      </c>
      <c r="K166" s="109">
        <v>2022</v>
      </c>
      <c r="L166" s="109" t="s">
        <v>348</v>
      </c>
      <c r="M166" s="109" t="s">
        <v>349</v>
      </c>
      <c r="N166" s="109" t="s">
        <v>350</v>
      </c>
      <c r="O166" s="12">
        <f>'2022 Budget &amp; CF'!J166</f>
        <v>0</v>
      </c>
      <c r="P166" s="12">
        <f>'2022 Budget &amp; CF'!K166</f>
        <v>0</v>
      </c>
      <c r="Q166" s="12">
        <f>'2022 Budget &amp; CF'!L166</f>
        <v>0</v>
      </c>
      <c r="R166" s="12">
        <f>'2022 Budget &amp; CF'!M166</f>
        <v>0</v>
      </c>
      <c r="S166" s="12">
        <f>'2022 Budget &amp; CF'!N166</f>
        <v>0</v>
      </c>
      <c r="T166" s="12">
        <f>'2022 Budget &amp; CF'!O166</f>
        <v>0</v>
      </c>
      <c r="U166" s="12">
        <f>'2022 Budget &amp; CF'!P166</f>
        <v>0</v>
      </c>
      <c r="V166" s="12">
        <f>'2022 Budget &amp; CF'!Q166</f>
        <v>0</v>
      </c>
      <c r="W166" s="12">
        <f>'2022 Budget &amp; CF'!R166</f>
        <v>0</v>
      </c>
      <c r="X166" s="12">
        <f>'2022 Budget &amp; CF'!S166</f>
        <v>0</v>
      </c>
      <c r="Y166" s="12">
        <f>'2022 Budget &amp; CF'!T166</f>
        <v>0</v>
      </c>
      <c r="Z166" s="12">
        <f>'2022 Budget &amp; CF'!U166</f>
        <v>0</v>
      </c>
      <c r="AA166" s="12">
        <f>'2022 Budget &amp; CF'!V166</f>
        <v>0</v>
      </c>
      <c r="AB166" s="12"/>
      <c r="AC166" s="121">
        <f t="shared" si="102"/>
        <v>0</v>
      </c>
      <c r="AD166" s="115">
        <f>'2022 Budget &amp; CF'!Z166</f>
        <v>0</v>
      </c>
      <c r="AE166" s="117">
        <f t="shared" si="103"/>
        <v>0</v>
      </c>
      <c r="AF166" s="117">
        <f t="shared" si="104"/>
        <v>0</v>
      </c>
    </row>
    <row r="167" spans="2:36" hidden="1" outlineLevel="1" x14ac:dyDescent="0.2">
      <c r="B167" s="717" t="s">
        <v>187</v>
      </c>
      <c r="C167" s="101">
        <v>100</v>
      </c>
      <c r="D167" s="102" t="s">
        <v>145</v>
      </c>
      <c r="E167" s="101"/>
      <c r="F167" s="101">
        <v>100</v>
      </c>
      <c r="G167" s="101">
        <v>1000</v>
      </c>
      <c r="H167" s="103" t="str">
        <f>'2022 Budget &amp; CF'!H167</f>
        <v>0260</v>
      </c>
      <c r="I167" s="726"/>
      <c r="J167" s="342" t="str">
        <f t="shared" si="98"/>
        <v>10000010010000260</v>
      </c>
      <c r="K167" s="109">
        <v>2022</v>
      </c>
      <c r="L167" s="109" t="s">
        <v>348</v>
      </c>
      <c r="M167" s="109" t="s">
        <v>349</v>
      </c>
      <c r="N167" s="109" t="s">
        <v>350</v>
      </c>
      <c r="O167" s="12">
        <f>'2022 Budget &amp; CF'!J167</f>
        <v>654.61999999999989</v>
      </c>
      <c r="P167" s="12">
        <f>'2022 Budget &amp; CF'!K167</f>
        <v>1245.1300000000001</v>
      </c>
      <c r="Q167" s="12">
        <f>'2022 Budget &amp; CF'!L167</f>
        <v>1710.92</v>
      </c>
      <c r="R167" s="12">
        <f>'2022 Budget &amp; CF'!M167</f>
        <v>1229.79</v>
      </c>
      <c r="S167" s="12">
        <f>'2022 Budget &amp; CF'!N167</f>
        <v>1055.0099999999998</v>
      </c>
      <c r="T167" s="12">
        <f>'2022 Budget &amp; CF'!O167</f>
        <v>0</v>
      </c>
      <c r="U167" s="12">
        <f>'2022 Budget &amp; CF'!P167</f>
        <v>0</v>
      </c>
      <c r="V167" s="12">
        <f>'2022 Budget &amp; CF'!Q167</f>
        <v>0</v>
      </c>
      <c r="W167" s="12">
        <f>'2022 Budget &amp; CF'!R167</f>
        <v>0</v>
      </c>
      <c r="X167" s="12">
        <f>'2022 Budget &amp; CF'!S167</f>
        <v>0</v>
      </c>
      <c r="Y167" s="12">
        <f>'2022 Budget &amp; CF'!T167</f>
        <v>0</v>
      </c>
      <c r="Z167" s="12">
        <f>'2022 Budget &amp; CF'!U167</f>
        <v>0</v>
      </c>
      <c r="AA167" s="12">
        <f>'2022 Budget &amp; CF'!V167</f>
        <v>0</v>
      </c>
      <c r="AB167" s="12"/>
      <c r="AC167" s="121">
        <f t="shared" si="102"/>
        <v>5895.4699999999993</v>
      </c>
      <c r="AD167" s="115">
        <f>'2022 Budget &amp; CF'!Z167</f>
        <v>24796</v>
      </c>
      <c r="AE167" s="117">
        <f t="shared" si="103"/>
        <v>18900.53</v>
      </c>
      <c r="AF167" s="117">
        <f t="shared" si="104"/>
        <v>1575.0441666666666</v>
      </c>
    </row>
    <row r="168" spans="2:36" hidden="1" outlineLevel="1" x14ac:dyDescent="0.2">
      <c r="B168" s="717" t="s">
        <v>189</v>
      </c>
      <c r="C168" s="101">
        <v>100</v>
      </c>
      <c r="D168" s="102" t="s">
        <v>145</v>
      </c>
      <c r="E168" s="101"/>
      <c r="F168" s="101">
        <v>100</v>
      </c>
      <c r="G168" s="101">
        <v>1000</v>
      </c>
      <c r="H168" s="103" t="str">
        <f>'2022 Budget &amp; CF'!H168</f>
        <v>0270</v>
      </c>
      <c r="I168" s="726"/>
      <c r="J168" s="342" t="str">
        <f t="shared" si="98"/>
        <v>10000010010000270</v>
      </c>
      <c r="K168" s="109">
        <v>2022</v>
      </c>
      <c r="L168" s="109" t="s">
        <v>348</v>
      </c>
      <c r="M168" s="109" t="s">
        <v>349</v>
      </c>
      <c r="N168" s="109" t="s">
        <v>350</v>
      </c>
      <c r="O168" s="12">
        <f>'2022 Budget &amp; CF'!J168</f>
        <v>0</v>
      </c>
      <c r="P168" s="12">
        <f>'2022 Budget &amp; CF'!K168</f>
        <v>0</v>
      </c>
      <c r="Q168" s="12">
        <f>'2022 Budget &amp; CF'!L168</f>
        <v>5565.0099999999993</v>
      </c>
      <c r="R168" s="12">
        <f>'2022 Budget &amp; CF'!M168</f>
        <v>0</v>
      </c>
      <c r="S168" s="12">
        <f>'2022 Budget &amp; CF'!N168</f>
        <v>2400</v>
      </c>
      <c r="T168" s="12">
        <f>'2022 Budget &amp; CF'!O168</f>
        <v>0</v>
      </c>
      <c r="U168" s="12">
        <f>'2022 Budget &amp; CF'!P168</f>
        <v>0</v>
      </c>
      <c r="V168" s="12">
        <f>'2022 Budget &amp; CF'!Q168</f>
        <v>0</v>
      </c>
      <c r="W168" s="12">
        <f>'2022 Budget &amp; CF'!R168</f>
        <v>0</v>
      </c>
      <c r="X168" s="12">
        <f>'2022 Budget &amp; CF'!S168</f>
        <v>0</v>
      </c>
      <c r="Y168" s="12">
        <f>'2022 Budget &amp; CF'!T168</f>
        <v>0</v>
      </c>
      <c r="Z168" s="12">
        <f>'2022 Budget &amp; CF'!U168</f>
        <v>0</v>
      </c>
      <c r="AA168" s="12">
        <f>'2022 Budget &amp; CF'!V168</f>
        <v>0</v>
      </c>
      <c r="AB168" s="12"/>
      <c r="AC168" s="121">
        <f t="shared" si="102"/>
        <v>7965.0099999999993</v>
      </c>
      <c r="AD168" s="115">
        <f>'2022 Budget &amp; CF'!Z168</f>
        <v>5505</v>
      </c>
      <c r="AE168" s="117">
        <f t="shared" si="103"/>
        <v>-2460.0099999999993</v>
      </c>
      <c r="AF168" s="117">
        <f t="shared" si="104"/>
        <v>-205.00083333333328</v>
      </c>
    </row>
    <row r="169" spans="2:36" hidden="1" outlineLevel="1" x14ac:dyDescent="0.2">
      <c r="B169" s="717" t="s">
        <v>191</v>
      </c>
      <c r="C169" s="101">
        <v>100</v>
      </c>
      <c r="D169" s="102" t="s">
        <v>145</v>
      </c>
      <c r="E169" s="101"/>
      <c r="F169" s="101">
        <v>100</v>
      </c>
      <c r="G169" s="101">
        <v>1000</v>
      </c>
      <c r="H169" s="103" t="str">
        <f>'2022 Budget &amp; CF'!H169</f>
        <v>0280</v>
      </c>
      <c r="I169" s="726"/>
      <c r="J169" s="342" t="str">
        <f t="shared" si="98"/>
        <v>10000010010000280</v>
      </c>
      <c r="K169" s="109">
        <v>2022</v>
      </c>
      <c r="L169" s="109" t="s">
        <v>348</v>
      </c>
      <c r="M169" s="109" t="s">
        <v>349</v>
      </c>
      <c r="N169" s="109" t="s">
        <v>350</v>
      </c>
      <c r="O169" s="12">
        <f>'2022 Budget &amp; CF'!J169</f>
        <v>0</v>
      </c>
      <c r="P169" s="12">
        <f>'2022 Budget &amp; CF'!K169</f>
        <v>0</v>
      </c>
      <c r="Q169" s="12">
        <f>'2022 Budget &amp; CF'!L169</f>
        <v>0</v>
      </c>
      <c r="R169" s="12">
        <f>'2022 Budget &amp; CF'!M169</f>
        <v>0</v>
      </c>
      <c r="S169" s="12">
        <f>'2022 Budget &amp; CF'!N169</f>
        <v>0</v>
      </c>
      <c r="T169" s="12">
        <f>'2022 Budget &amp; CF'!O169</f>
        <v>0</v>
      </c>
      <c r="U169" s="12">
        <f>'2022 Budget &amp; CF'!P169</f>
        <v>0</v>
      </c>
      <c r="V169" s="12">
        <f>'2022 Budget &amp; CF'!Q169</f>
        <v>0</v>
      </c>
      <c r="W169" s="12">
        <f>'2022 Budget &amp; CF'!R169</f>
        <v>0</v>
      </c>
      <c r="X169" s="12">
        <f>'2022 Budget &amp; CF'!S169</f>
        <v>0</v>
      </c>
      <c r="Y169" s="12">
        <f>'2022 Budget &amp; CF'!T169</f>
        <v>0</v>
      </c>
      <c r="Z169" s="12">
        <f>'2022 Budget &amp; CF'!U169</f>
        <v>0</v>
      </c>
      <c r="AA169" s="12">
        <f>'2022 Budget &amp; CF'!V169</f>
        <v>0</v>
      </c>
      <c r="AB169" s="12"/>
      <c r="AC169" s="121">
        <f t="shared" si="102"/>
        <v>0</v>
      </c>
      <c r="AD169" s="115">
        <f>'2022 Budget &amp; CF'!Z169</f>
        <v>0</v>
      </c>
      <c r="AE169" s="117">
        <f t="shared" si="103"/>
        <v>0</v>
      </c>
      <c r="AF169" s="117">
        <f t="shared" si="104"/>
        <v>0</v>
      </c>
    </row>
    <row r="170" spans="2:36" hidden="1" outlineLevel="1" x14ac:dyDescent="0.2">
      <c r="B170" s="717" t="s">
        <v>193</v>
      </c>
      <c r="C170" s="101">
        <v>100</v>
      </c>
      <c r="D170" s="102" t="s">
        <v>145</v>
      </c>
      <c r="E170" s="101"/>
      <c r="F170" s="101">
        <v>100</v>
      </c>
      <c r="G170" s="101">
        <v>1000</v>
      </c>
      <c r="H170" s="103" t="str">
        <f>'2022 Budget &amp; CF'!H170</f>
        <v>0290</v>
      </c>
      <c r="I170" s="726"/>
      <c r="J170" s="342" t="str">
        <f t="shared" si="98"/>
        <v>10000010010000290</v>
      </c>
      <c r="K170" s="109">
        <v>2022</v>
      </c>
      <c r="L170" s="109" t="s">
        <v>348</v>
      </c>
      <c r="M170" s="109" t="s">
        <v>349</v>
      </c>
      <c r="N170" s="109" t="s">
        <v>350</v>
      </c>
      <c r="O170" s="12">
        <f>'2022 Budget &amp; CF'!J170</f>
        <v>0</v>
      </c>
      <c r="P170" s="12">
        <f>'2022 Budget &amp; CF'!K170</f>
        <v>0</v>
      </c>
      <c r="Q170" s="12">
        <f>'2022 Budget &amp; CF'!L170</f>
        <v>0</v>
      </c>
      <c r="R170" s="12">
        <f>'2022 Budget &amp; CF'!M170</f>
        <v>0</v>
      </c>
      <c r="S170" s="12">
        <f>'2022 Budget &amp; CF'!N170</f>
        <v>0</v>
      </c>
      <c r="T170" s="12">
        <f>'2022 Budget &amp; CF'!O170</f>
        <v>0</v>
      </c>
      <c r="U170" s="12">
        <f>'2022 Budget &amp; CF'!P170</f>
        <v>0</v>
      </c>
      <c r="V170" s="12">
        <f>'2022 Budget &amp; CF'!Q170</f>
        <v>0</v>
      </c>
      <c r="W170" s="12">
        <f>'2022 Budget &amp; CF'!R170</f>
        <v>0</v>
      </c>
      <c r="X170" s="12">
        <f>'2022 Budget &amp; CF'!S170</f>
        <v>0</v>
      </c>
      <c r="Y170" s="12">
        <f>'2022 Budget &amp; CF'!T170</f>
        <v>0</v>
      </c>
      <c r="Z170" s="12">
        <f>'2022 Budget &amp; CF'!U170</f>
        <v>0</v>
      </c>
      <c r="AA170" s="12">
        <f>'2022 Budget &amp; CF'!V170</f>
        <v>0</v>
      </c>
      <c r="AB170" s="12"/>
      <c r="AC170" s="121">
        <f t="shared" si="102"/>
        <v>0</v>
      </c>
      <c r="AD170" s="115">
        <f>'2022 Budget &amp; CF'!Z170</f>
        <v>0</v>
      </c>
      <c r="AE170" s="117">
        <f t="shared" si="103"/>
        <v>0</v>
      </c>
      <c r="AF170" s="117">
        <f t="shared" si="104"/>
        <v>0</v>
      </c>
    </row>
    <row r="171" spans="2:36" s="2" customFormat="1" collapsed="1" x14ac:dyDescent="0.2">
      <c r="B171" s="761" t="s">
        <v>195</v>
      </c>
      <c r="C171" s="334"/>
      <c r="D171" s="333"/>
      <c r="E171" s="333"/>
      <c r="F171" s="334"/>
      <c r="G171" s="334"/>
      <c r="H171" s="428"/>
      <c r="I171" s="427"/>
      <c r="J171" s="550"/>
      <c r="K171" s="427"/>
      <c r="L171" s="427"/>
      <c r="M171" s="427"/>
      <c r="N171" s="428"/>
      <c r="O171" s="304">
        <f t="shared" ref="O171:AA171" si="105">SUM(O162:O170)</f>
        <v>63403.829999999994</v>
      </c>
      <c r="P171" s="304">
        <f>SUM(P162:P170)</f>
        <v>69141.570000000022</v>
      </c>
      <c r="Q171" s="304">
        <f t="shared" si="105"/>
        <v>109056.44999999998</v>
      </c>
      <c r="R171" s="304">
        <f t="shared" si="105"/>
        <v>76371.12</v>
      </c>
      <c r="S171" s="304">
        <f t="shared" si="105"/>
        <v>79878.180000000008</v>
      </c>
      <c r="T171" s="304">
        <f t="shared" si="105"/>
        <v>0</v>
      </c>
      <c r="U171" s="304">
        <f t="shared" si="105"/>
        <v>0</v>
      </c>
      <c r="V171" s="304">
        <f t="shared" si="105"/>
        <v>0</v>
      </c>
      <c r="W171" s="304">
        <f t="shared" si="105"/>
        <v>0</v>
      </c>
      <c r="X171" s="304">
        <f t="shared" si="105"/>
        <v>0</v>
      </c>
      <c r="Y171" s="304">
        <f t="shared" si="105"/>
        <v>0</v>
      </c>
      <c r="Z171" s="304">
        <f t="shared" si="105"/>
        <v>0</v>
      </c>
      <c r="AA171" s="304">
        <f t="shared" si="105"/>
        <v>0</v>
      </c>
      <c r="AB171" s="304"/>
      <c r="AC171" s="304">
        <f>SUM(AC162:AC170)</f>
        <v>397851.14999999997</v>
      </c>
      <c r="AD171" s="304">
        <f>SUM(AD162:AD170)</f>
        <v>1035842</v>
      </c>
      <c r="AE171" s="304">
        <f>SUM(AE162:AE170)</f>
        <v>637990.85000000009</v>
      </c>
      <c r="AF171" s="304">
        <f>PCFP!T36</f>
        <v>0</v>
      </c>
      <c r="AG171" s="553"/>
      <c r="AH171" s="553"/>
      <c r="AI171" s="553"/>
      <c r="AJ171" s="553"/>
    </row>
    <row r="172" spans="2:36" s="2" customFormat="1" x14ac:dyDescent="0.2">
      <c r="B172" s="761" t="s">
        <v>196</v>
      </c>
      <c r="C172" s="334"/>
      <c r="D172" s="333"/>
      <c r="E172" s="333"/>
      <c r="F172" s="334"/>
      <c r="G172" s="334"/>
      <c r="H172" s="428"/>
      <c r="I172" s="427"/>
      <c r="J172" s="550"/>
      <c r="K172" s="427"/>
      <c r="L172" s="427"/>
      <c r="M172" s="427"/>
      <c r="N172" s="428"/>
      <c r="O172" s="304">
        <f t="shared" ref="O172:AA172" si="106">SUM(O171,O160)</f>
        <v>165357.89000000001</v>
      </c>
      <c r="P172" s="304">
        <f t="shared" si="106"/>
        <v>295832.78999999998</v>
      </c>
      <c r="Q172" s="304">
        <f t="shared" si="106"/>
        <v>395414.66000000003</v>
      </c>
      <c r="R172" s="304">
        <f t="shared" si="106"/>
        <v>296414.84999999998</v>
      </c>
      <c r="S172" s="304">
        <f t="shared" si="106"/>
        <v>282915.84000000003</v>
      </c>
      <c r="T172" s="304">
        <f t="shared" si="106"/>
        <v>0</v>
      </c>
      <c r="U172" s="304">
        <f t="shared" si="106"/>
        <v>0</v>
      </c>
      <c r="V172" s="304">
        <f t="shared" si="106"/>
        <v>0</v>
      </c>
      <c r="W172" s="304">
        <f t="shared" si="106"/>
        <v>0</v>
      </c>
      <c r="X172" s="304">
        <f t="shared" si="106"/>
        <v>0</v>
      </c>
      <c r="Y172" s="304">
        <f t="shared" si="106"/>
        <v>0</v>
      </c>
      <c r="Z172" s="304">
        <f t="shared" si="106"/>
        <v>0</v>
      </c>
      <c r="AA172" s="304">
        <f t="shared" si="106"/>
        <v>0</v>
      </c>
      <c r="AB172" s="304"/>
      <c r="AC172" s="304">
        <f>SUM(AC171,AC160)</f>
        <v>1435936.0299999998</v>
      </c>
      <c r="AD172" s="304">
        <f>SUM(AD171,AD160)</f>
        <v>3759947</v>
      </c>
      <c r="AE172" s="304">
        <f>SUM(AE171,AE160)</f>
        <v>2324010.9700000002</v>
      </c>
      <c r="AF172" s="304">
        <f>PCFP!T37</f>
        <v>0</v>
      </c>
      <c r="AG172" s="553"/>
      <c r="AH172" s="553"/>
      <c r="AI172" s="553"/>
      <c r="AJ172" s="553"/>
    </row>
    <row r="173" spans="2:36" hidden="1" outlineLevel="1" x14ac:dyDescent="0.2">
      <c r="B173" s="762" t="s">
        <v>197</v>
      </c>
      <c r="C173" s="305"/>
      <c r="D173" s="132"/>
      <c r="E173" s="132"/>
      <c r="F173" s="132"/>
      <c r="G173" s="132"/>
      <c r="H173" s="306"/>
      <c r="I173" s="133"/>
      <c r="J173" s="343"/>
      <c r="K173" s="133"/>
      <c r="L173" s="133"/>
      <c r="M173" s="133"/>
      <c r="N173" s="13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</row>
    <row r="174" spans="2:36" hidden="1" outlineLevel="1" x14ac:dyDescent="0.2">
      <c r="B174" s="763" t="s">
        <v>517</v>
      </c>
      <c r="C174" s="102">
        <f>'2022 Budget &amp; CF'!C174</f>
        <v>100</v>
      </c>
      <c r="D174" s="102" t="str">
        <f>'2022 Budget &amp; CF'!D174</f>
        <v>000</v>
      </c>
      <c r="E174" s="102"/>
      <c r="F174" s="102">
        <f>'2022 Budget &amp; CF'!F174</f>
        <v>100</v>
      </c>
      <c r="G174" s="102">
        <f>'2022 Budget &amp; CF'!G174</f>
        <v>1000</v>
      </c>
      <c r="H174" s="104" t="s">
        <v>203</v>
      </c>
      <c r="I174" s="101"/>
      <c r="J174" s="344" t="str">
        <f t="shared" ref="J174:J175" si="107">CONCATENATE(C174,D174,F174,G174,H174,I174)</f>
        <v>10000010010000340</v>
      </c>
      <c r="K174" s="109">
        <v>2022</v>
      </c>
      <c r="L174" s="109" t="s">
        <v>348</v>
      </c>
      <c r="M174" s="109" t="s">
        <v>349</v>
      </c>
      <c r="N174" s="109" t="s">
        <v>350</v>
      </c>
      <c r="O174" s="12">
        <f>'2022 Budget &amp; CF'!J174</f>
        <v>0</v>
      </c>
      <c r="P174" s="12">
        <f>'2022 Budget &amp; CF'!K174</f>
        <v>4987.5</v>
      </c>
      <c r="Q174" s="12">
        <f>'2022 Budget &amp; CF'!L174</f>
        <v>0</v>
      </c>
      <c r="R174" s="12">
        <f>'2022 Budget &amp; CF'!M174</f>
        <v>0</v>
      </c>
      <c r="S174" s="12">
        <f>'2022 Budget &amp; CF'!N174</f>
        <v>0</v>
      </c>
      <c r="T174" s="12">
        <f>'2022 Budget &amp; CF'!O174</f>
        <v>0</v>
      </c>
      <c r="U174" s="12">
        <f>'2022 Budget &amp; CF'!P174</f>
        <v>0</v>
      </c>
      <c r="V174" s="12">
        <f>'2022 Budget &amp; CF'!Q174</f>
        <v>0</v>
      </c>
      <c r="W174" s="12">
        <f>'2022 Budget &amp; CF'!R174</f>
        <v>0</v>
      </c>
      <c r="X174" s="12">
        <f>'2022 Budget &amp; CF'!S174</f>
        <v>0</v>
      </c>
      <c r="Y174" s="12">
        <f>'2022 Budget &amp; CF'!T174</f>
        <v>0</v>
      </c>
      <c r="Z174" s="12">
        <f>'2022 Budget &amp; CF'!U174</f>
        <v>0</v>
      </c>
      <c r="AA174" s="12">
        <f>'2022 Budget &amp; CF'!V174</f>
        <v>0</v>
      </c>
      <c r="AB174" s="12"/>
      <c r="AC174" s="121">
        <f t="shared" ref="AC174:AC175" si="108">SUM(O174:AA174)</f>
        <v>4987.5</v>
      </c>
      <c r="AD174" s="115">
        <f>'2022 Budget &amp; CF'!Z174</f>
        <v>45000</v>
      </c>
      <c r="AE174" s="117">
        <f t="shared" ref="AE174:AE175" si="109">AD174-AC174</f>
        <v>40012.5</v>
      </c>
      <c r="AF174" s="117">
        <f t="shared" ref="AF174:AF175" si="110">AE174/$AF$6</f>
        <v>3334.375</v>
      </c>
    </row>
    <row r="175" spans="2:36" hidden="1" outlineLevel="1" x14ac:dyDescent="0.2">
      <c r="B175" s="763" t="s">
        <v>224</v>
      </c>
      <c r="C175" s="102">
        <f>'2022 Budget &amp; CF'!C175</f>
        <v>100</v>
      </c>
      <c r="D175" s="102" t="str">
        <f>'2022 Budget &amp; CF'!D175</f>
        <v>000</v>
      </c>
      <c r="E175" s="102"/>
      <c r="F175" s="102">
        <f>'2022 Budget &amp; CF'!F175</f>
        <v>100</v>
      </c>
      <c r="G175" s="102">
        <f>'2022 Budget &amp; CF'!G175</f>
        <v>1000</v>
      </c>
      <c r="H175" s="104" t="s">
        <v>225</v>
      </c>
      <c r="I175" s="101"/>
      <c r="J175" s="344" t="str">
        <f t="shared" si="107"/>
        <v>10000010010000535</v>
      </c>
      <c r="K175" s="109">
        <v>2022</v>
      </c>
      <c r="L175" s="109" t="s">
        <v>348</v>
      </c>
      <c r="M175" s="109" t="s">
        <v>349</v>
      </c>
      <c r="N175" s="109" t="s">
        <v>350</v>
      </c>
      <c r="O175" s="12">
        <f>'2022 Budget &amp; CF'!J175</f>
        <v>94.35</v>
      </c>
      <c r="P175" s="12">
        <f>'2022 Budget &amp; CF'!K175</f>
        <v>939.88</v>
      </c>
      <c r="Q175" s="12">
        <f>'2022 Budget &amp; CF'!L175</f>
        <v>321.79000000000002</v>
      </c>
      <c r="R175" s="12">
        <f>'2022 Budget &amp; CF'!M175</f>
        <v>580.58999999999992</v>
      </c>
      <c r="S175" s="12">
        <f>'2022 Budget &amp; CF'!N175</f>
        <v>369.19</v>
      </c>
      <c r="T175" s="12">
        <f>'2022 Budget &amp; CF'!O175</f>
        <v>0</v>
      </c>
      <c r="U175" s="12">
        <f>'2022 Budget &amp; CF'!P175</f>
        <v>0</v>
      </c>
      <c r="V175" s="12">
        <f>'2022 Budget &amp; CF'!Q175</f>
        <v>0</v>
      </c>
      <c r="W175" s="12">
        <f>'2022 Budget &amp; CF'!R175</f>
        <v>0</v>
      </c>
      <c r="X175" s="12">
        <f>'2022 Budget &amp; CF'!S175</f>
        <v>0</v>
      </c>
      <c r="Y175" s="12">
        <f>'2022 Budget &amp; CF'!T175</f>
        <v>0</v>
      </c>
      <c r="Z175" s="12">
        <f>'2022 Budget &amp; CF'!U175</f>
        <v>0</v>
      </c>
      <c r="AA175" s="12">
        <f>'2022 Budget &amp; CF'!V175</f>
        <v>0</v>
      </c>
      <c r="AB175" s="12"/>
      <c r="AC175" s="121">
        <f t="shared" si="108"/>
        <v>2305.7999999999997</v>
      </c>
      <c r="AD175" s="115">
        <f>'2022 Budget &amp; CF'!Z175</f>
        <v>22820</v>
      </c>
      <c r="AE175" s="117">
        <f t="shared" si="109"/>
        <v>20514.2</v>
      </c>
      <c r="AF175" s="117">
        <f t="shared" si="110"/>
        <v>1709.5166666666667</v>
      </c>
    </row>
    <row r="176" spans="2:36" hidden="1" outlineLevel="1" x14ac:dyDescent="0.2">
      <c r="B176" s="762" t="s">
        <v>204</v>
      </c>
      <c r="C176" s="305"/>
      <c r="D176" s="132"/>
      <c r="E176" s="132"/>
      <c r="F176" s="132"/>
      <c r="G176" s="132"/>
      <c r="H176" s="306"/>
      <c r="I176" s="133"/>
      <c r="J176" s="343"/>
      <c r="K176" s="133"/>
      <c r="L176" s="133"/>
      <c r="M176" s="133"/>
      <c r="N176" s="13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>
        <f>'2022 Budget &amp; CF'!Z176</f>
        <v>0</v>
      </c>
      <c r="AE176" s="114"/>
      <c r="AF176" s="114"/>
    </row>
    <row r="177" spans="2:32" hidden="1" outlineLevel="1" x14ac:dyDescent="0.2">
      <c r="B177" s="763" t="s">
        <v>474</v>
      </c>
      <c r="C177" s="102">
        <v>100</v>
      </c>
      <c r="D177" s="102" t="s">
        <v>145</v>
      </c>
      <c r="E177" s="102"/>
      <c r="F177" s="102">
        <v>100</v>
      </c>
      <c r="G177" s="102">
        <v>2213</v>
      </c>
      <c r="H177" s="104" t="s">
        <v>199</v>
      </c>
      <c r="I177" s="101"/>
      <c r="J177" s="344" t="str">
        <f t="shared" ref="J177:J179" si="111">CONCATENATE(C177,D177,F177,G177,H177,I177)</f>
        <v>10000010022130330</v>
      </c>
      <c r="K177" s="109">
        <v>2022</v>
      </c>
      <c r="L177" s="109" t="s">
        <v>348</v>
      </c>
      <c r="M177" s="109" t="s">
        <v>349</v>
      </c>
      <c r="N177" s="109" t="s">
        <v>350</v>
      </c>
      <c r="O177" s="12">
        <f>'2022 Budget &amp; CF'!J177</f>
        <v>0</v>
      </c>
      <c r="P177" s="12">
        <f>'2022 Budget &amp; CF'!K177</f>
        <v>0</v>
      </c>
      <c r="Q177" s="12">
        <f>'2022 Budget &amp; CF'!L177</f>
        <v>1000</v>
      </c>
      <c r="R177" s="12">
        <f>'2022 Budget &amp; CF'!M177</f>
        <v>990</v>
      </c>
      <c r="S177" s="12">
        <f>'2022 Budget &amp; CF'!N177</f>
        <v>0</v>
      </c>
      <c r="T177" s="12">
        <f>'2022 Budget &amp; CF'!O177</f>
        <v>0</v>
      </c>
      <c r="U177" s="12">
        <f>'2022 Budget &amp; CF'!P177</f>
        <v>0</v>
      </c>
      <c r="V177" s="12">
        <f>'2022 Budget &amp; CF'!Q177</f>
        <v>0</v>
      </c>
      <c r="W177" s="12">
        <f>'2022 Budget &amp; CF'!R177</f>
        <v>0</v>
      </c>
      <c r="X177" s="12">
        <f>'2022 Budget &amp; CF'!S177</f>
        <v>0</v>
      </c>
      <c r="Y177" s="12">
        <f>'2022 Budget &amp; CF'!T177</f>
        <v>0</v>
      </c>
      <c r="Z177" s="12">
        <f>'2022 Budget &amp; CF'!U177</f>
        <v>0</v>
      </c>
      <c r="AA177" s="12">
        <f>'2022 Budget &amp; CF'!V177</f>
        <v>0</v>
      </c>
      <c r="AB177" s="12"/>
      <c r="AC177" s="121">
        <f t="shared" ref="AC177:AC179" si="112">SUM(O177:AA177)</f>
        <v>1990</v>
      </c>
      <c r="AD177" s="115">
        <f>'2022 Budget &amp; CF'!Z177</f>
        <v>2618</v>
      </c>
      <c r="AE177" s="117">
        <f t="shared" ref="AE177:AE179" si="113">AD177-AC177</f>
        <v>628</v>
      </c>
      <c r="AF177" s="117">
        <f t="shared" ref="AF177:AF179" si="114">AE177/$AF$6</f>
        <v>52.333333333333336</v>
      </c>
    </row>
    <row r="178" spans="2:32" hidden="1" outlineLevel="1" x14ac:dyDescent="0.2">
      <c r="B178" s="763" t="s">
        <v>205</v>
      </c>
      <c r="C178" s="102">
        <f>'2022 Budget &amp; CF'!C177</f>
        <v>100</v>
      </c>
      <c r="D178" s="102" t="str">
        <f>'2022 Budget &amp; CF'!D177</f>
        <v>000</v>
      </c>
      <c r="E178" s="102"/>
      <c r="F178" s="102">
        <f>'2022 Budget &amp; CF'!F177</f>
        <v>100</v>
      </c>
      <c r="G178" s="102" t="s">
        <v>534</v>
      </c>
      <c r="H178" s="102" t="str">
        <f>'2022 Budget &amp; CF'!H177</f>
        <v>0330</v>
      </c>
      <c r="I178" s="101"/>
      <c r="J178" s="344" t="str">
        <f t="shared" ref="J178" si="115">CONCATENATE(C178,D178,F178,G178,H178,I178)</f>
        <v>10000010022100330</v>
      </c>
      <c r="K178" s="109">
        <v>2022</v>
      </c>
      <c r="L178" s="109" t="s">
        <v>348</v>
      </c>
      <c r="M178" s="109" t="s">
        <v>349</v>
      </c>
      <c r="N178" s="109" t="s">
        <v>350</v>
      </c>
      <c r="O178" s="12">
        <f>'2022 Budget &amp; CF'!J177</f>
        <v>0</v>
      </c>
      <c r="P178" s="12">
        <f>'2022 Budget &amp; CF'!K177</f>
        <v>0</v>
      </c>
      <c r="Q178" s="12">
        <f>'2022 Budget &amp; CF'!L177</f>
        <v>1000</v>
      </c>
      <c r="R178" s="12">
        <f>'2022 Budget &amp; CF'!M177</f>
        <v>990</v>
      </c>
      <c r="S178" s="12">
        <f>'2022 Budget &amp; CF'!N177</f>
        <v>0</v>
      </c>
      <c r="T178" s="12">
        <f>'2022 Budget &amp; CF'!O177</f>
        <v>0</v>
      </c>
      <c r="U178" s="12">
        <f>'2022 Budget &amp; CF'!P177</f>
        <v>0</v>
      </c>
      <c r="V178" s="12">
        <f>'2022 Budget &amp; CF'!Q177</f>
        <v>0</v>
      </c>
      <c r="W178" s="12">
        <f>'2022 Budget &amp; CF'!R177</f>
        <v>0</v>
      </c>
      <c r="X178" s="12">
        <f>'2022 Budget &amp; CF'!S177</f>
        <v>0</v>
      </c>
      <c r="Y178" s="12">
        <f>'2022 Budget &amp; CF'!T177</f>
        <v>0</v>
      </c>
      <c r="Z178" s="12">
        <f>'2022 Budget &amp; CF'!U177</f>
        <v>0</v>
      </c>
      <c r="AA178" s="12">
        <f>'2022 Budget &amp; CF'!V177</f>
        <v>0</v>
      </c>
      <c r="AB178" s="12"/>
      <c r="AC178" s="121">
        <f t="shared" ref="AC178" si="116">SUM(O178:AA178)</f>
        <v>1990</v>
      </c>
      <c r="AD178" s="115">
        <f>'2022 Budget &amp; CF'!Z177</f>
        <v>2618</v>
      </c>
      <c r="AE178" s="117">
        <f t="shared" ref="AE178" si="117">AD178-AC178</f>
        <v>628</v>
      </c>
      <c r="AF178" s="117">
        <f t="shared" ref="AF178" si="118">AE178/$AF$6</f>
        <v>52.333333333333336</v>
      </c>
    </row>
    <row r="179" spans="2:32" hidden="1" outlineLevel="1" x14ac:dyDescent="0.2">
      <c r="B179" s="763" t="s">
        <v>205</v>
      </c>
      <c r="C179" s="102">
        <f>'2022 Budget &amp; CF'!C179</f>
        <v>100</v>
      </c>
      <c r="D179" s="102" t="str">
        <f>'2022 Budget &amp; CF'!D179</f>
        <v>000</v>
      </c>
      <c r="E179" s="102"/>
      <c r="F179" s="102">
        <f>'2022 Budget &amp; CF'!F179</f>
        <v>100</v>
      </c>
      <c r="G179" s="102">
        <v>2213</v>
      </c>
      <c r="H179" s="102" t="str">
        <f>'2022 Budget &amp; CF'!H179</f>
        <v>0580</v>
      </c>
      <c r="I179" s="101"/>
      <c r="J179" s="344" t="str">
        <f t="shared" si="111"/>
        <v>10000010022130580</v>
      </c>
      <c r="K179" s="109">
        <v>2022</v>
      </c>
      <c r="L179" s="109" t="s">
        <v>348</v>
      </c>
      <c r="M179" s="109" t="s">
        <v>349</v>
      </c>
      <c r="N179" s="109" t="s">
        <v>350</v>
      </c>
      <c r="O179" s="12">
        <f>'2022 Budget &amp; CF'!J179</f>
        <v>0</v>
      </c>
      <c r="P179" s="12">
        <f>'2022 Budget &amp; CF'!K179</f>
        <v>0</v>
      </c>
      <c r="Q179" s="12">
        <f>'2022 Budget &amp; CF'!L179</f>
        <v>0</v>
      </c>
      <c r="R179" s="12">
        <f>'2022 Budget &amp; CF'!M179</f>
        <v>0</v>
      </c>
      <c r="S179" s="12">
        <f>'2022 Budget &amp; CF'!N179</f>
        <v>0</v>
      </c>
      <c r="T179" s="12">
        <f>'2022 Budget &amp; CF'!O179</f>
        <v>0</v>
      </c>
      <c r="U179" s="12">
        <f>'2022 Budget &amp; CF'!P179</f>
        <v>0</v>
      </c>
      <c r="V179" s="12">
        <f>'2022 Budget &amp; CF'!Q179</f>
        <v>0</v>
      </c>
      <c r="W179" s="12">
        <f>'2022 Budget &amp; CF'!R179</f>
        <v>0</v>
      </c>
      <c r="X179" s="12">
        <f>'2022 Budget &amp; CF'!S179</f>
        <v>0</v>
      </c>
      <c r="Y179" s="12">
        <f>'2022 Budget &amp; CF'!T179</f>
        <v>0</v>
      </c>
      <c r="Z179" s="12">
        <f>'2022 Budget &amp; CF'!U179</f>
        <v>0</v>
      </c>
      <c r="AA179" s="12">
        <f>'2022 Budget &amp; CF'!V179</f>
        <v>0</v>
      </c>
      <c r="AB179" s="12"/>
      <c r="AC179" s="121">
        <f t="shared" si="112"/>
        <v>0</v>
      </c>
      <c r="AD179" s="115">
        <f>'2022 Budget &amp; CF'!Z179</f>
        <v>0</v>
      </c>
      <c r="AE179" s="117">
        <f t="shared" si="113"/>
        <v>0</v>
      </c>
      <c r="AF179" s="117">
        <f t="shared" si="114"/>
        <v>0</v>
      </c>
    </row>
    <row r="180" spans="2:32" hidden="1" outlineLevel="1" x14ac:dyDescent="0.2">
      <c r="B180" s="762" t="s">
        <v>206</v>
      </c>
      <c r="C180" s="305"/>
      <c r="D180" s="132"/>
      <c r="E180" s="132"/>
      <c r="F180" s="132"/>
      <c r="G180" s="132"/>
      <c r="H180" s="306"/>
      <c r="I180" s="133"/>
      <c r="J180" s="343"/>
      <c r="K180" s="133"/>
      <c r="L180" s="133"/>
      <c r="M180" s="133"/>
      <c r="N180" s="13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>
        <f>'2022 Budget &amp; CF'!Z180</f>
        <v>0</v>
      </c>
      <c r="AE180" s="114"/>
      <c r="AF180" s="114"/>
    </row>
    <row r="181" spans="2:32" hidden="1" outlineLevel="1" x14ac:dyDescent="0.2">
      <c r="B181" s="763" t="s">
        <v>519</v>
      </c>
      <c r="C181" s="102">
        <f>'2022 Budget &amp; CF'!C181</f>
        <v>100</v>
      </c>
      <c r="D181" s="102" t="str">
        <f>'2022 Budget &amp; CF'!D181</f>
        <v>000</v>
      </c>
      <c r="E181" s="102"/>
      <c r="F181" s="102">
        <f>'2022 Budget &amp; CF'!F181</f>
        <v>100</v>
      </c>
      <c r="G181" s="102" t="s">
        <v>518</v>
      </c>
      <c r="H181" s="104" t="s">
        <v>203</v>
      </c>
      <c r="I181" s="101"/>
      <c r="J181" s="344" t="str">
        <f>CONCATENATE(C181,D181,F181,G181,H181,I181)</f>
        <v>10000010023180340</v>
      </c>
      <c r="K181" s="109">
        <v>2022</v>
      </c>
      <c r="L181" s="109" t="s">
        <v>348</v>
      </c>
      <c r="M181" s="109" t="s">
        <v>349</v>
      </c>
      <c r="N181" s="109" t="s">
        <v>350</v>
      </c>
      <c r="O181" s="12">
        <f>'2022 Budget &amp; CF'!J181</f>
        <v>0</v>
      </c>
      <c r="P181" s="12">
        <f>'2022 Budget &amp; CF'!K181</f>
        <v>0</v>
      </c>
      <c r="Q181" s="12">
        <f>'2022 Budget &amp; CF'!L181</f>
        <v>0</v>
      </c>
      <c r="R181" s="12">
        <f>'2022 Budget &amp; CF'!M181</f>
        <v>2000</v>
      </c>
      <c r="S181" s="12">
        <f>'2022 Budget &amp; CF'!N181</f>
        <v>0</v>
      </c>
      <c r="T181" s="12">
        <f>'2022 Budget &amp; CF'!O181</f>
        <v>0</v>
      </c>
      <c r="U181" s="12">
        <f>'2022 Budget &amp; CF'!P181</f>
        <v>0</v>
      </c>
      <c r="V181" s="12">
        <f>'2022 Budget &amp; CF'!Q181</f>
        <v>0</v>
      </c>
      <c r="W181" s="12">
        <f>'2022 Budget &amp; CF'!R181</f>
        <v>0</v>
      </c>
      <c r="X181" s="12">
        <f>'2022 Budget &amp; CF'!S181</f>
        <v>0</v>
      </c>
      <c r="Y181" s="12">
        <f>'2022 Budget &amp; CF'!T181</f>
        <v>0</v>
      </c>
      <c r="Z181" s="12">
        <f>'2022 Budget &amp; CF'!U181</f>
        <v>0</v>
      </c>
      <c r="AA181" s="12">
        <f>'2022 Budget &amp; CF'!V181</f>
        <v>0</v>
      </c>
      <c r="AB181" s="12"/>
      <c r="AC181" s="121">
        <f>SUM(O181:AA181)</f>
        <v>2000</v>
      </c>
      <c r="AD181" s="115">
        <f>'2022 Budget &amp; CF'!Z181</f>
        <v>6288</v>
      </c>
      <c r="AE181" s="117">
        <f>AD181-AC181</f>
        <v>4288</v>
      </c>
      <c r="AF181" s="117">
        <f>AE181/$AF$6</f>
        <v>357.33333333333331</v>
      </c>
    </row>
    <row r="182" spans="2:32" hidden="1" outlineLevel="1" x14ac:dyDescent="0.2">
      <c r="B182" s="763" t="s">
        <v>994</v>
      </c>
      <c r="C182" s="102">
        <f>'2022 Budget &amp; CF'!C182</f>
        <v>100</v>
      </c>
      <c r="D182" s="102" t="str">
        <f>'2022 Budget &amp; CF'!D182</f>
        <v>000</v>
      </c>
      <c r="E182" s="102"/>
      <c r="F182" s="102">
        <f>'2022 Budget &amp; CF'!F182</f>
        <v>100</v>
      </c>
      <c r="G182" s="102" t="s">
        <v>518</v>
      </c>
      <c r="H182" s="104" t="s">
        <v>226</v>
      </c>
      <c r="I182" s="101"/>
      <c r="J182" s="344" t="str">
        <f t="shared" ref="J182" si="119">CONCATENATE(C182,D182,F182,G182,H182,I182)</f>
        <v>10000010023180540</v>
      </c>
      <c r="K182" s="109">
        <v>2022</v>
      </c>
      <c r="L182" s="109" t="s">
        <v>348</v>
      </c>
      <c r="M182" s="109" t="s">
        <v>349</v>
      </c>
      <c r="N182" s="109" t="s">
        <v>350</v>
      </c>
      <c r="O182" s="12">
        <f>'2022 Budget &amp; CF'!J182</f>
        <v>0</v>
      </c>
      <c r="P182" s="12">
        <f>'2022 Budget &amp; CF'!K182</f>
        <v>0</v>
      </c>
      <c r="Q182" s="12">
        <f>'2022 Budget &amp; CF'!L182</f>
        <v>139.91999999999999</v>
      </c>
      <c r="R182" s="12">
        <f>'2022 Budget &amp; CF'!M182</f>
        <v>0</v>
      </c>
      <c r="S182" s="12">
        <f>'2022 Budget &amp; CF'!N182</f>
        <v>0</v>
      </c>
      <c r="T182" s="12">
        <f>'2022 Budget &amp; CF'!O182</f>
        <v>0</v>
      </c>
      <c r="U182" s="12">
        <f>'2022 Budget &amp; CF'!P182</f>
        <v>0</v>
      </c>
      <c r="V182" s="12">
        <f>'2022 Budget &amp; CF'!Q182</f>
        <v>0</v>
      </c>
      <c r="W182" s="12">
        <f>'2022 Budget &amp; CF'!R182</f>
        <v>0</v>
      </c>
      <c r="X182" s="12">
        <f>'2022 Budget &amp; CF'!S182</f>
        <v>0</v>
      </c>
      <c r="Y182" s="12">
        <f>'2022 Budget &amp; CF'!T182</f>
        <v>0</v>
      </c>
      <c r="Z182" s="12">
        <f>'2022 Budget &amp; CF'!U182</f>
        <v>0</v>
      </c>
      <c r="AA182" s="12">
        <f>'2022 Budget &amp; CF'!V182</f>
        <v>0</v>
      </c>
      <c r="AB182" s="12"/>
      <c r="AC182" s="121">
        <f>SUM(O182:AA182)</f>
        <v>139.91999999999999</v>
      </c>
      <c r="AD182" s="115">
        <f>'2022 Budget &amp; CF'!Z182</f>
        <v>0</v>
      </c>
      <c r="AE182" s="117">
        <f>AD182-AC182</f>
        <v>-139.91999999999999</v>
      </c>
      <c r="AF182" s="117">
        <f>AE182/$AF$6</f>
        <v>-11.659999999999998</v>
      </c>
    </row>
    <row r="183" spans="2:32" hidden="1" outlineLevel="1" x14ac:dyDescent="0.2">
      <c r="B183" s="763" t="s">
        <v>208</v>
      </c>
      <c r="C183" s="102">
        <f>'2022 Budget &amp; CF'!C183</f>
        <v>100</v>
      </c>
      <c r="D183" s="102" t="str">
        <f>'2022 Budget &amp; CF'!D183</f>
        <v>000</v>
      </c>
      <c r="E183" s="102"/>
      <c r="F183" s="102">
        <f>'2022 Budget &amp; CF'!F183</f>
        <v>100</v>
      </c>
      <c r="G183" s="102" t="s">
        <v>464</v>
      </c>
      <c r="H183" s="102" t="str">
        <f>'2022 Budget &amp; CF'!H183</f>
        <v>0580</v>
      </c>
      <c r="I183" s="101"/>
      <c r="J183" s="344" t="str">
        <f>CONCATENATE(C183,D183,F183,G183,H183,I183)</f>
        <v>10000010023200580</v>
      </c>
      <c r="K183" s="109">
        <v>2022</v>
      </c>
      <c r="L183" s="109" t="s">
        <v>348</v>
      </c>
      <c r="M183" s="109" t="s">
        <v>349</v>
      </c>
      <c r="N183" s="109" t="s">
        <v>350</v>
      </c>
      <c r="O183" s="12">
        <f>'2022 Budget &amp; CF'!J183</f>
        <v>0</v>
      </c>
      <c r="P183" s="12">
        <f>'2022 Budget &amp; CF'!K183</f>
        <v>0</v>
      </c>
      <c r="Q183" s="12">
        <f>'2022 Budget &amp; CF'!L183</f>
        <v>0</v>
      </c>
      <c r="R183" s="12">
        <f>'2022 Budget &amp; CF'!M183</f>
        <v>0</v>
      </c>
      <c r="S183" s="12">
        <f>'2022 Budget &amp; CF'!N183</f>
        <v>0</v>
      </c>
      <c r="T183" s="12">
        <f>'2022 Budget &amp; CF'!O183</f>
        <v>0</v>
      </c>
      <c r="U183" s="12">
        <f>'2022 Budget &amp; CF'!P183</f>
        <v>0</v>
      </c>
      <c r="V183" s="12">
        <f>'2022 Budget &amp; CF'!Q183</f>
        <v>0</v>
      </c>
      <c r="W183" s="12">
        <f>'2022 Budget &amp; CF'!R183</f>
        <v>0</v>
      </c>
      <c r="X183" s="12">
        <f>'2022 Budget &amp; CF'!S183</f>
        <v>0</v>
      </c>
      <c r="Y183" s="12">
        <f>'2022 Budget &amp; CF'!T183</f>
        <v>0</v>
      </c>
      <c r="Z183" s="12">
        <f>'2022 Budget &amp; CF'!U183</f>
        <v>0</v>
      </c>
      <c r="AA183" s="12">
        <f>'2022 Budget &amp; CF'!V183</f>
        <v>0</v>
      </c>
      <c r="AB183" s="12"/>
      <c r="AC183" s="121">
        <f>SUM(O183:AA183)</f>
        <v>0</v>
      </c>
      <c r="AD183" s="115">
        <f>'2022 Budget &amp; CF'!Z183</f>
        <v>0</v>
      </c>
      <c r="AE183" s="117">
        <f>AD183-AC183</f>
        <v>0</v>
      </c>
      <c r="AF183" s="117">
        <f>AE183/$AF$6</f>
        <v>0</v>
      </c>
    </row>
    <row r="184" spans="2:32" hidden="1" outlineLevel="1" x14ac:dyDescent="0.2">
      <c r="B184" s="763" t="s">
        <v>209</v>
      </c>
      <c r="C184" s="102">
        <f>'2022 Budget &amp; CF'!C184</f>
        <v>100</v>
      </c>
      <c r="D184" s="102" t="str">
        <f>'2022 Budget &amp; CF'!D184</f>
        <v>201</v>
      </c>
      <c r="E184" s="102"/>
      <c r="F184" s="102">
        <f>'2022 Budget &amp; CF'!F184</f>
        <v>100</v>
      </c>
      <c r="G184" s="102" t="s">
        <v>475</v>
      </c>
      <c r="H184" s="102" t="str">
        <f>'2022 Budget &amp; CF'!H184</f>
        <v>0591</v>
      </c>
      <c r="I184" s="101"/>
      <c r="J184" s="344" t="str">
        <f t="shared" ref="J184" si="120">CONCATENATE(C184,D184,F184,G184,H184,I184)</f>
        <v>10020110023190591</v>
      </c>
      <c r="K184" s="109">
        <v>2022</v>
      </c>
      <c r="L184" s="109" t="s">
        <v>348</v>
      </c>
      <c r="M184" s="109" t="s">
        <v>349</v>
      </c>
      <c r="N184" s="109" t="s">
        <v>350</v>
      </c>
      <c r="O184" s="12">
        <f>'2022 Budget &amp; CF'!J184</f>
        <v>0</v>
      </c>
      <c r="P184" s="12">
        <f>'2022 Budget &amp; CF'!K184</f>
        <v>0</v>
      </c>
      <c r="Q184" s="12">
        <f>'2022 Budget &amp; CF'!L184</f>
        <v>5353.22</v>
      </c>
      <c r="R184" s="12">
        <f>'2022 Budget &amp; CF'!M184</f>
        <v>2676.61</v>
      </c>
      <c r="S184" s="12">
        <f>'2022 Budget &amp; CF'!N184</f>
        <v>2750.86</v>
      </c>
      <c r="T184" s="12">
        <f>'2022 Budget &amp; CF'!O184</f>
        <v>0</v>
      </c>
      <c r="U184" s="12">
        <f>'2022 Budget &amp; CF'!P184</f>
        <v>0</v>
      </c>
      <c r="V184" s="12">
        <f>'2022 Budget &amp; CF'!Q184</f>
        <v>0</v>
      </c>
      <c r="W184" s="12">
        <f>'2022 Budget &amp; CF'!R184</f>
        <v>0</v>
      </c>
      <c r="X184" s="12">
        <f>'2022 Budget &amp; CF'!S184</f>
        <v>0</v>
      </c>
      <c r="Y184" s="12">
        <f>'2022 Budget &amp; CF'!T184</f>
        <v>0</v>
      </c>
      <c r="Z184" s="12">
        <f>'2022 Budget &amp; CF'!U184</f>
        <v>0</v>
      </c>
      <c r="AA184" s="12">
        <f>'2022 Budget &amp; CF'!V184</f>
        <v>0</v>
      </c>
      <c r="AB184" s="12"/>
      <c r="AC184" s="121">
        <f t="shared" ref="AC184" si="121">SUM(O184:AA184)</f>
        <v>10780.69</v>
      </c>
      <c r="AD184" s="115">
        <f>'2022 Budget &amp; CF'!Z184</f>
        <v>38090</v>
      </c>
      <c r="AE184" s="117">
        <f t="shared" ref="AE184" si="122">AD184-AC184</f>
        <v>27309.309999999998</v>
      </c>
      <c r="AF184" s="117">
        <f t="shared" ref="AF184" si="123">AE184/$AF$6</f>
        <v>2275.7758333333331</v>
      </c>
    </row>
    <row r="185" spans="2:32" hidden="1" outlineLevel="1" x14ac:dyDescent="0.2">
      <c r="B185" s="762" t="s">
        <v>211</v>
      </c>
      <c r="C185" s="305"/>
      <c r="D185" s="132"/>
      <c r="E185" s="132"/>
      <c r="F185" s="132"/>
      <c r="G185" s="132"/>
      <c r="H185" s="306"/>
      <c r="I185" s="133"/>
      <c r="J185" s="343"/>
      <c r="K185" s="133"/>
      <c r="L185" s="133"/>
      <c r="M185" s="133"/>
      <c r="N185" s="13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>
        <f>'2022 Budget &amp; CF'!Z185</f>
        <v>0</v>
      </c>
      <c r="AE185" s="114"/>
      <c r="AF185" s="114"/>
    </row>
    <row r="186" spans="2:32" hidden="1" outlineLevel="1" x14ac:dyDescent="0.2">
      <c r="B186" s="779" t="s">
        <v>212</v>
      </c>
      <c r="C186" s="773">
        <f>'2022 Budget &amp; CF'!C186</f>
        <v>100</v>
      </c>
      <c r="D186" s="773" t="str">
        <f>'2022 Budget &amp; CF'!D186</f>
        <v>000</v>
      </c>
      <c r="E186" s="773"/>
      <c r="F186" s="773">
        <f>'2022 Budget &amp; CF'!F186</f>
        <v>100</v>
      </c>
      <c r="G186" s="773" t="s">
        <v>460</v>
      </c>
      <c r="H186" s="773" t="str">
        <f>'2022 Budget &amp; CF'!H186</f>
        <v>0330</v>
      </c>
      <c r="I186" s="745"/>
      <c r="J186" s="780" t="str">
        <f t="shared" ref="J186:J187" si="124">CONCATENATE(C186,D186,F186,G186,H186,I186)</f>
        <v>10000010024100330</v>
      </c>
      <c r="K186" s="748">
        <v>2022</v>
      </c>
      <c r="L186" s="748" t="s">
        <v>348</v>
      </c>
      <c r="M186" s="748" t="s">
        <v>349</v>
      </c>
      <c r="N186" s="748" t="s">
        <v>350</v>
      </c>
      <c r="O186" s="12">
        <f>'2022 Budget &amp; CF'!J186</f>
        <v>0</v>
      </c>
      <c r="P186" s="12">
        <f>'2022 Budget &amp; CF'!K186</f>
        <v>0</v>
      </c>
      <c r="Q186" s="12">
        <f>'2022 Budget &amp; CF'!L186</f>
        <v>0</v>
      </c>
      <c r="R186" s="12">
        <f>'2022 Budget &amp; CF'!M186</f>
        <v>0</v>
      </c>
      <c r="S186" s="12">
        <f>'2022 Budget &amp; CF'!N186</f>
        <v>0</v>
      </c>
      <c r="T186" s="12">
        <f>'2022 Budget &amp; CF'!O186</f>
        <v>0</v>
      </c>
      <c r="U186" s="12">
        <f>'2022 Budget &amp; CF'!P186</f>
        <v>0</v>
      </c>
      <c r="V186" s="12">
        <f>'2022 Budget &amp; CF'!Q186</f>
        <v>0</v>
      </c>
      <c r="W186" s="12">
        <f>'2022 Budget &amp; CF'!R186</f>
        <v>0</v>
      </c>
      <c r="X186" s="12">
        <f>'2022 Budget &amp; CF'!S186</f>
        <v>0</v>
      </c>
      <c r="Y186" s="12">
        <f>'2022 Budget &amp; CF'!T186</f>
        <v>0</v>
      </c>
      <c r="Z186" s="12">
        <f>'2022 Budget &amp; CF'!U186</f>
        <v>0</v>
      </c>
      <c r="AA186" s="12">
        <f>'2022 Budget &amp; CF'!V186</f>
        <v>0</v>
      </c>
      <c r="AB186" s="12"/>
      <c r="AC186" s="121">
        <f t="shared" ref="AC186:AC187" si="125">SUM(O186:AA186)</f>
        <v>0</v>
      </c>
      <c r="AD186" s="115">
        <f>'2022 Budget &amp; CF'!Z186</f>
        <v>0</v>
      </c>
      <c r="AE186" s="117">
        <f t="shared" ref="AE186:AE187" si="126">AD186-AC186</f>
        <v>0</v>
      </c>
      <c r="AF186" s="117">
        <f t="shared" ref="AF186:AF187" si="127">AE186/$AF$6</f>
        <v>0</v>
      </c>
    </row>
    <row r="187" spans="2:32" hidden="1" outlineLevel="1" x14ac:dyDescent="0.2">
      <c r="B187" s="763" t="s">
        <v>212</v>
      </c>
      <c r="C187" s="102">
        <f>'2022 Budget &amp; CF'!C187</f>
        <v>100</v>
      </c>
      <c r="D187" s="102" t="str">
        <f>'2022 Budget &amp; CF'!D187</f>
        <v>000</v>
      </c>
      <c r="E187" s="102"/>
      <c r="F187" s="102">
        <f>'2022 Budget &amp; CF'!F187</f>
        <v>100</v>
      </c>
      <c r="G187" s="102" t="s">
        <v>460</v>
      </c>
      <c r="H187" s="102" t="str">
        <f>'2022 Budget &amp; CF'!H187</f>
        <v>0580</v>
      </c>
      <c r="I187" s="103" t="s">
        <v>563</v>
      </c>
      <c r="J187" s="344" t="str">
        <f t="shared" si="124"/>
        <v>1000001002410058001</v>
      </c>
      <c r="K187" s="109">
        <v>2022</v>
      </c>
      <c r="L187" s="109" t="s">
        <v>348</v>
      </c>
      <c r="M187" s="109" t="s">
        <v>349</v>
      </c>
      <c r="N187" s="109" t="s">
        <v>350</v>
      </c>
      <c r="O187" s="12">
        <f>'2022 Budget &amp; CF'!J187</f>
        <v>0</v>
      </c>
      <c r="P187" s="12">
        <f>'2022 Budget &amp; CF'!K187</f>
        <v>0</v>
      </c>
      <c r="Q187" s="12">
        <f>'2022 Budget &amp; CF'!L187</f>
        <v>171.53</v>
      </c>
      <c r="R187" s="12">
        <f>'2022 Budget &amp; CF'!M187</f>
        <v>0</v>
      </c>
      <c r="S187" s="12">
        <f>'2022 Budget &amp; CF'!N187</f>
        <v>85.4</v>
      </c>
      <c r="T187" s="12">
        <f>'2022 Budget &amp; CF'!O187</f>
        <v>0</v>
      </c>
      <c r="U187" s="12">
        <f>'2022 Budget &amp; CF'!P187</f>
        <v>0</v>
      </c>
      <c r="V187" s="12">
        <f>'2022 Budget &amp; CF'!Q187</f>
        <v>0</v>
      </c>
      <c r="W187" s="12">
        <f>'2022 Budget &amp; CF'!R187</f>
        <v>0</v>
      </c>
      <c r="X187" s="12">
        <f>'2022 Budget &amp; CF'!S187</f>
        <v>0</v>
      </c>
      <c r="Y187" s="12">
        <f>'2022 Budget &amp; CF'!T187</f>
        <v>0</v>
      </c>
      <c r="Z187" s="12">
        <f>'2022 Budget &amp; CF'!U187</f>
        <v>0</v>
      </c>
      <c r="AA187" s="12">
        <f>'2022 Budget &amp; CF'!V187</f>
        <v>0</v>
      </c>
      <c r="AB187" s="12"/>
      <c r="AC187" s="121">
        <f t="shared" si="125"/>
        <v>256.93</v>
      </c>
      <c r="AD187" s="115">
        <f>'2022 Budget &amp; CF'!Z187</f>
        <v>256</v>
      </c>
      <c r="AE187" s="117">
        <f t="shared" si="126"/>
        <v>-0.93000000000000682</v>
      </c>
      <c r="AF187" s="117">
        <f t="shared" si="127"/>
        <v>-7.7500000000000568E-2</v>
      </c>
    </row>
    <row r="188" spans="2:32" hidden="1" outlineLevel="1" x14ac:dyDescent="0.2">
      <c r="B188" s="762" t="s">
        <v>214</v>
      </c>
      <c r="C188" s="305"/>
      <c r="D188" s="132"/>
      <c r="E188" s="132"/>
      <c r="F188" s="132"/>
      <c r="G188" s="132"/>
      <c r="H188" s="306"/>
      <c r="I188" s="133"/>
      <c r="J188" s="343"/>
      <c r="K188" s="133"/>
      <c r="L188" s="133"/>
      <c r="M188" s="133"/>
      <c r="N188" s="13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>
        <f>'2022 Budget &amp; CF'!Z188</f>
        <v>0</v>
      </c>
      <c r="AE188" s="114"/>
      <c r="AF188" s="114"/>
    </row>
    <row r="189" spans="2:32" hidden="1" outlineLevel="1" x14ac:dyDescent="0.2">
      <c r="B189" s="763" t="s">
        <v>215</v>
      </c>
      <c r="C189" s="102">
        <v>100</v>
      </c>
      <c r="D189" s="102" t="s">
        <v>145</v>
      </c>
      <c r="E189" s="102"/>
      <c r="F189" s="102">
        <v>100</v>
      </c>
      <c r="G189" s="102" t="s">
        <v>477</v>
      </c>
      <c r="H189" s="102" t="s">
        <v>207</v>
      </c>
      <c r="I189" s="101"/>
      <c r="J189" s="344" t="str">
        <f t="shared" ref="J189:J200" si="128">CONCATENATE(C189,D189,F189,G189,H189,I189)</f>
        <v>10000010025700310</v>
      </c>
      <c r="K189" s="109">
        <v>2022</v>
      </c>
      <c r="L189" s="109" t="s">
        <v>348</v>
      </c>
      <c r="M189" s="109" t="s">
        <v>349</v>
      </c>
      <c r="N189" s="109" t="s">
        <v>350</v>
      </c>
      <c r="O189" s="12">
        <f>'2022 Budget &amp; CF'!J189</f>
        <v>63</v>
      </c>
      <c r="P189" s="12">
        <f>'2022 Budget &amp; CF'!K189</f>
        <v>252</v>
      </c>
      <c r="Q189" s="12">
        <f>'2022 Budget &amp; CF'!L189</f>
        <v>189</v>
      </c>
      <c r="R189" s="12">
        <f>'2022 Budget &amp; CF'!M189</f>
        <v>189</v>
      </c>
      <c r="S189" s="12">
        <f>'2022 Budget &amp; CF'!N189</f>
        <v>189</v>
      </c>
      <c r="T189" s="12">
        <f>'2022 Budget &amp; CF'!O189</f>
        <v>0</v>
      </c>
      <c r="U189" s="12">
        <f>'2022 Budget &amp; CF'!P189</f>
        <v>0</v>
      </c>
      <c r="V189" s="12">
        <f>'2022 Budget &amp; CF'!Q189</f>
        <v>0</v>
      </c>
      <c r="W189" s="12">
        <f>'2022 Budget &amp; CF'!R189</f>
        <v>0</v>
      </c>
      <c r="X189" s="12">
        <f>'2022 Budget &amp; CF'!S189</f>
        <v>0</v>
      </c>
      <c r="Y189" s="12">
        <f>'2022 Budget &amp; CF'!T189</f>
        <v>0</v>
      </c>
      <c r="Z189" s="12">
        <f>'2022 Budget &amp; CF'!U189</f>
        <v>0</v>
      </c>
      <c r="AA189" s="12">
        <f>'2022 Budget &amp; CF'!V189</f>
        <v>0</v>
      </c>
      <c r="AB189" s="12"/>
      <c r="AC189" s="121">
        <f t="shared" ref="AC189:AC205" si="129">SUM(O189:AA189)</f>
        <v>882</v>
      </c>
      <c r="AD189" s="115">
        <f>'2022 Budget &amp; CF'!Z189</f>
        <v>1224</v>
      </c>
      <c r="AE189" s="117">
        <f t="shared" ref="AE189:AE205" si="130">AD189-AC189</f>
        <v>342</v>
      </c>
      <c r="AF189" s="117">
        <f t="shared" ref="AF189:AF205" si="131">AE189/$AF$6</f>
        <v>28.5</v>
      </c>
    </row>
    <row r="190" spans="2:32" hidden="1" outlineLevel="1" x14ac:dyDescent="0.2">
      <c r="B190" s="763" t="s">
        <v>216</v>
      </c>
      <c r="C190" s="102" t="s">
        <v>468</v>
      </c>
      <c r="D190" s="102" t="s">
        <v>145</v>
      </c>
      <c r="E190" s="102"/>
      <c r="F190" s="102" t="s">
        <v>468</v>
      </c>
      <c r="G190" s="102" t="s">
        <v>477</v>
      </c>
      <c r="H190" s="102" t="s">
        <v>199</v>
      </c>
      <c r="I190" s="101"/>
      <c r="J190" s="344" t="str">
        <f t="shared" si="128"/>
        <v>10000010025700330</v>
      </c>
      <c r="K190" s="109">
        <v>2022</v>
      </c>
      <c r="L190" s="109" t="s">
        <v>348</v>
      </c>
      <c r="M190" s="109" t="s">
        <v>349</v>
      </c>
      <c r="N190" s="109" t="s">
        <v>350</v>
      </c>
      <c r="O190" s="12">
        <f>'2022 Budget &amp; CF'!J190</f>
        <v>0</v>
      </c>
      <c r="P190" s="12">
        <f>'2022 Budget &amp; CF'!K190</f>
        <v>0</v>
      </c>
      <c r="Q190" s="12">
        <f>'2022 Budget &amp; CF'!L190</f>
        <v>0</v>
      </c>
      <c r="R190" s="12">
        <f>'2022 Budget &amp; CF'!M190</f>
        <v>0</v>
      </c>
      <c r="S190" s="12">
        <f>'2022 Budget &amp; CF'!N190</f>
        <v>0</v>
      </c>
      <c r="T190" s="12">
        <f>'2022 Budget &amp; CF'!O190</f>
        <v>0</v>
      </c>
      <c r="U190" s="12">
        <f>'2022 Budget &amp; CF'!P190</f>
        <v>0</v>
      </c>
      <c r="V190" s="12">
        <f>'2022 Budget &amp; CF'!Q190</f>
        <v>0</v>
      </c>
      <c r="W190" s="12">
        <f>'2022 Budget &amp; CF'!R190</f>
        <v>0</v>
      </c>
      <c r="X190" s="12">
        <f>'2022 Budget &amp; CF'!S190</f>
        <v>0</v>
      </c>
      <c r="Y190" s="12">
        <f>'2022 Budget &amp; CF'!T190</f>
        <v>0</v>
      </c>
      <c r="Z190" s="12">
        <f>'2022 Budget &amp; CF'!U190</f>
        <v>0</v>
      </c>
      <c r="AA190" s="12">
        <f>'2022 Budget &amp; CF'!V190</f>
        <v>0</v>
      </c>
      <c r="AB190" s="12"/>
      <c r="AC190" s="121">
        <f t="shared" si="129"/>
        <v>0</v>
      </c>
      <c r="AD190" s="115">
        <f>'2022 Budget &amp; CF'!Z190</f>
        <v>0</v>
      </c>
      <c r="AE190" s="117">
        <f t="shared" si="130"/>
        <v>0</v>
      </c>
      <c r="AF190" s="117">
        <f t="shared" si="131"/>
        <v>0</v>
      </c>
    </row>
    <row r="191" spans="2:32" hidden="1" outlineLevel="1" x14ac:dyDescent="0.2">
      <c r="B191" s="763" t="s">
        <v>819</v>
      </c>
      <c r="C191" s="102" t="s">
        <v>468</v>
      </c>
      <c r="D191" s="102" t="s">
        <v>145</v>
      </c>
      <c r="E191" s="102"/>
      <c r="F191" s="102" t="s">
        <v>468</v>
      </c>
      <c r="G191" s="102" t="s">
        <v>479</v>
      </c>
      <c r="H191" s="102" t="s">
        <v>199</v>
      </c>
      <c r="I191" s="101"/>
      <c r="J191" s="344" t="str">
        <f t="shared" ref="J191:J193" si="132">CONCATENATE(C191,D191,F191,G191,H191,I191)</f>
        <v>10000010025800330</v>
      </c>
      <c r="K191" s="109">
        <v>2022</v>
      </c>
      <c r="L191" s="109" t="s">
        <v>348</v>
      </c>
      <c r="M191" s="109" t="s">
        <v>349</v>
      </c>
      <c r="N191" s="109" t="s">
        <v>350</v>
      </c>
      <c r="O191" s="12">
        <f>'2022 Budget &amp; CF'!J191</f>
        <v>0</v>
      </c>
      <c r="P191" s="12">
        <f>'2022 Budget &amp; CF'!K191</f>
        <v>0</v>
      </c>
      <c r="Q191" s="12">
        <f>'2022 Budget &amp; CF'!L191</f>
        <v>0</v>
      </c>
      <c r="R191" s="12">
        <f>'2022 Budget &amp; CF'!M191</f>
        <v>0</v>
      </c>
      <c r="S191" s="12">
        <f>'2022 Budget &amp; CF'!N191</f>
        <v>0</v>
      </c>
      <c r="T191" s="12">
        <f>'2022 Budget &amp; CF'!O191</f>
        <v>0</v>
      </c>
      <c r="U191" s="12">
        <f>'2022 Budget &amp; CF'!P191</f>
        <v>0</v>
      </c>
      <c r="V191" s="12">
        <f>'2022 Budget &amp; CF'!Q191</f>
        <v>0</v>
      </c>
      <c r="W191" s="12">
        <f>'2022 Budget &amp; CF'!R191</f>
        <v>0</v>
      </c>
      <c r="X191" s="12">
        <f>'2022 Budget &amp; CF'!S191</f>
        <v>0</v>
      </c>
      <c r="Y191" s="12">
        <f>'2022 Budget &amp; CF'!T191</f>
        <v>0</v>
      </c>
      <c r="Z191" s="12">
        <f>'2022 Budget &amp; CF'!U191</f>
        <v>0</v>
      </c>
      <c r="AA191" s="12">
        <f>'2022 Budget &amp; CF'!V191</f>
        <v>0</v>
      </c>
      <c r="AB191" s="12"/>
      <c r="AC191" s="121">
        <f t="shared" si="129"/>
        <v>0</v>
      </c>
      <c r="AD191" s="115">
        <f>'2022 Budget &amp; CF'!Z191</f>
        <v>0</v>
      </c>
      <c r="AE191" s="117">
        <f t="shared" si="130"/>
        <v>0</v>
      </c>
      <c r="AF191" s="117">
        <f t="shared" si="131"/>
        <v>0</v>
      </c>
    </row>
    <row r="192" spans="2:32" hidden="1" outlineLevel="1" x14ac:dyDescent="0.2">
      <c r="B192" s="763" t="s">
        <v>819</v>
      </c>
      <c r="C192" s="102">
        <v>100</v>
      </c>
      <c r="D192" s="102" t="s">
        <v>145</v>
      </c>
      <c r="E192" s="102"/>
      <c r="F192" s="102">
        <v>100</v>
      </c>
      <c r="G192" s="102" t="s">
        <v>458</v>
      </c>
      <c r="H192" s="102" t="s">
        <v>203</v>
      </c>
      <c r="I192" s="101"/>
      <c r="J192" s="344" t="str">
        <f t="shared" si="132"/>
        <v>10000010025100340</v>
      </c>
      <c r="K192" s="109">
        <v>2022</v>
      </c>
      <c r="L192" s="109" t="s">
        <v>348</v>
      </c>
      <c r="M192" s="109" t="s">
        <v>349</v>
      </c>
      <c r="N192" s="109" t="s">
        <v>350</v>
      </c>
      <c r="O192" s="12">
        <f>'2022 Budget &amp; CF'!J192</f>
        <v>10500</v>
      </c>
      <c r="P192" s="12">
        <f>'2022 Budget &amp; CF'!K192</f>
        <v>24500</v>
      </c>
      <c r="Q192" s="12">
        <f>'2022 Budget &amp; CF'!L192</f>
        <v>10500</v>
      </c>
      <c r="R192" s="12">
        <f>'2022 Budget &amp; CF'!M192</f>
        <v>21000</v>
      </c>
      <c r="S192" s="12">
        <f>'2022 Budget &amp; CF'!N192</f>
        <v>21000</v>
      </c>
      <c r="T192" s="12">
        <f>'2022 Budget &amp; CF'!O192</f>
        <v>0</v>
      </c>
      <c r="U192" s="12">
        <f>'2022 Budget &amp; CF'!P192</f>
        <v>0</v>
      </c>
      <c r="V192" s="12">
        <f>'2022 Budget &amp; CF'!Q192</f>
        <v>0</v>
      </c>
      <c r="W192" s="12">
        <f>'2022 Budget &amp; CF'!R192</f>
        <v>0</v>
      </c>
      <c r="X192" s="12">
        <f>'2022 Budget &amp; CF'!S192</f>
        <v>0</v>
      </c>
      <c r="Y192" s="12">
        <f>'2022 Budget &amp; CF'!T192</f>
        <v>0</v>
      </c>
      <c r="Z192" s="12">
        <f>'2022 Budget &amp; CF'!U192</f>
        <v>0</v>
      </c>
      <c r="AA192" s="12">
        <f>'2022 Budget &amp; CF'!V192</f>
        <v>0</v>
      </c>
      <c r="AB192" s="12"/>
      <c r="AC192" s="121">
        <f t="shared" si="129"/>
        <v>87500</v>
      </c>
      <c r="AD192" s="115">
        <f>'2022 Budget &amp; CF'!Z192</f>
        <v>124500</v>
      </c>
      <c r="AE192" s="117">
        <f t="shared" si="130"/>
        <v>37000</v>
      </c>
      <c r="AF192" s="117">
        <f t="shared" si="131"/>
        <v>3083.3333333333335</v>
      </c>
    </row>
    <row r="193" spans="2:32" hidden="1" outlineLevel="1" x14ac:dyDescent="0.2">
      <c r="B193" s="763" t="s">
        <v>519</v>
      </c>
      <c r="C193" s="102">
        <v>100</v>
      </c>
      <c r="D193" s="102" t="s">
        <v>145</v>
      </c>
      <c r="E193" s="102"/>
      <c r="F193" s="102">
        <v>100</v>
      </c>
      <c r="G193" s="102" t="s">
        <v>1207</v>
      </c>
      <c r="H193" s="104" t="s">
        <v>203</v>
      </c>
      <c r="I193" s="103" t="s">
        <v>563</v>
      </c>
      <c r="J193" s="780" t="str">
        <f t="shared" si="132"/>
        <v>1000001002515034001</v>
      </c>
      <c r="K193" s="109">
        <v>2022</v>
      </c>
      <c r="L193" s="109" t="s">
        <v>348</v>
      </c>
      <c r="M193" s="109" t="s">
        <v>349</v>
      </c>
      <c r="N193" s="109" t="s">
        <v>350</v>
      </c>
      <c r="O193" s="12">
        <f>'2022 Budget &amp; CF'!J193</f>
        <v>398.64</v>
      </c>
      <c r="P193" s="12">
        <f>'2022 Budget &amp; CF'!K193</f>
        <v>0</v>
      </c>
      <c r="Q193" s="12">
        <f>'2022 Budget &amp; CF'!L193</f>
        <v>0</v>
      </c>
      <c r="R193" s="12">
        <f>'2022 Budget &amp; CF'!M193</f>
        <v>0</v>
      </c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1"/>
      <c r="AD193" s="115"/>
      <c r="AE193" s="117"/>
      <c r="AF193" s="117"/>
    </row>
    <row r="194" spans="2:32" hidden="1" outlineLevel="1" x14ac:dyDescent="0.2">
      <c r="B194" s="763" t="s">
        <v>927</v>
      </c>
      <c r="C194" s="102">
        <v>100</v>
      </c>
      <c r="D194" s="102" t="s">
        <v>145</v>
      </c>
      <c r="E194" s="102"/>
      <c r="F194" s="102">
        <v>100</v>
      </c>
      <c r="G194" s="102" t="s">
        <v>476</v>
      </c>
      <c r="H194" s="102" t="s">
        <v>217</v>
      </c>
      <c r="I194" s="101"/>
      <c r="J194" s="344" t="str">
        <f t="shared" si="128"/>
        <v>10000010025600345</v>
      </c>
      <c r="K194" s="109">
        <v>2022</v>
      </c>
      <c r="L194" s="109" t="s">
        <v>348</v>
      </c>
      <c r="M194" s="109" t="s">
        <v>349</v>
      </c>
      <c r="N194" s="109" t="s">
        <v>350</v>
      </c>
      <c r="O194" s="12">
        <f>'2022 Budget &amp; CF'!J194</f>
        <v>1200</v>
      </c>
      <c r="P194" s="12">
        <f>'2022 Budget &amp; CF'!K194</f>
        <v>3600</v>
      </c>
      <c r="Q194" s="12">
        <f>'2022 Budget &amp; CF'!L194</f>
        <v>1200</v>
      </c>
      <c r="R194" s="12">
        <f>'2022 Budget &amp; CF'!M194</f>
        <v>1200</v>
      </c>
      <c r="S194" s="12">
        <f>'2022 Budget &amp; CF'!N194</f>
        <v>0</v>
      </c>
      <c r="T194" s="12">
        <f>'2022 Budget &amp; CF'!O194</f>
        <v>0</v>
      </c>
      <c r="U194" s="12">
        <f>'2022 Budget &amp; CF'!P194</f>
        <v>0</v>
      </c>
      <c r="V194" s="12">
        <f>'2022 Budget &amp; CF'!Q194</f>
        <v>0</v>
      </c>
      <c r="W194" s="12">
        <f>'2022 Budget &amp; CF'!R194</f>
        <v>0</v>
      </c>
      <c r="X194" s="12">
        <f>'2022 Budget &amp; CF'!S194</f>
        <v>0</v>
      </c>
      <c r="Y194" s="12">
        <f>'2022 Budget &amp; CF'!T194</f>
        <v>0</v>
      </c>
      <c r="Z194" s="12">
        <f>'2022 Budget &amp; CF'!U194</f>
        <v>0</v>
      </c>
      <c r="AA194" s="12">
        <f>'2022 Budget &amp; CF'!V194</f>
        <v>0</v>
      </c>
      <c r="AB194" s="12"/>
      <c r="AC194" s="121">
        <f t="shared" si="129"/>
        <v>7200</v>
      </c>
      <c r="AD194" s="115">
        <f>'2022 Budget &amp; CF'!Z194</f>
        <v>5600</v>
      </c>
      <c r="AE194" s="117">
        <f t="shared" si="130"/>
        <v>-1600</v>
      </c>
      <c r="AF194" s="117">
        <f t="shared" si="131"/>
        <v>-133.33333333333334</v>
      </c>
    </row>
    <row r="195" spans="2:32" hidden="1" outlineLevel="1" x14ac:dyDescent="0.2">
      <c r="B195" s="763" t="s">
        <v>218</v>
      </c>
      <c r="C195" s="102">
        <v>100</v>
      </c>
      <c r="D195" s="102" t="s">
        <v>145</v>
      </c>
      <c r="E195" s="102"/>
      <c r="F195" s="102">
        <v>100</v>
      </c>
      <c r="G195" s="102">
        <v>2500</v>
      </c>
      <c r="H195" s="102" t="s">
        <v>200</v>
      </c>
      <c r="I195" s="101"/>
      <c r="J195" s="344" t="str">
        <f t="shared" si="128"/>
        <v>10000010025000352</v>
      </c>
      <c r="K195" s="109">
        <v>2022</v>
      </c>
      <c r="L195" s="109" t="s">
        <v>348</v>
      </c>
      <c r="M195" s="109" t="s">
        <v>349</v>
      </c>
      <c r="N195" s="109" t="s">
        <v>350</v>
      </c>
      <c r="O195" s="12">
        <f>'2022 Budget &amp; CF'!J195</f>
        <v>0</v>
      </c>
      <c r="P195" s="12">
        <f>'2022 Budget &amp; CF'!K195</f>
        <v>1820</v>
      </c>
      <c r="Q195" s="12">
        <f>'2022 Budget &amp; CF'!L195</f>
        <v>622.5</v>
      </c>
      <c r="R195" s="12">
        <f>'2022 Budget &amp; CF'!M195</f>
        <v>1072.5</v>
      </c>
      <c r="S195" s="12">
        <f>'2022 Budget &amp; CF'!N195</f>
        <v>1690</v>
      </c>
      <c r="T195" s="12">
        <f>'2022 Budget &amp; CF'!O195</f>
        <v>0</v>
      </c>
      <c r="U195" s="12">
        <f>'2022 Budget &amp; CF'!P195</f>
        <v>0</v>
      </c>
      <c r="V195" s="12">
        <f>'2022 Budget &amp; CF'!Q195</f>
        <v>0</v>
      </c>
      <c r="W195" s="12">
        <f>'2022 Budget &amp; CF'!R195</f>
        <v>0</v>
      </c>
      <c r="X195" s="12">
        <f>'2022 Budget &amp; CF'!S195</f>
        <v>0</v>
      </c>
      <c r="Y195" s="12">
        <f>'2022 Budget &amp; CF'!T195</f>
        <v>0</v>
      </c>
      <c r="Z195" s="12">
        <f>'2022 Budget &amp; CF'!U195</f>
        <v>0</v>
      </c>
      <c r="AA195" s="12">
        <f>'2022 Budget &amp; CF'!V195</f>
        <v>0</v>
      </c>
      <c r="AB195" s="12"/>
      <c r="AC195" s="121">
        <f t="shared" si="129"/>
        <v>5205</v>
      </c>
      <c r="AD195" s="115">
        <f>'2022 Budget &amp; CF'!Z195</f>
        <v>18508</v>
      </c>
      <c r="AE195" s="117">
        <f t="shared" si="130"/>
        <v>13303</v>
      </c>
      <c r="AF195" s="117">
        <f t="shared" si="131"/>
        <v>1108.5833333333333</v>
      </c>
    </row>
    <row r="196" spans="2:32" hidden="1" outlineLevel="1" x14ac:dyDescent="0.2">
      <c r="B196" s="763" t="s">
        <v>521</v>
      </c>
      <c r="C196" s="102">
        <v>100</v>
      </c>
      <c r="D196" s="102" t="s">
        <v>145</v>
      </c>
      <c r="E196" s="102"/>
      <c r="F196" s="102">
        <v>100</v>
      </c>
      <c r="G196" s="102" t="s">
        <v>478</v>
      </c>
      <c r="H196" s="102" t="s">
        <v>219</v>
      </c>
      <c r="I196" s="101"/>
      <c r="J196" s="344" t="str">
        <f t="shared" si="128"/>
        <v>10000010025300442</v>
      </c>
      <c r="K196" s="109">
        <v>2022</v>
      </c>
      <c r="L196" s="109" t="s">
        <v>348</v>
      </c>
      <c r="M196" s="109" t="s">
        <v>349</v>
      </c>
      <c r="N196" s="109" t="s">
        <v>350</v>
      </c>
      <c r="O196" s="12">
        <f>'2022 Budget &amp; CF'!J196</f>
        <v>1137.96</v>
      </c>
      <c r="P196" s="12">
        <f>'2022 Budget &amp; CF'!K196</f>
        <v>483.96</v>
      </c>
      <c r="Q196" s="12">
        <f>'2022 Budget &amp; CF'!L196</f>
        <v>483.96</v>
      </c>
      <c r="R196" s="12">
        <f>'2022 Budget &amp; CF'!M196</f>
        <v>483.96</v>
      </c>
      <c r="S196" s="12">
        <f>'2022 Budget &amp; CF'!N196</f>
        <v>654</v>
      </c>
      <c r="T196" s="12">
        <f>'2022 Budget &amp; CF'!O196</f>
        <v>0</v>
      </c>
      <c r="U196" s="12">
        <f>'2022 Budget &amp; CF'!P196</f>
        <v>0</v>
      </c>
      <c r="V196" s="12">
        <f>'2022 Budget &amp; CF'!Q196</f>
        <v>0</v>
      </c>
      <c r="W196" s="12">
        <f>'2022 Budget &amp; CF'!R196</f>
        <v>0</v>
      </c>
      <c r="X196" s="12">
        <f>'2022 Budget &amp; CF'!S196</f>
        <v>0</v>
      </c>
      <c r="Y196" s="12">
        <f>'2022 Budget &amp; CF'!T196</f>
        <v>0</v>
      </c>
      <c r="Z196" s="12">
        <f>'2022 Budget &amp; CF'!U196</f>
        <v>0</v>
      </c>
      <c r="AA196" s="12">
        <f>'2022 Budget &amp; CF'!V196</f>
        <v>0</v>
      </c>
      <c r="AB196" s="12"/>
      <c r="AC196" s="121">
        <f t="shared" si="129"/>
        <v>3243.84</v>
      </c>
      <c r="AD196" s="115">
        <f>'2022 Budget &amp; CF'!Z196</f>
        <v>8508</v>
      </c>
      <c r="AE196" s="117">
        <f t="shared" si="130"/>
        <v>5264.16</v>
      </c>
      <c r="AF196" s="117">
        <f t="shared" si="131"/>
        <v>438.68</v>
      </c>
    </row>
    <row r="197" spans="2:32" hidden="1" outlineLevel="1" x14ac:dyDescent="0.2">
      <c r="B197" s="763" t="s">
        <v>522</v>
      </c>
      <c r="C197" s="102">
        <v>100</v>
      </c>
      <c r="D197" s="102" t="s">
        <v>145</v>
      </c>
      <c r="E197" s="102"/>
      <c r="F197" s="102">
        <v>100</v>
      </c>
      <c r="G197" s="102" t="s">
        <v>479</v>
      </c>
      <c r="H197" s="102" t="s">
        <v>219</v>
      </c>
      <c r="I197" s="101"/>
      <c r="J197" s="344" t="str">
        <f t="shared" si="128"/>
        <v>10000010025800442</v>
      </c>
      <c r="K197" s="109">
        <v>2022</v>
      </c>
      <c r="L197" s="109" t="s">
        <v>348</v>
      </c>
      <c r="M197" s="109" t="s">
        <v>349</v>
      </c>
      <c r="N197" s="109" t="s">
        <v>350</v>
      </c>
      <c r="O197" s="12">
        <f>'2022 Budget &amp; CF'!J197</f>
        <v>748.13</v>
      </c>
      <c r="P197" s="12">
        <f>'2022 Budget &amp; CF'!K197</f>
        <v>391.88</v>
      </c>
      <c r="Q197" s="12">
        <f>'2022 Budget &amp; CF'!L197</f>
        <v>356.25</v>
      </c>
      <c r="R197" s="12">
        <f>'2022 Budget &amp; CF'!M197</f>
        <v>356.25</v>
      </c>
      <c r="S197" s="12">
        <f>'2022 Budget &amp; CF'!N197</f>
        <v>391.88</v>
      </c>
      <c r="T197" s="12">
        <f>'2022 Budget &amp; CF'!O197</f>
        <v>0</v>
      </c>
      <c r="U197" s="12">
        <f>'2022 Budget &amp; CF'!P197</f>
        <v>0</v>
      </c>
      <c r="V197" s="12">
        <f>'2022 Budget &amp; CF'!Q197</f>
        <v>0</v>
      </c>
      <c r="W197" s="12">
        <f>'2022 Budget &amp; CF'!R197</f>
        <v>0</v>
      </c>
      <c r="X197" s="12">
        <f>'2022 Budget &amp; CF'!S197</f>
        <v>0</v>
      </c>
      <c r="Y197" s="12">
        <f>'2022 Budget &amp; CF'!T197</f>
        <v>0</v>
      </c>
      <c r="Z197" s="12">
        <f>'2022 Budget &amp; CF'!U197</f>
        <v>0</v>
      </c>
      <c r="AA197" s="12">
        <f>'2022 Budget &amp; CF'!V197</f>
        <v>0</v>
      </c>
      <c r="AB197" s="12"/>
      <c r="AC197" s="121">
        <f t="shared" si="129"/>
        <v>2244.39</v>
      </c>
      <c r="AD197" s="115">
        <f>'2022 Budget &amp; CF'!Z197</f>
        <v>4275</v>
      </c>
      <c r="AE197" s="117">
        <f t="shared" si="130"/>
        <v>2030.6100000000001</v>
      </c>
      <c r="AF197" s="117">
        <f t="shared" si="131"/>
        <v>169.2175</v>
      </c>
    </row>
    <row r="198" spans="2:32" hidden="1" outlineLevel="1" x14ac:dyDescent="0.2">
      <c r="B198" s="763" t="s">
        <v>523</v>
      </c>
      <c r="C198" s="102">
        <v>100</v>
      </c>
      <c r="D198" s="102" t="s">
        <v>145</v>
      </c>
      <c r="E198" s="102"/>
      <c r="F198" s="102">
        <v>100</v>
      </c>
      <c r="G198" s="102" t="s">
        <v>520</v>
      </c>
      <c r="H198" s="102" t="s">
        <v>219</v>
      </c>
      <c r="I198" s="101"/>
      <c r="J198" s="344" t="str">
        <f t="shared" si="128"/>
        <v>10000010025850442</v>
      </c>
      <c r="K198" s="109">
        <v>2022</v>
      </c>
      <c r="L198" s="109" t="s">
        <v>348</v>
      </c>
      <c r="M198" s="109" t="s">
        <v>349</v>
      </c>
      <c r="N198" s="109" t="s">
        <v>350</v>
      </c>
      <c r="O198" s="12">
        <f>'2022 Budget &amp; CF'!J198</f>
        <v>961.89</v>
      </c>
      <c r="P198" s="12">
        <f>'2022 Budget &amp; CF'!K198</f>
        <v>961.89</v>
      </c>
      <c r="Q198" s="12">
        <f>'2022 Budget &amp; CF'!L198</f>
        <v>3004.68</v>
      </c>
      <c r="R198" s="12">
        <f>'2022 Budget &amp; CF'!M198</f>
        <v>946.8</v>
      </c>
      <c r="S198" s="12">
        <f>'2022 Budget &amp; CF'!N198</f>
        <v>1693.62</v>
      </c>
      <c r="T198" s="12">
        <f>'2022 Budget &amp; CF'!O198</f>
        <v>0</v>
      </c>
      <c r="U198" s="12">
        <f>'2022 Budget &amp; CF'!P198</f>
        <v>0</v>
      </c>
      <c r="V198" s="12">
        <f>'2022 Budget &amp; CF'!Q198</f>
        <v>0</v>
      </c>
      <c r="W198" s="12">
        <f>'2022 Budget &amp; CF'!R198</f>
        <v>0</v>
      </c>
      <c r="X198" s="12">
        <f>'2022 Budget &amp; CF'!S198</f>
        <v>0</v>
      </c>
      <c r="Y198" s="12">
        <f>'2022 Budget &amp; CF'!T198</f>
        <v>0</v>
      </c>
      <c r="Z198" s="12">
        <f>'2022 Budget &amp; CF'!U198</f>
        <v>0</v>
      </c>
      <c r="AA198" s="12">
        <f>'2022 Budget &amp; CF'!V198</f>
        <v>0</v>
      </c>
      <c r="AB198" s="12"/>
      <c r="AC198" s="121">
        <f t="shared" si="129"/>
        <v>7568.88</v>
      </c>
      <c r="AD198" s="115">
        <f>'2022 Budget &amp; CF'!Z198</f>
        <v>11543</v>
      </c>
      <c r="AE198" s="117">
        <f t="shared" si="130"/>
        <v>3974.12</v>
      </c>
      <c r="AF198" s="117">
        <f t="shared" si="131"/>
        <v>331.17666666666668</v>
      </c>
    </row>
    <row r="199" spans="2:32" hidden="1" outlineLevel="1" x14ac:dyDescent="0.2">
      <c r="B199" s="763" t="s">
        <v>220</v>
      </c>
      <c r="C199" s="102">
        <v>100</v>
      </c>
      <c r="D199" s="102" t="s">
        <v>145</v>
      </c>
      <c r="E199" s="102"/>
      <c r="F199" s="102">
        <v>100</v>
      </c>
      <c r="G199" s="102" t="s">
        <v>458</v>
      </c>
      <c r="H199" s="102" t="s">
        <v>221</v>
      </c>
      <c r="I199" s="101"/>
      <c r="J199" s="344" t="str">
        <f t="shared" si="128"/>
        <v>10000010025100531</v>
      </c>
      <c r="K199" s="109">
        <v>2022</v>
      </c>
      <c r="L199" s="109" t="s">
        <v>348</v>
      </c>
      <c r="M199" s="109" t="s">
        <v>349</v>
      </c>
      <c r="N199" s="109" t="s">
        <v>350</v>
      </c>
      <c r="O199" s="12">
        <f>'2022 Budget &amp; CF'!J199</f>
        <v>0</v>
      </c>
      <c r="P199" s="12">
        <f>'2022 Budget &amp; CF'!K199</f>
        <v>500</v>
      </c>
      <c r="Q199" s="12">
        <f>'2022 Budget &amp; CF'!L199</f>
        <v>700</v>
      </c>
      <c r="R199" s="12">
        <f>'2022 Budget &amp; CF'!M199</f>
        <v>400</v>
      </c>
      <c r="S199" s="12">
        <f>'2022 Budget &amp; CF'!N199</f>
        <v>250</v>
      </c>
      <c r="T199" s="12">
        <f>'2022 Budget &amp; CF'!O199</f>
        <v>0</v>
      </c>
      <c r="U199" s="12">
        <f>'2022 Budget &amp; CF'!P199</f>
        <v>0</v>
      </c>
      <c r="V199" s="12">
        <f>'2022 Budget &amp; CF'!Q199</f>
        <v>0</v>
      </c>
      <c r="W199" s="12">
        <f>'2022 Budget &amp; CF'!R199</f>
        <v>0</v>
      </c>
      <c r="X199" s="12">
        <f>'2022 Budget &amp; CF'!S199</f>
        <v>0</v>
      </c>
      <c r="Y199" s="12">
        <f>'2022 Budget &amp; CF'!T199</f>
        <v>0</v>
      </c>
      <c r="Z199" s="12">
        <f>'2022 Budget &amp; CF'!U199</f>
        <v>0</v>
      </c>
      <c r="AA199" s="12">
        <f>'2022 Budget &amp; CF'!V199</f>
        <v>0</v>
      </c>
      <c r="AB199" s="12"/>
      <c r="AC199" s="121">
        <f t="shared" si="129"/>
        <v>1850</v>
      </c>
      <c r="AD199" s="115">
        <f>'2022 Budget &amp; CF'!Z199</f>
        <v>10000</v>
      </c>
      <c r="AE199" s="117">
        <f t="shared" si="130"/>
        <v>8150</v>
      </c>
      <c r="AF199" s="117">
        <f t="shared" si="131"/>
        <v>679.16666666666663</v>
      </c>
    </row>
    <row r="200" spans="2:32" hidden="1" outlineLevel="1" x14ac:dyDescent="0.2">
      <c r="B200" s="763" t="s">
        <v>222</v>
      </c>
      <c r="C200" s="102">
        <v>100</v>
      </c>
      <c r="D200" s="102" t="s">
        <v>145</v>
      </c>
      <c r="E200" s="102"/>
      <c r="F200" s="102">
        <v>100</v>
      </c>
      <c r="G200" s="102" t="s">
        <v>479</v>
      </c>
      <c r="H200" s="102" t="s">
        <v>223</v>
      </c>
      <c r="I200" s="101"/>
      <c r="J200" s="344" t="str">
        <f t="shared" si="128"/>
        <v>10000010025800533</v>
      </c>
      <c r="K200" s="109">
        <v>2022</v>
      </c>
      <c r="L200" s="109" t="s">
        <v>348</v>
      </c>
      <c r="M200" s="109" t="s">
        <v>349</v>
      </c>
      <c r="N200" s="109" t="s">
        <v>350</v>
      </c>
      <c r="O200" s="12">
        <f>'2022 Budget &amp; CF'!J200</f>
        <v>0</v>
      </c>
      <c r="P200" s="12">
        <f>'2022 Budget &amp; CF'!K200</f>
        <v>408.79</v>
      </c>
      <c r="Q200" s="12">
        <f>'2022 Budget &amp; CF'!L200</f>
        <v>0</v>
      </c>
      <c r="R200" s="12">
        <f>'2022 Budget &amp; CF'!M200</f>
        <v>345.6</v>
      </c>
      <c r="S200" s="12">
        <f>'2022 Budget &amp; CF'!N200</f>
        <v>345.6</v>
      </c>
      <c r="T200" s="12">
        <f>'2022 Budget &amp; CF'!O200</f>
        <v>0</v>
      </c>
      <c r="U200" s="12">
        <f>'2022 Budget &amp; CF'!P200</f>
        <v>0</v>
      </c>
      <c r="V200" s="12">
        <f>'2022 Budget &amp; CF'!Q200</f>
        <v>0</v>
      </c>
      <c r="W200" s="12">
        <f>'2022 Budget &amp; CF'!R200</f>
        <v>0</v>
      </c>
      <c r="X200" s="12">
        <f>'2022 Budget &amp; CF'!S200</f>
        <v>0</v>
      </c>
      <c r="Y200" s="12">
        <f>'2022 Budget &amp; CF'!T200</f>
        <v>0</v>
      </c>
      <c r="Z200" s="12">
        <f>'2022 Budget &amp; CF'!U200</f>
        <v>0</v>
      </c>
      <c r="AA200" s="12">
        <f>'2022 Budget &amp; CF'!V200</f>
        <v>0</v>
      </c>
      <c r="AB200" s="12"/>
      <c r="AC200" s="121">
        <f t="shared" si="129"/>
        <v>1099.9900000000002</v>
      </c>
      <c r="AD200" s="115">
        <f>'2022 Budget &amp; CF'!Z200</f>
        <v>7272</v>
      </c>
      <c r="AE200" s="117">
        <f t="shared" si="130"/>
        <v>6172.01</v>
      </c>
      <c r="AF200" s="117">
        <f t="shared" si="131"/>
        <v>514.33416666666665</v>
      </c>
    </row>
    <row r="201" spans="2:32" hidden="1" outlineLevel="1" x14ac:dyDescent="0.2">
      <c r="B201" s="763" t="s">
        <v>949</v>
      </c>
      <c r="C201" s="102">
        <v>100</v>
      </c>
      <c r="D201" s="102" t="s">
        <v>145</v>
      </c>
      <c r="E201" s="102"/>
      <c r="F201" s="102">
        <v>100</v>
      </c>
      <c r="G201" s="102" t="s">
        <v>479</v>
      </c>
      <c r="H201" s="102" t="s">
        <v>225</v>
      </c>
      <c r="I201" s="101"/>
      <c r="J201" s="344" t="str">
        <f t="shared" ref="J201:J205" si="133">CONCATENATE(C201,D201,F201,G201,H201,I201)</f>
        <v>10000010025800535</v>
      </c>
      <c r="K201" s="109">
        <v>2022</v>
      </c>
      <c r="L201" s="109" t="s">
        <v>348</v>
      </c>
      <c r="M201" s="109" t="s">
        <v>349</v>
      </c>
      <c r="N201" s="109" t="s">
        <v>350</v>
      </c>
      <c r="O201" s="12">
        <f>'2022 Budget &amp; CF'!J201</f>
        <v>519.47</v>
      </c>
      <c r="P201" s="12">
        <f>'2022 Budget &amp; CF'!K201</f>
        <v>114.36999999999999</v>
      </c>
      <c r="Q201" s="12">
        <f>'2022 Budget &amp; CF'!L201</f>
        <v>121.99</v>
      </c>
      <c r="R201" s="12">
        <f>'2022 Budget &amp; CF'!M201</f>
        <v>571.98</v>
      </c>
      <c r="S201" s="12">
        <f>'2022 Budget &amp; CF'!N201</f>
        <v>121.99</v>
      </c>
      <c r="T201" s="12">
        <f>'2022 Budget &amp; CF'!O201</f>
        <v>0</v>
      </c>
      <c r="U201" s="12">
        <f>'2022 Budget &amp; CF'!P201</f>
        <v>0</v>
      </c>
      <c r="V201" s="12">
        <f>'2022 Budget &amp; CF'!Q201</f>
        <v>0</v>
      </c>
      <c r="W201" s="12">
        <f>'2022 Budget &amp; CF'!R201</f>
        <v>0</v>
      </c>
      <c r="X201" s="12">
        <f>'2022 Budget &amp; CF'!S201</f>
        <v>0</v>
      </c>
      <c r="Y201" s="12">
        <f>'2022 Budget &amp; CF'!T201</f>
        <v>0</v>
      </c>
      <c r="Z201" s="12">
        <f>'2022 Budget &amp; CF'!U201</f>
        <v>0</v>
      </c>
      <c r="AA201" s="12">
        <f>'2022 Budget &amp; CF'!V201</f>
        <v>0</v>
      </c>
      <c r="AB201" s="12"/>
      <c r="AC201" s="121">
        <f t="shared" si="129"/>
        <v>1449.8</v>
      </c>
      <c r="AD201" s="115">
        <f>'2022 Budget &amp; CF'!Z201</f>
        <v>4175</v>
      </c>
      <c r="AE201" s="117">
        <f t="shared" si="130"/>
        <v>2725.2</v>
      </c>
      <c r="AF201" s="117">
        <f t="shared" si="131"/>
        <v>227.1</v>
      </c>
    </row>
    <row r="202" spans="2:32" hidden="1" outlineLevel="1" x14ac:dyDescent="0.2">
      <c r="B202" s="763" t="s">
        <v>1122</v>
      </c>
      <c r="C202" s="102">
        <v>100</v>
      </c>
      <c r="D202" s="102" t="s">
        <v>145</v>
      </c>
      <c r="E202" s="102"/>
      <c r="F202" s="102">
        <v>100</v>
      </c>
      <c r="G202" s="102" t="s">
        <v>476</v>
      </c>
      <c r="H202" s="102" t="s">
        <v>226</v>
      </c>
      <c r="I202" s="101"/>
      <c r="J202" s="344" t="str">
        <f t="shared" si="133"/>
        <v>10000010025600540</v>
      </c>
      <c r="K202" s="109">
        <v>2022</v>
      </c>
      <c r="L202" s="109" t="s">
        <v>348</v>
      </c>
      <c r="M202" s="109" t="s">
        <v>349</v>
      </c>
      <c r="N202" s="109" t="s">
        <v>350</v>
      </c>
      <c r="O202" s="12">
        <f>'2022 Budget &amp; CF'!J202</f>
        <v>150</v>
      </c>
      <c r="P202" s="12">
        <f>'2022 Budget &amp; CF'!K202</f>
        <v>580.91</v>
      </c>
      <c r="Q202" s="12">
        <f>'2022 Budget &amp; CF'!L202</f>
        <v>1052.1399999999999</v>
      </c>
      <c r="R202" s="12">
        <f>'2022 Budget &amp; CF'!M202</f>
        <v>1013.7</v>
      </c>
      <c r="S202" s="12">
        <f>'2022 Budget &amp; CF'!N202</f>
        <v>1000.23</v>
      </c>
      <c r="T202" s="12">
        <f>'2022 Budget &amp; CF'!O202</f>
        <v>0</v>
      </c>
      <c r="U202" s="12">
        <f>'2022 Budget &amp; CF'!P202</f>
        <v>0</v>
      </c>
      <c r="V202" s="12">
        <f>'2022 Budget &amp; CF'!Q202</f>
        <v>0</v>
      </c>
      <c r="W202" s="12">
        <f>'2022 Budget &amp; CF'!R202</f>
        <v>0</v>
      </c>
      <c r="X202" s="12">
        <f>'2022 Budget &amp; CF'!S202</f>
        <v>0</v>
      </c>
      <c r="Y202" s="12">
        <f>'2022 Budget &amp; CF'!T202</f>
        <v>0</v>
      </c>
      <c r="Z202" s="12">
        <f>'2022 Budget &amp; CF'!U202</f>
        <v>0</v>
      </c>
      <c r="AA202" s="12">
        <f>'2022 Budget &amp; CF'!V202</f>
        <v>0</v>
      </c>
      <c r="AB202" s="12"/>
      <c r="AC202" s="121">
        <f t="shared" si="129"/>
        <v>3796.98</v>
      </c>
      <c r="AD202" s="115">
        <f>'2022 Budget &amp; CF'!Z202</f>
        <v>40000</v>
      </c>
      <c r="AE202" s="117">
        <f t="shared" si="130"/>
        <v>36203.019999999997</v>
      </c>
      <c r="AF202" s="117">
        <f t="shared" si="131"/>
        <v>3016.9183333333331</v>
      </c>
    </row>
    <row r="203" spans="2:32" hidden="1" outlineLevel="1" x14ac:dyDescent="0.2">
      <c r="B203" s="763" t="s">
        <v>1123</v>
      </c>
      <c r="C203" s="102">
        <v>100</v>
      </c>
      <c r="D203" s="102" t="s">
        <v>145</v>
      </c>
      <c r="E203" s="102"/>
      <c r="F203" s="102">
        <v>100</v>
      </c>
      <c r="G203" s="102" t="s">
        <v>477</v>
      </c>
      <c r="H203" s="102" t="s">
        <v>226</v>
      </c>
      <c r="I203" s="101"/>
      <c r="J203" s="344" t="str">
        <f t="shared" si="133"/>
        <v>10000010025700540</v>
      </c>
      <c r="K203" s="109">
        <v>2022</v>
      </c>
      <c r="L203" s="109" t="s">
        <v>348</v>
      </c>
      <c r="M203" s="109" t="s">
        <v>349</v>
      </c>
      <c r="N203" s="109" t="s">
        <v>350</v>
      </c>
      <c r="O203" s="12">
        <f>'2022 Budget &amp; CF'!J203</f>
        <v>0</v>
      </c>
      <c r="P203" s="12">
        <f>'2022 Budget &amp; CF'!K203</f>
        <v>0</v>
      </c>
      <c r="Q203" s="12">
        <f>'2022 Budget &amp; CF'!L203</f>
        <v>369.78</v>
      </c>
      <c r="R203" s="12">
        <f>'2022 Budget &amp; CF'!M203</f>
        <v>0</v>
      </c>
      <c r="S203" s="12">
        <f>'2022 Budget &amp; CF'!N203</f>
        <v>0</v>
      </c>
      <c r="T203" s="12">
        <f>'2022 Budget &amp; CF'!O203</f>
        <v>0</v>
      </c>
      <c r="U203" s="12">
        <f>'2022 Budget &amp; CF'!P203</f>
        <v>0</v>
      </c>
      <c r="V203" s="12">
        <f>'2022 Budget &amp; CF'!Q203</f>
        <v>0</v>
      </c>
      <c r="W203" s="12">
        <f>'2022 Budget &amp; CF'!R203</f>
        <v>0</v>
      </c>
      <c r="X203" s="12">
        <f>'2022 Budget &amp; CF'!S203</f>
        <v>0</v>
      </c>
      <c r="Y203" s="12">
        <f>'2022 Budget &amp; CF'!T203</f>
        <v>0</v>
      </c>
      <c r="Z203" s="12">
        <f>'2022 Budget &amp; CF'!U203</f>
        <v>0</v>
      </c>
      <c r="AA203" s="12">
        <f>'2022 Budget &amp; CF'!V203</f>
        <v>0</v>
      </c>
      <c r="AB203" s="12"/>
      <c r="AC203" s="121">
        <f t="shared" si="129"/>
        <v>369.78</v>
      </c>
      <c r="AD203" s="115">
        <f>'2022 Budget &amp; CF'!Z203</f>
        <v>0</v>
      </c>
      <c r="AE203" s="117">
        <f t="shared" si="130"/>
        <v>-369.78</v>
      </c>
      <c r="AF203" s="117">
        <f t="shared" si="131"/>
        <v>-30.814999999999998</v>
      </c>
    </row>
    <row r="204" spans="2:32" hidden="1" outlineLevel="1" x14ac:dyDescent="0.2">
      <c r="B204" s="763" t="s">
        <v>1124</v>
      </c>
      <c r="C204" s="102">
        <v>100</v>
      </c>
      <c r="D204" s="102" t="s">
        <v>145</v>
      </c>
      <c r="E204" s="102"/>
      <c r="F204" s="102">
        <v>100</v>
      </c>
      <c r="G204" s="102" t="s">
        <v>1051</v>
      </c>
      <c r="H204" s="104" t="s">
        <v>226</v>
      </c>
      <c r="I204" s="101"/>
      <c r="J204" s="344" t="str">
        <f t="shared" si="133"/>
        <v>10000010025890540</v>
      </c>
      <c r="K204" s="109">
        <v>2022</v>
      </c>
      <c r="L204" s="109" t="s">
        <v>348</v>
      </c>
      <c r="M204" s="109" t="s">
        <v>349</v>
      </c>
      <c r="N204" s="109" t="s">
        <v>350</v>
      </c>
      <c r="O204" s="12">
        <f>'2022 Budget &amp; CF'!J204</f>
        <v>252.56</v>
      </c>
      <c r="P204" s="12">
        <f>'2022 Budget &amp; CF'!K204</f>
        <v>246.15</v>
      </c>
      <c r="Q204" s="12">
        <f>'2022 Budget &amp; CF'!L204</f>
        <v>231.66</v>
      </c>
      <c r="R204" s="12">
        <f>'2022 Budget &amp; CF'!M204</f>
        <v>243.95</v>
      </c>
      <c r="S204" s="12">
        <f>'2022 Budget &amp; CF'!N204</f>
        <v>197.52</v>
      </c>
      <c r="T204" s="12">
        <f>'2022 Budget &amp; CF'!O204</f>
        <v>0</v>
      </c>
      <c r="U204" s="12">
        <f>'2022 Budget &amp; CF'!P204</f>
        <v>0</v>
      </c>
      <c r="V204" s="12">
        <f>'2022 Budget &amp; CF'!Q204</f>
        <v>0</v>
      </c>
      <c r="W204" s="12">
        <f>'2022 Budget &amp; CF'!R204</f>
        <v>0</v>
      </c>
      <c r="X204" s="12">
        <f>'2022 Budget &amp; CF'!S204</f>
        <v>0</v>
      </c>
      <c r="Y204" s="12">
        <f>'2022 Budget &amp; CF'!T204</f>
        <v>0</v>
      </c>
      <c r="Z204" s="12">
        <f>'2022 Budget &amp; CF'!U204</f>
        <v>0</v>
      </c>
      <c r="AA204" s="12">
        <f>'2022 Budget &amp; CF'!V204</f>
        <v>0</v>
      </c>
      <c r="AB204" s="12"/>
      <c r="AC204" s="121">
        <f t="shared" si="129"/>
        <v>1171.8399999999999</v>
      </c>
      <c r="AD204" s="115">
        <f>'2022 Budget &amp; CF'!Z204</f>
        <v>0</v>
      </c>
      <c r="AE204" s="117">
        <f t="shared" si="130"/>
        <v>-1171.8399999999999</v>
      </c>
      <c r="AF204" s="117">
        <f t="shared" si="131"/>
        <v>-97.653333333333322</v>
      </c>
    </row>
    <row r="205" spans="2:32" hidden="1" outlineLevel="1" x14ac:dyDescent="0.2">
      <c r="B205" s="763" t="s">
        <v>951</v>
      </c>
      <c r="C205" s="102">
        <v>100</v>
      </c>
      <c r="D205" s="102" t="s">
        <v>145</v>
      </c>
      <c r="E205" s="102"/>
      <c r="F205" s="102">
        <v>100</v>
      </c>
      <c r="G205" s="102" t="s">
        <v>478</v>
      </c>
      <c r="H205" s="102" t="s">
        <v>227</v>
      </c>
      <c r="I205" s="276"/>
      <c r="J205" s="344" t="str">
        <f t="shared" si="133"/>
        <v>10000010025300550</v>
      </c>
      <c r="K205" s="109">
        <v>2022</v>
      </c>
      <c r="L205" s="109" t="s">
        <v>348</v>
      </c>
      <c r="M205" s="109" t="s">
        <v>349</v>
      </c>
      <c r="N205" s="109" t="s">
        <v>350</v>
      </c>
      <c r="O205" s="12">
        <f>'2022 Budget &amp; CF'!J205</f>
        <v>227.21</v>
      </c>
      <c r="P205" s="12">
        <f>'2022 Budget &amp; CF'!K205</f>
        <v>0</v>
      </c>
      <c r="Q205" s="12">
        <f>'2022 Budget &amp; CF'!L205</f>
        <v>0</v>
      </c>
      <c r="R205" s="12">
        <f>'2022 Budget &amp; CF'!M205</f>
        <v>514.53</v>
      </c>
      <c r="S205" s="12">
        <f>'2022 Budget &amp; CF'!N205</f>
        <v>0</v>
      </c>
      <c r="T205" s="12">
        <f>'2022 Budget &amp; CF'!O205</f>
        <v>0</v>
      </c>
      <c r="U205" s="12">
        <f>'2022 Budget &amp; CF'!P205</f>
        <v>0</v>
      </c>
      <c r="V205" s="12">
        <f>'2022 Budget &amp; CF'!Q205</f>
        <v>0</v>
      </c>
      <c r="W205" s="12">
        <f>'2022 Budget &amp; CF'!R205</f>
        <v>0</v>
      </c>
      <c r="X205" s="12">
        <f>'2022 Budget &amp; CF'!S205</f>
        <v>0</v>
      </c>
      <c r="Y205" s="12">
        <f>'2022 Budget &amp; CF'!T205</f>
        <v>0</v>
      </c>
      <c r="Z205" s="12">
        <f>'2022 Budget &amp; CF'!U205</f>
        <v>0</v>
      </c>
      <c r="AA205" s="12">
        <f>'2022 Budget &amp; CF'!V205</f>
        <v>0</v>
      </c>
      <c r="AB205" s="12"/>
      <c r="AC205" s="121">
        <f t="shared" si="129"/>
        <v>741.74</v>
      </c>
      <c r="AD205" s="115">
        <f>'2022 Budget &amp; CF'!Z205</f>
        <v>2000</v>
      </c>
      <c r="AE205" s="117">
        <f t="shared" si="130"/>
        <v>1258.26</v>
      </c>
      <c r="AF205" s="117">
        <f t="shared" si="131"/>
        <v>104.855</v>
      </c>
    </row>
    <row r="206" spans="2:32" hidden="1" outlineLevel="1" x14ac:dyDescent="0.2">
      <c r="B206" s="762" t="s">
        <v>228</v>
      </c>
      <c r="C206" s="305"/>
      <c r="D206" s="132"/>
      <c r="E206" s="132"/>
      <c r="F206" s="132"/>
      <c r="G206" s="132"/>
      <c r="H206" s="306"/>
      <c r="I206" s="133"/>
      <c r="J206" s="343"/>
      <c r="K206" s="133"/>
      <c r="L206" s="133"/>
      <c r="M206" s="133"/>
      <c r="N206" s="13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>
        <f>'2022 Budget &amp; CF'!Z206</f>
        <v>0</v>
      </c>
      <c r="AE206" s="114"/>
      <c r="AF206" s="114"/>
    </row>
    <row r="207" spans="2:32" hidden="1" outlineLevel="1" x14ac:dyDescent="0.2">
      <c r="B207" s="763" t="s">
        <v>229</v>
      </c>
      <c r="C207" s="102">
        <f>'2022 Budget &amp; CF'!C207</f>
        <v>100</v>
      </c>
      <c r="D207" s="102" t="str">
        <f>'2022 Budget &amp; CF'!D207</f>
        <v>000</v>
      </c>
      <c r="E207" s="102"/>
      <c r="F207" s="102">
        <f>'2022 Budget &amp; CF'!F207</f>
        <v>100</v>
      </c>
      <c r="G207" s="102" t="s">
        <v>481</v>
      </c>
      <c r="H207" s="102" t="str">
        <f>'2022 Budget &amp; CF'!H207</f>
        <v>0410</v>
      </c>
      <c r="I207" s="101"/>
      <c r="J207" s="471" t="str">
        <f t="shared" ref="J207:J217" si="134">CONCATENATE(C207,D207,F207,G207,H207,I207)</f>
        <v>10000010026100410</v>
      </c>
      <c r="K207" s="109">
        <v>2022</v>
      </c>
      <c r="L207" s="109" t="s">
        <v>348</v>
      </c>
      <c r="M207" s="109" t="s">
        <v>349</v>
      </c>
      <c r="N207" s="109" t="s">
        <v>350</v>
      </c>
      <c r="O207" s="12">
        <f>'2022 Budget &amp; CF'!J207</f>
        <v>1401.95</v>
      </c>
      <c r="P207" s="12">
        <f>'2022 Budget &amp; CF'!K207</f>
        <v>852.7</v>
      </c>
      <c r="Q207" s="12">
        <f>'2022 Budget &amp; CF'!L207</f>
        <v>1040.55</v>
      </c>
      <c r="R207" s="12">
        <f>'2022 Budget &amp; CF'!M207</f>
        <v>1334.37</v>
      </c>
      <c r="S207" s="12">
        <f>'2022 Budget &amp; CF'!N207</f>
        <v>891.16000000000008</v>
      </c>
      <c r="T207" s="12">
        <f>'2022 Budget &amp; CF'!O207</f>
        <v>0</v>
      </c>
      <c r="U207" s="12">
        <f>'2022 Budget &amp; CF'!P207</f>
        <v>0</v>
      </c>
      <c r="V207" s="12">
        <f>'2022 Budget &amp; CF'!Q207</f>
        <v>0</v>
      </c>
      <c r="W207" s="12">
        <f>'2022 Budget &amp; CF'!R207</f>
        <v>0</v>
      </c>
      <c r="X207" s="12">
        <f>'2022 Budget &amp; CF'!S207</f>
        <v>0</v>
      </c>
      <c r="Y207" s="12">
        <f>'2022 Budget &amp; CF'!T207</f>
        <v>0</v>
      </c>
      <c r="Z207" s="12">
        <f>'2022 Budget &amp; CF'!U207</f>
        <v>0</v>
      </c>
      <c r="AA207" s="12">
        <f>'2022 Budget &amp; CF'!V207</f>
        <v>0</v>
      </c>
      <c r="AB207" s="12"/>
      <c r="AC207" s="121">
        <f t="shared" ref="AC207:AC217" si="135">SUM(O207:AA207)</f>
        <v>5520.73</v>
      </c>
      <c r="AD207" s="115">
        <f>'2022 Budget &amp; CF'!Z207</f>
        <v>8000</v>
      </c>
      <c r="AE207" s="117">
        <f t="shared" ref="AE207:AE217" si="136">AD207-AC207</f>
        <v>2479.2700000000004</v>
      </c>
      <c r="AF207" s="117">
        <f t="shared" ref="AF207:AF217" si="137">AE207/$AF$6</f>
        <v>206.60583333333338</v>
      </c>
    </row>
    <row r="208" spans="2:32" hidden="1" outlineLevel="1" x14ac:dyDescent="0.2">
      <c r="B208" s="763" t="s">
        <v>231</v>
      </c>
      <c r="C208" s="102">
        <f>'2022 Budget &amp; CF'!C208</f>
        <v>100</v>
      </c>
      <c r="D208" s="102" t="str">
        <f>'2022 Budget &amp; CF'!D208</f>
        <v>000</v>
      </c>
      <c r="E208" s="102"/>
      <c r="F208" s="102">
        <f>'2022 Budget &amp; CF'!F208</f>
        <v>100</v>
      </c>
      <c r="G208" s="102" t="s">
        <v>481</v>
      </c>
      <c r="H208" s="102" t="str">
        <f>'2022 Budget &amp; CF'!H208</f>
        <v>0421</v>
      </c>
      <c r="I208" s="101"/>
      <c r="J208" s="471" t="str">
        <f>CONCATENATE(C208,D208,F208,G208,H208,I208)</f>
        <v>10000010026100421</v>
      </c>
      <c r="K208" s="109">
        <v>2022</v>
      </c>
      <c r="L208" s="109" t="s">
        <v>348</v>
      </c>
      <c r="M208" s="109" t="s">
        <v>349</v>
      </c>
      <c r="N208" s="109" t="s">
        <v>350</v>
      </c>
      <c r="O208" s="12">
        <f>'2022 Budget &amp; CF'!J208</f>
        <v>561.28</v>
      </c>
      <c r="P208" s="12">
        <f>'2022 Budget &amp; CF'!K208</f>
        <v>0</v>
      </c>
      <c r="Q208" s="12">
        <f>'2022 Budget &amp; CF'!L208</f>
        <v>559.04999999999995</v>
      </c>
      <c r="R208" s="12">
        <f>'2022 Budget &amp; CF'!M208</f>
        <v>0</v>
      </c>
      <c r="S208" s="12">
        <f>'2022 Budget &amp; CF'!N208</f>
        <v>0</v>
      </c>
      <c r="T208" s="12">
        <f>'2022 Budget &amp; CF'!O208</f>
        <v>0</v>
      </c>
      <c r="U208" s="12">
        <f>'2022 Budget &amp; CF'!P208</f>
        <v>0</v>
      </c>
      <c r="V208" s="12">
        <f>'2022 Budget &amp; CF'!Q208</f>
        <v>0</v>
      </c>
      <c r="W208" s="12">
        <f>'2022 Budget &amp; CF'!R208</f>
        <v>0</v>
      </c>
      <c r="X208" s="12">
        <f>'2022 Budget &amp; CF'!S208</f>
        <v>0</v>
      </c>
      <c r="Y208" s="12">
        <f>'2022 Budget &amp; CF'!T208</f>
        <v>0</v>
      </c>
      <c r="Z208" s="12">
        <f>'2022 Budget &amp; CF'!U208</f>
        <v>0</v>
      </c>
      <c r="AA208" s="12">
        <f>'2022 Budget &amp; CF'!V208</f>
        <v>0</v>
      </c>
      <c r="AB208" s="12"/>
      <c r="AC208" s="121">
        <f t="shared" si="135"/>
        <v>1120.33</v>
      </c>
      <c r="AD208" s="115">
        <f>'2022 Budget &amp; CF'!Z208</f>
        <v>8400</v>
      </c>
      <c r="AE208" s="117">
        <f t="shared" si="136"/>
        <v>7279.67</v>
      </c>
      <c r="AF208" s="117">
        <f t="shared" si="137"/>
        <v>606.63916666666671</v>
      </c>
    </row>
    <row r="209" spans="2:32" hidden="1" outlineLevel="1" x14ac:dyDescent="0.2">
      <c r="B209" s="763" t="s">
        <v>233</v>
      </c>
      <c r="C209" s="102">
        <f>'2022 Budget &amp; CF'!C209</f>
        <v>100</v>
      </c>
      <c r="D209" s="102" t="str">
        <f>'2022 Budget &amp; CF'!D209</f>
        <v>000</v>
      </c>
      <c r="E209" s="102"/>
      <c r="F209" s="102">
        <f>'2022 Budget &amp; CF'!F209</f>
        <v>100</v>
      </c>
      <c r="G209" s="102" t="s">
        <v>528</v>
      </c>
      <c r="H209" s="104" t="s">
        <v>234</v>
      </c>
      <c r="I209" s="101"/>
      <c r="J209" s="471" t="str">
        <f t="shared" si="134"/>
        <v>10000010026200422</v>
      </c>
      <c r="K209" s="109">
        <v>2022</v>
      </c>
      <c r="L209" s="109" t="s">
        <v>348</v>
      </c>
      <c r="M209" s="109" t="s">
        <v>349</v>
      </c>
      <c r="N209" s="109" t="s">
        <v>350</v>
      </c>
      <c r="O209" s="12">
        <f>'2022 Budget &amp; CF'!J209</f>
        <v>355</v>
      </c>
      <c r="P209" s="12">
        <f>'2022 Budget &amp; CF'!K209</f>
        <v>1517</v>
      </c>
      <c r="Q209" s="12">
        <f>'2022 Budget &amp; CF'!L209</f>
        <v>1517</v>
      </c>
      <c r="R209" s="12">
        <f>'2022 Budget &amp; CF'!M209</f>
        <v>1517</v>
      </c>
      <c r="S209" s="12">
        <f>'2022 Budget &amp; CF'!N209</f>
        <v>2092</v>
      </c>
      <c r="T209" s="12">
        <f>'2022 Budget &amp; CF'!O209</f>
        <v>0</v>
      </c>
      <c r="U209" s="12">
        <f>'2022 Budget &amp; CF'!P209</f>
        <v>0</v>
      </c>
      <c r="V209" s="12">
        <f>'2022 Budget &amp; CF'!Q209</f>
        <v>0</v>
      </c>
      <c r="W209" s="12">
        <f>'2022 Budget &amp; CF'!R209</f>
        <v>0</v>
      </c>
      <c r="X209" s="12">
        <f>'2022 Budget &amp; CF'!S209</f>
        <v>0</v>
      </c>
      <c r="Y209" s="12">
        <f>'2022 Budget &amp; CF'!T209</f>
        <v>0</v>
      </c>
      <c r="Z209" s="12">
        <f>'2022 Budget &amp; CF'!U209</f>
        <v>0</v>
      </c>
      <c r="AA209" s="12">
        <f>'2022 Budget &amp; CF'!V209</f>
        <v>0</v>
      </c>
      <c r="AB209" s="12"/>
      <c r="AC209" s="121">
        <f t="shared" si="135"/>
        <v>6998</v>
      </c>
      <c r="AD209" s="115">
        <f>'2022 Budget &amp; CF'!Z209</f>
        <v>36290</v>
      </c>
      <c r="AE209" s="117">
        <f t="shared" si="136"/>
        <v>29292</v>
      </c>
      <c r="AF209" s="117">
        <f t="shared" si="137"/>
        <v>2441</v>
      </c>
    </row>
    <row r="210" spans="2:32" hidden="1" outlineLevel="1" x14ac:dyDescent="0.2">
      <c r="B210" s="763" t="s">
        <v>821</v>
      </c>
      <c r="C210" s="102">
        <f>'2022 Budget &amp; CF'!C210</f>
        <v>100</v>
      </c>
      <c r="D210" s="102" t="str">
        <f>'2022 Budget &amp; CF'!D210</f>
        <v>000</v>
      </c>
      <c r="E210" s="102"/>
      <c r="F210" s="102">
        <f>'2022 Budget &amp; CF'!F210</f>
        <v>100</v>
      </c>
      <c r="G210" s="102" t="s">
        <v>481</v>
      </c>
      <c r="H210" s="104" t="s">
        <v>480</v>
      </c>
      <c r="I210" s="101"/>
      <c r="J210" s="471" t="str">
        <f t="shared" si="134"/>
        <v>10000010026100430</v>
      </c>
      <c r="K210" s="109">
        <v>2022</v>
      </c>
      <c r="L210" s="109" t="s">
        <v>348</v>
      </c>
      <c r="M210" s="109" t="s">
        <v>349</v>
      </c>
      <c r="N210" s="109" t="s">
        <v>350</v>
      </c>
      <c r="O210" s="12">
        <f>'2022 Budget &amp; CF'!J210</f>
        <v>76.3</v>
      </c>
      <c r="P210" s="12">
        <f>'2022 Budget &amp; CF'!K210</f>
        <v>76.3</v>
      </c>
      <c r="Q210" s="12">
        <f>'2022 Budget &amp; CF'!L210</f>
        <v>76.3</v>
      </c>
      <c r="R210" s="12">
        <f>'2022 Budget &amp; CF'!M210</f>
        <v>76.3</v>
      </c>
      <c r="S210" s="12">
        <f>'2022 Budget &amp; CF'!N210</f>
        <v>76.3</v>
      </c>
      <c r="T210" s="12">
        <f>'2022 Budget &amp; CF'!O210</f>
        <v>0</v>
      </c>
      <c r="U210" s="12">
        <f>'2022 Budget &amp; CF'!P210</f>
        <v>0</v>
      </c>
      <c r="V210" s="12">
        <f>'2022 Budget &amp; CF'!Q210</f>
        <v>0</v>
      </c>
      <c r="W210" s="12">
        <f>'2022 Budget &amp; CF'!R210</f>
        <v>0</v>
      </c>
      <c r="X210" s="12">
        <f>'2022 Budget &amp; CF'!S210</f>
        <v>0</v>
      </c>
      <c r="Y210" s="12">
        <f>'2022 Budget &amp; CF'!T210</f>
        <v>0</v>
      </c>
      <c r="Z210" s="12">
        <f>'2022 Budget &amp; CF'!U210</f>
        <v>0</v>
      </c>
      <c r="AA210" s="12">
        <f>'2022 Budget &amp; CF'!V210</f>
        <v>0</v>
      </c>
      <c r="AB210" s="12"/>
      <c r="AC210" s="121">
        <f t="shared" si="135"/>
        <v>381.5</v>
      </c>
      <c r="AD210" s="115">
        <f>'2022 Budget &amp; CF'!Z210</f>
        <v>1680</v>
      </c>
      <c r="AE210" s="117">
        <f t="shared" si="136"/>
        <v>1298.5</v>
      </c>
      <c r="AF210" s="117">
        <f t="shared" si="137"/>
        <v>108.20833333333333</v>
      </c>
    </row>
    <row r="211" spans="2:32" hidden="1" outlineLevel="1" x14ac:dyDescent="0.2">
      <c r="B211" s="763" t="s">
        <v>822</v>
      </c>
      <c r="C211" s="102">
        <f>'2022 Budget &amp; CF'!C211</f>
        <v>100</v>
      </c>
      <c r="D211" s="102" t="str">
        <f>'2022 Budget &amp; CF'!D211</f>
        <v>000</v>
      </c>
      <c r="E211" s="102"/>
      <c r="F211" s="102" t="s">
        <v>468</v>
      </c>
      <c r="G211" s="102" t="s">
        <v>528</v>
      </c>
      <c r="H211" s="104" t="s">
        <v>480</v>
      </c>
      <c r="I211" s="101"/>
      <c r="J211" s="344" t="str">
        <f t="shared" ref="J211:J214" si="138">CONCATENATE(C211,D211,F211,G211,H211,I211)</f>
        <v>10000010026200430</v>
      </c>
      <c r="K211" s="109">
        <v>2022</v>
      </c>
      <c r="L211" s="109" t="s">
        <v>348</v>
      </c>
      <c r="M211" s="109" t="s">
        <v>349</v>
      </c>
      <c r="N211" s="109" t="s">
        <v>350</v>
      </c>
      <c r="O211" s="12">
        <f>'2022 Budget &amp; CF'!J211</f>
        <v>360</v>
      </c>
      <c r="P211" s="12">
        <f>'2022 Budget &amp; CF'!K211</f>
        <v>0</v>
      </c>
      <c r="Q211" s="12">
        <f>'2022 Budget &amp; CF'!L211</f>
        <v>0</v>
      </c>
      <c r="R211" s="12">
        <f>'2022 Budget &amp; CF'!M211</f>
        <v>0</v>
      </c>
      <c r="S211" s="12">
        <f>'2022 Budget &amp; CF'!N211</f>
        <v>0</v>
      </c>
      <c r="T211" s="12">
        <f>'2022 Budget &amp; CF'!O211</f>
        <v>0</v>
      </c>
      <c r="U211" s="12">
        <f>'2022 Budget &amp; CF'!P211</f>
        <v>0</v>
      </c>
      <c r="V211" s="12">
        <f>'2022 Budget &amp; CF'!Q211</f>
        <v>0</v>
      </c>
      <c r="W211" s="12">
        <f>'2022 Budget &amp; CF'!R211</f>
        <v>0</v>
      </c>
      <c r="X211" s="12">
        <f>'2022 Budget &amp; CF'!S211</f>
        <v>0</v>
      </c>
      <c r="Y211" s="12">
        <f>'2022 Budget &amp; CF'!T211</f>
        <v>0</v>
      </c>
      <c r="Z211" s="12">
        <f>'2022 Budget &amp; CF'!U211</f>
        <v>0</v>
      </c>
      <c r="AA211" s="12">
        <f>'2022 Budget &amp; CF'!V211</f>
        <v>0</v>
      </c>
      <c r="AB211" s="12"/>
      <c r="AC211" s="121">
        <f t="shared" si="135"/>
        <v>360</v>
      </c>
      <c r="AD211" s="115">
        <f>'2022 Budget &amp; CF'!Z211</f>
        <v>10000</v>
      </c>
      <c r="AE211" s="117">
        <f t="shared" si="136"/>
        <v>9640</v>
      </c>
      <c r="AF211" s="117">
        <f t="shared" si="137"/>
        <v>803.33333333333337</v>
      </c>
    </row>
    <row r="212" spans="2:32" outlineLevel="1" x14ac:dyDescent="0.2">
      <c r="B212" s="763" t="s">
        <v>1301</v>
      </c>
      <c r="C212" s="102">
        <f>'2022 Budget &amp; CF'!C212</f>
        <v>100</v>
      </c>
      <c r="D212" s="102" t="str">
        <f>'2022 Budget &amp; CF'!D212</f>
        <v>000</v>
      </c>
      <c r="E212" s="102"/>
      <c r="F212" s="102" t="s">
        <v>468</v>
      </c>
      <c r="G212" s="102" t="s">
        <v>1300</v>
      </c>
      <c r="H212" s="104" t="s">
        <v>480</v>
      </c>
      <c r="I212" s="101"/>
      <c r="J212" s="344"/>
      <c r="K212" s="109"/>
      <c r="L212" s="109"/>
      <c r="M212" s="109"/>
      <c r="N212" s="109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1"/>
      <c r="AD212" s="115"/>
      <c r="AE212" s="117"/>
      <c r="AF212" s="117"/>
    </row>
    <row r="213" spans="2:32" hidden="1" outlineLevel="1" x14ac:dyDescent="0.2">
      <c r="B213" s="763" t="s">
        <v>823</v>
      </c>
      <c r="C213" s="102">
        <f>'2022 Budget &amp; CF'!C213</f>
        <v>100</v>
      </c>
      <c r="D213" s="102" t="str">
        <f>'2022 Budget &amp; CF'!D213</f>
        <v>000</v>
      </c>
      <c r="E213" s="102"/>
      <c r="F213" s="102" t="s">
        <v>468</v>
      </c>
      <c r="G213" s="102" t="s">
        <v>540</v>
      </c>
      <c r="H213" s="104" t="s">
        <v>480</v>
      </c>
      <c r="I213" s="101"/>
      <c r="J213" s="344" t="str">
        <f t="shared" si="138"/>
        <v>10000010026400430</v>
      </c>
      <c r="K213" s="109">
        <v>2022</v>
      </c>
      <c r="L213" s="109" t="s">
        <v>348</v>
      </c>
      <c r="M213" s="109" t="s">
        <v>349</v>
      </c>
      <c r="N213" s="109" t="s">
        <v>350</v>
      </c>
      <c r="O213" s="12">
        <f>'2022 Budget &amp; CF'!J213</f>
        <v>0</v>
      </c>
      <c r="P213" s="12">
        <f>'2022 Budget &amp; CF'!K213</f>
        <v>560</v>
      </c>
      <c r="Q213" s="12">
        <f>'2022 Budget &amp; CF'!L213</f>
        <v>280</v>
      </c>
      <c r="R213" s="12">
        <f>'2022 Budget &amp; CF'!M213</f>
        <v>0</v>
      </c>
      <c r="S213" s="12">
        <f>'2022 Budget &amp; CF'!N213</f>
        <v>0</v>
      </c>
      <c r="T213" s="12">
        <f>'2022 Budget &amp; CF'!O213</f>
        <v>0</v>
      </c>
      <c r="U213" s="12">
        <f>'2022 Budget &amp; CF'!P213</f>
        <v>0</v>
      </c>
      <c r="V213" s="12">
        <f>'2022 Budget &amp; CF'!Q213</f>
        <v>0</v>
      </c>
      <c r="W213" s="12">
        <f>'2022 Budget &amp; CF'!R213</f>
        <v>0</v>
      </c>
      <c r="X213" s="12">
        <f>'2022 Budget &amp; CF'!S213</f>
        <v>0</v>
      </c>
      <c r="Y213" s="12">
        <f>'2022 Budget &amp; CF'!T213</f>
        <v>0</v>
      </c>
      <c r="Z213" s="12">
        <f>'2022 Budget &amp; CF'!U213</f>
        <v>0</v>
      </c>
      <c r="AA213" s="12">
        <f>'2022 Budget &amp; CF'!V213</f>
        <v>0</v>
      </c>
      <c r="AB213" s="12"/>
      <c r="AC213" s="121">
        <f t="shared" si="135"/>
        <v>840</v>
      </c>
      <c r="AD213" s="115">
        <f>'2022 Budget &amp; CF'!Z213</f>
        <v>840</v>
      </c>
      <c r="AE213" s="117">
        <f t="shared" si="136"/>
        <v>0</v>
      </c>
      <c r="AF213" s="117">
        <f t="shared" si="137"/>
        <v>0</v>
      </c>
    </row>
    <row r="214" spans="2:32" hidden="1" outlineLevel="1" x14ac:dyDescent="0.2">
      <c r="B214" s="763" t="s">
        <v>820</v>
      </c>
      <c r="C214" s="102">
        <v>100</v>
      </c>
      <c r="D214" s="102" t="s">
        <v>145</v>
      </c>
      <c r="E214" s="102"/>
      <c r="F214" s="102">
        <v>100</v>
      </c>
      <c r="G214" s="102" t="s">
        <v>542</v>
      </c>
      <c r="H214" s="104" t="s">
        <v>480</v>
      </c>
      <c r="I214" s="101"/>
      <c r="J214" s="344" t="str">
        <f t="shared" si="138"/>
        <v>10000010026700430</v>
      </c>
      <c r="K214" s="109">
        <v>2022</v>
      </c>
      <c r="L214" s="109" t="s">
        <v>348</v>
      </c>
      <c r="M214" s="109" t="s">
        <v>349</v>
      </c>
      <c r="N214" s="109" t="s">
        <v>350</v>
      </c>
      <c r="O214" s="12">
        <f>'2022 Budget &amp; CF'!J214</f>
        <v>0</v>
      </c>
      <c r="P214" s="12">
        <f>'2022 Budget &amp; CF'!K214</f>
        <v>0</v>
      </c>
      <c r="Q214" s="12">
        <f>'2022 Budget &amp; CF'!L214</f>
        <v>0</v>
      </c>
      <c r="R214" s="12">
        <f>'2022 Budget &amp; CF'!M214</f>
        <v>0</v>
      </c>
      <c r="S214" s="12">
        <f>'2022 Budget &amp; CF'!N214</f>
        <v>0</v>
      </c>
      <c r="T214" s="12">
        <f>'2022 Budget &amp; CF'!O214</f>
        <v>0</v>
      </c>
      <c r="U214" s="12">
        <f>'2022 Budget &amp; CF'!P214</f>
        <v>0</v>
      </c>
      <c r="V214" s="12">
        <f>'2022 Budget &amp; CF'!Q214</f>
        <v>0</v>
      </c>
      <c r="W214" s="12">
        <f>'2022 Budget &amp; CF'!R214</f>
        <v>0</v>
      </c>
      <c r="X214" s="12">
        <f>'2022 Budget &amp; CF'!S214</f>
        <v>0</v>
      </c>
      <c r="Y214" s="12">
        <f>'2022 Budget &amp; CF'!T214</f>
        <v>0</v>
      </c>
      <c r="Z214" s="12">
        <f>'2022 Budget &amp; CF'!U214</f>
        <v>0</v>
      </c>
      <c r="AA214" s="12">
        <f>'2022 Budget &amp; CF'!V214</f>
        <v>0</v>
      </c>
      <c r="AB214" s="12"/>
      <c r="AC214" s="121">
        <f t="shared" si="135"/>
        <v>0</v>
      </c>
      <c r="AD214" s="115">
        <f>'2022 Budget &amp; CF'!Z214</f>
        <v>563</v>
      </c>
      <c r="AE214" s="117">
        <f t="shared" si="136"/>
        <v>563</v>
      </c>
      <c r="AF214" s="117">
        <f t="shared" si="137"/>
        <v>46.916666666666664</v>
      </c>
    </row>
    <row r="215" spans="2:32" hidden="1" outlineLevel="1" x14ac:dyDescent="0.2">
      <c r="B215" s="763" t="s">
        <v>235</v>
      </c>
      <c r="C215" s="102">
        <f>'2022 Budget &amp; CF'!C215</f>
        <v>100</v>
      </c>
      <c r="D215" s="102" t="str">
        <f>'2022 Budget &amp; CF'!D215</f>
        <v>000</v>
      </c>
      <c r="E215" s="102"/>
      <c r="F215" s="102">
        <f>'2022 Budget &amp; CF'!F215</f>
        <v>100</v>
      </c>
      <c r="G215" s="102" t="s">
        <v>481</v>
      </c>
      <c r="H215" s="102" t="str">
        <f>'2022 Budget &amp; CF'!H215</f>
        <v>0441</v>
      </c>
      <c r="I215" s="101"/>
      <c r="J215" s="344" t="str">
        <f t="shared" si="134"/>
        <v>10000010026100441</v>
      </c>
      <c r="K215" s="109">
        <v>2022</v>
      </c>
      <c r="L215" s="109" t="s">
        <v>348</v>
      </c>
      <c r="M215" s="109" t="s">
        <v>349</v>
      </c>
      <c r="N215" s="109" t="s">
        <v>350</v>
      </c>
      <c r="O215" s="12">
        <f>'2022 Budget &amp; CF'!J215</f>
        <v>14046.08</v>
      </c>
      <c r="P215" s="12">
        <f>'2022 Budget &amp; CF'!K215</f>
        <v>28469.919999999998</v>
      </c>
      <c r="Q215" s="12">
        <f>'2022 Budget &amp; CF'!L215</f>
        <v>177</v>
      </c>
      <c r="R215" s="12">
        <f>'2022 Budget &amp; CF'!M215</f>
        <v>14323.46</v>
      </c>
      <c r="S215" s="12">
        <f>'2022 Budget &amp; CF'!N215</f>
        <v>14323.46</v>
      </c>
      <c r="T215" s="12">
        <f>'2022 Budget &amp; CF'!O215</f>
        <v>0</v>
      </c>
      <c r="U215" s="12">
        <f>'2022 Budget &amp; CF'!P215</f>
        <v>0</v>
      </c>
      <c r="V215" s="12">
        <f>'2022 Budget &amp; CF'!Q215</f>
        <v>0</v>
      </c>
      <c r="W215" s="12">
        <f>'2022 Budget &amp; CF'!R215</f>
        <v>0</v>
      </c>
      <c r="X215" s="12">
        <f>'2022 Budget &amp; CF'!S215</f>
        <v>0</v>
      </c>
      <c r="Y215" s="12">
        <f>'2022 Budget &amp; CF'!T215</f>
        <v>0</v>
      </c>
      <c r="Z215" s="12">
        <f>'2022 Budget &amp; CF'!U215</f>
        <v>0</v>
      </c>
      <c r="AA215" s="12">
        <f>'2022 Budget &amp; CF'!V215</f>
        <v>0</v>
      </c>
      <c r="AB215" s="12"/>
      <c r="AC215" s="121">
        <f t="shared" si="135"/>
        <v>71339.92</v>
      </c>
      <c r="AD215" s="115">
        <f>'2022 Budget &amp; CF'!Z215</f>
        <v>169758</v>
      </c>
      <c r="AE215" s="117">
        <f t="shared" si="136"/>
        <v>98418.08</v>
      </c>
      <c r="AF215" s="117">
        <f t="shared" si="137"/>
        <v>8201.5066666666662</v>
      </c>
    </row>
    <row r="216" spans="2:32" hidden="1" outlineLevel="1" x14ac:dyDescent="0.2">
      <c r="B216" s="763" t="s">
        <v>482</v>
      </c>
      <c r="C216" s="102">
        <f>'2022 Budget &amp; CF'!C216</f>
        <v>100</v>
      </c>
      <c r="D216" s="102" t="str">
        <f>'2022 Budget &amp; CF'!D216</f>
        <v>000</v>
      </c>
      <c r="E216" s="102"/>
      <c r="F216" s="102">
        <f>'2022 Budget &amp; CF'!F216</f>
        <v>100</v>
      </c>
      <c r="G216" s="102" t="s">
        <v>524</v>
      </c>
      <c r="H216" s="104" t="s">
        <v>219</v>
      </c>
      <c r="I216" s="101"/>
      <c r="J216" s="344" t="str">
        <f t="shared" si="134"/>
        <v>10000010026900442</v>
      </c>
      <c r="K216" s="109">
        <v>2022</v>
      </c>
      <c r="L216" s="109" t="s">
        <v>348</v>
      </c>
      <c r="M216" s="109" t="s">
        <v>349</v>
      </c>
      <c r="N216" s="109" t="s">
        <v>350</v>
      </c>
      <c r="O216" s="12">
        <f>'2022 Budget &amp; CF'!J216</f>
        <v>210</v>
      </c>
      <c r="P216" s="12">
        <f>'2022 Budget &amp; CF'!K216</f>
        <v>210</v>
      </c>
      <c r="Q216" s="12">
        <f>'2022 Budget &amp; CF'!L216</f>
        <v>210</v>
      </c>
      <c r="R216" s="12">
        <f>'2022 Budget &amp; CF'!M216</f>
        <v>210</v>
      </c>
      <c r="S216" s="12">
        <f>'2022 Budget &amp; CF'!N216</f>
        <v>210</v>
      </c>
      <c r="T216" s="12">
        <f>'2022 Budget &amp; CF'!O216</f>
        <v>0</v>
      </c>
      <c r="U216" s="12">
        <f>'2022 Budget &amp; CF'!P216</f>
        <v>0</v>
      </c>
      <c r="V216" s="12">
        <f>'2022 Budget &amp; CF'!Q216</f>
        <v>0</v>
      </c>
      <c r="W216" s="12">
        <f>'2022 Budget &amp; CF'!R216</f>
        <v>0</v>
      </c>
      <c r="X216" s="12">
        <f>'2022 Budget &amp; CF'!S216</f>
        <v>0</v>
      </c>
      <c r="Y216" s="12">
        <f>'2022 Budget &amp; CF'!T216</f>
        <v>0</v>
      </c>
      <c r="Z216" s="12">
        <f>'2022 Budget &amp; CF'!U216</f>
        <v>0</v>
      </c>
      <c r="AA216" s="12">
        <f>'2022 Budget &amp; CF'!V216</f>
        <v>0</v>
      </c>
      <c r="AB216" s="12"/>
      <c r="AC216" s="121">
        <f t="shared" si="135"/>
        <v>1050</v>
      </c>
      <c r="AD216" s="115">
        <f>'2022 Budget &amp; CF'!Z216</f>
        <v>2520</v>
      </c>
      <c r="AE216" s="117">
        <f t="shared" si="136"/>
        <v>1470</v>
      </c>
      <c r="AF216" s="117">
        <f t="shared" si="137"/>
        <v>122.5</v>
      </c>
    </row>
    <row r="217" spans="2:32" hidden="1" outlineLevel="1" x14ac:dyDescent="0.2">
      <c r="B217" s="763" t="s">
        <v>237</v>
      </c>
      <c r="C217" s="102">
        <f>'2022 Budget &amp; CF'!C217</f>
        <v>100</v>
      </c>
      <c r="D217" s="102" t="str">
        <f>'2022 Budget &amp; CF'!D217</f>
        <v>000</v>
      </c>
      <c r="E217" s="102"/>
      <c r="F217" s="102">
        <f>'2022 Budget &amp; CF'!F217</f>
        <v>100</v>
      </c>
      <c r="G217" s="102" t="s">
        <v>481</v>
      </c>
      <c r="H217" s="102" t="str">
        <f>'2022 Budget &amp; CF'!H217</f>
        <v>0520</v>
      </c>
      <c r="I217" s="101"/>
      <c r="J217" s="344" t="str">
        <f t="shared" si="134"/>
        <v>10000010026100520</v>
      </c>
      <c r="K217" s="109">
        <v>2022</v>
      </c>
      <c r="L217" s="109" t="s">
        <v>348</v>
      </c>
      <c r="M217" s="109" t="s">
        <v>349</v>
      </c>
      <c r="N217" s="109" t="s">
        <v>350</v>
      </c>
      <c r="O217" s="12">
        <f>'2022 Budget &amp; CF'!J217</f>
        <v>3336</v>
      </c>
      <c r="P217" s="12">
        <f>'2022 Budget &amp; CF'!K217</f>
        <v>5696.73</v>
      </c>
      <c r="Q217" s="12">
        <f>'2022 Budget &amp; CF'!L217</f>
        <v>0</v>
      </c>
      <c r="R217" s="12">
        <f>'2022 Budget &amp; CF'!M217</f>
        <v>51296</v>
      </c>
      <c r="S217" s="12">
        <f>'2022 Budget &amp; CF'!N217</f>
        <v>0</v>
      </c>
      <c r="T217" s="12">
        <f>'2022 Budget &amp; CF'!O217</f>
        <v>0</v>
      </c>
      <c r="U217" s="12">
        <f>'2022 Budget &amp; CF'!P217</f>
        <v>0</v>
      </c>
      <c r="V217" s="12">
        <f>'2022 Budget &amp; CF'!Q217</f>
        <v>0</v>
      </c>
      <c r="W217" s="12">
        <f>'2022 Budget &amp; CF'!R217</f>
        <v>0</v>
      </c>
      <c r="X217" s="12">
        <f>'2022 Budget &amp; CF'!S217</f>
        <v>0</v>
      </c>
      <c r="Y217" s="12">
        <f>'2022 Budget &amp; CF'!T217</f>
        <v>0</v>
      </c>
      <c r="Z217" s="12">
        <f>'2022 Budget &amp; CF'!U217</f>
        <v>0</v>
      </c>
      <c r="AA217" s="12">
        <f>'2022 Budget &amp; CF'!V217</f>
        <v>0</v>
      </c>
      <c r="AB217" s="12"/>
      <c r="AC217" s="121">
        <f t="shared" si="135"/>
        <v>60328.729999999996</v>
      </c>
      <c r="AD217" s="115">
        <f>'2022 Budget &amp; CF'!Z217</f>
        <v>64034</v>
      </c>
      <c r="AE217" s="117">
        <f t="shared" si="136"/>
        <v>3705.2700000000041</v>
      </c>
      <c r="AF217" s="117">
        <f t="shared" si="137"/>
        <v>308.77250000000032</v>
      </c>
    </row>
    <row r="218" spans="2:32" hidden="1" outlineLevel="1" x14ac:dyDescent="0.2">
      <c r="B218" s="762" t="s">
        <v>239</v>
      </c>
      <c r="C218" s="305"/>
      <c r="D218" s="132"/>
      <c r="E218" s="132"/>
      <c r="F218" s="132"/>
      <c r="G218" s="132"/>
      <c r="H218" s="306"/>
      <c r="I218" s="133"/>
      <c r="J218" s="343"/>
      <c r="K218" s="133"/>
      <c r="L218" s="133"/>
      <c r="M218" s="133"/>
      <c r="N218" s="13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>
        <f>'2022 Budget &amp; CF'!Z218</f>
        <v>0</v>
      </c>
      <c r="AE218" s="114"/>
      <c r="AF218" s="114"/>
    </row>
    <row r="219" spans="2:32" hidden="1" outlineLevel="1" x14ac:dyDescent="0.2">
      <c r="B219" s="763" t="s">
        <v>239</v>
      </c>
      <c r="C219" s="102">
        <f>'2022 Budget &amp; CF'!C219</f>
        <v>100</v>
      </c>
      <c r="D219" s="102" t="str">
        <f>'2022 Budget &amp; CF'!D219</f>
        <v>000</v>
      </c>
      <c r="E219" s="102"/>
      <c r="F219" s="102">
        <f>'2022 Budget &amp; CF'!F219</f>
        <v>100</v>
      </c>
      <c r="G219" s="102">
        <f>'2022 Budget &amp; CF'!G219</f>
        <v>2700</v>
      </c>
      <c r="H219" s="102" t="str">
        <f>'2022 Budget &amp; CF'!H219</f>
        <v>0510</v>
      </c>
      <c r="I219" s="101"/>
      <c r="J219" s="344" t="s">
        <v>1208</v>
      </c>
      <c r="K219" s="109">
        <v>2022</v>
      </c>
      <c r="L219" s="109" t="s">
        <v>348</v>
      </c>
      <c r="M219" s="109" t="s">
        <v>349</v>
      </c>
      <c r="N219" s="109" t="s">
        <v>350</v>
      </c>
      <c r="O219" s="12">
        <f>'2022 Budget &amp; CF'!J219</f>
        <v>0</v>
      </c>
      <c r="P219" s="12">
        <f>'2022 Budget &amp; CF'!K219</f>
        <v>0</v>
      </c>
      <c r="Q219" s="12">
        <f>'2022 Budget &amp; CF'!L219</f>
        <v>0</v>
      </c>
      <c r="R219" s="12">
        <f>'2022 Budget &amp; CF'!M219</f>
        <v>0</v>
      </c>
      <c r="S219" s="12">
        <f>'2022 Budget &amp; CF'!N219</f>
        <v>0</v>
      </c>
      <c r="T219" s="12">
        <f>'2022 Budget &amp; CF'!O219</f>
        <v>0</v>
      </c>
      <c r="U219" s="12">
        <f>'2022 Budget &amp; CF'!P219</f>
        <v>0</v>
      </c>
      <c r="V219" s="12">
        <f>'2022 Budget &amp; CF'!Q219</f>
        <v>0</v>
      </c>
      <c r="W219" s="12">
        <f>'2022 Budget &amp; CF'!R219</f>
        <v>0</v>
      </c>
      <c r="X219" s="12">
        <f>'2022 Budget &amp; CF'!S219</f>
        <v>0</v>
      </c>
      <c r="Y219" s="12">
        <f>'2022 Budget &amp; CF'!T219</f>
        <v>0</v>
      </c>
      <c r="Z219" s="12">
        <f>'2022 Budget &amp; CF'!U219</f>
        <v>0</v>
      </c>
      <c r="AA219" s="12">
        <f>'2022 Budget &amp; CF'!V219</f>
        <v>0</v>
      </c>
      <c r="AB219" s="12"/>
      <c r="AC219" s="121">
        <f t="shared" ref="AC219" si="139">SUM(O219:AA219)</f>
        <v>0</v>
      </c>
      <c r="AD219" s="115">
        <f>'2022 Budget &amp; CF'!Z219</f>
        <v>50000</v>
      </c>
      <c r="AE219" s="117">
        <f t="shared" ref="AE219" si="140">AD219-AC219</f>
        <v>50000</v>
      </c>
      <c r="AF219" s="117">
        <f t="shared" ref="AF219" si="141">AE219/$AF$6</f>
        <v>4166.666666666667</v>
      </c>
    </row>
    <row r="220" spans="2:32" hidden="1" outlineLevel="1" x14ac:dyDescent="0.2">
      <c r="B220" s="762" t="s">
        <v>525</v>
      </c>
      <c r="C220" s="305"/>
      <c r="D220" s="132"/>
      <c r="E220" s="132"/>
      <c r="F220" s="132"/>
      <c r="G220" s="132"/>
      <c r="H220" s="306"/>
      <c r="I220" s="133"/>
      <c r="J220" s="343"/>
      <c r="K220" s="133"/>
      <c r="L220" s="133"/>
      <c r="M220" s="133"/>
      <c r="N220" s="13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>
        <f>'2022 Budget &amp; CF'!Z220</f>
        <v>0</v>
      </c>
      <c r="AE220" s="114"/>
      <c r="AF220" s="114"/>
    </row>
    <row r="221" spans="2:32" hidden="1" outlineLevel="1" x14ac:dyDescent="0.2">
      <c r="B221" s="763" t="s">
        <v>527</v>
      </c>
      <c r="C221" s="102">
        <f>'2022 Budget &amp; CF'!C221</f>
        <v>100</v>
      </c>
      <c r="D221" s="102" t="str">
        <f>'2022 Budget &amp; CF'!D221</f>
        <v>000</v>
      </c>
      <c r="E221" s="102"/>
      <c r="F221" s="102">
        <f>'2022 Budget &amp; CF'!F221</f>
        <v>100</v>
      </c>
      <c r="G221" s="102" t="s">
        <v>526</v>
      </c>
      <c r="H221" s="102" t="s">
        <v>480</v>
      </c>
      <c r="I221" s="101"/>
      <c r="J221" s="344" t="s">
        <v>1209</v>
      </c>
      <c r="K221" s="109">
        <v>2022</v>
      </c>
      <c r="L221" s="109" t="s">
        <v>348</v>
      </c>
      <c r="M221" s="109" t="s">
        <v>349</v>
      </c>
      <c r="N221" s="109" t="s">
        <v>350</v>
      </c>
      <c r="O221" s="12">
        <f>'2022 Budget &amp; CF'!J221</f>
        <v>0</v>
      </c>
      <c r="P221" s="12">
        <f>'2022 Budget &amp; CF'!K221</f>
        <v>0</v>
      </c>
      <c r="Q221" s="12">
        <f>'2022 Budget &amp; CF'!L221</f>
        <v>0</v>
      </c>
      <c r="R221" s="12">
        <f>'2022 Budget &amp; CF'!M221</f>
        <v>0</v>
      </c>
      <c r="S221" s="12">
        <f>'2022 Budget &amp; CF'!N221</f>
        <v>0</v>
      </c>
      <c r="T221" s="12">
        <f>'2022 Budget &amp; CF'!O221</f>
        <v>0</v>
      </c>
      <c r="U221" s="12">
        <f>'2022 Budget &amp; CF'!P221</f>
        <v>0</v>
      </c>
      <c r="V221" s="12">
        <f>'2022 Budget &amp; CF'!Q221</f>
        <v>0</v>
      </c>
      <c r="W221" s="12">
        <f>'2022 Budget &amp; CF'!R221</f>
        <v>0</v>
      </c>
      <c r="X221" s="12">
        <f>'2022 Budget &amp; CF'!S221</f>
        <v>0</v>
      </c>
      <c r="Y221" s="12">
        <f>'2022 Budget &amp; CF'!T221</f>
        <v>0</v>
      </c>
      <c r="Z221" s="12">
        <f>'2022 Budget &amp; CF'!U221</f>
        <v>0</v>
      </c>
      <c r="AA221" s="12">
        <f>'2022 Budget &amp; CF'!V221</f>
        <v>0</v>
      </c>
      <c r="AB221" s="12"/>
      <c r="AC221" s="121">
        <f t="shared" ref="AC221" si="142">SUM(O221:AA221)</f>
        <v>0</v>
      </c>
      <c r="AD221" s="115">
        <f>'2022 Budget &amp; CF'!Z221</f>
        <v>0</v>
      </c>
      <c r="AE221" s="117">
        <f t="shared" ref="AE221" si="143">AD221-AC221</f>
        <v>0</v>
      </c>
      <c r="AF221" s="117">
        <f t="shared" ref="AF221" si="144">AE221/$AF$6</f>
        <v>0</v>
      </c>
    </row>
    <row r="222" spans="2:32" hidden="1" outlineLevel="1" x14ac:dyDescent="0.2">
      <c r="B222" s="764" t="s">
        <v>469</v>
      </c>
      <c r="C222" s="132"/>
      <c r="D222" s="132"/>
      <c r="E222" s="132"/>
      <c r="F222" s="132"/>
      <c r="G222" s="132"/>
      <c r="H222" s="132"/>
      <c r="I222" s="152"/>
      <c r="J222" s="343"/>
      <c r="K222" s="133"/>
      <c r="L222" s="133"/>
      <c r="M222" s="133"/>
      <c r="N222" s="13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>
        <f>'2022 Budget &amp; CF'!Z222</f>
        <v>0</v>
      </c>
      <c r="AE222" s="114"/>
      <c r="AF222" s="114"/>
    </row>
    <row r="223" spans="2:32" hidden="1" outlineLevel="1" x14ac:dyDescent="0.2">
      <c r="B223" s="763" t="s">
        <v>926</v>
      </c>
      <c r="C223" s="102" t="s">
        <v>473</v>
      </c>
      <c r="D223" s="102" t="s">
        <v>470</v>
      </c>
      <c r="E223" s="102"/>
      <c r="F223" s="102" t="s">
        <v>557</v>
      </c>
      <c r="G223" s="102" t="s">
        <v>461</v>
      </c>
      <c r="H223" s="102" t="s">
        <v>203</v>
      </c>
      <c r="I223" s="102"/>
      <c r="J223" s="344" t="s">
        <v>1210</v>
      </c>
      <c r="K223" s="109">
        <v>2022</v>
      </c>
      <c r="L223" s="109" t="s">
        <v>348</v>
      </c>
      <c r="M223" s="109" t="s">
        <v>349</v>
      </c>
      <c r="N223" s="109" t="s">
        <v>350</v>
      </c>
      <c r="O223" s="12">
        <f>'2022 Budget &amp; CF'!J223</f>
        <v>0</v>
      </c>
      <c r="P223" s="12">
        <f>'2022 Budget &amp; CF'!K223</f>
        <v>0</v>
      </c>
      <c r="Q223" s="12">
        <f>'2022 Budget &amp; CF'!L223</f>
        <v>0</v>
      </c>
      <c r="R223" s="12">
        <f>'2022 Budget &amp; CF'!M223</f>
        <v>0</v>
      </c>
      <c r="S223" s="12">
        <f>'2022 Budget &amp; CF'!N223</f>
        <v>0</v>
      </c>
      <c r="T223" s="12">
        <f>'2022 Budget &amp; CF'!O223</f>
        <v>0</v>
      </c>
      <c r="U223" s="12">
        <f>'2022 Budget &amp; CF'!P223</f>
        <v>0</v>
      </c>
      <c r="V223" s="12">
        <f>'2022 Budget &amp; CF'!Q223</f>
        <v>0</v>
      </c>
      <c r="W223" s="12">
        <f>'2022 Budget &amp; CF'!R223</f>
        <v>0</v>
      </c>
      <c r="X223" s="12">
        <f>'2022 Budget &amp; CF'!S223</f>
        <v>0</v>
      </c>
      <c r="Y223" s="12">
        <f>'2022 Budget &amp; CF'!T223</f>
        <v>0</v>
      </c>
      <c r="Z223" s="12">
        <f>'2022 Budget &amp; CF'!U223</f>
        <v>0</v>
      </c>
      <c r="AA223" s="12">
        <f>'2022 Budget &amp; CF'!V223</f>
        <v>0</v>
      </c>
      <c r="AB223" s="12"/>
      <c r="AC223" s="121">
        <f t="shared" ref="AC223" si="145">SUM(O223:AA223)</f>
        <v>0</v>
      </c>
      <c r="AD223" s="115">
        <f>'2022 Budget &amp; CF'!Z223</f>
        <v>0</v>
      </c>
      <c r="AE223" s="117">
        <f t="shared" ref="AE223" si="146">AD223-AC223</f>
        <v>0</v>
      </c>
      <c r="AF223" s="117">
        <f t="shared" ref="AF223" si="147">AE223/$AF$6</f>
        <v>0</v>
      </c>
    </row>
    <row r="224" spans="2:32" hidden="1" outlineLevel="1" x14ac:dyDescent="0.2">
      <c r="B224" s="764" t="s">
        <v>512</v>
      </c>
      <c r="C224" s="132"/>
      <c r="D224" s="132"/>
      <c r="E224" s="132"/>
      <c r="F224" s="132"/>
      <c r="G224" s="132"/>
      <c r="H224" s="132"/>
      <c r="I224" s="133"/>
      <c r="J224" s="343"/>
      <c r="K224" s="133"/>
      <c r="L224" s="133"/>
      <c r="M224" s="133"/>
      <c r="N224" s="13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>
        <f>'2022 Budget &amp; CF'!Z224</f>
        <v>0</v>
      </c>
      <c r="AE224" s="114"/>
      <c r="AF224" s="114"/>
    </row>
    <row r="225" spans="2:32" hidden="1" outlineLevel="1" x14ac:dyDescent="0.2">
      <c r="B225" s="763" t="s">
        <v>825</v>
      </c>
      <c r="C225" s="102" t="s">
        <v>473</v>
      </c>
      <c r="D225" s="82">
        <v>390</v>
      </c>
      <c r="E225" s="102"/>
      <c r="F225" s="102">
        <v>100</v>
      </c>
      <c r="G225" s="102" t="s">
        <v>479</v>
      </c>
      <c r="H225" s="104" t="s">
        <v>225</v>
      </c>
      <c r="I225" s="101"/>
      <c r="J225" s="344" t="s">
        <v>1211</v>
      </c>
      <c r="K225" s="109">
        <v>2022</v>
      </c>
      <c r="L225" s="109" t="s">
        <v>348</v>
      </c>
      <c r="M225" s="109" t="s">
        <v>349</v>
      </c>
      <c r="N225" s="109" t="s">
        <v>350</v>
      </c>
      <c r="O225" s="12">
        <f>'2022 Budget &amp; CF'!J225</f>
        <v>0</v>
      </c>
      <c r="P225" s="12">
        <f>'2022 Budget &amp; CF'!K225</f>
        <v>0</v>
      </c>
      <c r="Q225" s="12">
        <f>'2022 Budget &amp; CF'!L225</f>
        <v>0</v>
      </c>
      <c r="R225" s="12">
        <f>'2022 Budget &amp; CF'!M225</f>
        <v>0</v>
      </c>
      <c r="S225" s="12">
        <f>'2022 Budget &amp; CF'!N225</f>
        <v>0</v>
      </c>
      <c r="T225" s="12">
        <f>'2022 Budget &amp; CF'!O225</f>
        <v>0</v>
      </c>
      <c r="U225" s="12">
        <f>'2022 Budget &amp; CF'!P225</f>
        <v>0</v>
      </c>
      <c r="V225" s="12">
        <f>'2022 Budget &amp; CF'!Q225</f>
        <v>0</v>
      </c>
      <c r="W225" s="12">
        <f>'2022 Budget &amp; CF'!R225</f>
        <v>0</v>
      </c>
      <c r="X225" s="12">
        <f>'2022 Budget &amp; CF'!S225</f>
        <v>0</v>
      </c>
      <c r="Y225" s="12">
        <f>'2022 Budget &amp; CF'!T225</f>
        <v>0</v>
      </c>
      <c r="Z225" s="12">
        <f>'2022 Budget &amp; CF'!U225</f>
        <v>0</v>
      </c>
      <c r="AA225" s="12">
        <f>'2022 Budget &amp; CF'!V225</f>
        <v>0</v>
      </c>
      <c r="AB225" s="12"/>
      <c r="AC225" s="121">
        <f t="shared" ref="AC225:AC226" si="148">SUM(O225:AA225)</f>
        <v>0</v>
      </c>
      <c r="AD225" s="115">
        <f>'2022 Budget &amp; CF'!Z225</f>
        <v>0</v>
      </c>
      <c r="AE225" s="117">
        <f t="shared" ref="AE225:AE226" si="149">AD225-AC225</f>
        <v>0</v>
      </c>
      <c r="AF225" s="117">
        <f t="shared" ref="AF225:AF226" si="150">AE225/$AF$6</f>
        <v>0</v>
      </c>
    </row>
    <row r="226" spans="2:32" hidden="1" outlineLevel="1" x14ac:dyDescent="0.2">
      <c r="B226" s="763" t="s">
        <v>1052</v>
      </c>
      <c r="C226" s="102" t="s">
        <v>473</v>
      </c>
      <c r="D226" s="82">
        <v>390</v>
      </c>
      <c r="E226" s="102"/>
      <c r="F226" s="102">
        <v>100</v>
      </c>
      <c r="G226" s="102" t="s">
        <v>477</v>
      </c>
      <c r="H226" s="104" t="s">
        <v>226</v>
      </c>
      <c r="I226" s="101"/>
      <c r="J226" s="344" t="s">
        <v>1212</v>
      </c>
      <c r="K226" s="109">
        <v>2022</v>
      </c>
      <c r="L226" s="109" t="s">
        <v>348</v>
      </c>
      <c r="M226" s="109" t="s">
        <v>349</v>
      </c>
      <c r="N226" s="109" t="s">
        <v>350</v>
      </c>
      <c r="O226" s="12">
        <f>'2022 Budget &amp; CF'!J226</f>
        <v>0</v>
      </c>
      <c r="P226" s="12">
        <f>'2022 Budget &amp; CF'!K226</f>
        <v>0</v>
      </c>
      <c r="Q226" s="12">
        <f>'2022 Budget &amp; CF'!L226</f>
        <v>0</v>
      </c>
      <c r="R226" s="12">
        <f>'2022 Budget &amp; CF'!M226</f>
        <v>0</v>
      </c>
      <c r="S226" s="12">
        <f>'2022 Budget &amp; CF'!N226</f>
        <v>0</v>
      </c>
      <c r="T226" s="12">
        <f>'2022 Budget &amp; CF'!O226</f>
        <v>0</v>
      </c>
      <c r="U226" s="12">
        <f>'2022 Budget &amp; CF'!P226</f>
        <v>0</v>
      </c>
      <c r="V226" s="12">
        <f>'2022 Budget &amp; CF'!Q226</f>
        <v>0</v>
      </c>
      <c r="W226" s="12">
        <f>'2022 Budget &amp; CF'!R226</f>
        <v>0</v>
      </c>
      <c r="X226" s="12">
        <f>'2022 Budget &amp; CF'!S226</f>
        <v>0</v>
      </c>
      <c r="Y226" s="12">
        <f>'2022 Budget &amp; CF'!T226</f>
        <v>0</v>
      </c>
      <c r="Z226" s="12">
        <f>'2022 Budget &amp; CF'!U226</f>
        <v>0</v>
      </c>
      <c r="AA226" s="12">
        <f>'2022 Budget &amp; CF'!V226</f>
        <v>0</v>
      </c>
      <c r="AB226" s="12"/>
      <c r="AC226" s="121">
        <f t="shared" si="148"/>
        <v>0</v>
      </c>
      <c r="AD226" s="115">
        <f>'2022 Budget &amp; CF'!Z226</f>
        <v>0</v>
      </c>
      <c r="AE226" s="117">
        <f t="shared" si="149"/>
        <v>0</v>
      </c>
      <c r="AF226" s="117">
        <f t="shared" si="150"/>
        <v>0</v>
      </c>
    </row>
    <row r="227" spans="2:32" hidden="1" outlineLevel="1" x14ac:dyDescent="0.2">
      <c r="B227" s="764" t="s">
        <v>42</v>
      </c>
      <c r="C227" s="132"/>
      <c r="D227" s="132"/>
      <c r="E227" s="132"/>
      <c r="F227" s="132"/>
      <c r="G227" s="132"/>
      <c r="H227" s="132"/>
      <c r="I227" s="152"/>
      <c r="J227" s="343"/>
      <c r="K227" s="133"/>
      <c r="L227" s="133"/>
      <c r="M227" s="133"/>
      <c r="N227" s="13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>
        <f>'2022 Budget &amp; CF'!Z227</f>
        <v>0</v>
      </c>
      <c r="AE227" s="114"/>
      <c r="AF227" s="114"/>
    </row>
    <row r="228" spans="2:32" hidden="1" outlineLevel="1" x14ac:dyDescent="0.2">
      <c r="B228" s="763" t="s">
        <v>945</v>
      </c>
      <c r="C228" s="102" t="s">
        <v>462</v>
      </c>
      <c r="D228" s="102">
        <v>205</v>
      </c>
      <c r="E228" s="102"/>
      <c r="F228" s="102" t="s">
        <v>463</v>
      </c>
      <c r="G228" s="102" t="s">
        <v>477</v>
      </c>
      <c r="H228" s="102" t="s">
        <v>207</v>
      </c>
      <c r="I228" s="102"/>
      <c r="J228" s="344" t="s">
        <v>1213</v>
      </c>
      <c r="K228" s="109">
        <v>2022</v>
      </c>
      <c r="L228" s="109" t="s">
        <v>348</v>
      </c>
      <c r="M228" s="109" t="s">
        <v>349</v>
      </c>
      <c r="N228" s="109" t="s">
        <v>350</v>
      </c>
      <c r="O228" s="12">
        <f>'2022 Budget &amp; CF'!J228</f>
        <v>0</v>
      </c>
      <c r="P228" s="12">
        <f>'2022 Budget &amp; CF'!K228</f>
        <v>0</v>
      </c>
      <c r="Q228" s="12">
        <f>'2022 Budget &amp; CF'!L228</f>
        <v>0</v>
      </c>
      <c r="R228" s="12">
        <f>'2022 Budget &amp; CF'!M228</f>
        <v>0</v>
      </c>
      <c r="S228" s="12">
        <f>'2022 Budget &amp; CF'!N228</f>
        <v>0</v>
      </c>
      <c r="T228" s="12">
        <f>'2022 Budget &amp; CF'!O228</f>
        <v>0</v>
      </c>
      <c r="U228" s="12">
        <f>'2022 Budget &amp; CF'!P228</f>
        <v>0</v>
      </c>
      <c r="V228" s="12">
        <f>'2022 Budget &amp; CF'!Q228</f>
        <v>0</v>
      </c>
      <c r="W228" s="12">
        <f>'2022 Budget &amp; CF'!R228</f>
        <v>0</v>
      </c>
      <c r="X228" s="12">
        <f>'2022 Budget &amp; CF'!S228</f>
        <v>0</v>
      </c>
      <c r="Y228" s="12">
        <f>'2022 Budget &amp; CF'!T228</f>
        <v>0</v>
      </c>
      <c r="Z228" s="12">
        <f>'2022 Budget &amp; CF'!U228</f>
        <v>0</v>
      </c>
      <c r="AA228" s="12">
        <f>'2022 Budget &amp; CF'!V228</f>
        <v>0</v>
      </c>
      <c r="AB228" s="12"/>
      <c r="AC228" s="121">
        <f t="shared" ref="AC228:AC236" si="151">SUM(O228:AA228)</f>
        <v>0</v>
      </c>
      <c r="AD228" s="115">
        <f>'2022 Budget &amp; CF'!Z228</f>
        <v>253</v>
      </c>
      <c r="AE228" s="117">
        <f t="shared" ref="AE228:AE236" si="152">AD228-AC228</f>
        <v>253</v>
      </c>
      <c r="AF228" s="117">
        <f t="shared" ref="AF228:AF236" si="153">AE228/$AF$6</f>
        <v>21.083333333333332</v>
      </c>
    </row>
    <row r="229" spans="2:32" hidden="1" outlineLevel="1" x14ac:dyDescent="0.2">
      <c r="B229" s="763" t="s">
        <v>827</v>
      </c>
      <c r="C229" s="102">
        <v>250</v>
      </c>
      <c r="D229" s="102" t="s">
        <v>145</v>
      </c>
      <c r="E229" s="102"/>
      <c r="F229" s="102">
        <v>200</v>
      </c>
      <c r="G229" s="102" t="s">
        <v>484</v>
      </c>
      <c r="H229" s="102" t="s">
        <v>203</v>
      </c>
      <c r="I229" s="102"/>
      <c r="J229" s="344" t="s">
        <v>1214</v>
      </c>
      <c r="K229" s="109">
        <v>2022</v>
      </c>
      <c r="L229" s="109" t="s">
        <v>348</v>
      </c>
      <c r="M229" s="109" t="s">
        <v>349</v>
      </c>
      <c r="N229" s="109" t="s">
        <v>350</v>
      </c>
      <c r="O229" s="12">
        <f>'2022 Budget &amp; CF'!J229</f>
        <v>0</v>
      </c>
      <c r="P229" s="12">
        <f>'2022 Budget &amp; CF'!K229</f>
        <v>0</v>
      </c>
      <c r="Q229" s="12">
        <f>'2022 Budget &amp; CF'!L229</f>
        <v>0</v>
      </c>
      <c r="R229" s="12">
        <f>'2022 Budget &amp; CF'!M229</f>
        <v>0</v>
      </c>
      <c r="S229" s="12">
        <f>'2022 Budget &amp; CF'!N229</f>
        <v>0</v>
      </c>
      <c r="T229" s="12">
        <f>'2022 Budget &amp; CF'!O229</f>
        <v>0</v>
      </c>
      <c r="U229" s="12">
        <f>'2022 Budget &amp; CF'!P229</f>
        <v>0</v>
      </c>
      <c r="V229" s="12">
        <f>'2022 Budget &amp; CF'!Q229</f>
        <v>0</v>
      </c>
      <c r="W229" s="12">
        <f>'2022 Budget &amp; CF'!R229</f>
        <v>0</v>
      </c>
      <c r="X229" s="12">
        <f>'2022 Budget &amp; CF'!S229</f>
        <v>0</v>
      </c>
      <c r="Y229" s="12">
        <f>'2022 Budget &amp; CF'!T229</f>
        <v>0</v>
      </c>
      <c r="Z229" s="12">
        <f>'2022 Budget &amp; CF'!U229</f>
        <v>0</v>
      </c>
      <c r="AA229" s="12">
        <f>'2022 Budget &amp; CF'!V229</f>
        <v>0</v>
      </c>
      <c r="AB229" s="12"/>
      <c r="AC229" s="121">
        <f t="shared" si="151"/>
        <v>0</v>
      </c>
      <c r="AD229" s="115">
        <f>'2022 Budget &amp; CF'!Z229</f>
        <v>0</v>
      </c>
      <c r="AE229" s="117">
        <f t="shared" si="152"/>
        <v>0</v>
      </c>
      <c r="AF229" s="117">
        <f t="shared" si="153"/>
        <v>0</v>
      </c>
    </row>
    <row r="230" spans="2:32" hidden="1" outlineLevel="1" x14ac:dyDescent="0.2">
      <c r="B230" s="763" t="s">
        <v>828</v>
      </c>
      <c r="C230" s="102">
        <v>250</v>
      </c>
      <c r="D230" s="102" t="s">
        <v>145</v>
      </c>
      <c r="E230" s="102"/>
      <c r="F230" s="102">
        <v>200</v>
      </c>
      <c r="G230" s="102" t="s">
        <v>485</v>
      </c>
      <c r="H230" s="102" t="s">
        <v>203</v>
      </c>
      <c r="I230" s="102"/>
      <c r="J230" s="344" t="s">
        <v>1215</v>
      </c>
      <c r="K230" s="109">
        <v>2022</v>
      </c>
      <c r="L230" s="109" t="s">
        <v>348</v>
      </c>
      <c r="M230" s="109" t="s">
        <v>349</v>
      </c>
      <c r="N230" s="109" t="s">
        <v>350</v>
      </c>
      <c r="O230" s="12">
        <f>'2022 Budget &amp; CF'!J230</f>
        <v>0</v>
      </c>
      <c r="P230" s="12">
        <f>'2022 Budget &amp; CF'!K230</f>
        <v>0</v>
      </c>
      <c r="Q230" s="12">
        <f>'2022 Budget &amp; CF'!L230</f>
        <v>0</v>
      </c>
      <c r="R230" s="12">
        <f>'2022 Budget &amp; CF'!M230</f>
        <v>0</v>
      </c>
      <c r="S230" s="12">
        <f>'2022 Budget &amp; CF'!N230</f>
        <v>0</v>
      </c>
      <c r="T230" s="12">
        <f>'2022 Budget &amp; CF'!O230</f>
        <v>0</v>
      </c>
      <c r="U230" s="12">
        <f>'2022 Budget &amp; CF'!P230</f>
        <v>0</v>
      </c>
      <c r="V230" s="12">
        <f>'2022 Budget &amp; CF'!Q230</f>
        <v>0</v>
      </c>
      <c r="W230" s="12">
        <f>'2022 Budget &amp; CF'!R230</f>
        <v>0</v>
      </c>
      <c r="X230" s="12">
        <f>'2022 Budget &amp; CF'!S230</f>
        <v>0</v>
      </c>
      <c r="Y230" s="12">
        <f>'2022 Budget &amp; CF'!T230</f>
        <v>0</v>
      </c>
      <c r="Z230" s="12">
        <f>'2022 Budget &amp; CF'!U230</f>
        <v>0</v>
      </c>
      <c r="AA230" s="12">
        <f>'2022 Budget &amp; CF'!V230</f>
        <v>0</v>
      </c>
      <c r="AB230" s="12"/>
      <c r="AC230" s="121">
        <f t="shared" si="151"/>
        <v>0</v>
      </c>
      <c r="AD230" s="115">
        <f>'2022 Budget &amp; CF'!Z230</f>
        <v>0</v>
      </c>
      <c r="AE230" s="117">
        <f t="shared" si="152"/>
        <v>0</v>
      </c>
      <c r="AF230" s="117">
        <f t="shared" si="153"/>
        <v>0</v>
      </c>
    </row>
    <row r="231" spans="2:32" hidden="1" outlineLevel="1" x14ac:dyDescent="0.2">
      <c r="B231" s="763" t="s">
        <v>829</v>
      </c>
      <c r="C231" s="102">
        <v>250</v>
      </c>
      <c r="D231" s="102" t="s">
        <v>132</v>
      </c>
      <c r="E231" s="102"/>
      <c r="F231" s="102">
        <v>200</v>
      </c>
      <c r="G231" s="102" t="s">
        <v>486</v>
      </c>
      <c r="H231" s="102" t="s">
        <v>203</v>
      </c>
      <c r="I231" s="102"/>
      <c r="J231" s="344" t="s">
        <v>1216</v>
      </c>
      <c r="K231" s="109">
        <v>2022</v>
      </c>
      <c r="L231" s="109" t="s">
        <v>348</v>
      </c>
      <c r="M231" s="109" t="s">
        <v>349</v>
      </c>
      <c r="N231" s="109" t="s">
        <v>350</v>
      </c>
      <c r="O231" s="12">
        <f>'2022 Budget &amp; CF'!J231</f>
        <v>0</v>
      </c>
      <c r="P231" s="12">
        <f>'2022 Budget &amp; CF'!K231</f>
        <v>0</v>
      </c>
      <c r="Q231" s="12">
        <f>'2022 Budget &amp; CF'!L231</f>
        <v>0</v>
      </c>
      <c r="R231" s="12">
        <f>'2022 Budget &amp; CF'!M231</f>
        <v>245</v>
      </c>
      <c r="S231" s="12">
        <f>'2022 Budget &amp; CF'!N231</f>
        <v>0</v>
      </c>
      <c r="T231" s="12">
        <f>'2022 Budget &amp; CF'!O231</f>
        <v>0</v>
      </c>
      <c r="U231" s="12">
        <f>'2022 Budget &amp; CF'!P231</f>
        <v>0</v>
      </c>
      <c r="V231" s="12">
        <f>'2022 Budget &amp; CF'!Q231</f>
        <v>0</v>
      </c>
      <c r="W231" s="12">
        <f>'2022 Budget &amp; CF'!R231</f>
        <v>0</v>
      </c>
      <c r="X231" s="12">
        <f>'2022 Budget &amp; CF'!S231</f>
        <v>0</v>
      </c>
      <c r="Y231" s="12">
        <f>'2022 Budget &amp; CF'!T231</f>
        <v>0</v>
      </c>
      <c r="Z231" s="12">
        <f>'2022 Budget &amp; CF'!U231</f>
        <v>0</v>
      </c>
      <c r="AA231" s="12">
        <f>'2022 Budget &amp; CF'!V231</f>
        <v>0</v>
      </c>
      <c r="AB231" s="12"/>
      <c r="AC231" s="121">
        <f t="shared" si="151"/>
        <v>245</v>
      </c>
      <c r="AD231" s="115">
        <f>'2022 Budget &amp; CF'!Z231</f>
        <v>15980</v>
      </c>
      <c r="AE231" s="117">
        <f t="shared" si="152"/>
        <v>15735</v>
      </c>
      <c r="AF231" s="117">
        <f t="shared" si="153"/>
        <v>1311.25</v>
      </c>
    </row>
    <row r="232" spans="2:32" hidden="1" outlineLevel="1" x14ac:dyDescent="0.2">
      <c r="B232" s="779" t="s">
        <v>830</v>
      </c>
      <c r="C232" s="773">
        <v>250</v>
      </c>
      <c r="D232" s="773" t="s">
        <v>132</v>
      </c>
      <c r="E232" s="773"/>
      <c r="F232" s="773">
        <v>200</v>
      </c>
      <c r="G232" s="773" t="s">
        <v>487</v>
      </c>
      <c r="H232" s="773" t="s">
        <v>203</v>
      </c>
      <c r="I232" s="773"/>
      <c r="J232" s="780" t="s">
        <v>1217</v>
      </c>
      <c r="K232" s="748">
        <v>2022</v>
      </c>
      <c r="L232" s="748" t="s">
        <v>348</v>
      </c>
      <c r="M232" s="748" t="s">
        <v>349</v>
      </c>
      <c r="N232" s="748" t="s">
        <v>350</v>
      </c>
      <c r="O232" s="12">
        <f>'2022 Budget &amp; CF'!J232</f>
        <v>0</v>
      </c>
      <c r="P232" s="12">
        <f>'2022 Budget &amp; CF'!K232</f>
        <v>0</v>
      </c>
      <c r="Q232" s="12">
        <f>'2022 Budget &amp; CF'!L232</f>
        <v>0</v>
      </c>
      <c r="R232" s="12">
        <f>'2022 Budget &amp; CF'!M232</f>
        <v>0</v>
      </c>
      <c r="S232" s="12">
        <f>'2022 Budget &amp; CF'!N232</f>
        <v>0</v>
      </c>
      <c r="T232" s="12">
        <f>'2022 Budget &amp; CF'!O232</f>
        <v>0</v>
      </c>
      <c r="U232" s="12">
        <f>'2022 Budget &amp; CF'!P232</f>
        <v>0</v>
      </c>
      <c r="V232" s="12">
        <f>'2022 Budget &amp; CF'!Q232</f>
        <v>0</v>
      </c>
      <c r="W232" s="12">
        <f>'2022 Budget &amp; CF'!R232</f>
        <v>0</v>
      </c>
      <c r="X232" s="12">
        <f>'2022 Budget &amp; CF'!S232</f>
        <v>0</v>
      </c>
      <c r="Y232" s="12">
        <f>'2022 Budget &amp; CF'!T232</f>
        <v>0</v>
      </c>
      <c r="Z232" s="12">
        <f>'2022 Budget &amp; CF'!U232</f>
        <v>0</v>
      </c>
      <c r="AA232" s="12">
        <f>'2022 Budget &amp; CF'!V232</f>
        <v>0</v>
      </c>
      <c r="AB232" s="12"/>
      <c r="AC232" s="121">
        <f t="shared" si="151"/>
        <v>0</v>
      </c>
      <c r="AD232" s="115">
        <f>'2022 Budget &amp; CF'!Z232</f>
        <v>0</v>
      </c>
      <c r="AE232" s="117">
        <f t="shared" si="152"/>
        <v>0</v>
      </c>
      <c r="AF232" s="117">
        <f t="shared" si="153"/>
        <v>0</v>
      </c>
    </row>
    <row r="233" spans="2:32" hidden="1" outlineLevel="1" x14ac:dyDescent="0.2">
      <c r="B233" s="763" t="s">
        <v>952</v>
      </c>
      <c r="C233" s="102" t="s">
        <v>462</v>
      </c>
      <c r="D233" s="102">
        <v>205</v>
      </c>
      <c r="E233" s="102"/>
      <c r="F233" s="102" t="s">
        <v>463</v>
      </c>
      <c r="G233" s="102" t="s">
        <v>481</v>
      </c>
      <c r="H233" s="104" t="s">
        <v>234</v>
      </c>
      <c r="I233" s="102"/>
      <c r="J233" s="344" t="s">
        <v>1218</v>
      </c>
      <c r="K233" s="109">
        <v>2022</v>
      </c>
      <c r="L233" s="109" t="s">
        <v>348</v>
      </c>
      <c r="M233" s="109" t="s">
        <v>349</v>
      </c>
      <c r="N233" s="109" t="s">
        <v>350</v>
      </c>
      <c r="O233" s="12">
        <f>'2022 Budget &amp; CF'!J233</f>
        <v>145</v>
      </c>
      <c r="P233" s="12">
        <f>'2022 Budget &amp; CF'!K233</f>
        <v>533</v>
      </c>
      <c r="Q233" s="12">
        <f>'2022 Budget &amp; CF'!L233</f>
        <v>533</v>
      </c>
      <c r="R233" s="12">
        <f>'2022 Budget &amp; CF'!M233</f>
        <v>533</v>
      </c>
      <c r="S233" s="12">
        <f>'2022 Budget &amp; CF'!N233</f>
        <v>533</v>
      </c>
      <c r="T233" s="12">
        <f>'2022 Budget &amp; CF'!O233</f>
        <v>0</v>
      </c>
      <c r="U233" s="12">
        <f>'2022 Budget &amp; CF'!P233</f>
        <v>0</v>
      </c>
      <c r="V233" s="12">
        <f>'2022 Budget &amp; CF'!Q233</f>
        <v>0</v>
      </c>
      <c r="W233" s="12">
        <f>'2022 Budget &amp; CF'!R233</f>
        <v>0</v>
      </c>
      <c r="X233" s="12">
        <f>'2022 Budget &amp; CF'!S233</f>
        <v>0</v>
      </c>
      <c r="Y233" s="12">
        <f>'2022 Budget &amp; CF'!T233</f>
        <v>0</v>
      </c>
      <c r="Z233" s="12">
        <f>'2022 Budget &amp; CF'!U233</f>
        <v>0</v>
      </c>
      <c r="AA233" s="12">
        <f>'2022 Budget &amp; CF'!V233</f>
        <v>0</v>
      </c>
      <c r="AB233" s="12"/>
      <c r="AC233" s="121">
        <f t="shared" si="151"/>
        <v>2277</v>
      </c>
      <c r="AD233" s="115">
        <f>'2022 Budget &amp; CF'!Z233</f>
        <v>5946</v>
      </c>
      <c r="AE233" s="117">
        <f t="shared" si="152"/>
        <v>3669</v>
      </c>
      <c r="AF233" s="117">
        <f t="shared" si="153"/>
        <v>305.75</v>
      </c>
    </row>
    <row r="234" spans="2:32" hidden="1" outlineLevel="1" x14ac:dyDescent="0.2">
      <c r="B234" s="763" t="s">
        <v>953</v>
      </c>
      <c r="C234" s="102" t="s">
        <v>462</v>
      </c>
      <c r="D234" s="102">
        <v>205</v>
      </c>
      <c r="E234" s="102"/>
      <c r="F234" s="102" t="s">
        <v>463</v>
      </c>
      <c r="G234" s="102" t="s">
        <v>481</v>
      </c>
      <c r="H234" s="102" t="s">
        <v>236</v>
      </c>
      <c r="I234" s="102"/>
      <c r="J234" s="344" t="s">
        <v>1219</v>
      </c>
      <c r="K234" s="109">
        <v>2022</v>
      </c>
      <c r="L234" s="109" t="s">
        <v>348</v>
      </c>
      <c r="M234" s="109" t="s">
        <v>349</v>
      </c>
      <c r="N234" s="109" t="s">
        <v>350</v>
      </c>
      <c r="O234" s="12">
        <f>'2022 Budget &amp; CF'!J234</f>
        <v>4872.92</v>
      </c>
      <c r="P234" s="12">
        <f>'2022 Budget &amp; CF'!K234</f>
        <v>9940.76</v>
      </c>
      <c r="Q234" s="12">
        <f>'2022 Budget &amp; CF'!L234</f>
        <v>0</v>
      </c>
      <c r="R234" s="12">
        <f>'2022 Budget &amp; CF'!M234</f>
        <v>4970.38</v>
      </c>
      <c r="S234" s="12">
        <f>'2022 Budget &amp; CF'!N234</f>
        <v>4970.38</v>
      </c>
      <c r="T234" s="12">
        <f>'2022 Budget &amp; CF'!O234</f>
        <v>0</v>
      </c>
      <c r="U234" s="12">
        <f>'2022 Budget &amp; CF'!P234</f>
        <v>0</v>
      </c>
      <c r="V234" s="12">
        <f>'2022 Budget &amp; CF'!Q234</f>
        <v>0</v>
      </c>
      <c r="W234" s="12">
        <f>'2022 Budget &amp; CF'!R234</f>
        <v>0</v>
      </c>
      <c r="X234" s="12">
        <f>'2022 Budget &amp; CF'!S234</f>
        <v>0</v>
      </c>
      <c r="Y234" s="12">
        <f>'2022 Budget &amp; CF'!T234</f>
        <v>0</v>
      </c>
      <c r="Z234" s="12">
        <f>'2022 Budget &amp; CF'!U234</f>
        <v>0</v>
      </c>
      <c r="AA234" s="12">
        <f>'2022 Budget &amp; CF'!V234</f>
        <v>0</v>
      </c>
      <c r="AB234" s="12"/>
      <c r="AC234" s="121">
        <f t="shared" si="151"/>
        <v>24754.440000000002</v>
      </c>
      <c r="AD234" s="115">
        <f>'2022 Budget &amp; CF'!Z234</f>
        <v>59645</v>
      </c>
      <c r="AE234" s="117">
        <f t="shared" si="152"/>
        <v>34890.559999999998</v>
      </c>
      <c r="AF234" s="117">
        <f t="shared" si="153"/>
        <v>2907.5466666666666</v>
      </c>
    </row>
    <row r="235" spans="2:32" hidden="1" outlineLevel="1" x14ac:dyDescent="0.2">
      <c r="B235" s="763" t="s">
        <v>521</v>
      </c>
      <c r="C235" s="102" t="s">
        <v>462</v>
      </c>
      <c r="D235" s="102">
        <v>205</v>
      </c>
      <c r="E235" s="102"/>
      <c r="F235" s="102" t="s">
        <v>463</v>
      </c>
      <c r="G235" s="102" t="s">
        <v>478</v>
      </c>
      <c r="H235" s="102" t="s">
        <v>219</v>
      </c>
      <c r="I235" s="102"/>
      <c r="J235" s="344" t="s">
        <v>1220</v>
      </c>
      <c r="K235" s="109">
        <v>2022</v>
      </c>
      <c r="L235" s="109" t="s">
        <v>348</v>
      </c>
      <c r="M235" s="109" t="s">
        <v>349</v>
      </c>
      <c r="N235" s="109" t="s">
        <v>350</v>
      </c>
      <c r="O235" s="12">
        <f>'2022 Budget &amp; CF'!J235</f>
        <v>170.04</v>
      </c>
      <c r="P235" s="12">
        <f>'2022 Budget &amp; CF'!K235</f>
        <v>170.04</v>
      </c>
      <c r="Q235" s="12">
        <f>'2022 Budget &amp; CF'!L235</f>
        <v>170.04</v>
      </c>
      <c r="R235" s="12">
        <f>'2022 Budget &amp; CF'!M235</f>
        <v>170.04</v>
      </c>
      <c r="S235" s="12">
        <f>'2022 Budget &amp; CF'!N235</f>
        <v>0</v>
      </c>
      <c r="T235" s="12">
        <f>'2022 Budget &amp; CF'!O235</f>
        <v>0</v>
      </c>
      <c r="U235" s="12">
        <f>'2022 Budget &amp; CF'!P235</f>
        <v>0</v>
      </c>
      <c r="V235" s="12">
        <f>'2022 Budget &amp; CF'!Q235</f>
        <v>0</v>
      </c>
      <c r="W235" s="12">
        <f>'2022 Budget &amp; CF'!R235</f>
        <v>0</v>
      </c>
      <c r="X235" s="12">
        <f>'2022 Budget &amp; CF'!S235</f>
        <v>0</v>
      </c>
      <c r="Y235" s="12">
        <f>'2022 Budget &amp; CF'!T235</f>
        <v>0</v>
      </c>
      <c r="Z235" s="12">
        <f>'2022 Budget &amp; CF'!U235</f>
        <v>0</v>
      </c>
      <c r="AA235" s="12">
        <f>'2022 Budget &amp; CF'!V235</f>
        <v>0</v>
      </c>
      <c r="AB235" s="12"/>
      <c r="AC235" s="121">
        <f t="shared" si="151"/>
        <v>680.16</v>
      </c>
      <c r="AD235" s="115">
        <f>'2022 Budget &amp; CF'!Z235</f>
        <v>2040</v>
      </c>
      <c r="AE235" s="117">
        <f t="shared" si="152"/>
        <v>1359.8400000000001</v>
      </c>
      <c r="AF235" s="117">
        <f t="shared" si="153"/>
        <v>113.32000000000001</v>
      </c>
    </row>
    <row r="236" spans="2:32" hidden="1" outlineLevel="1" x14ac:dyDescent="0.2">
      <c r="B236" s="763" t="s">
        <v>529</v>
      </c>
      <c r="C236" s="102" t="s">
        <v>462</v>
      </c>
      <c r="D236" s="102">
        <v>205</v>
      </c>
      <c r="E236" s="102"/>
      <c r="F236" s="102" t="s">
        <v>463</v>
      </c>
      <c r="G236" s="102" t="s">
        <v>478</v>
      </c>
      <c r="H236" s="102" t="s">
        <v>227</v>
      </c>
      <c r="I236" s="102"/>
      <c r="J236" s="344" t="s">
        <v>1221</v>
      </c>
      <c r="K236" s="109">
        <v>2022</v>
      </c>
      <c r="L236" s="109" t="s">
        <v>348</v>
      </c>
      <c r="M236" s="109" t="s">
        <v>349</v>
      </c>
      <c r="N236" s="109" t="s">
        <v>350</v>
      </c>
      <c r="O236" s="12">
        <f>'2022 Budget &amp; CF'!J236</f>
        <v>79.83</v>
      </c>
      <c r="P236" s="12">
        <f>'2022 Budget &amp; CF'!K236</f>
        <v>0</v>
      </c>
      <c r="Q236" s="12">
        <f>'2022 Budget &amp; CF'!L236</f>
        <v>0</v>
      </c>
      <c r="R236" s="12">
        <f>'2022 Budget &amp; CF'!M236</f>
        <v>180.78</v>
      </c>
      <c r="S236" s="12">
        <f>'2022 Budget &amp; CF'!N236</f>
        <v>0</v>
      </c>
      <c r="T236" s="12">
        <f>'2022 Budget &amp; CF'!O236</f>
        <v>0</v>
      </c>
      <c r="U236" s="12">
        <f>'2022 Budget &amp; CF'!P236</f>
        <v>0</v>
      </c>
      <c r="V236" s="12">
        <f>'2022 Budget &amp; CF'!Q236</f>
        <v>0</v>
      </c>
      <c r="W236" s="12">
        <f>'2022 Budget &amp; CF'!R236</f>
        <v>0</v>
      </c>
      <c r="X236" s="12">
        <f>'2022 Budget &amp; CF'!S236</f>
        <v>0</v>
      </c>
      <c r="Y236" s="12">
        <f>'2022 Budget &amp; CF'!T236</f>
        <v>0</v>
      </c>
      <c r="Z236" s="12">
        <f>'2022 Budget &amp; CF'!U236</f>
        <v>0</v>
      </c>
      <c r="AA236" s="12">
        <f>'2022 Budget &amp; CF'!V236</f>
        <v>0</v>
      </c>
      <c r="AB236" s="12"/>
      <c r="AC236" s="121">
        <f t="shared" si="151"/>
        <v>260.61</v>
      </c>
      <c r="AD236" s="115">
        <f>'2022 Budget &amp; CF'!Z236</f>
        <v>260</v>
      </c>
      <c r="AE236" s="117">
        <f t="shared" si="152"/>
        <v>-0.61000000000001364</v>
      </c>
      <c r="AF236" s="117">
        <f t="shared" si="153"/>
        <v>-5.0833333333334473E-2</v>
      </c>
    </row>
    <row r="237" spans="2:32" hidden="1" outlineLevel="1" x14ac:dyDescent="0.2">
      <c r="B237" s="762" t="s">
        <v>148</v>
      </c>
      <c r="C237" s="305"/>
      <c r="D237" s="132"/>
      <c r="E237" s="132"/>
      <c r="F237" s="132"/>
      <c r="G237" s="132"/>
      <c r="H237" s="306"/>
      <c r="I237" s="133"/>
      <c r="J237" s="343"/>
      <c r="K237" s="133"/>
      <c r="L237" s="133"/>
      <c r="M237" s="133"/>
      <c r="N237" s="13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>
        <f>'2022 Budget &amp; CF'!Z237</f>
        <v>0</v>
      </c>
      <c r="AE237" s="114"/>
      <c r="AF237" s="114"/>
    </row>
    <row r="238" spans="2:32" hidden="1" outlineLevel="1" x14ac:dyDescent="0.2">
      <c r="B238" s="763" t="s">
        <v>831</v>
      </c>
      <c r="C238" s="102" t="s">
        <v>832</v>
      </c>
      <c r="D238" s="104" t="s">
        <v>145</v>
      </c>
      <c r="E238" s="102"/>
      <c r="F238" s="102" t="s">
        <v>468</v>
      </c>
      <c r="G238" s="102" t="s">
        <v>489</v>
      </c>
      <c r="H238" s="104" t="s">
        <v>199</v>
      </c>
      <c r="I238" s="101"/>
      <c r="J238" s="344" t="str">
        <f t="shared" ref="J238" si="154">CONCATENATE(C238,D238,F238,G238,H238,I238)</f>
        <v>26000010022130330</v>
      </c>
      <c r="K238" s="109">
        <v>2022</v>
      </c>
      <c r="L238" s="109" t="s">
        <v>348</v>
      </c>
      <c r="M238" s="109" t="s">
        <v>349</v>
      </c>
      <c r="N238" s="109" t="s">
        <v>350</v>
      </c>
      <c r="O238" s="12">
        <f>'2022 Budget &amp; CF'!J238</f>
        <v>0</v>
      </c>
      <c r="P238" s="12">
        <f>'2022 Budget &amp; CF'!K238</f>
        <v>0</v>
      </c>
      <c r="Q238" s="12">
        <f>'2022 Budget &amp; CF'!L238</f>
        <v>0</v>
      </c>
      <c r="R238" s="12">
        <f>'2022 Budget &amp; CF'!M238</f>
        <v>0</v>
      </c>
      <c r="S238" s="12">
        <f>'2022 Budget &amp; CF'!N238</f>
        <v>0</v>
      </c>
      <c r="T238" s="12">
        <f>'2022 Budget &amp; CF'!O238</f>
        <v>0</v>
      </c>
      <c r="U238" s="12">
        <f>'2022 Budget &amp; CF'!P238</f>
        <v>0</v>
      </c>
      <c r="V238" s="12">
        <f>'2022 Budget &amp; CF'!Q238</f>
        <v>0</v>
      </c>
      <c r="W238" s="12">
        <f>'2022 Budget &amp; CF'!R238</f>
        <v>0</v>
      </c>
      <c r="X238" s="12">
        <f>'2022 Budget &amp; CF'!S238</f>
        <v>0</v>
      </c>
      <c r="Y238" s="12">
        <f>'2022 Budget &amp; CF'!T238</f>
        <v>0</v>
      </c>
      <c r="Z238" s="12">
        <f>'2022 Budget &amp; CF'!U238</f>
        <v>0</v>
      </c>
      <c r="AA238" s="12">
        <f>'2022 Budget &amp; CF'!V238</f>
        <v>0</v>
      </c>
      <c r="AB238" s="12"/>
      <c r="AC238" s="121">
        <f t="shared" ref="AC238" si="155">SUM(O238:AA238)</f>
        <v>0</v>
      </c>
      <c r="AD238" s="115">
        <f>'2022 Budget &amp; CF'!Z238</f>
        <v>0</v>
      </c>
      <c r="AE238" s="117">
        <f t="shared" ref="AE238" si="156">AD238-AC238</f>
        <v>0</v>
      </c>
      <c r="AF238" s="117">
        <f t="shared" ref="AF238" si="157">AE238/$AF$6</f>
        <v>0</v>
      </c>
    </row>
    <row r="239" spans="2:32" hidden="1" outlineLevel="1" x14ac:dyDescent="0.2">
      <c r="B239" s="762" t="s">
        <v>530</v>
      </c>
      <c r="C239" s="305"/>
      <c r="D239" s="132"/>
      <c r="E239" s="132"/>
      <c r="F239" s="132"/>
      <c r="G239" s="132"/>
      <c r="H239" s="306"/>
      <c r="I239" s="133"/>
      <c r="J239" s="343"/>
      <c r="K239" s="133"/>
      <c r="L239" s="133"/>
      <c r="M239" s="133"/>
      <c r="N239" s="13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>
        <f>'2022 Budget &amp; CF'!Z239</f>
        <v>0</v>
      </c>
      <c r="AE239" s="114"/>
      <c r="AF239" s="114"/>
    </row>
    <row r="240" spans="2:32" hidden="1" outlineLevel="1" x14ac:dyDescent="0.2">
      <c r="B240" s="763" t="s">
        <v>224</v>
      </c>
      <c r="C240" s="102">
        <f>'2022 Budget &amp; CF'!C240</f>
        <v>280</v>
      </c>
      <c r="D240" s="104" t="s">
        <v>145</v>
      </c>
      <c r="E240" s="102"/>
      <c r="F240" s="102" t="s">
        <v>468</v>
      </c>
      <c r="G240" s="102" t="s">
        <v>461</v>
      </c>
      <c r="H240" s="104" t="s">
        <v>225</v>
      </c>
      <c r="I240" s="101"/>
      <c r="J240" s="344" t="s">
        <v>1222</v>
      </c>
      <c r="K240" s="109">
        <v>2022</v>
      </c>
      <c r="L240" s="109" t="s">
        <v>348</v>
      </c>
      <c r="M240" s="109" t="s">
        <v>349</v>
      </c>
      <c r="N240" s="109" t="s">
        <v>350</v>
      </c>
      <c r="O240" s="12">
        <f>'2022 Budget &amp; CF'!J240</f>
        <v>241.6</v>
      </c>
      <c r="P240" s="12">
        <f>'2022 Budget &amp; CF'!K240</f>
        <v>268.76</v>
      </c>
      <c r="Q240" s="12">
        <f>'2022 Budget &amp; CF'!L240</f>
        <v>335.95</v>
      </c>
      <c r="R240" s="12">
        <f>'2022 Budget &amp; CF'!M240</f>
        <v>268.76</v>
      </c>
      <c r="S240" s="12">
        <f>'2022 Budget &amp; CF'!N240</f>
        <v>4527.3900000000003</v>
      </c>
      <c r="T240" s="12">
        <f>'2022 Budget &amp; CF'!O240</f>
        <v>0</v>
      </c>
      <c r="U240" s="12">
        <f>'2022 Budget &amp; CF'!P240</f>
        <v>0</v>
      </c>
      <c r="V240" s="12">
        <f>'2022 Budget &amp; CF'!Q240</f>
        <v>0</v>
      </c>
      <c r="W240" s="12">
        <f>'2022 Budget &amp; CF'!R240</f>
        <v>0</v>
      </c>
      <c r="X240" s="12">
        <f>'2022 Budget &amp; CF'!S240</f>
        <v>0</v>
      </c>
      <c r="Y240" s="12">
        <f>'2022 Budget &amp; CF'!T240</f>
        <v>0</v>
      </c>
      <c r="Z240" s="12">
        <f>'2022 Budget &amp; CF'!U240</f>
        <v>0</v>
      </c>
      <c r="AA240" s="12">
        <f>'2022 Budget &amp; CF'!V240</f>
        <v>0</v>
      </c>
      <c r="AB240" s="12"/>
      <c r="AC240" s="121">
        <f t="shared" ref="AC240" si="158">SUM(O240:AA240)</f>
        <v>5642.46</v>
      </c>
      <c r="AD240" s="115">
        <f>'2022 Budget &amp; CF'!Z240</f>
        <v>4832</v>
      </c>
      <c r="AE240" s="117">
        <f t="shared" ref="AE240" si="159">AD240-AC240</f>
        <v>-810.46</v>
      </c>
      <c r="AF240" s="117">
        <f t="shared" ref="AF240" si="160">AE240/$AF$6</f>
        <v>-67.538333333333341</v>
      </c>
    </row>
    <row r="241" spans="2:32" hidden="1" outlineLevel="1" x14ac:dyDescent="0.2">
      <c r="B241" s="762" t="s">
        <v>376</v>
      </c>
      <c r="C241" s="305"/>
      <c r="D241" s="132"/>
      <c r="E241" s="132"/>
      <c r="F241" s="132"/>
      <c r="G241" s="132"/>
      <c r="H241" s="306"/>
      <c r="I241" s="133"/>
      <c r="J241" s="343"/>
      <c r="K241" s="133"/>
      <c r="L241" s="133"/>
      <c r="M241" s="133"/>
      <c r="N241" s="13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>
        <f>'2022 Budget &amp; CF'!Z241</f>
        <v>0</v>
      </c>
      <c r="AE241" s="114"/>
      <c r="AF241" s="114"/>
    </row>
    <row r="242" spans="2:32" hidden="1" outlineLevel="1" x14ac:dyDescent="0.2">
      <c r="B242" s="763" t="s">
        <v>224</v>
      </c>
      <c r="C242" s="102">
        <f>'2022 Budget &amp; CF'!C242</f>
        <v>280</v>
      </c>
      <c r="D242" s="102" t="s">
        <v>544</v>
      </c>
      <c r="E242" s="102"/>
      <c r="F242" s="102">
        <f>'2022 Budget &amp; CF'!F242</f>
        <v>100</v>
      </c>
      <c r="G242" s="102" t="s">
        <v>461</v>
      </c>
      <c r="H242" s="104" t="s">
        <v>225</v>
      </c>
      <c r="I242" s="101"/>
      <c r="J242" s="344" t="s">
        <v>1223</v>
      </c>
      <c r="K242" s="109">
        <v>2022</v>
      </c>
      <c r="L242" s="109" t="s">
        <v>348</v>
      </c>
      <c r="M242" s="109" t="s">
        <v>349</v>
      </c>
      <c r="N242" s="109" t="s">
        <v>350</v>
      </c>
      <c r="O242" s="12">
        <f>'2022 Budget &amp; CF'!J242</f>
        <v>0</v>
      </c>
      <c r="P242" s="12">
        <f>'2022 Budget &amp; CF'!K242</f>
        <v>0</v>
      </c>
      <c r="Q242" s="12">
        <f>'2022 Budget &amp; CF'!L242</f>
        <v>0</v>
      </c>
      <c r="R242" s="12">
        <f>'2022 Budget &amp; CF'!M242</f>
        <v>0</v>
      </c>
      <c r="S242" s="12">
        <f>'2022 Budget &amp; CF'!N242</f>
        <v>0</v>
      </c>
      <c r="T242" s="12">
        <f>'2022 Budget &amp; CF'!O242</f>
        <v>0</v>
      </c>
      <c r="U242" s="12">
        <f>'2022 Budget &amp; CF'!P242</f>
        <v>0</v>
      </c>
      <c r="V242" s="12">
        <f>'2022 Budget &amp; CF'!Q242</f>
        <v>0</v>
      </c>
      <c r="W242" s="12">
        <f>'2022 Budget &amp; CF'!R242</f>
        <v>0</v>
      </c>
      <c r="X242" s="12">
        <f>'2022 Budget &amp; CF'!S242</f>
        <v>0</v>
      </c>
      <c r="Y242" s="12">
        <f>'2022 Budget &amp; CF'!T242</f>
        <v>0</v>
      </c>
      <c r="Z242" s="12">
        <f>'2022 Budget &amp; CF'!U242</f>
        <v>0</v>
      </c>
      <c r="AA242" s="12">
        <f>'2022 Budget &amp; CF'!V242</f>
        <v>0</v>
      </c>
      <c r="AB242" s="12"/>
      <c r="AC242" s="121">
        <f t="shared" ref="AC242" si="161">SUM(O242:AA242)</f>
        <v>0</v>
      </c>
      <c r="AD242" s="115">
        <f>'2022 Budget &amp; CF'!Z242</f>
        <v>0</v>
      </c>
      <c r="AE242" s="117">
        <f t="shared" ref="AE242" si="162">AD242-AC242</f>
        <v>0</v>
      </c>
      <c r="AF242" s="117">
        <f t="shared" ref="AF242" si="163">AE242/$AF$6</f>
        <v>0</v>
      </c>
    </row>
    <row r="243" spans="2:32" hidden="1" outlineLevel="1" x14ac:dyDescent="0.2">
      <c r="B243" s="764" t="s">
        <v>139</v>
      </c>
      <c r="C243" s="132"/>
      <c r="D243" s="132"/>
      <c r="E243" s="132"/>
      <c r="F243" s="132"/>
      <c r="G243" s="132"/>
      <c r="H243" s="132"/>
      <c r="I243" s="152"/>
      <c r="J243" s="343"/>
      <c r="K243" s="133"/>
      <c r="L243" s="133"/>
      <c r="M243" s="133"/>
      <c r="N243" s="13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>
        <f>'2022 Budget &amp; CF'!Z243</f>
        <v>0</v>
      </c>
      <c r="AE243" s="114"/>
      <c r="AF243" s="114"/>
    </row>
    <row r="244" spans="2:32" hidden="1" outlineLevel="1" x14ac:dyDescent="0.2">
      <c r="B244" s="763" t="s">
        <v>243</v>
      </c>
      <c r="C244" s="102">
        <v>280</v>
      </c>
      <c r="D244" s="101">
        <v>624</v>
      </c>
      <c r="E244" s="102"/>
      <c r="F244" s="102">
        <v>430</v>
      </c>
      <c r="G244" s="102" t="s">
        <v>489</v>
      </c>
      <c r="H244" s="102" t="s">
        <v>199</v>
      </c>
      <c r="I244" s="102"/>
      <c r="J244" s="344" t="str">
        <f t="shared" ref="J244:J247" si="164">CONCATENATE(C244,D244,F244,G244,H244,I244)</f>
        <v>28062443022130330</v>
      </c>
      <c r="K244" s="109">
        <v>2022</v>
      </c>
      <c r="L244" s="109" t="s">
        <v>348</v>
      </c>
      <c r="M244" s="109" t="s">
        <v>349</v>
      </c>
      <c r="N244" s="109" t="s">
        <v>350</v>
      </c>
      <c r="O244" s="12">
        <f>'2022 Budget &amp; CF'!J244</f>
        <v>0</v>
      </c>
      <c r="P244" s="12">
        <f>'2022 Budget &amp; CF'!K244</f>
        <v>0</v>
      </c>
      <c r="Q244" s="12">
        <f>'2022 Budget &amp; CF'!L244</f>
        <v>0</v>
      </c>
      <c r="R244" s="12">
        <f>'2022 Budget &amp; CF'!M244</f>
        <v>13000</v>
      </c>
      <c r="S244" s="12">
        <f>'2022 Budget &amp; CF'!N244</f>
        <v>0</v>
      </c>
      <c r="T244" s="12">
        <f>'2022 Budget &amp; CF'!O244</f>
        <v>0</v>
      </c>
      <c r="U244" s="12">
        <f>'2022 Budget &amp; CF'!P244</f>
        <v>0</v>
      </c>
      <c r="V244" s="12">
        <f>'2022 Budget &amp; CF'!Q244</f>
        <v>0</v>
      </c>
      <c r="W244" s="12">
        <f>'2022 Budget &amp; CF'!R244</f>
        <v>0</v>
      </c>
      <c r="X244" s="12">
        <f>'2022 Budget &amp; CF'!S244</f>
        <v>0</v>
      </c>
      <c r="Y244" s="12">
        <f>'2022 Budget &amp; CF'!T244</f>
        <v>0</v>
      </c>
      <c r="Z244" s="12">
        <f>'2022 Budget &amp; CF'!U244</f>
        <v>0</v>
      </c>
      <c r="AA244" s="12">
        <f>'2022 Budget &amp; CF'!V244</f>
        <v>0</v>
      </c>
      <c r="AB244" s="12"/>
      <c r="AC244" s="121">
        <f t="shared" ref="AC244:AC247" si="165">SUM(O244:AA244)</f>
        <v>13000</v>
      </c>
      <c r="AD244" s="115">
        <f>'2022 Budget &amp; CF'!Z244</f>
        <v>37500</v>
      </c>
      <c r="AE244" s="117">
        <f t="shared" ref="AE244:AE247" si="166">AD244-AC244</f>
        <v>24500</v>
      </c>
      <c r="AF244" s="117">
        <f t="shared" ref="AF244:AF247" si="167">AE244/$AF$6</f>
        <v>2041.6666666666667</v>
      </c>
    </row>
    <row r="245" spans="2:32" hidden="1" outlineLevel="1" x14ac:dyDescent="0.2">
      <c r="B245" s="763"/>
      <c r="C245" s="102" t="s">
        <v>135</v>
      </c>
      <c r="D245" s="101" t="s">
        <v>242</v>
      </c>
      <c r="E245" s="102"/>
      <c r="F245" s="102" t="s">
        <v>532</v>
      </c>
      <c r="G245" s="102" t="s">
        <v>461</v>
      </c>
      <c r="H245" s="102" t="s">
        <v>203</v>
      </c>
      <c r="I245" s="102"/>
      <c r="J245" s="344" t="str">
        <f>CONCATENATE(C245,D245,F245,G245,H245,I245)</f>
        <v>28062443010000340</v>
      </c>
      <c r="K245" s="109">
        <v>2022</v>
      </c>
      <c r="L245" s="109" t="s">
        <v>348</v>
      </c>
      <c r="M245" s="109" t="s">
        <v>349</v>
      </c>
      <c r="N245" s="109" t="s">
        <v>350</v>
      </c>
      <c r="O245" s="12">
        <f>'2022 Budget &amp; CF'!J245</f>
        <v>0</v>
      </c>
      <c r="P245" s="12">
        <f>'2022 Budget &amp; CF'!K245</f>
        <v>8096</v>
      </c>
      <c r="Q245" s="12">
        <f>'2022 Budget &amp; CF'!L245</f>
        <v>0</v>
      </c>
      <c r="R245" s="12">
        <f>'2022 Budget &amp; CF'!M245</f>
        <v>7866</v>
      </c>
      <c r="S245" s="12">
        <f>'2022 Budget &amp; CF'!N245</f>
        <v>8430</v>
      </c>
      <c r="T245" s="12">
        <f>'2022 Budget &amp; CF'!O245</f>
        <v>0</v>
      </c>
      <c r="U245" s="12">
        <f>'2022 Budget &amp; CF'!P245</f>
        <v>0</v>
      </c>
      <c r="V245" s="12">
        <f>'2022 Budget &amp; CF'!Q245</f>
        <v>0</v>
      </c>
      <c r="W245" s="12">
        <f>'2022 Budget &amp; CF'!R245</f>
        <v>0</v>
      </c>
      <c r="X245" s="12">
        <f>'2022 Budget &amp; CF'!S245</f>
        <v>0</v>
      </c>
      <c r="Y245" s="12">
        <f>'2022 Budget &amp; CF'!T245</f>
        <v>0</v>
      </c>
      <c r="Z245" s="12">
        <f>'2022 Budget &amp; CF'!U245</f>
        <v>0</v>
      </c>
      <c r="AA245" s="12">
        <f>'2022 Budget &amp; CF'!V245</f>
        <v>0</v>
      </c>
      <c r="AB245" s="12"/>
      <c r="AC245" s="121">
        <f>SUM(O245:AA245)</f>
        <v>24392</v>
      </c>
      <c r="AD245" s="115">
        <f>'2022 Budget &amp; CF'!Z245</f>
        <v>62820</v>
      </c>
      <c r="AE245" s="117">
        <f>AD245-AC245</f>
        <v>38428</v>
      </c>
      <c r="AF245" s="117">
        <f>AE245/$AF$6</f>
        <v>3202.3333333333335</v>
      </c>
    </row>
    <row r="246" spans="2:32" hidden="1" outlineLevel="1" x14ac:dyDescent="0.2">
      <c r="B246" s="763"/>
      <c r="C246" s="102" t="s">
        <v>135</v>
      </c>
      <c r="D246" s="101" t="s">
        <v>242</v>
      </c>
      <c r="E246" s="102"/>
      <c r="F246" s="102" t="s">
        <v>468</v>
      </c>
      <c r="G246" s="102" t="s">
        <v>489</v>
      </c>
      <c r="H246" s="102" t="s">
        <v>203</v>
      </c>
      <c r="I246" s="102"/>
      <c r="J246" s="344" t="str">
        <f t="shared" ref="J246" si="168">CONCATENATE(C246,D246,F246,G246,H246,I246)</f>
        <v>28062410022130340</v>
      </c>
      <c r="K246" s="109">
        <v>2022</v>
      </c>
      <c r="L246" s="109" t="s">
        <v>348</v>
      </c>
      <c r="M246" s="109" t="s">
        <v>349</v>
      </c>
      <c r="N246" s="109" t="s">
        <v>350</v>
      </c>
      <c r="O246" s="12">
        <f>'2022 Budget &amp; CF'!J246</f>
        <v>0</v>
      </c>
      <c r="P246" s="12">
        <f>'2022 Budget &amp; CF'!K246</f>
        <v>0</v>
      </c>
      <c r="Q246" s="12">
        <f>'2022 Budget &amp; CF'!L246</f>
        <v>0</v>
      </c>
      <c r="R246" s="12">
        <f>'2022 Budget &amp; CF'!M246</f>
        <v>0</v>
      </c>
      <c r="S246" s="12">
        <f>'2022 Budget &amp; CF'!N246</f>
        <v>0</v>
      </c>
      <c r="T246" s="12">
        <f>'2022 Budget &amp; CF'!O246</f>
        <v>0</v>
      </c>
      <c r="U246" s="12">
        <f>'2022 Budget &amp; CF'!P246</f>
        <v>0</v>
      </c>
      <c r="V246" s="12">
        <f>'2022 Budget &amp; CF'!Q246</f>
        <v>0</v>
      </c>
      <c r="W246" s="12">
        <f>'2022 Budget &amp; CF'!R246</f>
        <v>0</v>
      </c>
      <c r="X246" s="12">
        <f>'2022 Budget &amp; CF'!S246</f>
        <v>0</v>
      </c>
      <c r="Y246" s="12">
        <f>'2022 Budget &amp; CF'!T246</f>
        <v>0</v>
      </c>
      <c r="Z246" s="12">
        <f>'2022 Budget &amp; CF'!U246</f>
        <v>0</v>
      </c>
      <c r="AA246" s="12">
        <f>'2022 Budget &amp; CF'!V246</f>
        <v>0</v>
      </c>
      <c r="AB246" s="12"/>
      <c r="AC246" s="121">
        <f t="shared" si="165"/>
        <v>0</v>
      </c>
      <c r="AD246" s="115">
        <f>'2022 Budget &amp; CF'!Z246</f>
        <v>0</v>
      </c>
      <c r="AE246" s="117">
        <f t="shared" si="166"/>
        <v>0</v>
      </c>
      <c r="AF246" s="117">
        <f t="shared" si="167"/>
        <v>0</v>
      </c>
    </row>
    <row r="247" spans="2:32" hidden="1" outlineLevel="1" x14ac:dyDescent="0.2">
      <c r="B247" s="763" t="s">
        <v>488</v>
      </c>
      <c r="C247" s="102">
        <v>280</v>
      </c>
      <c r="D247" s="101">
        <v>624</v>
      </c>
      <c r="E247" s="102"/>
      <c r="F247" s="102">
        <v>430</v>
      </c>
      <c r="G247" s="102" t="s">
        <v>489</v>
      </c>
      <c r="H247" s="102" t="s">
        <v>199</v>
      </c>
      <c r="I247" s="102"/>
      <c r="J247" s="344" t="str">
        <f t="shared" si="164"/>
        <v>28062443022130330</v>
      </c>
      <c r="K247" s="109">
        <v>2022</v>
      </c>
      <c r="L247" s="109" t="s">
        <v>348</v>
      </c>
      <c r="M247" s="109" t="s">
        <v>349</v>
      </c>
      <c r="N247" s="109" t="s">
        <v>350</v>
      </c>
      <c r="O247" s="12">
        <f>'2022 Budget &amp; CF'!J247</f>
        <v>0</v>
      </c>
      <c r="P247" s="12">
        <f>'2022 Budget &amp; CF'!K247</f>
        <v>0</v>
      </c>
      <c r="Q247" s="12">
        <f>'2022 Budget &amp; CF'!L247</f>
        <v>0</v>
      </c>
      <c r="R247" s="12">
        <f>'2022 Budget &amp; CF'!M247</f>
        <v>0</v>
      </c>
      <c r="S247" s="12">
        <f>'2022 Budget &amp; CF'!N247</f>
        <v>0</v>
      </c>
      <c r="T247" s="12">
        <f>'2022 Budget &amp; CF'!O247</f>
        <v>0</v>
      </c>
      <c r="U247" s="12">
        <f>'2022 Budget &amp; CF'!P247</f>
        <v>0</v>
      </c>
      <c r="V247" s="12">
        <f>'2022 Budget &amp; CF'!Q247</f>
        <v>0</v>
      </c>
      <c r="W247" s="12">
        <f>'2022 Budget &amp; CF'!R247</f>
        <v>0</v>
      </c>
      <c r="X247" s="12">
        <f>'2022 Budget &amp; CF'!S247</f>
        <v>0</v>
      </c>
      <c r="Y247" s="12">
        <f>'2022 Budget &amp; CF'!T247</f>
        <v>0</v>
      </c>
      <c r="Z247" s="12">
        <f>'2022 Budget &amp; CF'!U247</f>
        <v>0</v>
      </c>
      <c r="AA247" s="12">
        <f>'2022 Budget &amp; CF'!V247</f>
        <v>0</v>
      </c>
      <c r="AB247" s="12"/>
      <c r="AC247" s="121">
        <f t="shared" si="165"/>
        <v>0</v>
      </c>
      <c r="AD247" s="115">
        <f>'2022 Budget &amp; CF'!Z247</f>
        <v>0</v>
      </c>
      <c r="AE247" s="117">
        <f t="shared" si="166"/>
        <v>0</v>
      </c>
      <c r="AF247" s="117">
        <f t="shared" si="167"/>
        <v>0</v>
      </c>
    </row>
    <row r="248" spans="2:32" hidden="1" outlineLevel="1" x14ac:dyDescent="0.2">
      <c r="B248" s="762" t="s">
        <v>140</v>
      </c>
      <c r="C248" s="305"/>
      <c r="D248" s="132"/>
      <c r="E248" s="132"/>
      <c r="F248" s="132"/>
      <c r="G248" s="132"/>
      <c r="H248" s="306"/>
      <c r="I248" s="133"/>
      <c r="J248" s="343"/>
      <c r="K248" s="133"/>
      <c r="L248" s="133"/>
      <c r="M248" s="133"/>
      <c r="N248" s="13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>
        <f>'2022 Budget &amp; CF'!Z248</f>
        <v>0</v>
      </c>
      <c r="AE248" s="114"/>
      <c r="AF248" s="114"/>
    </row>
    <row r="249" spans="2:32" hidden="1" outlineLevel="1" x14ac:dyDescent="0.2">
      <c r="B249" s="763" t="s">
        <v>244</v>
      </c>
      <c r="C249" s="102">
        <v>280</v>
      </c>
      <c r="D249" s="102" t="s">
        <v>245</v>
      </c>
      <c r="E249" s="102"/>
      <c r="F249" s="102">
        <v>430</v>
      </c>
      <c r="G249" s="102" t="s">
        <v>484</v>
      </c>
      <c r="H249" s="104" t="s">
        <v>203</v>
      </c>
      <c r="I249" s="101"/>
      <c r="J249" s="344" t="str">
        <f t="shared" ref="J249:J250" si="169">CONCATENATE(C249,D249,F249,G249,H249,I249)</f>
        <v>28063343021300340</v>
      </c>
      <c r="K249" s="109">
        <v>2022</v>
      </c>
      <c r="L249" s="109" t="s">
        <v>348</v>
      </c>
      <c r="M249" s="109" t="s">
        <v>349</v>
      </c>
      <c r="N249" s="109" t="s">
        <v>350</v>
      </c>
      <c r="O249" s="12">
        <f>'2022 Budget &amp; CF'!J249</f>
        <v>0</v>
      </c>
      <c r="P249" s="12">
        <f>'2022 Budget &amp; CF'!K249</f>
        <v>0</v>
      </c>
      <c r="Q249" s="12">
        <f>'2022 Budget &amp; CF'!L249</f>
        <v>0</v>
      </c>
      <c r="R249" s="12">
        <f>'2022 Budget &amp; CF'!M249</f>
        <v>0</v>
      </c>
      <c r="S249" s="12">
        <f>'2022 Budget &amp; CF'!N249</f>
        <v>0</v>
      </c>
      <c r="T249" s="12">
        <f>'2022 Budget &amp; CF'!O249</f>
        <v>0</v>
      </c>
      <c r="U249" s="12">
        <f>'2022 Budget &amp; CF'!P249</f>
        <v>0</v>
      </c>
      <c r="V249" s="12">
        <f>'2022 Budget &amp; CF'!Q249</f>
        <v>0</v>
      </c>
      <c r="W249" s="12">
        <f>'2022 Budget &amp; CF'!R249</f>
        <v>0</v>
      </c>
      <c r="X249" s="12">
        <f>'2022 Budget &amp; CF'!S249</f>
        <v>0</v>
      </c>
      <c r="Y249" s="12">
        <f>'2022 Budget &amp; CF'!T249</f>
        <v>0</v>
      </c>
      <c r="Z249" s="12">
        <f>'2022 Budget &amp; CF'!U249</f>
        <v>0</v>
      </c>
      <c r="AA249" s="12">
        <f>'2022 Budget &amp; CF'!V249</f>
        <v>0</v>
      </c>
      <c r="AB249" s="12"/>
      <c r="AC249" s="121">
        <f t="shared" ref="AC249:AC250" si="170">SUM(O249:AA249)</f>
        <v>0</v>
      </c>
      <c r="AD249" s="115">
        <f>'2022 Budget &amp; CF'!Z249</f>
        <v>0</v>
      </c>
      <c r="AE249" s="117">
        <f t="shared" ref="AE249:AE250" si="171">AD249-AC249</f>
        <v>0</v>
      </c>
      <c r="AF249" s="117">
        <f t="shared" ref="AF249:AF250" si="172">AE249/$AF$6</f>
        <v>0</v>
      </c>
    </row>
    <row r="250" spans="2:32" hidden="1" outlineLevel="1" x14ac:dyDescent="0.2">
      <c r="B250" s="763" t="s">
        <v>246</v>
      </c>
      <c r="C250" s="102">
        <v>280</v>
      </c>
      <c r="D250" s="102" t="s">
        <v>245</v>
      </c>
      <c r="E250" s="102"/>
      <c r="F250" s="102">
        <v>430</v>
      </c>
      <c r="G250" s="102" t="s">
        <v>490</v>
      </c>
      <c r="H250" s="104" t="s">
        <v>203</v>
      </c>
      <c r="I250" s="101"/>
      <c r="J250" s="344" t="str">
        <f t="shared" si="169"/>
        <v>28063343021900340</v>
      </c>
      <c r="K250" s="109">
        <v>2022</v>
      </c>
      <c r="L250" s="109" t="s">
        <v>348</v>
      </c>
      <c r="M250" s="109" t="s">
        <v>349</v>
      </c>
      <c r="N250" s="109" t="s">
        <v>350</v>
      </c>
      <c r="O250" s="12">
        <f>'2022 Budget &amp; CF'!J250</f>
        <v>0</v>
      </c>
      <c r="P250" s="12">
        <f>'2022 Budget &amp; CF'!K250</f>
        <v>0</v>
      </c>
      <c r="Q250" s="12">
        <f>'2022 Budget &amp; CF'!L250</f>
        <v>0</v>
      </c>
      <c r="R250" s="12">
        <f>'2022 Budget &amp; CF'!M250</f>
        <v>0</v>
      </c>
      <c r="S250" s="12">
        <f>'2022 Budget &amp; CF'!N250</f>
        <v>0</v>
      </c>
      <c r="T250" s="12">
        <f>'2022 Budget &amp; CF'!O250</f>
        <v>0</v>
      </c>
      <c r="U250" s="12">
        <f>'2022 Budget &amp; CF'!P250</f>
        <v>0</v>
      </c>
      <c r="V250" s="12">
        <f>'2022 Budget &amp; CF'!Q250</f>
        <v>0</v>
      </c>
      <c r="W250" s="12">
        <f>'2022 Budget &amp; CF'!R250</f>
        <v>0</v>
      </c>
      <c r="X250" s="12">
        <f>'2022 Budget &amp; CF'!S250</f>
        <v>0</v>
      </c>
      <c r="Y250" s="12">
        <f>'2022 Budget &amp; CF'!T250</f>
        <v>0</v>
      </c>
      <c r="Z250" s="12">
        <f>'2022 Budget &amp; CF'!U250</f>
        <v>0</v>
      </c>
      <c r="AA250" s="12">
        <f>'2022 Budget &amp; CF'!V250</f>
        <v>0</v>
      </c>
      <c r="AB250" s="12"/>
      <c r="AC250" s="121">
        <f t="shared" si="170"/>
        <v>0</v>
      </c>
      <c r="AD250" s="115">
        <f>'2022 Budget &amp; CF'!Z250</f>
        <v>0</v>
      </c>
      <c r="AE250" s="117">
        <f t="shared" si="171"/>
        <v>0</v>
      </c>
      <c r="AF250" s="117">
        <f t="shared" si="172"/>
        <v>0</v>
      </c>
    </row>
    <row r="251" spans="2:32" hidden="1" outlineLevel="1" x14ac:dyDescent="0.2">
      <c r="B251" s="762" t="s">
        <v>141</v>
      </c>
      <c r="C251" s="305"/>
      <c r="D251" s="132"/>
      <c r="E251" s="132"/>
      <c r="F251" s="132"/>
      <c r="G251" s="132"/>
      <c r="H251" s="306"/>
      <c r="I251" s="133"/>
      <c r="J251" s="343"/>
      <c r="K251" s="133"/>
      <c r="L251" s="133"/>
      <c r="M251" s="133"/>
      <c r="N251" s="13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>
        <f>'2022 Budget &amp; CF'!Z251</f>
        <v>0</v>
      </c>
      <c r="AE251" s="114"/>
      <c r="AF251" s="114"/>
    </row>
    <row r="252" spans="2:32" hidden="1" outlineLevel="1" x14ac:dyDescent="0.2">
      <c r="B252" s="763" t="s">
        <v>241</v>
      </c>
      <c r="C252" s="102">
        <f>'2022 Budget &amp; CF'!C252</f>
        <v>280</v>
      </c>
      <c r="D252" s="102" t="str">
        <f>'2022 Budget &amp; CF'!D252</f>
        <v>639</v>
      </c>
      <c r="E252" s="102"/>
      <c r="F252" s="102">
        <f>'2022 Budget &amp; CF'!F252</f>
        <v>200</v>
      </c>
      <c r="G252" s="102" t="s">
        <v>484</v>
      </c>
      <c r="H252" s="102" t="s">
        <v>203</v>
      </c>
      <c r="I252" s="101"/>
      <c r="J252" s="344" t="str">
        <f t="shared" ref="J252:J253" si="173">CONCATENATE(C252,D252,F252,G252,H252,I252)</f>
        <v>28063920021300340</v>
      </c>
      <c r="K252" s="109">
        <v>2022</v>
      </c>
      <c r="L252" s="109" t="s">
        <v>348</v>
      </c>
      <c r="M252" s="109" t="s">
        <v>349</v>
      </c>
      <c r="N252" s="109" t="s">
        <v>350</v>
      </c>
      <c r="O252" s="12">
        <f>'2022 Budget &amp; CF'!J252</f>
        <v>0</v>
      </c>
      <c r="P252" s="12">
        <f>'2022 Budget &amp; CF'!K252</f>
        <v>0</v>
      </c>
      <c r="Q252" s="12">
        <f>'2022 Budget &amp; CF'!L252</f>
        <v>0</v>
      </c>
      <c r="R252" s="12">
        <f>'2022 Budget &amp; CF'!M252</f>
        <v>0</v>
      </c>
      <c r="S252" s="12">
        <f>'2022 Budget &amp; CF'!N252</f>
        <v>0</v>
      </c>
      <c r="T252" s="12">
        <f>'2022 Budget &amp; CF'!O252</f>
        <v>0</v>
      </c>
      <c r="U252" s="12">
        <f>'2022 Budget &amp; CF'!P252</f>
        <v>0</v>
      </c>
      <c r="V252" s="12">
        <f>'2022 Budget &amp; CF'!Q252</f>
        <v>0</v>
      </c>
      <c r="W252" s="12">
        <f>'2022 Budget &amp; CF'!R252</f>
        <v>0</v>
      </c>
      <c r="X252" s="12">
        <f>'2022 Budget &amp; CF'!S252</f>
        <v>0</v>
      </c>
      <c r="Y252" s="12">
        <f>'2022 Budget &amp; CF'!T252</f>
        <v>0</v>
      </c>
      <c r="Z252" s="12">
        <f>'2022 Budget &amp; CF'!U252</f>
        <v>0</v>
      </c>
      <c r="AA252" s="12">
        <f>'2022 Budget &amp; CF'!V252</f>
        <v>0</v>
      </c>
      <c r="AB252" s="12"/>
      <c r="AC252" s="121">
        <f t="shared" ref="AC252:AC254" si="174">SUM(O252:AA252)</f>
        <v>0</v>
      </c>
      <c r="AD252" s="115">
        <f>'2022 Budget &amp; CF'!Z252</f>
        <v>0</v>
      </c>
      <c r="AE252" s="117">
        <f t="shared" ref="AE252:AE254" si="175">AD252-AC252</f>
        <v>0</v>
      </c>
      <c r="AF252" s="117">
        <f t="shared" ref="AF252:AF254" si="176">AE252/$AF$6</f>
        <v>0</v>
      </c>
    </row>
    <row r="253" spans="2:32" hidden="1" outlineLevel="1" x14ac:dyDescent="0.2">
      <c r="B253" s="763" t="s">
        <v>248</v>
      </c>
      <c r="C253" s="102">
        <f>'2022 Budget &amp; CF'!C253</f>
        <v>280</v>
      </c>
      <c r="D253" s="102" t="str">
        <f>'2022 Budget &amp; CF'!D253</f>
        <v>639</v>
      </c>
      <c r="E253" s="102"/>
      <c r="F253" s="102">
        <f>'2022 Budget &amp; CF'!F253</f>
        <v>200</v>
      </c>
      <c r="G253" s="102" t="s">
        <v>460</v>
      </c>
      <c r="H253" s="104" t="s">
        <v>203</v>
      </c>
      <c r="I253" s="101"/>
      <c r="J253" s="344" t="str">
        <f t="shared" si="173"/>
        <v>28063920024100340</v>
      </c>
      <c r="K253" s="109">
        <v>2022</v>
      </c>
      <c r="L253" s="109" t="s">
        <v>348</v>
      </c>
      <c r="M253" s="109" t="s">
        <v>349</v>
      </c>
      <c r="N253" s="109" t="s">
        <v>350</v>
      </c>
      <c r="O253" s="12">
        <f>'2022 Budget &amp; CF'!J253</f>
        <v>0</v>
      </c>
      <c r="P253" s="12">
        <f>'2022 Budget &amp; CF'!K253</f>
        <v>0</v>
      </c>
      <c r="Q253" s="12">
        <f>'2022 Budget &amp; CF'!L253</f>
        <v>0</v>
      </c>
      <c r="R253" s="12">
        <f>'2022 Budget &amp; CF'!M253</f>
        <v>0</v>
      </c>
      <c r="S253" s="12">
        <f>'2022 Budget &amp; CF'!N253</f>
        <v>0</v>
      </c>
      <c r="T253" s="12">
        <f>'2022 Budget &amp; CF'!O253</f>
        <v>0</v>
      </c>
      <c r="U253" s="12">
        <f>'2022 Budget &amp; CF'!P253</f>
        <v>0</v>
      </c>
      <c r="V253" s="12">
        <f>'2022 Budget &amp; CF'!Q253</f>
        <v>0</v>
      </c>
      <c r="W253" s="12">
        <f>'2022 Budget &amp; CF'!R253</f>
        <v>0</v>
      </c>
      <c r="X253" s="12">
        <f>'2022 Budget &amp; CF'!S253</f>
        <v>0</v>
      </c>
      <c r="Y253" s="12">
        <f>'2022 Budget &amp; CF'!T253</f>
        <v>0</v>
      </c>
      <c r="Z253" s="12">
        <f>'2022 Budget &amp; CF'!U253</f>
        <v>0</v>
      </c>
      <c r="AA253" s="12">
        <f>'2022 Budget &amp; CF'!V253</f>
        <v>0</v>
      </c>
      <c r="AB253" s="12"/>
      <c r="AC253" s="121">
        <f t="shared" si="174"/>
        <v>0</v>
      </c>
      <c r="AD253" s="115">
        <f>'2022 Budget &amp; CF'!Z253</f>
        <v>0</v>
      </c>
      <c r="AE253" s="117">
        <f t="shared" si="175"/>
        <v>0</v>
      </c>
      <c r="AF253" s="117">
        <f t="shared" si="176"/>
        <v>0</v>
      </c>
    </row>
    <row r="254" spans="2:32" hidden="1" outlineLevel="1" x14ac:dyDescent="0.2">
      <c r="B254" s="763" t="s">
        <v>239</v>
      </c>
      <c r="C254" s="102">
        <f>'2022 Budget &amp; CF'!C254</f>
        <v>280</v>
      </c>
      <c r="D254" s="102" t="str">
        <f>'2022 Budget &amp; CF'!D254</f>
        <v>639</v>
      </c>
      <c r="E254" s="102"/>
      <c r="F254" s="102" t="s">
        <v>473</v>
      </c>
      <c r="G254" s="102" t="s">
        <v>813</v>
      </c>
      <c r="H254" s="104" t="s">
        <v>240</v>
      </c>
      <c r="I254" s="103" t="s">
        <v>563</v>
      </c>
      <c r="J254" s="344" t="str">
        <f t="shared" ref="J254" si="177">CONCATENATE(C254,D254,F254,G254,H254,I254)</f>
        <v>2806392402700051001</v>
      </c>
      <c r="K254" s="102">
        <v>2022</v>
      </c>
      <c r="L254" s="102" t="s">
        <v>348</v>
      </c>
      <c r="M254" s="102" t="s">
        <v>349</v>
      </c>
      <c r="N254" s="102" t="s">
        <v>350</v>
      </c>
      <c r="O254" s="12">
        <f>'2022 Budget &amp; CF'!J254</f>
        <v>625</v>
      </c>
      <c r="P254" s="12">
        <f>'2022 Budget &amp; CF'!K254</f>
        <v>0</v>
      </c>
      <c r="Q254" s="12">
        <f>'2022 Budget &amp; CF'!L254</f>
        <v>0</v>
      </c>
      <c r="R254" s="12">
        <f>'2022 Budget &amp; CF'!M254</f>
        <v>0</v>
      </c>
      <c r="S254" s="12">
        <f>'2022 Budget &amp; CF'!N254</f>
        <v>0</v>
      </c>
      <c r="T254" s="12">
        <f>'2022 Budget &amp; CF'!O254</f>
        <v>0</v>
      </c>
      <c r="U254" s="12">
        <f>'2022 Budget &amp; CF'!P254</f>
        <v>0</v>
      </c>
      <c r="V254" s="12">
        <f>'2022 Budget &amp; CF'!Q254</f>
        <v>0</v>
      </c>
      <c r="W254" s="12">
        <f>'2022 Budget &amp; CF'!R254</f>
        <v>0</v>
      </c>
      <c r="X254" s="12">
        <f>'2022 Budget &amp; CF'!S254</f>
        <v>0</v>
      </c>
      <c r="Y254" s="12">
        <f>'2022 Budget &amp; CF'!T254</f>
        <v>0</v>
      </c>
      <c r="Z254" s="12">
        <f>'2022 Budget &amp; CF'!U254</f>
        <v>0</v>
      </c>
      <c r="AA254" s="12">
        <f>'2022 Budget &amp; CF'!V254</f>
        <v>0</v>
      </c>
      <c r="AB254" s="12"/>
      <c r="AC254" s="121">
        <f t="shared" si="174"/>
        <v>625</v>
      </c>
      <c r="AD254" s="115">
        <f>'2022 Budget &amp; CF'!Z254</f>
        <v>0</v>
      </c>
      <c r="AE254" s="117">
        <f t="shared" si="175"/>
        <v>-625</v>
      </c>
      <c r="AF254" s="117">
        <f t="shared" si="176"/>
        <v>-52.083333333333336</v>
      </c>
    </row>
    <row r="255" spans="2:32" hidden="1" outlineLevel="1" x14ac:dyDescent="0.2">
      <c r="B255" s="762" t="s">
        <v>531</v>
      </c>
      <c r="C255" s="305"/>
      <c r="D255" s="132"/>
      <c r="E255" s="132"/>
      <c r="F255" s="132"/>
      <c r="G255" s="132"/>
      <c r="H255" s="306"/>
      <c r="I255" s="133"/>
      <c r="J255" s="343"/>
      <c r="K255" s="133"/>
      <c r="L255" s="133"/>
      <c r="M255" s="133"/>
      <c r="N255" s="13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>
        <f>'2022 Budget &amp; CF'!Z255</f>
        <v>0</v>
      </c>
      <c r="AE255" s="114"/>
      <c r="AF255" s="114"/>
    </row>
    <row r="256" spans="2:32" hidden="1" outlineLevel="1" x14ac:dyDescent="0.2">
      <c r="B256" s="763" t="s">
        <v>224</v>
      </c>
      <c r="C256" s="102">
        <f>'2022 Budget &amp; CF'!C256</f>
        <v>280</v>
      </c>
      <c r="D256" s="104" t="s">
        <v>533</v>
      </c>
      <c r="E256" s="102"/>
      <c r="F256" s="102" t="s">
        <v>532</v>
      </c>
      <c r="G256" s="102" t="s">
        <v>461</v>
      </c>
      <c r="H256" s="104" t="s">
        <v>225</v>
      </c>
      <c r="I256" s="101"/>
      <c r="J256" s="344" t="str">
        <f t="shared" ref="J256" si="178">CONCATENATE(C256,D256,F256,G256,H256,I256)</f>
        <v>28065043010000535</v>
      </c>
      <c r="K256" s="109">
        <v>2022</v>
      </c>
      <c r="L256" s="109" t="s">
        <v>348</v>
      </c>
      <c r="M256" s="109" t="s">
        <v>349</v>
      </c>
      <c r="N256" s="109" t="s">
        <v>350</v>
      </c>
      <c r="O256" s="12">
        <f>'2022 Budget &amp; CF'!J256</f>
        <v>0</v>
      </c>
      <c r="P256" s="12">
        <f>'2022 Budget &amp; CF'!K256</f>
        <v>0</v>
      </c>
      <c r="Q256" s="12">
        <f>'2022 Budget &amp; CF'!L256</f>
        <v>0</v>
      </c>
      <c r="R256" s="12">
        <f>'2022 Budget &amp; CF'!M256</f>
        <v>0</v>
      </c>
      <c r="S256" s="12">
        <f>'2022 Budget &amp; CF'!N256</f>
        <v>0</v>
      </c>
      <c r="T256" s="12">
        <f>'2022 Budget &amp; CF'!O256</f>
        <v>0</v>
      </c>
      <c r="U256" s="12">
        <f>'2022 Budget &amp; CF'!P256</f>
        <v>0</v>
      </c>
      <c r="V256" s="12">
        <f>'2022 Budget &amp; CF'!Q256</f>
        <v>0</v>
      </c>
      <c r="W256" s="12">
        <f>'2022 Budget &amp; CF'!R256</f>
        <v>0</v>
      </c>
      <c r="X256" s="12">
        <f>'2022 Budget &amp; CF'!S256</f>
        <v>0</v>
      </c>
      <c r="Y256" s="12">
        <f>'2022 Budget &amp; CF'!T256</f>
        <v>0</v>
      </c>
      <c r="Z256" s="12">
        <f>'2022 Budget &amp; CF'!U256</f>
        <v>0</v>
      </c>
      <c r="AA256" s="12">
        <f>'2022 Budget &amp; CF'!V256</f>
        <v>0</v>
      </c>
      <c r="AB256" s="12"/>
      <c r="AC256" s="121">
        <f t="shared" ref="AC256:AC257" si="179">SUM(O256:AA256)</f>
        <v>0</v>
      </c>
      <c r="AD256" s="115">
        <f>'2022 Budget &amp; CF'!Z256</f>
        <v>0</v>
      </c>
      <c r="AE256" s="117">
        <f t="shared" ref="AE256:AE257" si="180">AD256-AC256</f>
        <v>0</v>
      </c>
      <c r="AF256" s="117">
        <f t="shared" ref="AF256:AF257" si="181">AE256/$AF$6</f>
        <v>0</v>
      </c>
    </row>
    <row r="257" spans="2:32" hidden="1" outlineLevel="1" x14ac:dyDescent="0.2">
      <c r="B257" s="765" t="s">
        <v>239</v>
      </c>
      <c r="C257" s="102" t="s">
        <v>135</v>
      </c>
      <c r="D257" s="104" t="s">
        <v>533</v>
      </c>
      <c r="E257" s="102"/>
      <c r="F257" s="102" t="s">
        <v>532</v>
      </c>
      <c r="G257" s="102" t="s">
        <v>813</v>
      </c>
      <c r="H257" s="104" t="s">
        <v>240</v>
      </c>
      <c r="I257" s="101"/>
      <c r="J257" s="344" t="str">
        <f t="shared" ref="J257" si="182">CONCATENATE(C257,D257,F257,G257,H257,I257)</f>
        <v>28065043027000510</v>
      </c>
      <c r="K257" s="109">
        <v>2022</v>
      </c>
      <c r="L257" s="109" t="s">
        <v>348</v>
      </c>
      <c r="M257" s="109" t="s">
        <v>349</v>
      </c>
      <c r="N257" s="109" t="s">
        <v>350</v>
      </c>
      <c r="O257" s="12">
        <f>'2022 Budget &amp; CF'!J257</f>
        <v>0</v>
      </c>
      <c r="P257" s="12">
        <f>'2022 Budget &amp; CF'!K257</f>
        <v>0</v>
      </c>
      <c r="Q257" s="12">
        <f>'2022 Budget &amp; CF'!L257</f>
        <v>0</v>
      </c>
      <c r="R257" s="12">
        <f>'2022 Budget &amp; CF'!M257</f>
        <v>0</v>
      </c>
      <c r="S257" s="12">
        <f>'2022 Budget &amp; CF'!N257</f>
        <v>0</v>
      </c>
      <c r="T257" s="12">
        <f>'2022 Budget &amp; CF'!O257</f>
        <v>0</v>
      </c>
      <c r="U257" s="12">
        <f>'2022 Budget &amp; CF'!P257</f>
        <v>0</v>
      </c>
      <c r="V257" s="12">
        <f>'2022 Budget &amp; CF'!Q257</f>
        <v>0</v>
      </c>
      <c r="W257" s="12">
        <f>'2022 Budget &amp; CF'!R257</f>
        <v>0</v>
      </c>
      <c r="X257" s="12">
        <f>'2022 Budget &amp; CF'!S257</f>
        <v>0</v>
      </c>
      <c r="Y257" s="12">
        <f>'2022 Budget &amp; CF'!T257</f>
        <v>0</v>
      </c>
      <c r="Z257" s="12">
        <f>'2022 Budget &amp; CF'!U257</f>
        <v>0</v>
      </c>
      <c r="AA257" s="12">
        <f>'2022 Budget &amp; CF'!V257</f>
        <v>0</v>
      </c>
      <c r="AB257" s="12"/>
      <c r="AC257" s="121">
        <f t="shared" si="179"/>
        <v>0</v>
      </c>
      <c r="AD257" s="115">
        <f>'2022 Budget &amp; CF'!Z257</f>
        <v>0</v>
      </c>
      <c r="AE257" s="117">
        <f t="shared" si="180"/>
        <v>0</v>
      </c>
      <c r="AF257" s="117">
        <f t="shared" si="181"/>
        <v>0</v>
      </c>
    </row>
    <row r="258" spans="2:32" hidden="1" outlineLevel="1" x14ac:dyDescent="0.2">
      <c r="B258" s="762" t="s">
        <v>922</v>
      </c>
      <c r="C258" s="305"/>
      <c r="D258" s="132"/>
      <c r="E258" s="132"/>
      <c r="F258" s="132"/>
      <c r="G258" s="132"/>
      <c r="H258" s="306"/>
      <c r="I258" s="133"/>
      <c r="J258" s="343"/>
      <c r="K258" s="133"/>
      <c r="L258" s="133"/>
      <c r="M258" s="133"/>
      <c r="N258" s="13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>
        <f>'2022 Budget &amp; CF'!Z258</f>
        <v>0</v>
      </c>
      <c r="AE258" s="114"/>
      <c r="AF258" s="114"/>
    </row>
    <row r="259" spans="2:32" hidden="1" outlineLevel="1" x14ac:dyDescent="0.2">
      <c r="B259" s="763" t="s">
        <v>831</v>
      </c>
      <c r="C259" s="102">
        <v>280</v>
      </c>
      <c r="D259" s="101">
        <v>661</v>
      </c>
      <c r="E259" s="102"/>
      <c r="F259" s="102" t="s">
        <v>468</v>
      </c>
      <c r="G259" s="102" t="s">
        <v>489</v>
      </c>
      <c r="H259" s="104" t="s">
        <v>199</v>
      </c>
      <c r="I259" s="101"/>
      <c r="J259" s="344" t="str">
        <f t="shared" ref="J259" si="183">CONCATENATE(C259,D259,F259,G259,H259,I259)</f>
        <v>28066110022130330</v>
      </c>
      <c r="K259" s="109">
        <v>2022</v>
      </c>
      <c r="L259" s="109" t="s">
        <v>348</v>
      </c>
      <c r="M259" s="109" t="s">
        <v>349</v>
      </c>
      <c r="N259" s="109" t="s">
        <v>350</v>
      </c>
      <c r="O259" s="12">
        <f>'2022 Budget &amp; CF'!J259</f>
        <v>0</v>
      </c>
      <c r="P259" s="12">
        <f>'2022 Budget &amp; CF'!K259</f>
        <v>2750</v>
      </c>
      <c r="Q259" s="12">
        <f>'2022 Budget &amp; CF'!L259</f>
        <v>0</v>
      </c>
      <c r="R259" s="12">
        <f>'2022 Budget &amp; CF'!M259</f>
        <v>0</v>
      </c>
      <c r="S259" s="12">
        <f>'2022 Budget &amp; CF'!N259</f>
        <v>500</v>
      </c>
      <c r="T259" s="12">
        <f>'2022 Budget &amp; CF'!O259</f>
        <v>0</v>
      </c>
      <c r="U259" s="12">
        <f>'2022 Budget &amp; CF'!P259</f>
        <v>0</v>
      </c>
      <c r="V259" s="12">
        <f>'2022 Budget &amp; CF'!Q259</f>
        <v>0</v>
      </c>
      <c r="W259" s="12">
        <f>'2022 Budget &amp; CF'!R259</f>
        <v>0</v>
      </c>
      <c r="X259" s="12">
        <f>'2022 Budget &amp; CF'!S259</f>
        <v>0</v>
      </c>
      <c r="Y259" s="12">
        <f>'2022 Budget &amp; CF'!T259</f>
        <v>0</v>
      </c>
      <c r="Z259" s="12">
        <f>'2022 Budget &amp; CF'!U259</f>
        <v>0</v>
      </c>
      <c r="AA259" s="12">
        <f>'2022 Budget &amp; CF'!V259</f>
        <v>0</v>
      </c>
      <c r="AB259" s="12"/>
      <c r="AC259" s="121">
        <f t="shared" ref="AC259:AC265" si="184">SUM(O259:AA259)</f>
        <v>3250</v>
      </c>
      <c r="AD259" s="115">
        <f>'2022 Budget &amp; CF'!Z259</f>
        <v>35000</v>
      </c>
      <c r="AE259" s="117">
        <f t="shared" ref="AE259:AE265" si="185">AD259-AC259</f>
        <v>31750</v>
      </c>
      <c r="AF259" s="117">
        <f t="shared" ref="AF259:AF265" si="186">AE259/$AF$6</f>
        <v>2645.8333333333335</v>
      </c>
    </row>
    <row r="260" spans="2:32" hidden="1" outlineLevel="1" x14ac:dyDescent="0.2">
      <c r="B260" s="763" t="s">
        <v>926</v>
      </c>
      <c r="C260" s="102">
        <v>280</v>
      </c>
      <c r="D260" s="101">
        <v>661</v>
      </c>
      <c r="E260" s="102"/>
      <c r="F260" s="102" t="s">
        <v>468</v>
      </c>
      <c r="G260" s="102" t="s">
        <v>461</v>
      </c>
      <c r="H260" s="104" t="s">
        <v>203</v>
      </c>
      <c r="I260" s="103" t="s">
        <v>563</v>
      </c>
      <c r="J260" s="344" t="str">
        <f t="shared" ref="J260" si="187">CONCATENATE(C260,D260,F260,G260,H260,I260)</f>
        <v>2806611001000034001</v>
      </c>
      <c r="K260" s="109">
        <v>2022</v>
      </c>
      <c r="L260" s="109" t="s">
        <v>348</v>
      </c>
      <c r="M260" s="109" t="s">
        <v>349</v>
      </c>
      <c r="N260" s="109" t="s">
        <v>350</v>
      </c>
      <c r="O260" s="12">
        <f>'2022 Budget &amp; CF'!J260</f>
        <v>0</v>
      </c>
      <c r="P260" s="12">
        <f>'2022 Budget &amp; CF'!K260</f>
        <v>7260</v>
      </c>
      <c r="Q260" s="12">
        <f>'2022 Budget &amp; CF'!L260</f>
        <v>7000</v>
      </c>
      <c r="R260" s="12">
        <f>'2022 Budget &amp; CF'!M260</f>
        <v>0</v>
      </c>
      <c r="S260" s="12">
        <f>'2022 Budget &amp; CF'!N260</f>
        <v>6510</v>
      </c>
      <c r="T260" s="12">
        <f>'2022 Budget &amp; CF'!O260</f>
        <v>0</v>
      </c>
      <c r="U260" s="12">
        <f>'2022 Budget &amp; CF'!P260</f>
        <v>0</v>
      </c>
      <c r="V260" s="12">
        <f>'2022 Budget &amp; CF'!Q260</f>
        <v>0</v>
      </c>
      <c r="W260" s="12">
        <f>'2022 Budget &amp; CF'!R260</f>
        <v>0</v>
      </c>
      <c r="X260" s="12">
        <f>'2022 Budget &amp; CF'!S260</f>
        <v>0</v>
      </c>
      <c r="Y260" s="12">
        <f>'2022 Budget &amp; CF'!T260</f>
        <v>0</v>
      </c>
      <c r="Z260" s="12">
        <f>'2022 Budget &amp; CF'!U260</f>
        <v>0</v>
      </c>
      <c r="AA260" s="12">
        <f>'2022 Budget &amp; CF'!V260</f>
        <v>0</v>
      </c>
      <c r="AB260" s="12"/>
      <c r="AC260" s="121">
        <f t="shared" si="184"/>
        <v>20770</v>
      </c>
      <c r="AD260" s="115">
        <f>'2022 Budget &amp; CF'!Z260</f>
        <v>127820</v>
      </c>
      <c r="AE260" s="117">
        <f t="shared" si="185"/>
        <v>107050</v>
      </c>
      <c r="AF260" s="117">
        <f t="shared" si="186"/>
        <v>8920.8333333333339</v>
      </c>
    </row>
    <row r="261" spans="2:32" hidden="1" outlineLevel="1" x14ac:dyDescent="0.2">
      <c r="B261" s="763" t="s">
        <v>926</v>
      </c>
      <c r="C261" s="102">
        <v>280</v>
      </c>
      <c r="D261" s="101">
        <v>661</v>
      </c>
      <c r="E261" s="102"/>
      <c r="F261" s="102" t="s">
        <v>468</v>
      </c>
      <c r="G261" s="102" t="s">
        <v>556</v>
      </c>
      <c r="H261" s="104" t="s">
        <v>203</v>
      </c>
      <c r="I261" s="101" t="s">
        <v>563</v>
      </c>
      <c r="J261" s="344" t="str">
        <f t="shared" ref="J261:J264" si="188">CONCATENATE(C261,D261,F261,G261,H261,I261)</f>
        <v>2806611002120034001</v>
      </c>
      <c r="K261" s="109">
        <v>2022</v>
      </c>
      <c r="L261" s="109" t="s">
        <v>348</v>
      </c>
      <c r="M261" s="109" t="s">
        <v>349</v>
      </c>
      <c r="N261" s="109" t="s">
        <v>350</v>
      </c>
      <c r="O261" s="12">
        <f>'2022 Budget &amp; CF'!J261</f>
        <v>5504</v>
      </c>
      <c r="P261" s="12">
        <f>'2022 Budget &amp; CF'!K261</f>
        <v>8396</v>
      </c>
      <c r="Q261" s="12">
        <f>'2022 Budget &amp; CF'!L261</f>
        <v>6880</v>
      </c>
      <c r="R261" s="12">
        <f>'2022 Budget &amp; CF'!M261</f>
        <v>4816</v>
      </c>
      <c r="S261" s="12">
        <f>'2022 Budget &amp; CF'!N261</f>
        <v>0</v>
      </c>
      <c r="T261" s="12">
        <f>'2022 Budget &amp; CF'!O261</f>
        <v>0</v>
      </c>
      <c r="U261" s="12">
        <f>'2022 Budget &amp; CF'!P261</f>
        <v>0</v>
      </c>
      <c r="V261" s="12">
        <f>'2022 Budget &amp; CF'!Q261</f>
        <v>0</v>
      </c>
      <c r="W261" s="12">
        <f>'2022 Budget &amp; CF'!R261</f>
        <v>0</v>
      </c>
      <c r="X261" s="12">
        <f>'2022 Budget &amp; CF'!S261</f>
        <v>0</v>
      </c>
      <c r="Y261" s="12">
        <f>'2022 Budget &amp; CF'!T261</f>
        <v>0</v>
      </c>
      <c r="Z261" s="12">
        <f>'2022 Budget &amp; CF'!U261</f>
        <v>0</v>
      </c>
      <c r="AA261" s="12">
        <f>'2022 Budget &amp; CF'!V261</f>
        <v>0</v>
      </c>
      <c r="AB261" s="12"/>
      <c r="AC261" s="121">
        <f t="shared" si="184"/>
        <v>25596</v>
      </c>
      <c r="AD261" s="115">
        <f>'2022 Budget &amp; CF'!Z261</f>
        <v>35000</v>
      </c>
      <c r="AE261" s="117">
        <f t="shared" si="185"/>
        <v>9404</v>
      </c>
      <c r="AF261" s="117">
        <f t="shared" si="186"/>
        <v>783.66666666666663</v>
      </c>
    </row>
    <row r="262" spans="2:32" hidden="1" outlineLevel="1" x14ac:dyDescent="0.2">
      <c r="B262" s="763" t="s">
        <v>927</v>
      </c>
      <c r="C262" s="102">
        <v>280</v>
      </c>
      <c r="D262" s="101">
        <v>661</v>
      </c>
      <c r="E262" s="102"/>
      <c r="F262" s="102" t="s">
        <v>468</v>
      </c>
      <c r="G262" s="102" t="s">
        <v>476</v>
      </c>
      <c r="H262" s="104" t="s">
        <v>217</v>
      </c>
      <c r="I262" s="101"/>
      <c r="J262" s="344" t="str">
        <f t="shared" si="188"/>
        <v>28066110025600345</v>
      </c>
      <c r="K262" s="109">
        <v>2022</v>
      </c>
      <c r="L262" s="109" t="s">
        <v>348</v>
      </c>
      <c r="M262" s="109" t="s">
        <v>349</v>
      </c>
      <c r="N262" s="109" t="s">
        <v>350</v>
      </c>
      <c r="O262" s="12">
        <f>'2022 Budget &amp; CF'!J262</f>
        <v>0</v>
      </c>
      <c r="P262" s="12">
        <f>'2022 Budget &amp; CF'!K262</f>
        <v>0</v>
      </c>
      <c r="Q262" s="12">
        <f>'2022 Budget &amp; CF'!L262</f>
        <v>0</v>
      </c>
      <c r="R262" s="12">
        <f>'2022 Budget &amp; CF'!M262</f>
        <v>0</v>
      </c>
      <c r="S262" s="12">
        <f>'2022 Budget &amp; CF'!N262</f>
        <v>0</v>
      </c>
      <c r="T262" s="12">
        <f>'2022 Budget &amp; CF'!O262</f>
        <v>0</v>
      </c>
      <c r="U262" s="12">
        <f>'2022 Budget &amp; CF'!P262</f>
        <v>0</v>
      </c>
      <c r="V262" s="12">
        <f>'2022 Budget &amp; CF'!Q262</f>
        <v>0</v>
      </c>
      <c r="W262" s="12">
        <f>'2022 Budget &amp; CF'!R262</f>
        <v>0</v>
      </c>
      <c r="X262" s="12">
        <f>'2022 Budget &amp; CF'!S262</f>
        <v>0</v>
      </c>
      <c r="Y262" s="12">
        <f>'2022 Budget &amp; CF'!T262</f>
        <v>0</v>
      </c>
      <c r="Z262" s="12">
        <f>'2022 Budget &amp; CF'!U262</f>
        <v>0</v>
      </c>
      <c r="AA262" s="12">
        <f>'2022 Budget &amp; CF'!V262</f>
        <v>0</v>
      </c>
      <c r="AB262" s="12"/>
      <c r="AC262" s="121">
        <f t="shared" si="184"/>
        <v>0</v>
      </c>
      <c r="AD262" s="115">
        <f>'2022 Budget &amp; CF'!Z262</f>
        <v>0</v>
      </c>
      <c r="AE262" s="117">
        <f t="shared" si="185"/>
        <v>0</v>
      </c>
      <c r="AF262" s="117">
        <f t="shared" si="186"/>
        <v>0</v>
      </c>
    </row>
    <row r="263" spans="2:32" hidden="1" outlineLevel="1" x14ac:dyDescent="0.2">
      <c r="B263" s="763" t="s">
        <v>1224</v>
      </c>
      <c r="C263" s="102" t="s">
        <v>135</v>
      </c>
      <c r="D263" s="101" t="s">
        <v>923</v>
      </c>
      <c r="E263" s="102"/>
      <c r="F263" s="102" t="s">
        <v>468</v>
      </c>
      <c r="G263" s="102" t="s">
        <v>542</v>
      </c>
      <c r="H263" s="104" t="s">
        <v>480</v>
      </c>
      <c r="I263" s="103" t="s">
        <v>497</v>
      </c>
      <c r="J263" s="344" t="str">
        <f t="shared" si="188"/>
        <v>2806611002670043002</v>
      </c>
      <c r="K263" s="109">
        <v>2022</v>
      </c>
      <c r="L263" s="109" t="s">
        <v>348</v>
      </c>
      <c r="M263" s="109" t="s">
        <v>349</v>
      </c>
      <c r="N263" s="109" t="s">
        <v>350</v>
      </c>
      <c r="O263" s="12">
        <f>'2022 Budget &amp; CF'!J263</f>
        <v>0</v>
      </c>
      <c r="P263" s="12">
        <f>'2022 Budget &amp; CF'!K263</f>
        <v>0</v>
      </c>
      <c r="Q263" s="12">
        <f>'2022 Budget &amp; CF'!L263</f>
        <v>0</v>
      </c>
      <c r="R263" s="12">
        <f>'2022 Budget &amp; CF'!M263</f>
        <v>0</v>
      </c>
      <c r="S263" s="12">
        <f>'2022 Budget &amp; CF'!N263</f>
        <v>4405</v>
      </c>
      <c r="T263" s="12"/>
      <c r="U263" s="12"/>
      <c r="V263" s="12"/>
      <c r="W263" s="12"/>
      <c r="X263" s="12"/>
      <c r="Y263" s="12"/>
      <c r="Z263" s="12"/>
      <c r="AA263" s="12"/>
      <c r="AB263" s="12"/>
      <c r="AC263" s="121"/>
      <c r="AD263" s="115"/>
      <c r="AE263" s="117"/>
      <c r="AF263" s="117"/>
    </row>
    <row r="264" spans="2:32" hidden="1" outlineLevel="1" x14ac:dyDescent="0.2">
      <c r="B264" s="763" t="s">
        <v>1052</v>
      </c>
      <c r="C264" s="102" t="s">
        <v>135</v>
      </c>
      <c r="D264" s="101" t="s">
        <v>923</v>
      </c>
      <c r="E264" s="102"/>
      <c r="F264" s="102" t="s">
        <v>468</v>
      </c>
      <c r="G264" s="102" t="s">
        <v>478</v>
      </c>
      <c r="H264" s="104" t="s">
        <v>226</v>
      </c>
      <c r="I264" s="103" t="s">
        <v>497</v>
      </c>
      <c r="J264" s="344" t="str">
        <f t="shared" si="188"/>
        <v>2806611002530054002</v>
      </c>
      <c r="K264" s="109">
        <v>2022</v>
      </c>
      <c r="L264" s="109" t="s">
        <v>348</v>
      </c>
      <c r="M264" s="109" t="s">
        <v>349</v>
      </c>
      <c r="N264" s="109" t="s">
        <v>350</v>
      </c>
      <c r="O264" s="12">
        <f>'2022 Budget &amp; CF'!J264</f>
        <v>0</v>
      </c>
      <c r="P264" s="12">
        <f>'2022 Budget &amp; CF'!K264</f>
        <v>0</v>
      </c>
      <c r="Q264" s="12">
        <f>'2022 Budget &amp; CF'!L264</f>
        <v>536.46</v>
      </c>
      <c r="R264" s="12">
        <f>'2022 Budget &amp; CF'!M264</f>
        <v>0</v>
      </c>
      <c r="S264" s="12">
        <f>'2022 Budget &amp; CF'!N264</f>
        <v>0</v>
      </c>
      <c r="T264" s="12"/>
      <c r="U264" s="12"/>
      <c r="V264" s="12"/>
      <c r="W264" s="12"/>
      <c r="X264" s="12"/>
      <c r="Y264" s="12"/>
      <c r="Z264" s="12"/>
      <c r="AA264" s="12"/>
      <c r="AB264" s="12"/>
      <c r="AC264" s="121"/>
      <c r="AD264" s="115"/>
      <c r="AE264" s="117"/>
      <c r="AF264" s="117"/>
    </row>
    <row r="265" spans="2:32" hidden="1" outlineLevel="1" x14ac:dyDescent="0.2">
      <c r="B265" s="763" t="s">
        <v>929</v>
      </c>
      <c r="C265" s="102">
        <v>280</v>
      </c>
      <c r="D265" s="101">
        <v>661</v>
      </c>
      <c r="E265" s="102"/>
      <c r="F265" s="102" t="s">
        <v>468</v>
      </c>
      <c r="G265" s="102" t="s">
        <v>526</v>
      </c>
      <c r="H265" s="104" t="s">
        <v>928</v>
      </c>
      <c r="I265" s="101"/>
      <c r="J265" s="344" t="str">
        <f t="shared" ref="J265" si="189">CONCATENATE(C265,D265,F265,G265,H265,I265)</f>
        <v>28066110046000450</v>
      </c>
      <c r="K265" s="109">
        <v>2022</v>
      </c>
      <c r="L265" s="109" t="s">
        <v>348</v>
      </c>
      <c r="M265" s="109" t="s">
        <v>349</v>
      </c>
      <c r="N265" s="109" t="s">
        <v>350</v>
      </c>
      <c r="O265" s="12">
        <f>'2022 Budget &amp; CF'!J265</f>
        <v>0</v>
      </c>
      <c r="P265" s="12">
        <f>'2022 Budget &amp; CF'!K265</f>
        <v>0</v>
      </c>
      <c r="Q265" s="12">
        <f>'2022 Budget &amp; CF'!L265</f>
        <v>0</v>
      </c>
      <c r="R265" s="12">
        <f>'2022 Budget &amp; CF'!M265</f>
        <v>0</v>
      </c>
      <c r="S265" s="12">
        <f>'2022 Budget &amp; CF'!N265</f>
        <v>0</v>
      </c>
      <c r="T265" s="12">
        <f>'2022 Budget &amp; CF'!O265</f>
        <v>0</v>
      </c>
      <c r="U265" s="12">
        <f>'2022 Budget &amp; CF'!P265</f>
        <v>0</v>
      </c>
      <c r="V265" s="12">
        <f>'2022 Budget &amp; CF'!Q265</f>
        <v>0</v>
      </c>
      <c r="W265" s="12">
        <f>'2022 Budget &amp; CF'!R265</f>
        <v>0</v>
      </c>
      <c r="X265" s="12">
        <f>'2022 Budget &amp; CF'!S265</f>
        <v>0</v>
      </c>
      <c r="Y265" s="12">
        <f>'2022 Budget &amp; CF'!T265</f>
        <v>0</v>
      </c>
      <c r="Z265" s="12">
        <f>'2022 Budget &amp; CF'!U265</f>
        <v>0</v>
      </c>
      <c r="AA265" s="12">
        <f>'2022 Budget &amp; CF'!V265</f>
        <v>0</v>
      </c>
      <c r="AB265" s="12"/>
      <c r="AC265" s="121">
        <f t="shared" si="184"/>
        <v>0</v>
      </c>
      <c r="AD265" s="115">
        <f>'2022 Budget &amp; CF'!Z265</f>
        <v>0</v>
      </c>
      <c r="AE265" s="117">
        <f t="shared" si="185"/>
        <v>0</v>
      </c>
      <c r="AF265" s="117">
        <f t="shared" si="186"/>
        <v>0</v>
      </c>
    </row>
    <row r="266" spans="2:32" hidden="1" outlineLevel="1" x14ac:dyDescent="0.2">
      <c r="B266" s="764" t="s">
        <v>142</v>
      </c>
      <c r="C266" s="132"/>
      <c r="D266" s="328"/>
      <c r="E266" s="132"/>
      <c r="F266" s="132"/>
      <c r="G266" s="132"/>
      <c r="H266" s="132"/>
      <c r="I266" s="133"/>
      <c r="J266" s="343"/>
      <c r="K266" s="133"/>
      <c r="L266" s="133"/>
      <c r="M266" s="133"/>
      <c r="N266" s="13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>
        <f>'2022 Budget &amp; CF'!Z266</f>
        <v>0</v>
      </c>
      <c r="AE266" s="114"/>
      <c r="AF266" s="114"/>
    </row>
    <row r="267" spans="2:32" hidden="1" outlineLevel="1" x14ac:dyDescent="0.2">
      <c r="B267" s="763" t="s">
        <v>955</v>
      </c>
      <c r="C267" s="102">
        <v>280</v>
      </c>
      <c r="D267" s="102">
        <v>709</v>
      </c>
      <c r="E267" s="102"/>
      <c r="F267" s="102">
        <v>100</v>
      </c>
      <c r="G267" s="102" t="s">
        <v>489</v>
      </c>
      <c r="H267" s="104" t="s">
        <v>199</v>
      </c>
      <c r="I267" s="101"/>
      <c r="J267" s="344" t="str">
        <f t="shared" ref="J267:J269" si="190">CONCATENATE(C267,D267,F267,G267,H267,I267)</f>
        <v>28070910022130330</v>
      </c>
      <c r="K267" s="109">
        <v>2022</v>
      </c>
      <c r="L267" s="109" t="s">
        <v>348</v>
      </c>
      <c r="M267" s="109" t="s">
        <v>349</v>
      </c>
      <c r="N267" s="109" t="s">
        <v>350</v>
      </c>
      <c r="O267" s="12">
        <f>'2022 Budget &amp; CF'!J267</f>
        <v>0</v>
      </c>
      <c r="P267" s="12">
        <f>'2022 Budget &amp; CF'!K267</f>
        <v>0</v>
      </c>
      <c r="Q267" s="12">
        <f>'2022 Budget &amp; CF'!L267</f>
        <v>9598.65</v>
      </c>
      <c r="R267" s="12">
        <f>'2022 Budget &amp; CF'!M267</f>
        <v>0</v>
      </c>
      <c r="S267" s="12">
        <f>'2022 Budget &amp; CF'!N267</f>
        <v>0</v>
      </c>
      <c r="T267" s="12">
        <f>'2022 Budget &amp; CF'!O267</f>
        <v>0</v>
      </c>
      <c r="U267" s="12">
        <f>'2022 Budget &amp; CF'!P267</f>
        <v>0</v>
      </c>
      <c r="V267" s="12">
        <f>'2022 Budget &amp; CF'!Q267</f>
        <v>0</v>
      </c>
      <c r="W267" s="12">
        <f>'2022 Budget &amp; CF'!R267</f>
        <v>0</v>
      </c>
      <c r="X267" s="12">
        <f>'2022 Budget &amp; CF'!S267</f>
        <v>0</v>
      </c>
      <c r="Y267" s="12">
        <f>'2022 Budget &amp; CF'!T267</f>
        <v>0</v>
      </c>
      <c r="Z267" s="12">
        <f>'2022 Budget &amp; CF'!U267</f>
        <v>0</v>
      </c>
      <c r="AA267" s="12">
        <f>'2022 Budget &amp; CF'!V267</f>
        <v>0</v>
      </c>
      <c r="AB267" s="12"/>
      <c r="AC267" s="121">
        <f t="shared" ref="AC267:AC270" si="191">SUM(O267:AA267)</f>
        <v>9598.65</v>
      </c>
      <c r="AD267" s="115">
        <f>'2022 Budget &amp; CF'!Z267</f>
        <v>2599</v>
      </c>
      <c r="AE267" s="117">
        <f t="shared" ref="AE267:AE270" si="192">AD267-AC267</f>
        <v>-6999.65</v>
      </c>
      <c r="AF267" s="117">
        <f t="shared" ref="AF267:AF270" si="193">AE267/$AF$6</f>
        <v>-583.30416666666667</v>
      </c>
    </row>
    <row r="268" spans="2:32" hidden="1" outlineLevel="1" x14ac:dyDescent="0.2">
      <c r="B268" s="763" t="s">
        <v>954</v>
      </c>
      <c r="C268" s="102">
        <v>280</v>
      </c>
      <c r="D268" s="102">
        <v>709</v>
      </c>
      <c r="E268" s="102"/>
      <c r="F268" s="102">
        <v>100</v>
      </c>
      <c r="G268" s="102" t="s">
        <v>477</v>
      </c>
      <c r="H268" s="104" t="s">
        <v>226</v>
      </c>
      <c r="I268" s="103" t="s">
        <v>563</v>
      </c>
      <c r="J268" s="344" t="str">
        <f t="shared" si="190"/>
        <v>2807091002570054001</v>
      </c>
      <c r="K268" s="109">
        <v>2022</v>
      </c>
      <c r="L268" s="109" t="s">
        <v>348</v>
      </c>
      <c r="M268" s="109" t="s">
        <v>349</v>
      </c>
      <c r="N268" s="109" t="s">
        <v>350</v>
      </c>
      <c r="O268" s="12">
        <f>'2022 Budget &amp; CF'!J268</f>
        <v>369.78</v>
      </c>
      <c r="P268" s="12">
        <f>'2022 Budget &amp; CF'!K268</f>
        <v>1355.42</v>
      </c>
      <c r="Q268" s="12">
        <f>'2022 Budget &amp; CF'!L268</f>
        <v>-725.19</v>
      </c>
      <c r="R268" s="12">
        <f>'2022 Budget &amp; CF'!M268</f>
        <v>0</v>
      </c>
      <c r="S268" s="12">
        <f>'2022 Budget &amp; CF'!N268</f>
        <v>0</v>
      </c>
      <c r="T268" s="12">
        <f>'2022 Budget &amp; CF'!O268</f>
        <v>0</v>
      </c>
      <c r="U268" s="12">
        <f>'2022 Budget &amp; CF'!P268</f>
        <v>0</v>
      </c>
      <c r="V268" s="12">
        <f>'2022 Budget &amp; CF'!Q268</f>
        <v>0</v>
      </c>
      <c r="W268" s="12">
        <f>'2022 Budget &amp; CF'!R268</f>
        <v>0</v>
      </c>
      <c r="X268" s="12">
        <f>'2022 Budget &amp; CF'!S268</f>
        <v>0</v>
      </c>
      <c r="Y268" s="12">
        <f>'2022 Budget &amp; CF'!T268</f>
        <v>0</v>
      </c>
      <c r="Z268" s="12">
        <f>'2022 Budget &amp; CF'!U268</f>
        <v>0</v>
      </c>
      <c r="AA268" s="12">
        <f>'2022 Budget &amp; CF'!V268</f>
        <v>0</v>
      </c>
      <c r="AB268" s="12"/>
      <c r="AC268" s="121">
        <f t="shared" si="191"/>
        <v>1000.01</v>
      </c>
      <c r="AD268" s="115">
        <f>'2022 Budget &amp; CF'!Z268</f>
        <v>1000</v>
      </c>
      <c r="AE268" s="117">
        <f t="shared" si="192"/>
        <v>-9.9999999999909051E-3</v>
      </c>
      <c r="AF268" s="117">
        <f t="shared" si="193"/>
        <v>-8.3333333333257542E-4</v>
      </c>
    </row>
    <row r="269" spans="2:32" hidden="1" outlineLevel="1" x14ac:dyDescent="0.2">
      <c r="B269" s="763" t="s">
        <v>250</v>
      </c>
      <c r="C269" s="102">
        <v>280</v>
      </c>
      <c r="D269" s="102">
        <v>709</v>
      </c>
      <c r="E269" s="102"/>
      <c r="F269" s="102">
        <v>100</v>
      </c>
      <c r="G269" s="102" t="s">
        <v>489</v>
      </c>
      <c r="H269" s="102" t="s">
        <v>201</v>
      </c>
      <c r="I269" s="101"/>
      <c r="J269" s="344" t="str">
        <f t="shared" si="190"/>
        <v>28070910022130580</v>
      </c>
      <c r="K269" s="109">
        <v>2022</v>
      </c>
      <c r="L269" s="109" t="s">
        <v>348</v>
      </c>
      <c r="M269" s="109" t="s">
        <v>349</v>
      </c>
      <c r="N269" s="109" t="s">
        <v>350</v>
      </c>
      <c r="O269" s="12">
        <f>'2022 Budget &amp; CF'!J269</f>
        <v>0</v>
      </c>
      <c r="P269" s="12">
        <f>'2022 Budget &amp; CF'!K269</f>
        <v>0</v>
      </c>
      <c r="Q269" s="12">
        <f>'2022 Budget &amp; CF'!L269</f>
        <v>0</v>
      </c>
      <c r="R269" s="12">
        <f>'2022 Budget &amp; CF'!M269</f>
        <v>0</v>
      </c>
      <c r="S269" s="12">
        <f>'2022 Budget &amp; CF'!N269</f>
        <v>0</v>
      </c>
      <c r="T269" s="12">
        <f>'2022 Budget &amp; CF'!O269</f>
        <v>0</v>
      </c>
      <c r="U269" s="12">
        <f>'2022 Budget &amp; CF'!P269</f>
        <v>0</v>
      </c>
      <c r="V269" s="12">
        <f>'2022 Budget &amp; CF'!Q269</f>
        <v>0</v>
      </c>
      <c r="W269" s="12">
        <f>'2022 Budget &amp; CF'!R269</f>
        <v>0</v>
      </c>
      <c r="X269" s="12">
        <f>'2022 Budget &amp; CF'!S269</f>
        <v>0</v>
      </c>
      <c r="Y269" s="12">
        <f>'2022 Budget &amp; CF'!T269</f>
        <v>0</v>
      </c>
      <c r="Z269" s="12">
        <f>'2022 Budget &amp; CF'!U269</f>
        <v>0</v>
      </c>
      <c r="AA269" s="12">
        <f>'2022 Budget &amp; CF'!V269</f>
        <v>0</v>
      </c>
      <c r="AB269" s="12"/>
      <c r="AC269" s="121">
        <f t="shared" si="191"/>
        <v>0</v>
      </c>
      <c r="AD269" s="115">
        <f>'2022 Budget &amp; CF'!Z269</f>
        <v>0</v>
      </c>
      <c r="AE269" s="117">
        <f t="shared" si="192"/>
        <v>0</v>
      </c>
      <c r="AF269" s="117">
        <f t="shared" si="193"/>
        <v>0</v>
      </c>
    </row>
    <row r="270" spans="2:32" hidden="1" outlineLevel="1" x14ac:dyDescent="0.2">
      <c r="B270" s="763" t="s">
        <v>251</v>
      </c>
      <c r="C270" s="102">
        <v>280</v>
      </c>
      <c r="D270" s="102">
        <v>709</v>
      </c>
      <c r="E270" s="102"/>
      <c r="F270" s="102">
        <v>100</v>
      </c>
      <c r="G270" s="102" t="s">
        <v>464</v>
      </c>
      <c r="H270" s="102" t="s">
        <v>201</v>
      </c>
      <c r="I270" s="101"/>
      <c r="J270" s="344" t="str">
        <f t="shared" ref="J270" si="194">CONCATENATE(C270,D270,F270,G270,H270,I270)</f>
        <v>28070910023200580</v>
      </c>
      <c r="K270" s="109">
        <v>2022</v>
      </c>
      <c r="L270" s="109" t="s">
        <v>348</v>
      </c>
      <c r="M270" s="109" t="s">
        <v>349</v>
      </c>
      <c r="N270" s="109" t="s">
        <v>350</v>
      </c>
      <c r="O270" s="12">
        <f>'2022 Budget &amp; CF'!J270</f>
        <v>0</v>
      </c>
      <c r="P270" s="12">
        <f>'2022 Budget &amp; CF'!K270</f>
        <v>0</v>
      </c>
      <c r="Q270" s="12">
        <f>'2022 Budget &amp; CF'!L270</f>
        <v>0</v>
      </c>
      <c r="R270" s="12">
        <f>'2022 Budget &amp; CF'!M270</f>
        <v>0</v>
      </c>
      <c r="S270" s="12">
        <f>'2022 Budget &amp; CF'!N270</f>
        <v>0</v>
      </c>
      <c r="T270" s="12">
        <f>'2022 Budget &amp; CF'!O270</f>
        <v>0</v>
      </c>
      <c r="U270" s="12">
        <f>'2022 Budget &amp; CF'!P270</f>
        <v>0</v>
      </c>
      <c r="V270" s="12">
        <f>'2022 Budget &amp; CF'!Q270</f>
        <v>0</v>
      </c>
      <c r="W270" s="12">
        <f>'2022 Budget &amp; CF'!R270</f>
        <v>0</v>
      </c>
      <c r="X270" s="12">
        <f>'2022 Budget &amp; CF'!S270</f>
        <v>0</v>
      </c>
      <c r="Y270" s="12">
        <f>'2022 Budget &amp; CF'!T270</f>
        <v>0</v>
      </c>
      <c r="Z270" s="12">
        <f>'2022 Budget &amp; CF'!U270</f>
        <v>0</v>
      </c>
      <c r="AA270" s="12">
        <f>'2022 Budget &amp; CF'!V270</f>
        <v>0</v>
      </c>
      <c r="AB270" s="12"/>
      <c r="AC270" s="121">
        <f t="shared" si="191"/>
        <v>0</v>
      </c>
      <c r="AD270" s="115">
        <f>'2022 Budget &amp; CF'!Z270</f>
        <v>0</v>
      </c>
      <c r="AE270" s="117">
        <f t="shared" si="192"/>
        <v>0</v>
      </c>
      <c r="AF270" s="117">
        <f t="shared" si="193"/>
        <v>0</v>
      </c>
    </row>
    <row r="271" spans="2:32" hidden="1" outlineLevel="1" x14ac:dyDescent="0.2">
      <c r="B271" s="764" t="s">
        <v>555</v>
      </c>
      <c r="C271" s="132"/>
      <c r="D271" s="328"/>
      <c r="E271" s="132"/>
      <c r="F271" s="132"/>
      <c r="G271" s="132"/>
      <c r="H271" s="132"/>
      <c r="I271" s="133"/>
      <c r="J271" s="343"/>
      <c r="K271" s="133"/>
      <c r="L271" s="133"/>
      <c r="M271" s="133"/>
      <c r="N271" s="13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>
        <f>'2022 Budget &amp; CF'!Z271</f>
        <v>0</v>
      </c>
      <c r="AE271" s="114"/>
      <c r="AF271" s="114"/>
    </row>
    <row r="272" spans="2:32" hidden="1" outlineLevel="1" x14ac:dyDescent="0.2">
      <c r="B272" s="763" t="s">
        <v>483</v>
      </c>
      <c r="C272" s="102">
        <v>280</v>
      </c>
      <c r="D272" s="101">
        <v>729</v>
      </c>
      <c r="E272" s="102"/>
      <c r="F272" s="102" t="s">
        <v>532</v>
      </c>
      <c r="G272" s="102" t="s">
        <v>534</v>
      </c>
      <c r="H272" s="102" t="s">
        <v>203</v>
      </c>
      <c r="I272" s="101"/>
      <c r="J272" s="344" t="str">
        <f t="shared" ref="J272" si="195">CONCATENATE(C272,D272,F272,G272,H272,I272)</f>
        <v>28072943022100340</v>
      </c>
      <c r="K272" s="109">
        <v>2022</v>
      </c>
      <c r="L272" s="109" t="s">
        <v>348</v>
      </c>
      <c r="M272" s="109" t="s">
        <v>349</v>
      </c>
      <c r="N272" s="109" t="s">
        <v>350</v>
      </c>
      <c r="O272" s="12">
        <f>'2022 Budget &amp; CF'!J272</f>
        <v>0</v>
      </c>
      <c r="P272" s="12">
        <f>'2022 Budget &amp; CF'!K272</f>
        <v>0</v>
      </c>
      <c r="Q272" s="12">
        <f>'2022 Budget &amp; CF'!L272</f>
        <v>0</v>
      </c>
      <c r="R272" s="12">
        <f>'2022 Budget &amp; CF'!M272</f>
        <v>0</v>
      </c>
      <c r="S272" s="12">
        <f>'2022 Budget &amp; CF'!N272</f>
        <v>0</v>
      </c>
      <c r="T272" s="12">
        <f>'2022 Budget &amp; CF'!O272</f>
        <v>0</v>
      </c>
      <c r="U272" s="12">
        <f>'2022 Budget &amp; CF'!P272</f>
        <v>0</v>
      </c>
      <c r="V272" s="12">
        <f>'2022 Budget &amp; CF'!Q272</f>
        <v>0</v>
      </c>
      <c r="W272" s="12">
        <f>'2022 Budget &amp; CF'!R272</f>
        <v>0</v>
      </c>
      <c r="X272" s="12">
        <f>'2022 Budget &amp; CF'!S272</f>
        <v>0</v>
      </c>
      <c r="Y272" s="12">
        <f>'2022 Budget &amp; CF'!T272</f>
        <v>0</v>
      </c>
      <c r="Z272" s="12">
        <f>'2022 Budget &amp; CF'!U272</f>
        <v>0</v>
      </c>
      <c r="AA272" s="12">
        <f>'2022 Budget &amp; CF'!V272</f>
        <v>0</v>
      </c>
      <c r="AB272" s="12"/>
      <c r="AC272" s="121">
        <f t="shared" ref="AC272" si="196">SUM(O272:AA272)</f>
        <v>0</v>
      </c>
      <c r="AD272" s="115">
        <f>'2022 Budget &amp; CF'!Z272</f>
        <v>0</v>
      </c>
      <c r="AE272" s="117">
        <f t="shared" ref="AE272" si="197">AD272-AC272</f>
        <v>0</v>
      </c>
      <c r="AF272" s="117">
        <f t="shared" ref="AF272" si="198">AE272/$AF$6</f>
        <v>0</v>
      </c>
    </row>
    <row r="273" spans="2:36" hidden="1" outlineLevel="1" x14ac:dyDescent="0.2">
      <c r="B273" s="764" t="s">
        <v>549</v>
      </c>
      <c r="C273" s="132"/>
      <c r="D273" s="132"/>
      <c r="E273" s="132"/>
      <c r="F273" s="132"/>
      <c r="G273" s="132"/>
      <c r="H273" s="132"/>
      <c r="I273" s="133"/>
      <c r="J273" s="343"/>
      <c r="K273" s="133"/>
      <c r="L273" s="133"/>
      <c r="M273" s="133"/>
      <c r="N273" s="13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>
        <f>'2022 Budget &amp; CF'!Z273</f>
        <v>0</v>
      </c>
      <c r="AE273" s="114"/>
      <c r="AF273" s="114"/>
    </row>
    <row r="274" spans="2:36" hidden="1" outlineLevel="1" x14ac:dyDescent="0.2">
      <c r="B274" s="763" t="s">
        <v>819</v>
      </c>
      <c r="C274" s="102">
        <v>280</v>
      </c>
      <c r="D274" s="102">
        <v>740</v>
      </c>
      <c r="E274" s="102"/>
      <c r="F274" s="102" t="s">
        <v>468</v>
      </c>
      <c r="G274" s="102" t="s">
        <v>489</v>
      </c>
      <c r="H274" s="104" t="s">
        <v>199</v>
      </c>
      <c r="I274" s="101"/>
      <c r="J274" s="344" t="str">
        <f t="shared" ref="J274:J275" si="199">CONCATENATE(C274,D274,F274,G274,H274,I274)</f>
        <v>28074010022130330</v>
      </c>
      <c r="K274" s="109">
        <v>2022</v>
      </c>
      <c r="L274" s="109" t="s">
        <v>348</v>
      </c>
      <c r="M274" s="109" t="s">
        <v>349</v>
      </c>
      <c r="N274" s="109" t="s">
        <v>350</v>
      </c>
      <c r="O274" s="12">
        <f>'2022 Budget &amp; CF'!J274</f>
        <v>0</v>
      </c>
      <c r="P274" s="12">
        <f>'2022 Budget &amp; CF'!K274</f>
        <v>0</v>
      </c>
      <c r="Q274" s="12">
        <f>'2022 Budget &amp; CF'!L274</f>
        <v>0</v>
      </c>
      <c r="R274" s="12">
        <f>'2022 Budget &amp; CF'!M274</f>
        <v>0</v>
      </c>
      <c r="S274" s="12">
        <f>'2022 Budget &amp; CF'!N274</f>
        <v>0</v>
      </c>
      <c r="T274" s="12">
        <f>'2022 Budget &amp; CF'!O274</f>
        <v>0</v>
      </c>
      <c r="U274" s="12">
        <f>'2022 Budget &amp; CF'!P274</f>
        <v>0</v>
      </c>
      <c r="V274" s="12">
        <f>'2022 Budget &amp; CF'!Q274</f>
        <v>0</v>
      </c>
      <c r="W274" s="12">
        <f>'2022 Budget &amp; CF'!R274</f>
        <v>0</v>
      </c>
      <c r="X274" s="12">
        <f>'2022 Budget &amp; CF'!S274</f>
        <v>0</v>
      </c>
      <c r="Y274" s="12">
        <f>'2022 Budget &amp; CF'!T274</f>
        <v>0</v>
      </c>
      <c r="Z274" s="12">
        <f>'2022 Budget &amp; CF'!U274</f>
        <v>0</v>
      </c>
      <c r="AA274" s="12">
        <f>'2022 Budget &amp; CF'!V274</f>
        <v>0</v>
      </c>
      <c r="AB274" s="12"/>
      <c r="AC274" s="121">
        <f t="shared" ref="AC274:AC275" si="200">SUM(O274:AA274)</f>
        <v>0</v>
      </c>
      <c r="AD274" s="115">
        <f>'2022 Budget &amp; CF'!Z274</f>
        <v>0</v>
      </c>
      <c r="AE274" s="117">
        <f t="shared" ref="AE274:AE275" si="201">AD274-AC274</f>
        <v>0</v>
      </c>
      <c r="AF274" s="117">
        <f t="shared" ref="AF274:AF275" si="202">AE274/$AF$6</f>
        <v>0</v>
      </c>
    </row>
    <row r="275" spans="2:36" hidden="1" outlineLevel="1" x14ac:dyDescent="0.2">
      <c r="B275" s="763" t="s">
        <v>818</v>
      </c>
      <c r="C275" s="102">
        <v>280</v>
      </c>
      <c r="D275" s="102">
        <v>740</v>
      </c>
      <c r="E275" s="102"/>
      <c r="F275" s="102" t="s">
        <v>468</v>
      </c>
      <c r="G275" s="102" t="s">
        <v>485</v>
      </c>
      <c r="H275" s="104" t="s">
        <v>203</v>
      </c>
      <c r="I275" s="101"/>
      <c r="J275" s="344" t="str">
        <f t="shared" si="199"/>
        <v>28074010021400340</v>
      </c>
      <c r="K275" s="109">
        <v>2022</v>
      </c>
      <c r="L275" s="109" t="s">
        <v>348</v>
      </c>
      <c r="M275" s="109" t="s">
        <v>349</v>
      </c>
      <c r="N275" s="109" t="s">
        <v>350</v>
      </c>
      <c r="O275" s="12">
        <f>'2022 Budget &amp; CF'!J275</f>
        <v>0</v>
      </c>
      <c r="P275" s="12">
        <f>'2022 Budget &amp; CF'!K275</f>
        <v>0</v>
      </c>
      <c r="Q275" s="12">
        <f>'2022 Budget &amp; CF'!L275</f>
        <v>0</v>
      </c>
      <c r="R275" s="12">
        <f>'2022 Budget &amp; CF'!M275</f>
        <v>0</v>
      </c>
      <c r="S275" s="12">
        <f>'2022 Budget &amp; CF'!N275</f>
        <v>0</v>
      </c>
      <c r="T275" s="12">
        <f>'2022 Budget &amp; CF'!O275</f>
        <v>0</v>
      </c>
      <c r="U275" s="12">
        <f>'2022 Budget &amp; CF'!P275</f>
        <v>0</v>
      </c>
      <c r="V275" s="12">
        <f>'2022 Budget &amp; CF'!Q275</f>
        <v>0</v>
      </c>
      <c r="W275" s="12">
        <f>'2022 Budget &amp; CF'!R275</f>
        <v>0</v>
      </c>
      <c r="X275" s="12">
        <f>'2022 Budget &amp; CF'!S275</f>
        <v>0</v>
      </c>
      <c r="Y275" s="12">
        <f>'2022 Budget &amp; CF'!T275</f>
        <v>0</v>
      </c>
      <c r="Z275" s="12">
        <f>'2022 Budget &amp; CF'!U275</f>
        <v>0</v>
      </c>
      <c r="AA275" s="12">
        <f>'2022 Budget &amp; CF'!V275</f>
        <v>0</v>
      </c>
      <c r="AB275" s="12"/>
      <c r="AC275" s="121">
        <f t="shared" si="200"/>
        <v>0</v>
      </c>
      <c r="AD275" s="115">
        <f>'2022 Budget &amp; CF'!Z275</f>
        <v>0</v>
      </c>
      <c r="AE275" s="117">
        <f t="shared" si="201"/>
        <v>0</v>
      </c>
      <c r="AF275" s="117">
        <f t="shared" si="202"/>
        <v>0</v>
      </c>
    </row>
    <row r="276" spans="2:36" hidden="1" outlineLevel="1" x14ac:dyDescent="0.2">
      <c r="B276" s="764" t="s">
        <v>549</v>
      </c>
      <c r="C276" s="132"/>
      <c r="D276" s="132"/>
      <c r="E276" s="132"/>
      <c r="F276" s="132"/>
      <c r="G276" s="132"/>
      <c r="H276" s="132"/>
      <c r="I276" s="133"/>
      <c r="J276" s="343"/>
      <c r="K276" s="133"/>
      <c r="L276" s="133"/>
      <c r="M276" s="133"/>
      <c r="N276" s="13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>
        <f>'2022 Budget &amp; CF'!Z276</f>
        <v>0</v>
      </c>
      <c r="AE276" s="114"/>
      <c r="AF276" s="114"/>
    </row>
    <row r="277" spans="2:36" hidden="1" outlineLevel="1" x14ac:dyDescent="0.2">
      <c r="B277" s="763" t="s">
        <v>819</v>
      </c>
      <c r="C277" s="102">
        <v>280</v>
      </c>
      <c r="D277" s="102" t="s">
        <v>1031</v>
      </c>
      <c r="E277" s="102"/>
      <c r="F277" s="102" t="s">
        <v>468</v>
      </c>
      <c r="G277" s="102" t="s">
        <v>489</v>
      </c>
      <c r="H277" s="104" t="s">
        <v>199</v>
      </c>
      <c r="I277" s="103" t="s">
        <v>563</v>
      </c>
      <c r="J277" s="344" t="str">
        <f t="shared" ref="J277" si="203">CONCATENATE(C277,D277,F277,G277,H277,I277)</f>
        <v>2807441002213033001</v>
      </c>
      <c r="K277" s="109">
        <v>2022</v>
      </c>
      <c r="L277" s="109" t="s">
        <v>348</v>
      </c>
      <c r="M277" s="109" t="s">
        <v>349</v>
      </c>
      <c r="N277" s="109" t="s">
        <v>350</v>
      </c>
      <c r="O277" s="12">
        <f>'2022 Budget &amp; CF'!J277</f>
        <v>0</v>
      </c>
      <c r="P277" s="12">
        <f>'2022 Budget &amp; CF'!K277</f>
        <v>3520</v>
      </c>
      <c r="Q277" s="12">
        <f>'2022 Budget &amp; CF'!L277</f>
        <v>284</v>
      </c>
      <c r="R277" s="12">
        <f>'2022 Budget &amp; CF'!M277</f>
        <v>0</v>
      </c>
      <c r="S277" s="12">
        <f>'2022 Budget &amp; CF'!N277</f>
        <v>1884</v>
      </c>
      <c r="T277" s="12">
        <f>'2022 Budget &amp; CF'!O277</f>
        <v>0</v>
      </c>
      <c r="U277" s="12">
        <f>'2022 Budget &amp; CF'!P277</f>
        <v>0</v>
      </c>
      <c r="V277" s="12">
        <f>'2022 Budget &amp; CF'!Q277</f>
        <v>0</v>
      </c>
      <c r="W277" s="12">
        <f>'2022 Budget &amp; CF'!R277</f>
        <v>0</v>
      </c>
      <c r="X277" s="12">
        <f>'2022 Budget &amp; CF'!S277</f>
        <v>0</v>
      </c>
      <c r="Y277" s="12">
        <f>'2022 Budget &amp; CF'!T277</f>
        <v>0</v>
      </c>
      <c r="Z277" s="12">
        <f>'2022 Budget &amp; CF'!U277</f>
        <v>0</v>
      </c>
      <c r="AA277" s="12">
        <f>'2022 Budget &amp; CF'!V277</f>
        <v>0</v>
      </c>
      <c r="AB277" s="12"/>
      <c r="AC277" s="121">
        <f t="shared" ref="AC277" si="204">SUM(O277:AA277)</f>
        <v>5688</v>
      </c>
      <c r="AD277" s="115">
        <f>'2022 Budget &amp; CF'!Z277</f>
        <v>0</v>
      </c>
      <c r="AE277" s="117">
        <f t="shared" ref="AE277" si="205">AD277-AC277</f>
        <v>-5688</v>
      </c>
      <c r="AF277" s="117">
        <f t="shared" ref="AF277" si="206">AE277/$AF$6</f>
        <v>-474</v>
      </c>
    </row>
    <row r="278" spans="2:36" hidden="1" outlineLevel="1" x14ac:dyDescent="0.2">
      <c r="B278" s="764" t="s">
        <v>536</v>
      </c>
      <c r="C278" s="132"/>
      <c r="D278" s="328"/>
      <c r="E278" s="132"/>
      <c r="F278" s="132"/>
      <c r="G278" s="132"/>
      <c r="H278" s="132"/>
      <c r="I278" s="133"/>
      <c r="J278" s="343"/>
      <c r="K278" s="133"/>
      <c r="L278" s="133"/>
      <c r="M278" s="133"/>
      <c r="N278" s="13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>
        <f>'2022 Budget &amp; CF'!Z278</f>
        <v>0</v>
      </c>
      <c r="AE278" s="114"/>
      <c r="AF278" s="114"/>
    </row>
    <row r="279" spans="2:36" hidden="1" outlineLevel="1" x14ac:dyDescent="0.2">
      <c r="B279" s="763" t="s">
        <v>483</v>
      </c>
      <c r="C279" s="102" t="s">
        <v>537</v>
      </c>
      <c r="D279" s="102" t="s">
        <v>145</v>
      </c>
      <c r="E279" s="102"/>
      <c r="F279" s="102" t="s">
        <v>145</v>
      </c>
      <c r="G279" s="102" t="s">
        <v>518</v>
      </c>
      <c r="H279" s="102" t="s">
        <v>203</v>
      </c>
      <c r="I279" s="101"/>
      <c r="J279" s="344" t="str">
        <f t="shared" ref="J279" si="207">CONCATENATE(C279,D279,F279,G279,H279,I279)</f>
        <v>30000000023180340</v>
      </c>
      <c r="K279" s="109">
        <v>2022</v>
      </c>
      <c r="L279" s="109" t="s">
        <v>348</v>
      </c>
      <c r="M279" s="109" t="s">
        <v>349</v>
      </c>
      <c r="N279" s="109" t="s">
        <v>350</v>
      </c>
      <c r="O279" s="12">
        <f>'2022 Budget &amp; CF'!J279</f>
        <v>0</v>
      </c>
      <c r="P279" s="12">
        <f>'2022 Budget &amp; CF'!K279</f>
        <v>0</v>
      </c>
      <c r="Q279" s="12">
        <f>'2022 Budget &amp; CF'!L279</f>
        <v>0</v>
      </c>
      <c r="R279" s="12">
        <f>'2022 Budget &amp; CF'!M279</f>
        <v>0</v>
      </c>
      <c r="S279" s="12">
        <f>'2022 Budget &amp; CF'!N279</f>
        <v>0</v>
      </c>
      <c r="T279" s="12">
        <f>'2022 Budget &amp; CF'!O279</f>
        <v>0</v>
      </c>
      <c r="U279" s="12">
        <f>'2022 Budget &amp; CF'!P279</f>
        <v>0</v>
      </c>
      <c r="V279" s="12">
        <f>'2022 Budget &amp; CF'!Q279</f>
        <v>0</v>
      </c>
      <c r="W279" s="12">
        <f>'2022 Budget &amp; CF'!R279</f>
        <v>0</v>
      </c>
      <c r="X279" s="12">
        <f>'2022 Budget &amp; CF'!S279</f>
        <v>0</v>
      </c>
      <c r="Y279" s="12">
        <f>'2022 Budget &amp; CF'!T279</f>
        <v>0</v>
      </c>
      <c r="Z279" s="12">
        <f>'2022 Budget &amp; CF'!U279</f>
        <v>0</v>
      </c>
      <c r="AA279" s="12">
        <f>'2022 Budget &amp; CF'!V279</f>
        <v>0</v>
      </c>
      <c r="AB279" s="12"/>
      <c r="AC279" s="121">
        <f t="shared" ref="AC279:AC282" si="208">SUM(O279:AA279)</f>
        <v>0</v>
      </c>
      <c r="AD279" s="115">
        <f>'2022 Budget &amp; CF'!Z279</f>
        <v>0</v>
      </c>
      <c r="AE279" s="117">
        <f t="shared" ref="AE279:AE282" si="209">AD279-AC279</f>
        <v>0</v>
      </c>
      <c r="AF279" s="117">
        <f t="shared" ref="AF279:AF282" si="210">AE279/$AF$6</f>
        <v>0</v>
      </c>
    </row>
    <row r="280" spans="2:36" hidden="1" outlineLevel="1" x14ac:dyDescent="0.2">
      <c r="B280" s="763" t="s">
        <v>483</v>
      </c>
      <c r="C280" s="102" t="s">
        <v>537</v>
      </c>
      <c r="D280" s="102" t="s">
        <v>145</v>
      </c>
      <c r="E280" s="102"/>
      <c r="F280" s="102" t="s">
        <v>468</v>
      </c>
      <c r="G280" s="102" t="s">
        <v>1053</v>
      </c>
      <c r="H280" s="104" t="s">
        <v>203</v>
      </c>
      <c r="I280" s="101"/>
      <c r="J280" s="344" t="str">
        <f t="shared" ref="J280:J282" si="211">CONCATENATE(C280,D280,F280,G280,H280,I280)</f>
        <v>30000010050000340</v>
      </c>
      <c r="K280" s="109">
        <v>2022</v>
      </c>
      <c r="L280" s="109" t="s">
        <v>348</v>
      </c>
      <c r="M280" s="109" t="s">
        <v>349</v>
      </c>
      <c r="N280" s="109" t="s">
        <v>350</v>
      </c>
      <c r="O280" s="12">
        <f>'2022 Budget &amp; CF'!J280</f>
        <v>0</v>
      </c>
      <c r="P280" s="12">
        <f>'2022 Budget &amp; CF'!K280</f>
        <v>0</v>
      </c>
      <c r="Q280" s="12">
        <f>'2022 Budget &amp; CF'!L280</f>
        <v>0</v>
      </c>
      <c r="R280" s="12">
        <f>'2022 Budget &amp; CF'!M280</f>
        <v>0</v>
      </c>
      <c r="S280" s="12">
        <f>'2022 Budget &amp; CF'!N280</f>
        <v>0</v>
      </c>
      <c r="T280" s="12">
        <f>'2022 Budget &amp; CF'!O280</f>
        <v>0</v>
      </c>
      <c r="U280" s="12">
        <f>'2022 Budget &amp; CF'!P280</f>
        <v>0</v>
      </c>
      <c r="V280" s="12">
        <f>'2022 Budget &amp; CF'!Q280</f>
        <v>0</v>
      </c>
      <c r="W280" s="12">
        <f>'2022 Budget &amp; CF'!R280</f>
        <v>0</v>
      </c>
      <c r="X280" s="12">
        <f>'2022 Budget &amp; CF'!S280</f>
        <v>0</v>
      </c>
      <c r="Y280" s="12">
        <f>'2022 Budget &amp; CF'!T280</f>
        <v>0</v>
      </c>
      <c r="Z280" s="12">
        <f>'2022 Budget &amp; CF'!U280</f>
        <v>0</v>
      </c>
      <c r="AA280" s="12">
        <f>'2022 Budget &amp; CF'!V280</f>
        <v>0</v>
      </c>
      <c r="AB280" s="12"/>
      <c r="AC280" s="121">
        <f t="shared" si="208"/>
        <v>0</v>
      </c>
      <c r="AD280" s="115">
        <f>'2022 Budget &amp; CF'!Z280</f>
        <v>0</v>
      </c>
      <c r="AE280" s="117">
        <f t="shared" si="209"/>
        <v>0</v>
      </c>
      <c r="AF280" s="117">
        <f t="shared" si="210"/>
        <v>0</v>
      </c>
    </row>
    <row r="281" spans="2:36" hidden="1" outlineLevel="1" x14ac:dyDescent="0.2">
      <c r="B281" s="763" t="s">
        <v>539</v>
      </c>
      <c r="C281" s="102" t="s">
        <v>537</v>
      </c>
      <c r="D281" s="102" t="s">
        <v>145</v>
      </c>
      <c r="E281" s="102"/>
      <c r="F281" s="102" t="s">
        <v>145</v>
      </c>
      <c r="G281" s="102" t="s">
        <v>526</v>
      </c>
      <c r="H281" s="102" t="s">
        <v>480</v>
      </c>
      <c r="I281" s="101"/>
      <c r="J281" s="344" t="str">
        <f t="shared" si="211"/>
        <v>30000000046000430</v>
      </c>
      <c r="K281" s="109">
        <v>2022</v>
      </c>
      <c r="L281" s="109" t="s">
        <v>348</v>
      </c>
      <c r="M281" s="109" t="s">
        <v>349</v>
      </c>
      <c r="N281" s="109" t="s">
        <v>350</v>
      </c>
      <c r="O281" s="12">
        <f>'2022 Budget &amp; CF'!J281</f>
        <v>0</v>
      </c>
      <c r="P281" s="12">
        <f>'2022 Budget &amp; CF'!K281</f>
        <v>0</v>
      </c>
      <c r="Q281" s="12">
        <f>'2022 Budget &amp; CF'!L281</f>
        <v>0</v>
      </c>
      <c r="R281" s="12">
        <f>'2022 Budget &amp; CF'!M281</f>
        <v>0</v>
      </c>
      <c r="S281" s="12">
        <f>'2022 Budget &amp; CF'!N281</f>
        <v>0</v>
      </c>
      <c r="T281" s="12">
        <f>'2022 Budget &amp; CF'!O281</f>
        <v>0</v>
      </c>
      <c r="U281" s="12">
        <f>'2022 Budget &amp; CF'!P281</f>
        <v>0</v>
      </c>
      <c r="V281" s="12">
        <f>'2022 Budget &amp; CF'!Q281</f>
        <v>0</v>
      </c>
      <c r="W281" s="12">
        <f>'2022 Budget &amp; CF'!R281</f>
        <v>0</v>
      </c>
      <c r="X281" s="12">
        <f>'2022 Budget &amp; CF'!S281</f>
        <v>0</v>
      </c>
      <c r="Y281" s="12">
        <f>'2022 Budget &amp; CF'!T281</f>
        <v>0</v>
      </c>
      <c r="Z281" s="12">
        <f>'2022 Budget &amp; CF'!U281</f>
        <v>0</v>
      </c>
      <c r="AA281" s="12">
        <f>'2022 Budget &amp; CF'!V281</f>
        <v>0</v>
      </c>
      <c r="AB281" s="12"/>
      <c r="AC281" s="121">
        <f t="shared" si="208"/>
        <v>0</v>
      </c>
      <c r="AD281" s="115">
        <f>'2022 Budget &amp; CF'!Z281</f>
        <v>0</v>
      </c>
      <c r="AE281" s="117">
        <f t="shared" si="209"/>
        <v>0</v>
      </c>
      <c r="AF281" s="117">
        <f t="shared" si="210"/>
        <v>0</v>
      </c>
    </row>
    <row r="282" spans="2:36" hidden="1" outlineLevel="1" x14ac:dyDescent="0.2">
      <c r="B282" s="763" t="s">
        <v>997</v>
      </c>
      <c r="C282" s="102" t="s">
        <v>537</v>
      </c>
      <c r="D282" s="104" t="s">
        <v>145</v>
      </c>
      <c r="E282" s="102"/>
      <c r="F282" s="104" t="s">
        <v>145</v>
      </c>
      <c r="G282" s="102" t="s">
        <v>538</v>
      </c>
      <c r="H282" s="104" t="s">
        <v>238</v>
      </c>
      <c r="I282" s="101"/>
      <c r="J282" s="344" t="str">
        <f t="shared" si="211"/>
        <v>30000000045000520</v>
      </c>
      <c r="K282" s="109">
        <v>2022</v>
      </c>
      <c r="L282" s="109" t="s">
        <v>348</v>
      </c>
      <c r="M282" s="109" t="s">
        <v>349</v>
      </c>
      <c r="N282" s="109" t="s">
        <v>350</v>
      </c>
      <c r="O282" s="12">
        <f>'2022 Budget &amp; CF'!J282</f>
        <v>0</v>
      </c>
      <c r="P282" s="12">
        <f>'2022 Budget &amp; CF'!K282</f>
        <v>0</v>
      </c>
      <c r="Q282" s="12">
        <f>'2022 Budget &amp; CF'!L282</f>
        <v>0</v>
      </c>
      <c r="R282" s="12">
        <f>'2022 Budget &amp; CF'!M282</f>
        <v>0</v>
      </c>
      <c r="S282" s="12">
        <f>'2022 Budget &amp; CF'!N282</f>
        <v>0</v>
      </c>
      <c r="T282" s="12">
        <f>'2022 Budget &amp; CF'!O282</f>
        <v>0</v>
      </c>
      <c r="U282" s="12">
        <f>'2022 Budget &amp; CF'!P282</f>
        <v>0</v>
      </c>
      <c r="V282" s="12">
        <f>'2022 Budget &amp; CF'!Q282</f>
        <v>0</v>
      </c>
      <c r="W282" s="12">
        <f>'2022 Budget &amp; CF'!R282</f>
        <v>0</v>
      </c>
      <c r="X282" s="12">
        <f>'2022 Budget &amp; CF'!S282</f>
        <v>0</v>
      </c>
      <c r="Y282" s="12">
        <f>'2022 Budget &amp; CF'!T282</f>
        <v>0</v>
      </c>
      <c r="Z282" s="12">
        <f>'2022 Budget &amp; CF'!U282</f>
        <v>0</v>
      </c>
      <c r="AA282" s="12">
        <f>'2022 Budget &amp; CF'!V282</f>
        <v>0</v>
      </c>
      <c r="AB282" s="12"/>
      <c r="AC282" s="121">
        <f t="shared" si="208"/>
        <v>0</v>
      </c>
      <c r="AD282" s="115">
        <f>'2022 Budget &amp; CF'!Z282</f>
        <v>0</v>
      </c>
      <c r="AE282" s="117">
        <f t="shared" si="209"/>
        <v>0</v>
      </c>
      <c r="AF282" s="117">
        <f t="shared" si="210"/>
        <v>0</v>
      </c>
    </row>
    <row r="283" spans="2:36" s="2" customFormat="1" x14ac:dyDescent="0.2">
      <c r="B283" s="766" t="s">
        <v>252</v>
      </c>
      <c r="C283" s="426"/>
      <c r="D283" s="719"/>
      <c r="E283" s="427"/>
      <c r="F283" s="427"/>
      <c r="G283" s="427"/>
      <c r="H283" s="428"/>
      <c r="I283" s="428"/>
      <c r="J283" s="550"/>
      <c r="K283" s="427"/>
      <c r="L283" s="427"/>
      <c r="M283" s="427"/>
      <c r="N283" s="428"/>
      <c r="O283" s="304">
        <f t="shared" ref="O283:AE283" si="212">SUM(O174:O282)</f>
        <v>48607.989999999991</v>
      </c>
      <c r="P283" s="304">
        <f t="shared" si="212"/>
        <v>119459.95999999998</v>
      </c>
      <c r="Q283" s="304">
        <f t="shared" si="212"/>
        <v>55291.229999999996</v>
      </c>
      <c r="R283" s="304">
        <f t="shared" si="212"/>
        <v>136382.56</v>
      </c>
      <c r="S283" s="304">
        <f t="shared" si="212"/>
        <v>80091.98</v>
      </c>
      <c r="T283" s="304">
        <f t="shared" si="212"/>
        <v>0</v>
      </c>
      <c r="U283" s="304">
        <f t="shared" si="212"/>
        <v>0</v>
      </c>
      <c r="V283" s="304">
        <f t="shared" si="212"/>
        <v>0</v>
      </c>
      <c r="W283" s="304">
        <f t="shared" si="212"/>
        <v>0</v>
      </c>
      <c r="X283" s="304">
        <f t="shared" si="212"/>
        <v>0</v>
      </c>
      <c r="Y283" s="304">
        <f t="shared" si="212"/>
        <v>0</v>
      </c>
      <c r="Z283" s="304">
        <f t="shared" si="212"/>
        <v>0</v>
      </c>
      <c r="AA283" s="304">
        <f t="shared" si="212"/>
        <v>0</v>
      </c>
      <c r="AB283" s="304">
        <f t="shared" si="212"/>
        <v>0</v>
      </c>
      <c r="AC283" s="304">
        <f t="shared" si="212"/>
        <v>434493.61999999994</v>
      </c>
      <c r="AD283" s="304">
        <f t="shared" si="212"/>
        <v>1098075</v>
      </c>
      <c r="AE283" s="304">
        <f t="shared" si="212"/>
        <v>663581.38</v>
      </c>
      <c r="AF283" s="304">
        <f>PCFP!T117</f>
        <v>0</v>
      </c>
      <c r="AG283" s="553"/>
      <c r="AH283" s="553"/>
      <c r="AI283" s="553"/>
      <c r="AJ283" s="553"/>
    </row>
    <row r="284" spans="2:36" hidden="1" outlineLevel="1" x14ac:dyDescent="0.2">
      <c r="B284" s="767" t="s">
        <v>197</v>
      </c>
      <c r="C284" s="139"/>
      <c r="D284" s="140"/>
      <c r="E284" s="140"/>
      <c r="F284" s="140"/>
      <c r="G284" s="140"/>
      <c r="H284" s="141"/>
      <c r="I284" s="140"/>
      <c r="J284" s="343"/>
      <c r="K284" s="133"/>
      <c r="L284" s="133"/>
      <c r="M284" s="133"/>
      <c r="N284" s="13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</row>
    <row r="285" spans="2:36" hidden="1" outlineLevel="1" x14ac:dyDescent="0.2">
      <c r="B285" s="768" t="s">
        <v>253</v>
      </c>
      <c r="C285" s="143">
        <f>'2022 Budget &amp; CF'!C285</f>
        <v>100</v>
      </c>
      <c r="D285" s="144" t="str">
        <f>'2022 Budget &amp; CF'!D285</f>
        <v>000</v>
      </c>
      <c r="E285" s="144"/>
      <c r="F285" s="143">
        <f>'2022 Budget &amp; CF'!F285</f>
        <v>100</v>
      </c>
      <c r="G285" s="143">
        <f>'2022 Budget &amp; CF'!G285</f>
        <v>1000</v>
      </c>
      <c r="H285" s="145" t="str">
        <f>'2022 Budget &amp; CF'!H285</f>
        <v>0610</v>
      </c>
      <c r="I285" s="145"/>
      <c r="J285" s="345" t="str">
        <f t="shared" ref="J285" si="213">CONCATENATE(C285,D285,F285,G285,H285,I285)</f>
        <v>10000010010000610</v>
      </c>
      <c r="K285" s="109">
        <v>2022</v>
      </c>
      <c r="L285" s="109" t="s">
        <v>348</v>
      </c>
      <c r="M285" s="109" t="s">
        <v>349</v>
      </c>
      <c r="N285" s="109" t="s">
        <v>350</v>
      </c>
      <c r="O285" s="12">
        <f>'2022 Budget &amp; CF'!J285</f>
        <v>0</v>
      </c>
      <c r="P285" s="12">
        <f>'2022 Budget &amp; CF'!K285</f>
        <v>0</v>
      </c>
      <c r="Q285" s="12">
        <f>'2022 Budget &amp; CF'!L285</f>
        <v>126.71</v>
      </c>
      <c r="R285" s="12">
        <f>'2022 Budget &amp; CF'!M285</f>
        <v>0</v>
      </c>
      <c r="S285" s="12">
        <f>'2022 Budget &amp; CF'!N285</f>
        <v>0</v>
      </c>
      <c r="T285" s="12">
        <f>'2022 Budget &amp; CF'!O285</f>
        <v>0</v>
      </c>
      <c r="U285" s="12">
        <f>'2022 Budget &amp; CF'!P285</f>
        <v>0</v>
      </c>
      <c r="V285" s="12">
        <f>'2022 Budget &amp; CF'!Q285</f>
        <v>0</v>
      </c>
      <c r="W285" s="12">
        <f>'2022 Budget &amp; CF'!R285</f>
        <v>0</v>
      </c>
      <c r="X285" s="12">
        <f>'2022 Budget &amp; CF'!S285</f>
        <v>0</v>
      </c>
      <c r="Y285" s="12">
        <f>'2022 Budget &amp; CF'!T285</f>
        <v>0</v>
      </c>
      <c r="Z285" s="12">
        <f>'2022 Budget &amp; CF'!U285</f>
        <v>0</v>
      </c>
      <c r="AA285" s="12">
        <f>'2022 Budget &amp; CF'!V285</f>
        <v>0</v>
      </c>
      <c r="AB285" s="12"/>
      <c r="AC285" s="121">
        <f t="shared" ref="AC285" si="214">SUM(O285:AA285)</f>
        <v>126.71</v>
      </c>
      <c r="AD285" s="115">
        <f>'2022 Budget &amp; CF'!Z285</f>
        <v>2500</v>
      </c>
      <c r="AE285" s="117">
        <f t="shared" ref="AE285" si="215">AD285-AC285</f>
        <v>2373.29</v>
      </c>
      <c r="AF285" s="117">
        <f t="shared" ref="AF285" si="216">AE285/$AF$6</f>
        <v>197.77416666666667</v>
      </c>
    </row>
    <row r="286" spans="2:36" hidden="1" outlineLevel="1" x14ac:dyDescent="0.2">
      <c r="B286" s="768" t="s">
        <v>255</v>
      </c>
      <c r="C286" s="143">
        <f>'2022 Budget &amp; CF'!C286</f>
        <v>100</v>
      </c>
      <c r="D286" s="144" t="str">
        <f>'2022 Budget &amp; CF'!D286</f>
        <v>000</v>
      </c>
      <c r="E286" s="144"/>
      <c r="F286" s="143">
        <f>'2022 Budget &amp; CF'!F286</f>
        <v>100</v>
      </c>
      <c r="G286" s="143">
        <f>'2022 Budget &amp; CF'!G286</f>
        <v>1000</v>
      </c>
      <c r="H286" s="145" t="str">
        <f>'2022 Budget &amp; CF'!H286</f>
        <v>0640</v>
      </c>
      <c r="I286" s="145"/>
      <c r="J286" s="345" t="str">
        <f t="shared" ref="J286:J290" si="217">CONCATENATE(C286,D286,F286,G286,H286,I286)</f>
        <v>10000010010000640</v>
      </c>
      <c r="K286" s="109">
        <v>2022</v>
      </c>
      <c r="L286" s="109" t="s">
        <v>348</v>
      </c>
      <c r="M286" s="109" t="s">
        <v>349</v>
      </c>
      <c r="N286" s="109" t="s">
        <v>350</v>
      </c>
      <c r="O286" s="12">
        <f>'2022 Budget &amp; CF'!J286</f>
        <v>0</v>
      </c>
      <c r="P286" s="12">
        <f>'2022 Budget &amp; CF'!K286</f>
        <v>0</v>
      </c>
      <c r="Q286" s="12">
        <f>'2022 Budget &amp; CF'!L286</f>
        <v>0</v>
      </c>
      <c r="R286" s="12">
        <f>'2022 Budget &amp; CF'!M286</f>
        <v>0</v>
      </c>
      <c r="S286" s="12">
        <f>'2022 Budget &amp; CF'!N286</f>
        <v>0</v>
      </c>
      <c r="T286" s="12">
        <f>'2022 Budget &amp; CF'!O286</f>
        <v>0</v>
      </c>
      <c r="U286" s="12">
        <f>'2022 Budget &amp; CF'!P286</f>
        <v>0</v>
      </c>
      <c r="V286" s="12">
        <f>'2022 Budget &amp; CF'!Q286</f>
        <v>0</v>
      </c>
      <c r="W286" s="12">
        <f>'2022 Budget &amp; CF'!R286</f>
        <v>0</v>
      </c>
      <c r="X286" s="12">
        <f>'2022 Budget &amp; CF'!S286</f>
        <v>0</v>
      </c>
      <c r="Y286" s="12">
        <f>'2022 Budget &amp; CF'!T286</f>
        <v>0</v>
      </c>
      <c r="Z286" s="12">
        <f>'2022 Budget &amp; CF'!U286</f>
        <v>0</v>
      </c>
      <c r="AA286" s="12">
        <f>'2022 Budget &amp; CF'!V286</f>
        <v>0</v>
      </c>
      <c r="AB286" s="12"/>
      <c r="AC286" s="121">
        <f t="shared" ref="AC286:AC290" si="218">SUM(O286:AA286)</f>
        <v>0</v>
      </c>
      <c r="AD286" s="115">
        <f>'2022 Budget &amp; CF'!Z286</f>
        <v>500</v>
      </c>
      <c r="AE286" s="117">
        <f t="shared" ref="AE286:AE290" si="219">AD286-AC286</f>
        <v>500</v>
      </c>
      <c r="AF286" s="117">
        <f t="shared" ref="AF286:AF290" si="220">AE286/$AF$6</f>
        <v>41.666666666666664</v>
      </c>
    </row>
    <row r="287" spans="2:36" hidden="1" outlineLevel="1" x14ac:dyDescent="0.2">
      <c r="B287" s="768" t="s">
        <v>257</v>
      </c>
      <c r="C287" s="143">
        <f>'2022 Budget &amp; CF'!C287</f>
        <v>100</v>
      </c>
      <c r="D287" s="144" t="str">
        <f>'2022 Budget &amp; CF'!D287</f>
        <v>000</v>
      </c>
      <c r="E287" s="144"/>
      <c r="F287" s="143">
        <f>'2022 Budget &amp; CF'!F287</f>
        <v>100</v>
      </c>
      <c r="G287" s="143">
        <f>'2022 Budget &amp; CF'!G287</f>
        <v>1000</v>
      </c>
      <c r="H287" s="145" t="str">
        <f>'2022 Budget &amp; CF'!H287</f>
        <v>0641</v>
      </c>
      <c r="I287" s="145"/>
      <c r="J287" s="345" t="str">
        <f t="shared" si="217"/>
        <v>10000010010000641</v>
      </c>
      <c r="K287" s="109">
        <v>2022</v>
      </c>
      <c r="L287" s="109" t="s">
        <v>348</v>
      </c>
      <c r="M287" s="109" t="s">
        <v>349</v>
      </c>
      <c r="N287" s="109" t="s">
        <v>350</v>
      </c>
      <c r="O287" s="12">
        <f>'2022 Budget &amp; CF'!J287</f>
        <v>0</v>
      </c>
      <c r="P287" s="12">
        <f>'2022 Budget &amp; CF'!K287</f>
        <v>123.8</v>
      </c>
      <c r="Q287" s="12">
        <f>'2022 Budget &amp; CF'!L287</f>
        <v>0</v>
      </c>
      <c r="R287" s="12">
        <f>'2022 Budget &amp; CF'!M287</f>
        <v>0</v>
      </c>
      <c r="S287" s="12">
        <f>'2022 Budget &amp; CF'!N287</f>
        <v>161.09</v>
      </c>
      <c r="T287" s="12">
        <f>'2022 Budget &amp; CF'!O287</f>
        <v>0</v>
      </c>
      <c r="U287" s="12">
        <f>'2022 Budget &amp; CF'!P287</f>
        <v>0</v>
      </c>
      <c r="V287" s="12">
        <f>'2022 Budget &amp; CF'!Q287</f>
        <v>0</v>
      </c>
      <c r="W287" s="12">
        <f>'2022 Budget &amp; CF'!R287</f>
        <v>0</v>
      </c>
      <c r="X287" s="12">
        <f>'2022 Budget &amp; CF'!S287</f>
        <v>0</v>
      </c>
      <c r="Y287" s="12">
        <f>'2022 Budget &amp; CF'!T287</f>
        <v>0</v>
      </c>
      <c r="Z287" s="12">
        <f>'2022 Budget &amp; CF'!U287</f>
        <v>0</v>
      </c>
      <c r="AA287" s="12">
        <f>'2022 Budget &amp; CF'!V287</f>
        <v>0</v>
      </c>
      <c r="AB287" s="12"/>
      <c r="AC287" s="121">
        <f t="shared" si="218"/>
        <v>284.89</v>
      </c>
      <c r="AD287" s="115">
        <f>'2022 Budget &amp; CF'!Z287</f>
        <v>2000</v>
      </c>
      <c r="AE287" s="117">
        <f t="shared" si="219"/>
        <v>1715.1100000000001</v>
      </c>
      <c r="AF287" s="117">
        <f t="shared" si="220"/>
        <v>142.92583333333334</v>
      </c>
    </row>
    <row r="288" spans="2:36" hidden="1" outlineLevel="1" x14ac:dyDescent="0.2">
      <c r="B288" s="768" t="s">
        <v>259</v>
      </c>
      <c r="C288" s="143">
        <f>'2022 Budget &amp; CF'!C288</f>
        <v>100</v>
      </c>
      <c r="D288" s="144" t="str">
        <f>'2022 Budget &amp; CF'!D288</f>
        <v>000</v>
      </c>
      <c r="E288" s="144"/>
      <c r="F288" s="143">
        <f>'2022 Budget &amp; CF'!F288</f>
        <v>100</v>
      </c>
      <c r="G288" s="143">
        <f>'2022 Budget &amp; CF'!G288</f>
        <v>1000</v>
      </c>
      <c r="H288" s="145" t="str">
        <f>'2022 Budget &amp; CF'!H288</f>
        <v>0651</v>
      </c>
      <c r="I288" s="145"/>
      <c r="J288" s="345" t="str">
        <f t="shared" si="217"/>
        <v>10000010010000651</v>
      </c>
      <c r="K288" s="109">
        <v>2022</v>
      </c>
      <c r="L288" s="109" t="s">
        <v>348</v>
      </c>
      <c r="M288" s="109" t="s">
        <v>349</v>
      </c>
      <c r="N288" s="109" t="s">
        <v>350</v>
      </c>
      <c r="O288" s="12">
        <f>'2022 Budget &amp; CF'!J288</f>
        <v>0</v>
      </c>
      <c r="P288" s="12">
        <f>'2022 Budget &amp; CF'!K288</f>
        <v>0</v>
      </c>
      <c r="Q288" s="12">
        <f>'2022 Budget &amp; CF'!L288</f>
        <v>652</v>
      </c>
      <c r="R288" s="12">
        <f>'2022 Budget &amp; CF'!M288</f>
        <v>0</v>
      </c>
      <c r="S288" s="12">
        <f>'2022 Budget &amp; CF'!N288</f>
        <v>0</v>
      </c>
      <c r="T288" s="12">
        <f>'2022 Budget &amp; CF'!O288</f>
        <v>0</v>
      </c>
      <c r="U288" s="12">
        <f>'2022 Budget &amp; CF'!P288</f>
        <v>0</v>
      </c>
      <c r="V288" s="12">
        <f>'2022 Budget &amp; CF'!Q288</f>
        <v>0</v>
      </c>
      <c r="W288" s="12">
        <f>'2022 Budget &amp; CF'!R288</f>
        <v>0</v>
      </c>
      <c r="X288" s="12">
        <f>'2022 Budget &amp; CF'!S288</f>
        <v>0</v>
      </c>
      <c r="Y288" s="12">
        <f>'2022 Budget &amp; CF'!T288</f>
        <v>0</v>
      </c>
      <c r="Z288" s="12">
        <f>'2022 Budget &amp; CF'!U288</f>
        <v>0</v>
      </c>
      <c r="AA288" s="12">
        <f>'2022 Budget &amp; CF'!V288</f>
        <v>0</v>
      </c>
      <c r="AB288" s="12"/>
      <c r="AC288" s="121">
        <f t="shared" si="218"/>
        <v>652</v>
      </c>
      <c r="AD288" s="115">
        <f>'2022 Budget &amp; CF'!Z288</f>
        <v>12000</v>
      </c>
      <c r="AE288" s="117">
        <f t="shared" si="219"/>
        <v>11348</v>
      </c>
      <c r="AF288" s="117">
        <f t="shared" si="220"/>
        <v>945.66666666666663</v>
      </c>
    </row>
    <row r="289" spans="2:32" hidden="1" outlineLevel="1" x14ac:dyDescent="0.2">
      <c r="B289" s="768" t="s">
        <v>261</v>
      </c>
      <c r="C289" s="143">
        <f>'2022 Budget &amp; CF'!C289</f>
        <v>100</v>
      </c>
      <c r="D289" s="144" t="str">
        <f>'2022 Budget &amp; CF'!D289</f>
        <v>000</v>
      </c>
      <c r="E289" s="144"/>
      <c r="F289" s="143">
        <f>'2022 Budget &amp; CF'!F289</f>
        <v>100</v>
      </c>
      <c r="G289" s="143">
        <f>'2022 Budget &amp; CF'!G289</f>
        <v>1000</v>
      </c>
      <c r="H289" s="145" t="str">
        <f>'2022 Budget &amp; CF'!H289</f>
        <v>0652</v>
      </c>
      <c r="I289" s="145"/>
      <c r="J289" s="345" t="str">
        <f t="shared" si="217"/>
        <v>10000010010000652</v>
      </c>
      <c r="K289" s="109">
        <v>2022</v>
      </c>
      <c r="L289" s="109" t="s">
        <v>348</v>
      </c>
      <c r="M289" s="109" t="s">
        <v>349</v>
      </c>
      <c r="N289" s="109" t="s">
        <v>350</v>
      </c>
      <c r="O289" s="12">
        <f>'2022 Budget &amp; CF'!J289</f>
        <v>0</v>
      </c>
      <c r="P289" s="12">
        <f>'2022 Budget &amp; CF'!K289</f>
        <v>749</v>
      </c>
      <c r="Q289" s="12">
        <f>'2022 Budget &amp; CF'!L289</f>
        <v>136880</v>
      </c>
      <c r="R289" s="12">
        <f>'2022 Budget &amp; CF'!M289</f>
        <v>0</v>
      </c>
      <c r="S289" s="12">
        <f>'2022 Budget &amp; CF'!N289</f>
        <v>0</v>
      </c>
      <c r="T289" s="12">
        <f>'2022 Budget &amp; CF'!O289</f>
        <v>0</v>
      </c>
      <c r="U289" s="12">
        <f>'2022 Budget &amp; CF'!P289</f>
        <v>0</v>
      </c>
      <c r="V289" s="12">
        <f>'2022 Budget &amp; CF'!Q289</f>
        <v>0</v>
      </c>
      <c r="W289" s="12">
        <f>'2022 Budget &amp; CF'!R289</f>
        <v>0</v>
      </c>
      <c r="X289" s="12">
        <f>'2022 Budget &amp; CF'!S289</f>
        <v>0</v>
      </c>
      <c r="Y289" s="12">
        <f>'2022 Budget &amp; CF'!T289</f>
        <v>0</v>
      </c>
      <c r="Z289" s="12">
        <f>'2022 Budget &amp; CF'!U289</f>
        <v>0</v>
      </c>
      <c r="AA289" s="12">
        <f>'2022 Budget &amp; CF'!V289</f>
        <v>0</v>
      </c>
      <c r="AB289" s="12"/>
      <c r="AC289" s="121">
        <f t="shared" si="218"/>
        <v>137629</v>
      </c>
      <c r="AD289" s="115">
        <f>'2022 Budget &amp; CF'!Z289</f>
        <v>7024</v>
      </c>
      <c r="AE289" s="117">
        <f t="shared" si="219"/>
        <v>-130605</v>
      </c>
      <c r="AF289" s="117">
        <f t="shared" si="220"/>
        <v>-10883.75</v>
      </c>
    </row>
    <row r="290" spans="2:32" hidden="1" outlineLevel="1" x14ac:dyDescent="0.2">
      <c r="B290" s="768" t="s">
        <v>263</v>
      </c>
      <c r="C290" s="143">
        <f>'2022 Budget &amp; CF'!C290</f>
        <v>100</v>
      </c>
      <c r="D290" s="144" t="str">
        <f>'2022 Budget &amp; CF'!D290</f>
        <v>000</v>
      </c>
      <c r="E290" s="144"/>
      <c r="F290" s="143">
        <f>'2022 Budget &amp; CF'!F290</f>
        <v>100</v>
      </c>
      <c r="G290" s="143">
        <f>'2022 Budget &amp; CF'!G290</f>
        <v>1000</v>
      </c>
      <c r="H290" s="145" t="str">
        <f>'2022 Budget &amp; CF'!H290</f>
        <v>0653</v>
      </c>
      <c r="I290" s="145"/>
      <c r="J290" s="345" t="str">
        <f t="shared" si="217"/>
        <v>10000010010000653</v>
      </c>
      <c r="K290" s="109">
        <v>2022</v>
      </c>
      <c r="L290" s="109" t="s">
        <v>348</v>
      </c>
      <c r="M290" s="109" t="s">
        <v>349</v>
      </c>
      <c r="N290" s="109" t="s">
        <v>350</v>
      </c>
      <c r="O290" s="12">
        <f>'2022 Budget &amp; CF'!J290</f>
        <v>19125</v>
      </c>
      <c r="P290" s="12">
        <f>'2022 Budget &amp; CF'!K290</f>
        <v>0</v>
      </c>
      <c r="Q290" s="12">
        <f>'2022 Budget &amp; CF'!L290</f>
        <v>99</v>
      </c>
      <c r="R290" s="12">
        <f>'2022 Budget &amp; CF'!M290</f>
        <v>0</v>
      </c>
      <c r="S290" s="12">
        <f>'2022 Budget &amp; CF'!N290</f>
        <v>0</v>
      </c>
      <c r="T290" s="12">
        <f>'2022 Budget &amp; CF'!O290</f>
        <v>0</v>
      </c>
      <c r="U290" s="12">
        <f>'2022 Budget &amp; CF'!P290</f>
        <v>0</v>
      </c>
      <c r="V290" s="12">
        <f>'2022 Budget &amp; CF'!Q290</f>
        <v>0</v>
      </c>
      <c r="W290" s="12">
        <f>'2022 Budget &amp; CF'!R290</f>
        <v>0</v>
      </c>
      <c r="X290" s="12">
        <f>'2022 Budget &amp; CF'!S290</f>
        <v>0</v>
      </c>
      <c r="Y290" s="12">
        <f>'2022 Budget &amp; CF'!T290</f>
        <v>0</v>
      </c>
      <c r="Z290" s="12">
        <f>'2022 Budget &amp; CF'!U290</f>
        <v>0</v>
      </c>
      <c r="AA290" s="12">
        <f>'2022 Budget &amp; CF'!V290</f>
        <v>0</v>
      </c>
      <c r="AB290" s="12"/>
      <c r="AC290" s="121">
        <f t="shared" si="218"/>
        <v>19224</v>
      </c>
      <c r="AD290" s="115">
        <f>'2022 Budget &amp; CF'!Z290</f>
        <v>41386</v>
      </c>
      <c r="AE290" s="117">
        <f t="shared" si="219"/>
        <v>22162</v>
      </c>
      <c r="AF290" s="117">
        <f t="shared" si="220"/>
        <v>1846.8333333333333</v>
      </c>
    </row>
    <row r="291" spans="2:32" hidden="1" outlineLevel="1" x14ac:dyDescent="0.2">
      <c r="B291" s="154" t="s">
        <v>202</v>
      </c>
      <c r="C291" s="147"/>
      <c r="D291" s="148"/>
      <c r="E291" s="148"/>
      <c r="F291" s="148"/>
      <c r="G291" s="148"/>
      <c r="H291" s="149"/>
      <c r="I291" s="148"/>
      <c r="J291" s="343"/>
      <c r="K291" s="133"/>
      <c r="L291" s="133"/>
      <c r="M291" s="133"/>
      <c r="N291" s="13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>
        <f>'2022 Budget &amp; CF'!Z291</f>
        <v>0</v>
      </c>
      <c r="AE291" s="114"/>
      <c r="AF291" s="114"/>
    </row>
    <row r="292" spans="2:32" hidden="1" outlineLevel="1" x14ac:dyDescent="0.2">
      <c r="B292" s="768" t="s">
        <v>265</v>
      </c>
      <c r="C292" s="143">
        <f>'2022 Budget &amp; CF'!C292</f>
        <v>100</v>
      </c>
      <c r="D292" s="144" t="str">
        <f>'2022 Budget &amp; CF'!D292</f>
        <v>000</v>
      </c>
      <c r="E292" s="144"/>
      <c r="F292" s="143">
        <f>'2022 Budget &amp; CF'!F292</f>
        <v>100</v>
      </c>
      <c r="G292" s="143">
        <v>2110</v>
      </c>
      <c r="H292" s="145" t="str">
        <f>'2022 Budget &amp; CF'!H292</f>
        <v>0610</v>
      </c>
      <c r="I292" s="145"/>
      <c r="J292" s="345" t="str">
        <f t="shared" ref="J292" si="221">CONCATENATE(C292,D292,F292,G292,H292,I292)</f>
        <v>10000010021100610</v>
      </c>
      <c r="K292" s="109">
        <v>2022</v>
      </c>
      <c r="L292" s="109" t="s">
        <v>348</v>
      </c>
      <c r="M292" s="109" t="s">
        <v>349</v>
      </c>
      <c r="N292" s="109" t="s">
        <v>350</v>
      </c>
      <c r="O292" s="12">
        <f>'2022 Budget &amp; CF'!J292</f>
        <v>0</v>
      </c>
      <c r="P292" s="12">
        <f>'2022 Budget &amp; CF'!K292</f>
        <v>0</v>
      </c>
      <c r="Q292" s="12">
        <f>'2022 Budget &amp; CF'!L292</f>
        <v>0</v>
      </c>
      <c r="R292" s="12">
        <f>'2022 Budget &amp; CF'!M292</f>
        <v>0</v>
      </c>
      <c r="S292" s="12">
        <f>'2022 Budget &amp; CF'!N292</f>
        <v>0</v>
      </c>
      <c r="T292" s="12">
        <f>'2022 Budget &amp; CF'!O292</f>
        <v>0</v>
      </c>
      <c r="U292" s="12">
        <f>'2022 Budget &amp; CF'!P292</f>
        <v>0</v>
      </c>
      <c r="V292" s="12">
        <f>'2022 Budget &amp; CF'!Q292</f>
        <v>0</v>
      </c>
      <c r="W292" s="12">
        <f>'2022 Budget &amp; CF'!R292</f>
        <v>0</v>
      </c>
      <c r="X292" s="12">
        <f>'2022 Budget &amp; CF'!S292</f>
        <v>0</v>
      </c>
      <c r="Y292" s="12">
        <f>'2022 Budget &amp; CF'!T292</f>
        <v>0</v>
      </c>
      <c r="Z292" s="12">
        <f>'2022 Budget &amp; CF'!U292</f>
        <v>0</v>
      </c>
      <c r="AA292" s="12">
        <f>'2022 Budget &amp; CF'!V292</f>
        <v>0</v>
      </c>
      <c r="AB292" s="12"/>
      <c r="AC292" s="121">
        <f t="shared" ref="AC292" si="222">SUM(O292:AA292)</f>
        <v>0</v>
      </c>
      <c r="AD292" s="115">
        <f>'2022 Budget &amp; CF'!Z292</f>
        <v>0</v>
      </c>
      <c r="AE292" s="117">
        <f t="shared" ref="AE292" si="223">AD292-AC292</f>
        <v>0</v>
      </c>
      <c r="AF292" s="117">
        <f t="shared" ref="AF292" si="224">AE292/$AF$6</f>
        <v>0</v>
      </c>
    </row>
    <row r="293" spans="2:32" hidden="1" outlineLevel="1" x14ac:dyDescent="0.2">
      <c r="B293" s="768" t="s">
        <v>265</v>
      </c>
      <c r="C293" s="143" t="s">
        <v>468</v>
      </c>
      <c r="D293" s="144" t="s">
        <v>145</v>
      </c>
      <c r="E293" s="144"/>
      <c r="F293" s="143" t="s">
        <v>468</v>
      </c>
      <c r="G293" s="143" t="s">
        <v>484</v>
      </c>
      <c r="H293" s="145" t="s">
        <v>254</v>
      </c>
      <c r="I293" s="145" t="s">
        <v>563</v>
      </c>
      <c r="J293" s="345" t="str">
        <f t="shared" ref="J293:J294" si="225">CONCATENATE(C293,D293,F293,G293,H293,I293)</f>
        <v>1000001002130061001</v>
      </c>
      <c r="K293" s="109">
        <v>2022</v>
      </c>
      <c r="L293" s="109" t="s">
        <v>348</v>
      </c>
      <c r="M293" s="109" t="s">
        <v>349</v>
      </c>
      <c r="N293" s="109" t="s">
        <v>350</v>
      </c>
      <c r="O293" s="12">
        <f>'2022 Budget &amp; CF'!J293</f>
        <v>0</v>
      </c>
      <c r="P293" s="12">
        <f>'2022 Budget &amp; CF'!K293</f>
        <v>69.62</v>
      </c>
      <c r="Q293" s="12">
        <f>'2022 Budget &amp; CF'!L293</f>
        <v>0</v>
      </c>
      <c r="R293" s="12">
        <f>'2022 Budget &amp; CF'!M293</f>
        <v>0</v>
      </c>
      <c r="S293" s="12">
        <f>'2022 Budget &amp; CF'!N293</f>
        <v>0</v>
      </c>
      <c r="T293" s="12">
        <f>'2022 Budget &amp; CF'!O293</f>
        <v>0</v>
      </c>
      <c r="U293" s="12">
        <f>'2022 Budget &amp; CF'!P293</f>
        <v>0</v>
      </c>
      <c r="V293" s="12">
        <f>'2022 Budget &amp; CF'!Q293</f>
        <v>0</v>
      </c>
      <c r="W293" s="12">
        <f>'2022 Budget &amp; CF'!R293</f>
        <v>0</v>
      </c>
      <c r="X293" s="12">
        <f>'2022 Budget &amp; CF'!S293</f>
        <v>0</v>
      </c>
      <c r="Y293" s="12">
        <f>'2022 Budget &amp; CF'!T293</f>
        <v>0</v>
      </c>
      <c r="Z293" s="12">
        <f>'2022 Budget &amp; CF'!U293</f>
        <v>0</v>
      </c>
      <c r="AA293" s="12">
        <f>'2022 Budget &amp; CF'!V293</f>
        <v>0</v>
      </c>
      <c r="AB293" s="12"/>
      <c r="AC293" s="121">
        <f t="shared" ref="AC293:AC294" si="226">SUM(O293:AA293)</f>
        <v>69.62</v>
      </c>
      <c r="AD293" s="115">
        <f>'2022 Budget &amp; CF'!Z293</f>
        <v>0</v>
      </c>
      <c r="AE293" s="117">
        <f t="shared" ref="AE293:AE294" si="227">AD293-AC293</f>
        <v>-69.62</v>
      </c>
      <c r="AF293" s="117">
        <f t="shared" ref="AF293:AF294" si="228">AE293/$AF$6</f>
        <v>-5.8016666666666667</v>
      </c>
    </row>
    <row r="294" spans="2:32" hidden="1" outlineLevel="1" x14ac:dyDescent="0.2">
      <c r="B294" s="768" t="s">
        <v>265</v>
      </c>
      <c r="C294" s="143" t="s">
        <v>468</v>
      </c>
      <c r="D294" s="144" t="s">
        <v>145</v>
      </c>
      <c r="E294" s="144"/>
      <c r="F294" s="143" t="s">
        <v>468</v>
      </c>
      <c r="G294" s="143" t="s">
        <v>490</v>
      </c>
      <c r="H294" s="145" t="s">
        <v>254</v>
      </c>
      <c r="I294" s="145" t="s">
        <v>563</v>
      </c>
      <c r="J294" s="345" t="str">
        <f t="shared" si="225"/>
        <v>1000001002190061001</v>
      </c>
      <c r="K294" s="109">
        <v>2022</v>
      </c>
      <c r="L294" s="109" t="s">
        <v>348</v>
      </c>
      <c r="M294" s="109" t="s">
        <v>349</v>
      </c>
      <c r="N294" s="109" t="s">
        <v>350</v>
      </c>
      <c r="O294" s="12">
        <f>'2022 Budget &amp; CF'!J294</f>
        <v>0</v>
      </c>
      <c r="P294" s="12">
        <f>'2022 Budget &amp; CF'!K294</f>
        <v>750.89</v>
      </c>
      <c r="Q294" s="12">
        <f>'2022 Budget &amp; CF'!L294</f>
        <v>0</v>
      </c>
      <c r="R294" s="12">
        <f>'2022 Budget &amp; CF'!M294</f>
        <v>25.99</v>
      </c>
      <c r="S294" s="12">
        <f>'2022 Budget &amp; CF'!N294</f>
        <v>0</v>
      </c>
      <c r="T294" s="12">
        <f>'2022 Budget &amp; CF'!O294</f>
        <v>0</v>
      </c>
      <c r="U294" s="12">
        <f>'2022 Budget &amp; CF'!P294</f>
        <v>0</v>
      </c>
      <c r="V294" s="12">
        <f>'2022 Budget &amp; CF'!Q294</f>
        <v>0</v>
      </c>
      <c r="W294" s="12">
        <f>'2022 Budget &amp; CF'!R294</f>
        <v>0</v>
      </c>
      <c r="X294" s="12">
        <f>'2022 Budget &amp; CF'!S294</f>
        <v>0</v>
      </c>
      <c r="Y294" s="12">
        <f>'2022 Budget &amp; CF'!T294</f>
        <v>0</v>
      </c>
      <c r="Z294" s="12">
        <f>'2022 Budget &amp; CF'!U294</f>
        <v>0</v>
      </c>
      <c r="AA294" s="12">
        <f>'2022 Budget &amp; CF'!V294</f>
        <v>0</v>
      </c>
      <c r="AB294" s="12"/>
      <c r="AC294" s="121">
        <f t="shared" si="226"/>
        <v>776.88</v>
      </c>
      <c r="AD294" s="115">
        <f>'2022 Budget &amp; CF'!Z294</f>
        <v>0</v>
      </c>
      <c r="AE294" s="117">
        <f t="shared" si="227"/>
        <v>-776.88</v>
      </c>
      <c r="AF294" s="117">
        <f t="shared" si="228"/>
        <v>-64.739999999999995</v>
      </c>
    </row>
    <row r="295" spans="2:32" hidden="1" outlineLevel="1" x14ac:dyDescent="0.2">
      <c r="B295" s="154" t="s">
        <v>204</v>
      </c>
      <c r="C295" s="139"/>
      <c r="D295" s="140"/>
      <c r="E295" s="140"/>
      <c r="F295" s="140"/>
      <c r="G295" s="140"/>
      <c r="H295" s="141"/>
      <c r="I295" s="140"/>
      <c r="J295" s="343"/>
      <c r="K295" s="133"/>
      <c r="L295" s="133"/>
      <c r="M295" s="133"/>
      <c r="N295" s="13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>
        <f>'2022 Budget &amp; CF'!Z295</f>
        <v>0</v>
      </c>
      <c r="AE295" s="114"/>
      <c r="AF295" s="114"/>
    </row>
    <row r="296" spans="2:32" hidden="1" outlineLevel="1" x14ac:dyDescent="0.2">
      <c r="B296" s="768" t="s">
        <v>266</v>
      </c>
      <c r="C296" s="143">
        <f>'2022 Budget &amp; CF'!C296</f>
        <v>100</v>
      </c>
      <c r="D296" s="144" t="str">
        <f>'2022 Budget &amp; CF'!D296</f>
        <v>000</v>
      </c>
      <c r="E296" s="144"/>
      <c r="F296" s="143">
        <f>'2022 Budget &amp; CF'!F296</f>
        <v>100</v>
      </c>
      <c r="G296" s="143">
        <v>2239</v>
      </c>
      <c r="H296" s="145" t="str">
        <f>'2022 Budget &amp; CF'!H296</f>
        <v>0610</v>
      </c>
      <c r="I296" s="145"/>
      <c r="J296" s="345" t="str">
        <f t="shared" ref="J296:J297" si="229">CONCATENATE(C296,D296,F296,G296,H296,I296)</f>
        <v>10000010022390610</v>
      </c>
      <c r="K296" s="109">
        <v>2022</v>
      </c>
      <c r="L296" s="109" t="s">
        <v>348</v>
      </c>
      <c r="M296" s="109" t="s">
        <v>349</v>
      </c>
      <c r="N296" s="109" t="s">
        <v>350</v>
      </c>
      <c r="O296" s="12">
        <f>'2022 Budget &amp; CF'!J296</f>
        <v>0</v>
      </c>
      <c r="P296" s="12">
        <f>'2022 Budget &amp; CF'!K296</f>
        <v>0</v>
      </c>
      <c r="Q296" s="12">
        <f>'2022 Budget &amp; CF'!L296</f>
        <v>0</v>
      </c>
      <c r="R296" s="12">
        <f>'2022 Budget &amp; CF'!M296</f>
        <v>0</v>
      </c>
      <c r="S296" s="12">
        <f>'2022 Budget &amp; CF'!N296</f>
        <v>0</v>
      </c>
      <c r="T296" s="12">
        <f>'2022 Budget &amp; CF'!O296</f>
        <v>0</v>
      </c>
      <c r="U296" s="12">
        <f>'2022 Budget &amp; CF'!P296</f>
        <v>0</v>
      </c>
      <c r="V296" s="12">
        <f>'2022 Budget &amp; CF'!Q296</f>
        <v>0</v>
      </c>
      <c r="W296" s="12">
        <f>'2022 Budget &amp; CF'!R296</f>
        <v>0</v>
      </c>
      <c r="X296" s="12">
        <f>'2022 Budget &amp; CF'!S296</f>
        <v>0</v>
      </c>
      <c r="Y296" s="12">
        <f>'2022 Budget &amp; CF'!T296</f>
        <v>0</v>
      </c>
      <c r="Z296" s="12">
        <f>'2022 Budget &amp; CF'!U296</f>
        <v>0</v>
      </c>
      <c r="AA296" s="12">
        <f>'2022 Budget &amp; CF'!V296</f>
        <v>0</v>
      </c>
      <c r="AB296" s="12"/>
      <c r="AC296" s="121">
        <f t="shared" ref="AC296:AC297" si="230">SUM(O296:AA296)</f>
        <v>0</v>
      </c>
      <c r="AD296" s="115">
        <f>'2022 Budget &amp; CF'!Z296</f>
        <v>37</v>
      </c>
      <c r="AE296" s="117">
        <f t="shared" ref="AE296:AE297" si="231">AD296-AC296</f>
        <v>37</v>
      </c>
      <c r="AF296" s="117">
        <f t="shared" ref="AF296:AF297" si="232">AE296/$AF$6</f>
        <v>3.0833333333333335</v>
      </c>
    </row>
    <row r="297" spans="2:32" hidden="1" outlineLevel="1" x14ac:dyDescent="0.2">
      <c r="B297" s="768" t="s">
        <v>509</v>
      </c>
      <c r="C297" s="143">
        <f>'2022 Budget &amp; CF'!C297</f>
        <v>100</v>
      </c>
      <c r="D297" s="144" t="str">
        <f>'2022 Budget &amp; CF'!D297</f>
        <v>000</v>
      </c>
      <c r="E297" s="144"/>
      <c r="F297" s="143">
        <f>'2022 Budget &amp; CF'!F297</f>
        <v>100</v>
      </c>
      <c r="G297" s="143">
        <v>2213</v>
      </c>
      <c r="H297" s="145" t="s">
        <v>260</v>
      </c>
      <c r="I297" s="145"/>
      <c r="J297" s="345" t="str">
        <f t="shared" si="229"/>
        <v>10000010022130651</v>
      </c>
      <c r="K297" s="109">
        <v>2022</v>
      </c>
      <c r="L297" s="109" t="s">
        <v>348</v>
      </c>
      <c r="M297" s="109" t="s">
        <v>349</v>
      </c>
      <c r="N297" s="109" t="s">
        <v>350</v>
      </c>
      <c r="O297" s="12">
        <f>'2022 Budget &amp; CF'!J297</f>
        <v>0</v>
      </c>
      <c r="P297" s="12">
        <f>'2022 Budget &amp; CF'!K297</f>
        <v>0</v>
      </c>
      <c r="Q297" s="12">
        <f>'2022 Budget &amp; CF'!L297</f>
        <v>0</v>
      </c>
      <c r="R297" s="12">
        <f>'2022 Budget &amp; CF'!M297</f>
        <v>0</v>
      </c>
      <c r="S297" s="12">
        <f>'2022 Budget &amp; CF'!N297</f>
        <v>0</v>
      </c>
      <c r="T297" s="12">
        <f>'2022 Budget &amp; CF'!O297</f>
        <v>0</v>
      </c>
      <c r="U297" s="12">
        <f>'2022 Budget &amp; CF'!P297</f>
        <v>0</v>
      </c>
      <c r="V297" s="12">
        <f>'2022 Budget &amp; CF'!Q297</f>
        <v>0</v>
      </c>
      <c r="W297" s="12">
        <f>'2022 Budget &amp; CF'!R297</f>
        <v>0</v>
      </c>
      <c r="X297" s="12">
        <f>'2022 Budget &amp; CF'!S297</f>
        <v>0</v>
      </c>
      <c r="Y297" s="12">
        <f>'2022 Budget &amp; CF'!T297</f>
        <v>0</v>
      </c>
      <c r="Z297" s="12">
        <f>'2022 Budget &amp; CF'!U297</f>
        <v>0</v>
      </c>
      <c r="AA297" s="12">
        <f>'2022 Budget &amp; CF'!V297</f>
        <v>0</v>
      </c>
      <c r="AB297" s="12"/>
      <c r="AC297" s="121">
        <f t="shared" si="230"/>
        <v>0</v>
      </c>
      <c r="AD297" s="115">
        <f>'2022 Budget &amp; CF'!Z297</f>
        <v>0</v>
      </c>
      <c r="AE297" s="117">
        <f t="shared" si="231"/>
        <v>0</v>
      </c>
      <c r="AF297" s="117">
        <f t="shared" si="232"/>
        <v>0</v>
      </c>
    </row>
    <row r="298" spans="2:32" hidden="1" outlineLevel="1" x14ac:dyDescent="0.2">
      <c r="B298" s="154" t="s">
        <v>206</v>
      </c>
      <c r="C298" s="139"/>
      <c r="D298" s="140"/>
      <c r="E298" s="140"/>
      <c r="F298" s="140"/>
      <c r="G298" s="140"/>
      <c r="H298" s="141"/>
      <c r="I298" s="140"/>
      <c r="J298" s="343"/>
      <c r="K298" s="133"/>
      <c r="L298" s="133"/>
      <c r="M298" s="133"/>
      <c r="N298" s="13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>
        <f>'2022 Budget &amp; CF'!Z298</f>
        <v>0</v>
      </c>
      <c r="AE298" s="114"/>
      <c r="AF298" s="114"/>
    </row>
    <row r="299" spans="2:32" hidden="1" outlineLevel="1" x14ac:dyDescent="0.2">
      <c r="B299" s="150" t="s">
        <v>267</v>
      </c>
      <c r="C299" s="143">
        <f>'2022 Budget &amp; CF'!C299</f>
        <v>100</v>
      </c>
      <c r="D299" s="144" t="str">
        <f>'2022 Budget &amp; CF'!D299</f>
        <v>000</v>
      </c>
      <c r="E299" s="144"/>
      <c r="F299" s="143">
        <f>'2022 Budget &amp; CF'!F299</f>
        <v>100</v>
      </c>
      <c r="G299" s="143">
        <v>2320</v>
      </c>
      <c r="H299" s="145" t="str">
        <f>'2022 Budget &amp; CF'!H299</f>
        <v>0610</v>
      </c>
      <c r="I299" s="145"/>
      <c r="J299" s="345" t="str">
        <f t="shared" ref="J299" si="233">CONCATENATE(C299,D299,F299,G299,H299,I299)</f>
        <v>10000010023200610</v>
      </c>
      <c r="K299" s="109">
        <v>2022</v>
      </c>
      <c r="L299" s="109" t="s">
        <v>348</v>
      </c>
      <c r="M299" s="109" t="s">
        <v>349</v>
      </c>
      <c r="N299" s="109" t="s">
        <v>350</v>
      </c>
      <c r="O299" s="12">
        <f>'2022 Budget &amp; CF'!J299</f>
        <v>0</v>
      </c>
      <c r="P299" s="12">
        <f>'2022 Budget &amp; CF'!K299</f>
        <v>0</v>
      </c>
      <c r="Q299" s="12">
        <f>'2022 Budget &amp; CF'!L299</f>
        <v>0</v>
      </c>
      <c r="R299" s="12">
        <f>'2022 Budget &amp; CF'!M299</f>
        <v>0</v>
      </c>
      <c r="S299" s="12">
        <f>'2022 Budget &amp; CF'!N299</f>
        <v>0</v>
      </c>
      <c r="T299" s="12">
        <f>'2022 Budget &amp; CF'!O299</f>
        <v>0</v>
      </c>
      <c r="U299" s="12">
        <f>'2022 Budget &amp; CF'!P299</f>
        <v>0</v>
      </c>
      <c r="V299" s="12">
        <f>'2022 Budget &amp; CF'!Q299</f>
        <v>0</v>
      </c>
      <c r="W299" s="12">
        <f>'2022 Budget &amp; CF'!R299</f>
        <v>0</v>
      </c>
      <c r="X299" s="12">
        <f>'2022 Budget &amp; CF'!S299</f>
        <v>0</v>
      </c>
      <c r="Y299" s="12">
        <f>'2022 Budget &amp; CF'!T299</f>
        <v>0</v>
      </c>
      <c r="Z299" s="12">
        <f>'2022 Budget &amp; CF'!U299</f>
        <v>0</v>
      </c>
      <c r="AA299" s="12">
        <f>'2022 Budget &amp; CF'!V299</f>
        <v>0</v>
      </c>
      <c r="AB299" s="12"/>
      <c r="AC299" s="121">
        <f t="shared" ref="AC299" si="234">SUM(O299:AA299)</f>
        <v>0</v>
      </c>
      <c r="AD299" s="115">
        <f>'2022 Budget &amp; CF'!Z299</f>
        <v>100</v>
      </c>
      <c r="AE299" s="117">
        <f t="shared" ref="AE299" si="235">AD299-AC299</f>
        <v>100</v>
      </c>
      <c r="AF299" s="117">
        <f t="shared" ref="AF299" si="236">AE299/$AF$6</f>
        <v>8.3333333333333339</v>
      </c>
    </row>
    <row r="300" spans="2:32" hidden="1" outlineLevel="1" x14ac:dyDescent="0.2">
      <c r="B300" s="461" t="s">
        <v>211</v>
      </c>
      <c r="C300" s="140"/>
      <c r="D300" s="140"/>
      <c r="E300" s="140"/>
      <c r="F300" s="140"/>
      <c r="G300" s="140"/>
      <c r="H300" s="152"/>
      <c r="I300" s="140"/>
      <c r="J300" s="343"/>
      <c r="K300" s="133"/>
      <c r="L300" s="133"/>
      <c r="M300" s="133"/>
      <c r="N300" s="13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>
        <f>'2022 Budget &amp; CF'!Z300</f>
        <v>0</v>
      </c>
      <c r="AE300" s="114"/>
      <c r="AF300" s="114"/>
    </row>
    <row r="301" spans="2:32" hidden="1" outlineLevel="1" x14ac:dyDescent="0.2">
      <c r="B301" s="768" t="s">
        <v>268</v>
      </c>
      <c r="C301" s="143">
        <v>100</v>
      </c>
      <c r="D301" s="144" t="s">
        <v>145</v>
      </c>
      <c r="E301" s="144"/>
      <c r="F301" s="143">
        <v>100</v>
      </c>
      <c r="G301" s="143">
        <v>2410</v>
      </c>
      <c r="H301" s="145" t="s">
        <v>254</v>
      </c>
      <c r="I301" s="145"/>
      <c r="J301" s="345" t="str">
        <f t="shared" ref="J301" si="237">CONCATENATE(C301,D301,F301,G301,H301,I301)</f>
        <v>10000010024100610</v>
      </c>
      <c r="K301" s="109">
        <v>2022</v>
      </c>
      <c r="L301" s="109" t="s">
        <v>348</v>
      </c>
      <c r="M301" s="109" t="s">
        <v>349</v>
      </c>
      <c r="N301" s="109" t="s">
        <v>350</v>
      </c>
      <c r="O301" s="12">
        <f>'2022 Budget &amp; CF'!J301</f>
        <v>0</v>
      </c>
      <c r="P301" s="12">
        <f>'2022 Budget &amp; CF'!K301</f>
        <v>182</v>
      </c>
      <c r="Q301" s="12">
        <f>'2022 Budget &amp; CF'!L301</f>
        <v>0</v>
      </c>
      <c r="R301" s="12">
        <f>'2022 Budget &amp; CF'!M301</f>
        <v>0</v>
      </c>
      <c r="S301" s="12">
        <f>'2022 Budget &amp; CF'!N301</f>
        <v>0</v>
      </c>
      <c r="T301" s="12">
        <f>'2022 Budget &amp; CF'!O301</f>
        <v>0</v>
      </c>
      <c r="U301" s="12">
        <f>'2022 Budget &amp; CF'!P301</f>
        <v>0</v>
      </c>
      <c r="V301" s="12">
        <f>'2022 Budget &amp; CF'!Q301</f>
        <v>0</v>
      </c>
      <c r="W301" s="12">
        <f>'2022 Budget &amp; CF'!R301</f>
        <v>0</v>
      </c>
      <c r="X301" s="12">
        <f>'2022 Budget &amp; CF'!S301</f>
        <v>0</v>
      </c>
      <c r="Y301" s="12">
        <f>'2022 Budget &amp; CF'!T301</f>
        <v>0</v>
      </c>
      <c r="Z301" s="12">
        <f>'2022 Budget &amp; CF'!U301</f>
        <v>0</v>
      </c>
      <c r="AA301" s="12">
        <f>'2022 Budget &amp; CF'!V301</f>
        <v>0</v>
      </c>
      <c r="AB301" s="12"/>
      <c r="AC301" s="121">
        <f t="shared" ref="AC301" si="238">SUM(O301:AA301)</f>
        <v>182</v>
      </c>
      <c r="AD301" s="115">
        <f>'2022 Budget &amp; CF'!Z301</f>
        <v>0</v>
      </c>
      <c r="AE301" s="117">
        <f t="shared" ref="AE301" si="239">AD301-AC301</f>
        <v>-182</v>
      </c>
      <c r="AF301" s="117">
        <f t="shared" ref="AF301" si="240">AE301/$AF$6</f>
        <v>-15.166666666666666</v>
      </c>
    </row>
    <row r="302" spans="2:32" hidden="1" outlineLevel="1" x14ac:dyDescent="0.2">
      <c r="B302" s="768" t="s">
        <v>268</v>
      </c>
      <c r="C302" s="143">
        <v>100</v>
      </c>
      <c r="D302" s="144" t="s">
        <v>145</v>
      </c>
      <c r="E302" s="144"/>
      <c r="F302" s="143">
        <v>100</v>
      </c>
      <c r="G302" s="143">
        <v>2490</v>
      </c>
      <c r="H302" s="145" t="s">
        <v>254</v>
      </c>
      <c r="I302" s="145"/>
      <c r="J302" s="345" t="str">
        <f t="shared" ref="J302" si="241">CONCATENATE(C302,D302,F302,G302,H302,I302)</f>
        <v>10000010024900610</v>
      </c>
      <c r="K302" s="109">
        <v>2022</v>
      </c>
      <c r="L302" s="109" t="s">
        <v>348</v>
      </c>
      <c r="M302" s="109" t="s">
        <v>349</v>
      </c>
      <c r="N302" s="109" t="s">
        <v>350</v>
      </c>
      <c r="O302" s="12">
        <f>'2022 Budget &amp; CF'!J302</f>
        <v>0</v>
      </c>
      <c r="P302" s="12">
        <f>'2022 Budget &amp; CF'!K302</f>
        <v>2385.67</v>
      </c>
      <c r="Q302" s="12">
        <f>'2022 Budget &amp; CF'!L302</f>
        <v>769.3</v>
      </c>
      <c r="R302" s="12">
        <f>'2022 Budget &amp; CF'!M302</f>
        <v>0</v>
      </c>
      <c r="S302" s="12">
        <f>'2022 Budget &amp; CF'!N302</f>
        <v>1275.98</v>
      </c>
      <c r="T302" s="12">
        <f>'2022 Budget &amp; CF'!O302</f>
        <v>0</v>
      </c>
      <c r="U302" s="12">
        <f>'2022 Budget &amp; CF'!P302</f>
        <v>0</v>
      </c>
      <c r="V302" s="12">
        <f>'2022 Budget &amp; CF'!Q302</f>
        <v>0</v>
      </c>
      <c r="W302" s="12">
        <f>'2022 Budget &amp; CF'!R302</f>
        <v>0</v>
      </c>
      <c r="X302" s="12">
        <f>'2022 Budget &amp; CF'!S302</f>
        <v>0</v>
      </c>
      <c r="Y302" s="12">
        <f>'2022 Budget &amp; CF'!T302</f>
        <v>0</v>
      </c>
      <c r="Z302" s="12">
        <f>'2022 Budget &amp; CF'!U302</f>
        <v>0</v>
      </c>
      <c r="AA302" s="12">
        <f>'2022 Budget &amp; CF'!V302</f>
        <v>0</v>
      </c>
      <c r="AB302" s="12"/>
      <c r="AC302" s="121">
        <f t="shared" ref="AC302:AC303" si="242">SUM(O302:AA302)</f>
        <v>4430.9500000000007</v>
      </c>
      <c r="AD302" s="115">
        <f>'2022 Budget &amp; CF'!Z302</f>
        <v>16482</v>
      </c>
      <c r="AE302" s="117">
        <f t="shared" ref="AE302:AE303" si="243">AD302-AC302</f>
        <v>12051.05</v>
      </c>
      <c r="AF302" s="117">
        <f t="shared" ref="AF302:AF303" si="244">AE302/$AF$6</f>
        <v>1004.2541666666666</v>
      </c>
    </row>
    <row r="303" spans="2:32" hidden="1" outlineLevel="1" x14ac:dyDescent="0.2">
      <c r="B303" s="768" t="s">
        <v>1055</v>
      </c>
      <c r="C303" s="143">
        <v>100</v>
      </c>
      <c r="D303" s="144" t="s">
        <v>145</v>
      </c>
      <c r="E303" s="144"/>
      <c r="F303" s="143">
        <v>100</v>
      </c>
      <c r="G303" s="143">
        <v>2490</v>
      </c>
      <c r="H303" s="145" t="s">
        <v>1054</v>
      </c>
      <c r="I303" s="152"/>
      <c r="J303" s="345" t="str">
        <f t="shared" ref="J303" si="245">CONCATENATE(C303,D303,F303,G303,H303,I303)</f>
        <v>10000010024900612</v>
      </c>
      <c r="K303" s="109">
        <v>2022</v>
      </c>
      <c r="L303" s="109" t="s">
        <v>348</v>
      </c>
      <c r="M303" s="109" t="s">
        <v>349</v>
      </c>
      <c r="N303" s="109" t="s">
        <v>350</v>
      </c>
      <c r="O303" s="12">
        <f>'2022 Budget &amp; CF'!J303</f>
        <v>0</v>
      </c>
      <c r="P303" s="12">
        <f>'2022 Budget &amp; CF'!K303</f>
        <v>0</v>
      </c>
      <c r="Q303" s="12">
        <f>'2022 Budget &amp; CF'!L303</f>
        <v>0</v>
      </c>
      <c r="R303" s="12">
        <f>'2022 Budget &amp; CF'!M303</f>
        <v>0</v>
      </c>
      <c r="S303" s="12">
        <f>'2022 Budget &amp; CF'!N303</f>
        <v>0</v>
      </c>
      <c r="T303" s="12">
        <f>'2022 Budget &amp; CF'!O303</f>
        <v>0</v>
      </c>
      <c r="U303" s="12">
        <f>'2022 Budget &amp; CF'!P303</f>
        <v>0</v>
      </c>
      <c r="V303" s="12">
        <f>'2022 Budget &amp; CF'!Q303</f>
        <v>0</v>
      </c>
      <c r="W303" s="12">
        <f>'2022 Budget &amp; CF'!R303</f>
        <v>0</v>
      </c>
      <c r="X303" s="12">
        <f>'2022 Budget &amp; CF'!S303</f>
        <v>0</v>
      </c>
      <c r="Y303" s="12">
        <f>'2022 Budget &amp; CF'!T303</f>
        <v>0</v>
      </c>
      <c r="Z303" s="12">
        <f>'2022 Budget &amp; CF'!U303</f>
        <v>0</v>
      </c>
      <c r="AA303" s="12">
        <f>'2022 Budget &amp; CF'!V303</f>
        <v>0</v>
      </c>
      <c r="AB303" s="114"/>
      <c r="AC303" s="121">
        <f t="shared" si="242"/>
        <v>0</v>
      </c>
      <c r="AD303" s="115">
        <f>'2022 Budget &amp; CF'!Z303</f>
        <v>3518</v>
      </c>
      <c r="AE303" s="117">
        <f t="shared" si="243"/>
        <v>3518</v>
      </c>
      <c r="AF303" s="117">
        <f t="shared" si="244"/>
        <v>293.16666666666669</v>
      </c>
    </row>
    <row r="304" spans="2:32" hidden="1" outlineLevel="1" x14ac:dyDescent="0.2">
      <c r="B304" s="461" t="s">
        <v>214</v>
      </c>
      <c r="C304" s="148"/>
      <c r="D304" s="148"/>
      <c r="E304" s="148"/>
      <c r="F304" s="148"/>
      <c r="G304" s="148"/>
      <c r="H304" s="152"/>
      <c r="I304" s="148"/>
      <c r="J304" s="343"/>
      <c r="K304" s="133"/>
      <c r="L304" s="133"/>
      <c r="M304" s="133"/>
      <c r="N304" s="13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>
        <f>'2022 Budget &amp; CF'!Z304</f>
        <v>0</v>
      </c>
      <c r="AE304" s="114"/>
      <c r="AF304" s="114"/>
    </row>
    <row r="305" spans="2:32" hidden="1" outlineLevel="1" x14ac:dyDescent="0.2">
      <c r="B305" s="768" t="s">
        <v>268</v>
      </c>
      <c r="C305" s="143" t="s">
        <v>468</v>
      </c>
      <c r="D305" s="144" t="s">
        <v>145</v>
      </c>
      <c r="E305" s="144"/>
      <c r="F305" s="143" t="s">
        <v>468</v>
      </c>
      <c r="G305" s="143" t="s">
        <v>458</v>
      </c>
      <c r="H305" s="145" t="s">
        <v>254</v>
      </c>
      <c r="I305" s="145"/>
      <c r="J305" s="345" t="str">
        <f t="shared" ref="J305" si="246">CONCATENATE(C305,D305,F305,G305,H305,I305)</f>
        <v>10000010025100610</v>
      </c>
      <c r="K305" s="109">
        <v>2022</v>
      </c>
      <c r="L305" s="109" t="s">
        <v>348</v>
      </c>
      <c r="M305" s="109" t="s">
        <v>349</v>
      </c>
      <c r="N305" s="109" t="s">
        <v>350</v>
      </c>
      <c r="O305" s="12">
        <f>'2022 Budget &amp; CF'!J305</f>
        <v>0</v>
      </c>
      <c r="P305" s="12">
        <f>'2022 Budget &amp; CF'!K305</f>
        <v>0</v>
      </c>
      <c r="Q305" s="12">
        <f>'2022 Budget &amp; CF'!L305</f>
        <v>56.84</v>
      </c>
      <c r="R305" s="12">
        <f>'2022 Budget &amp; CF'!M305</f>
        <v>0</v>
      </c>
      <c r="S305" s="12">
        <f>'2022 Budget &amp; CF'!N305</f>
        <v>0</v>
      </c>
      <c r="T305" s="12">
        <f>'2022 Budget &amp; CF'!O305</f>
        <v>0</v>
      </c>
      <c r="U305" s="12">
        <f>'2022 Budget &amp; CF'!P305</f>
        <v>0</v>
      </c>
      <c r="V305" s="12">
        <f>'2022 Budget &amp; CF'!Q305</f>
        <v>0</v>
      </c>
      <c r="W305" s="12">
        <f>'2022 Budget &amp; CF'!R305</f>
        <v>0</v>
      </c>
      <c r="X305" s="12">
        <f>'2022 Budget &amp; CF'!S305</f>
        <v>0</v>
      </c>
      <c r="Y305" s="12">
        <f>'2022 Budget &amp; CF'!T305</f>
        <v>0</v>
      </c>
      <c r="Z305" s="12">
        <f>'2022 Budget &amp; CF'!U305</f>
        <v>0</v>
      </c>
      <c r="AA305" s="12">
        <f>'2022 Budget &amp; CF'!V305</f>
        <v>0</v>
      </c>
      <c r="AB305" s="12"/>
      <c r="AC305" s="121">
        <f t="shared" ref="AC305" si="247">SUM(O305:AA305)</f>
        <v>56.84</v>
      </c>
      <c r="AD305" s="115">
        <f>'2022 Budget &amp; CF'!Z305</f>
        <v>0</v>
      </c>
      <c r="AE305" s="117">
        <f t="shared" ref="AE305" si="248">AD305-AC305</f>
        <v>-56.84</v>
      </c>
      <c r="AF305" s="117">
        <f t="shared" ref="AF305" si="249">AE305/$AF$6</f>
        <v>-4.7366666666666672</v>
      </c>
    </row>
    <row r="306" spans="2:32" hidden="1" outlineLevel="1" x14ac:dyDescent="0.2">
      <c r="B306" s="768" t="s">
        <v>545</v>
      </c>
      <c r="C306" s="143">
        <v>100</v>
      </c>
      <c r="D306" s="144" t="s">
        <v>145</v>
      </c>
      <c r="E306" s="144"/>
      <c r="F306" s="143">
        <v>100</v>
      </c>
      <c r="G306" s="143">
        <v>2570</v>
      </c>
      <c r="H306" s="145" t="s">
        <v>254</v>
      </c>
      <c r="I306" s="145"/>
      <c r="J306" s="345" t="str">
        <f t="shared" ref="J306:J309" si="250">CONCATENATE(C306,D306,F306,G306,H306,I306)</f>
        <v>10000010025700610</v>
      </c>
      <c r="K306" s="109">
        <v>2022</v>
      </c>
      <c r="L306" s="109" t="s">
        <v>348</v>
      </c>
      <c r="M306" s="109" t="s">
        <v>349</v>
      </c>
      <c r="N306" s="109" t="s">
        <v>350</v>
      </c>
      <c r="O306" s="12">
        <f>'2022 Budget &amp; CF'!J306</f>
        <v>0</v>
      </c>
      <c r="P306" s="12">
        <f>'2022 Budget &amp; CF'!K306</f>
        <v>0</v>
      </c>
      <c r="Q306" s="12">
        <f>'2022 Budget &amp; CF'!L306</f>
        <v>0</v>
      </c>
      <c r="R306" s="12">
        <f>'2022 Budget &amp; CF'!M306</f>
        <v>0</v>
      </c>
      <c r="S306" s="12">
        <f>'2022 Budget &amp; CF'!N306</f>
        <v>0</v>
      </c>
      <c r="T306" s="12">
        <f>'2022 Budget &amp; CF'!O306</f>
        <v>0</v>
      </c>
      <c r="U306" s="12">
        <f>'2022 Budget &amp; CF'!P306</f>
        <v>0</v>
      </c>
      <c r="V306" s="12">
        <f>'2022 Budget &amp; CF'!Q306</f>
        <v>0</v>
      </c>
      <c r="W306" s="12">
        <f>'2022 Budget &amp; CF'!R306</f>
        <v>0</v>
      </c>
      <c r="X306" s="12">
        <f>'2022 Budget &amp; CF'!S306</f>
        <v>0</v>
      </c>
      <c r="Y306" s="12">
        <f>'2022 Budget &amp; CF'!T306</f>
        <v>0</v>
      </c>
      <c r="Z306" s="12">
        <f>'2022 Budget &amp; CF'!U306</f>
        <v>0</v>
      </c>
      <c r="AA306" s="12">
        <f>'2022 Budget &amp; CF'!V306</f>
        <v>0</v>
      </c>
      <c r="AB306" s="12"/>
      <c r="AC306" s="121">
        <f t="shared" ref="AC306:AC307" si="251">SUM(O306:AA306)</f>
        <v>0</v>
      </c>
      <c r="AD306" s="115">
        <f>'2022 Budget &amp; CF'!Z306</f>
        <v>100</v>
      </c>
      <c r="AE306" s="117">
        <f t="shared" ref="AE306:AE309" si="252">AD306-AC306</f>
        <v>100</v>
      </c>
      <c r="AF306" s="117">
        <f t="shared" ref="AF306:AF309" si="253">AE306/$AF$6</f>
        <v>8.3333333333333339</v>
      </c>
    </row>
    <row r="307" spans="2:32" hidden="1" outlineLevel="1" x14ac:dyDescent="0.2">
      <c r="B307" s="768" t="s">
        <v>269</v>
      </c>
      <c r="C307" s="143">
        <v>100</v>
      </c>
      <c r="D307" s="144" t="s">
        <v>145</v>
      </c>
      <c r="E307" s="144"/>
      <c r="F307" s="143">
        <v>100</v>
      </c>
      <c r="G307" s="143">
        <v>2580</v>
      </c>
      <c r="H307" s="145" t="s">
        <v>254</v>
      </c>
      <c r="I307" s="152"/>
      <c r="J307" s="345" t="str">
        <f t="shared" ref="J307" si="254">CONCATENATE(C307,D307,F307,G307,H307,I307)</f>
        <v>10000010025800610</v>
      </c>
      <c r="K307" s="109">
        <v>2022</v>
      </c>
      <c r="L307" s="109" t="s">
        <v>348</v>
      </c>
      <c r="M307" s="109" t="s">
        <v>349</v>
      </c>
      <c r="N307" s="109" t="s">
        <v>350</v>
      </c>
      <c r="O307" s="12">
        <f>'2022 Budget &amp; CF'!J307</f>
        <v>428.21</v>
      </c>
      <c r="P307" s="12">
        <f>'2022 Budget &amp; CF'!K307</f>
        <v>279.3</v>
      </c>
      <c r="Q307" s="12">
        <f>'2022 Budget &amp; CF'!L307</f>
        <v>83.710000000000008</v>
      </c>
      <c r="R307" s="12">
        <f>'2022 Budget &amp; CF'!M307</f>
        <v>155.22</v>
      </c>
      <c r="S307" s="12">
        <f>'2022 Budget &amp; CF'!N307</f>
        <v>0</v>
      </c>
      <c r="T307" s="12">
        <f>'2022 Budget &amp; CF'!O307</f>
        <v>0</v>
      </c>
      <c r="U307" s="12">
        <f>'2022 Budget &amp; CF'!P307</f>
        <v>0</v>
      </c>
      <c r="V307" s="12">
        <f>'2022 Budget &amp; CF'!Q307</f>
        <v>0</v>
      </c>
      <c r="W307" s="12">
        <f>'2022 Budget &amp; CF'!R307</f>
        <v>0</v>
      </c>
      <c r="X307" s="12">
        <f>'2022 Budget &amp; CF'!S307</f>
        <v>0</v>
      </c>
      <c r="Y307" s="12">
        <f>'2022 Budget &amp; CF'!T307</f>
        <v>0</v>
      </c>
      <c r="Z307" s="12">
        <f>'2022 Budget &amp; CF'!U307</f>
        <v>0</v>
      </c>
      <c r="AA307" s="12">
        <f>'2022 Budget &amp; CF'!V307</f>
        <v>0</v>
      </c>
      <c r="AB307" s="114"/>
      <c r="AC307" s="121">
        <f t="shared" si="251"/>
        <v>946.44</v>
      </c>
      <c r="AD307" s="114">
        <f>'2022 Budget &amp; CF'!Z307</f>
        <v>5400</v>
      </c>
      <c r="AE307" s="117">
        <f t="shared" si="252"/>
        <v>4453.5599999999995</v>
      </c>
      <c r="AF307" s="117">
        <f t="shared" si="253"/>
        <v>371.12999999999994</v>
      </c>
    </row>
    <row r="308" spans="2:32" hidden="1" outlineLevel="1" x14ac:dyDescent="0.2">
      <c r="B308" s="768" t="s">
        <v>509</v>
      </c>
      <c r="C308" s="143">
        <v>100</v>
      </c>
      <c r="D308" s="144" t="s">
        <v>145</v>
      </c>
      <c r="E308" s="144"/>
      <c r="F308" s="143">
        <v>100</v>
      </c>
      <c r="G308" s="143">
        <v>2580</v>
      </c>
      <c r="H308" s="145" t="s">
        <v>260</v>
      </c>
      <c r="I308" s="145"/>
      <c r="J308" s="345" t="str">
        <f t="shared" si="250"/>
        <v>10000010025800651</v>
      </c>
      <c r="K308" s="109">
        <v>2022</v>
      </c>
      <c r="L308" s="109" t="s">
        <v>348</v>
      </c>
      <c r="M308" s="109" t="s">
        <v>349</v>
      </c>
      <c r="N308" s="109" t="s">
        <v>350</v>
      </c>
      <c r="O308" s="12">
        <f>'2022 Budget &amp; CF'!J308</f>
        <v>10216.459999999999</v>
      </c>
      <c r="P308" s="12">
        <f>'2022 Budget &amp; CF'!K308</f>
        <v>1907.2</v>
      </c>
      <c r="Q308" s="12">
        <f>'2022 Budget &amp; CF'!L308</f>
        <v>0</v>
      </c>
      <c r="R308" s="12">
        <f>'2022 Budget &amp; CF'!M308</f>
        <v>0</v>
      </c>
      <c r="S308" s="12">
        <f>'2022 Budget &amp; CF'!N308</f>
        <v>0</v>
      </c>
      <c r="T308" s="12">
        <f>'2022 Budget &amp; CF'!O308</f>
        <v>0</v>
      </c>
      <c r="U308" s="12">
        <f>'2022 Budget &amp; CF'!P308</f>
        <v>0</v>
      </c>
      <c r="V308" s="12">
        <f>'2022 Budget &amp; CF'!Q308</f>
        <v>0</v>
      </c>
      <c r="W308" s="12">
        <f>'2022 Budget &amp; CF'!R308</f>
        <v>0</v>
      </c>
      <c r="X308" s="12">
        <f>'2022 Budget &amp; CF'!S308</f>
        <v>0</v>
      </c>
      <c r="Y308" s="12">
        <f>'2022 Budget &amp; CF'!T308</f>
        <v>0</v>
      </c>
      <c r="Z308" s="12">
        <f>'2022 Budget &amp; CF'!U308</f>
        <v>0</v>
      </c>
      <c r="AA308" s="12">
        <f>'2022 Budget &amp; CF'!V308</f>
        <v>0</v>
      </c>
      <c r="AB308" s="12"/>
      <c r="AC308" s="121">
        <f t="shared" ref="AC308:AC309" si="255">SUM(O308:AA308)</f>
        <v>12123.66</v>
      </c>
      <c r="AD308" s="115">
        <f>'2022 Budget &amp; CF'!Z308</f>
        <v>20000</v>
      </c>
      <c r="AE308" s="117">
        <f t="shared" si="252"/>
        <v>7876.34</v>
      </c>
      <c r="AF308" s="117">
        <f t="shared" si="253"/>
        <v>656.36166666666668</v>
      </c>
    </row>
    <row r="309" spans="2:32" hidden="1" outlineLevel="1" x14ac:dyDescent="0.2">
      <c r="B309" s="768" t="s">
        <v>270</v>
      </c>
      <c r="C309" s="143">
        <v>100</v>
      </c>
      <c r="D309" s="144" t="s">
        <v>145</v>
      </c>
      <c r="E309" s="144"/>
      <c r="F309" s="143">
        <v>100</v>
      </c>
      <c r="G309" s="143">
        <v>2580</v>
      </c>
      <c r="H309" s="145" t="s">
        <v>262</v>
      </c>
      <c r="I309" s="145"/>
      <c r="J309" s="345" t="str">
        <f t="shared" si="250"/>
        <v>10000010025800652</v>
      </c>
      <c r="K309" s="109">
        <v>2022</v>
      </c>
      <c r="L309" s="109" t="s">
        <v>348</v>
      </c>
      <c r="M309" s="109" t="s">
        <v>349</v>
      </c>
      <c r="N309" s="109" t="s">
        <v>350</v>
      </c>
      <c r="O309" s="12">
        <f>'2022 Budget &amp; CF'!J309</f>
        <v>45.77</v>
      </c>
      <c r="P309" s="12">
        <f>'2022 Budget &amp; CF'!K309</f>
        <v>0</v>
      </c>
      <c r="Q309" s="12">
        <f>'2022 Budget &amp; CF'!L309</f>
        <v>5265.6</v>
      </c>
      <c r="R309" s="12">
        <f>'2022 Budget &amp; CF'!M309</f>
        <v>166.99</v>
      </c>
      <c r="S309" s="12">
        <f>'2022 Budget &amp; CF'!N309</f>
        <v>4169.57</v>
      </c>
      <c r="T309" s="12">
        <f>'2022 Budget &amp; CF'!O309</f>
        <v>0</v>
      </c>
      <c r="U309" s="12">
        <f>'2022 Budget &amp; CF'!P309</f>
        <v>0</v>
      </c>
      <c r="V309" s="12">
        <f>'2022 Budget &amp; CF'!Q309</f>
        <v>0</v>
      </c>
      <c r="W309" s="12">
        <f>'2022 Budget &amp; CF'!R309</f>
        <v>0</v>
      </c>
      <c r="X309" s="12">
        <f>'2022 Budget &amp; CF'!S309</f>
        <v>0</v>
      </c>
      <c r="Y309" s="12">
        <f>'2022 Budget &amp; CF'!T309</f>
        <v>0</v>
      </c>
      <c r="Z309" s="12">
        <f>'2022 Budget &amp; CF'!U309</f>
        <v>0</v>
      </c>
      <c r="AA309" s="12">
        <f>'2022 Budget &amp; CF'!V309</f>
        <v>0</v>
      </c>
      <c r="AB309" s="12"/>
      <c r="AC309" s="121">
        <f t="shared" si="255"/>
        <v>9647.93</v>
      </c>
      <c r="AD309" s="115">
        <f>'2022 Budget &amp; CF'!Z309</f>
        <v>1000</v>
      </c>
      <c r="AE309" s="117">
        <f t="shared" si="252"/>
        <v>-8647.93</v>
      </c>
      <c r="AF309" s="117">
        <f t="shared" si="253"/>
        <v>-720.66083333333336</v>
      </c>
    </row>
    <row r="310" spans="2:32" hidden="1" outlineLevel="1" x14ac:dyDescent="0.2">
      <c r="B310" s="154" t="s">
        <v>228</v>
      </c>
      <c r="C310" s="151"/>
      <c r="D310" s="152"/>
      <c r="E310" s="152"/>
      <c r="F310" s="152"/>
      <c r="G310" s="152"/>
      <c r="H310" s="153"/>
      <c r="I310" s="152"/>
      <c r="J310" s="343"/>
      <c r="K310" s="133"/>
      <c r="L310" s="133"/>
      <c r="M310" s="133"/>
      <c r="N310" s="13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>
        <f>'2022 Budget &amp; CF'!Z310</f>
        <v>0</v>
      </c>
      <c r="AE310" s="114"/>
      <c r="AF310" s="114"/>
    </row>
    <row r="311" spans="2:32" hidden="1" outlineLevel="1" x14ac:dyDescent="0.2">
      <c r="B311" s="768" t="s">
        <v>271</v>
      </c>
      <c r="C311" s="143">
        <f>'2022 Budget &amp; CF'!C311</f>
        <v>100</v>
      </c>
      <c r="D311" s="144" t="str">
        <f>'2022 Budget &amp; CF'!D311</f>
        <v>000</v>
      </c>
      <c r="E311" s="144"/>
      <c r="F311" s="143">
        <f>'2022 Budget &amp; CF'!F311</f>
        <v>100</v>
      </c>
      <c r="G311" s="143">
        <v>2610</v>
      </c>
      <c r="H311" s="145" t="str">
        <f>'2022 Budget &amp; CF'!H311</f>
        <v>0610</v>
      </c>
      <c r="I311" s="145"/>
      <c r="J311" s="345" t="str">
        <f t="shared" ref="J311:J317" si="256">CONCATENATE(C311,D311,F311,G311,H311,I311)</f>
        <v>10000010026100610</v>
      </c>
      <c r="K311" s="109">
        <v>2022</v>
      </c>
      <c r="L311" s="109" t="s">
        <v>348</v>
      </c>
      <c r="M311" s="109" t="s">
        <v>349</v>
      </c>
      <c r="N311" s="109" t="s">
        <v>350</v>
      </c>
      <c r="O311" s="12">
        <f>'2022 Budget &amp; CF'!J311</f>
        <v>0</v>
      </c>
      <c r="P311" s="12">
        <f>'2022 Budget &amp; CF'!K311</f>
        <v>0</v>
      </c>
      <c r="Q311" s="12">
        <f>'2022 Budget &amp; CF'!L311</f>
        <v>0</v>
      </c>
      <c r="R311" s="12">
        <f>'2022 Budget &amp; CF'!M311</f>
        <v>0</v>
      </c>
      <c r="S311" s="12">
        <f>'2022 Budget &amp; CF'!N311</f>
        <v>280.5</v>
      </c>
      <c r="T311" s="12">
        <f>'2022 Budget &amp; CF'!O311</f>
        <v>0</v>
      </c>
      <c r="U311" s="12">
        <f>'2022 Budget &amp; CF'!P311</f>
        <v>0</v>
      </c>
      <c r="V311" s="12">
        <f>'2022 Budget &amp; CF'!Q311</f>
        <v>0</v>
      </c>
      <c r="W311" s="12">
        <f>'2022 Budget &amp; CF'!R311</f>
        <v>0</v>
      </c>
      <c r="X311" s="12">
        <f>'2022 Budget &amp; CF'!S311</f>
        <v>0</v>
      </c>
      <c r="Y311" s="12">
        <f>'2022 Budget &amp; CF'!T311</f>
        <v>0</v>
      </c>
      <c r="Z311" s="12">
        <f>'2022 Budget &amp; CF'!U311</f>
        <v>0</v>
      </c>
      <c r="AA311" s="12">
        <f>'2022 Budget &amp; CF'!V311</f>
        <v>0</v>
      </c>
      <c r="AB311" s="12"/>
      <c r="AC311" s="121">
        <f t="shared" ref="AC311:AC317" si="257">SUM(O311:AA311)</f>
        <v>280.5</v>
      </c>
      <c r="AD311" s="115">
        <f>'2022 Budget &amp; CF'!Z311</f>
        <v>8000</v>
      </c>
      <c r="AE311" s="117">
        <f t="shared" ref="AE311:AE317" si="258">AD311-AC311</f>
        <v>7719.5</v>
      </c>
      <c r="AF311" s="117">
        <f t="shared" ref="AF311:AF317" si="259">AE311/$AF$6</f>
        <v>643.29166666666663</v>
      </c>
    </row>
    <row r="312" spans="2:32" hidden="1" outlineLevel="1" x14ac:dyDescent="0.2">
      <c r="B312" s="768" t="s">
        <v>271</v>
      </c>
      <c r="C312" s="143">
        <f>'2022 Budget &amp; CF'!C312</f>
        <v>100</v>
      </c>
      <c r="D312" s="144" t="str">
        <f>'2022 Budget &amp; CF'!D312</f>
        <v>000</v>
      </c>
      <c r="E312" s="144"/>
      <c r="F312" s="143">
        <f>'2022 Budget &amp; CF'!F312</f>
        <v>100</v>
      </c>
      <c r="G312" s="143">
        <v>2620</v>
      </c>
      <c r="H312" s="145" t="s">
        <v>254</v>
      </c>
      <c r="I312" s="145" t="s">
        <v>563</v>
      </c>
      <c r="J312" s="345" t="str">
        <f t="shared" si="256"/>
        <v>1000001002620061001</v>
      </c>
      <c r="K312" s="109">
        <v>2022</v>
      </c>
      <c r="L312" s="109" t="s">
        <v>348</v>
      </c>
      <c r="M312" s="109" t="s">
        <v>349</v>
      </c>
      <c r="N312" s="109" t="s">
        <v>350</v>
      </c>
      <c r="O312" s="12">
        <f>'2022 Budget &amp; CF'!J312</f>
        <v>0</v>
      </c>
      <c r="P312" s="12">
        <f>'2022 Budget &amp; CF'!K312</f>
        <v>0</v>
      </c>
      <c r="Q312" s="12">
        <f>'2022 Budget &amp; CF'!L312</f>
        <v>0</v>
      </c>
      <c r="R312" s="12">
        <f>'2022 Budget &amp; CF'!M312</f>
        <v>24.95</v>
      </c>
      <c r="S312" s="12">
        <f>'2022 Budget &amp; CF'!N312</f>
        <v>0</v>
      </c>
      <c r="T312" s="12">
        <f>'2022 Budget &amp; CF'!O312</f>
        <v>0</v>
      </c>
      <c r="U312" s="12">
        <f>'2022 Budget &amp; CF'!P312</f>
        <v>0</v>
      </c>
      <c r="V312" s="12">
        <f>'2022 Budget &amp; CF'!Q312</f>
        <v>0</v>
      </c>
      <c r="W312" s="12">
        <f>'2022 Budget &amp; CF'!R312</f>
        <v>0</v>
      </c>
      <c r="X312" s="12">
        <f>'2022 Budget &amp; CF'!S312</f>
        <v>0</v>
      </c>
      <c r="Y312" s="12">
        <f>'2022 Budget &amp; CF'!T312</f>
        <v>0</v>
      </c>
      <c r="Z312" s="12">
        <f>'2022 Budget &amp; CF'!U312</f>
        <v>0</v>
      </c>
      <c r="AA312" s="12">
        <f>'2022 Budget &amp; CF'!V312</f>
        <v>0</v>
      </c>
      <c r="AB312" s="12"/>
      <c r="AC312" s="121">
        <f t="shared" si="257"/>
        <v>24.95</v>
      </c>
      <c r="AD312" s="115">
        <f>'2022 Budget &amp; CF'!Z312</f>
        <v>0</v>
      </c>
      <c r="AE312" s="117">
        <f t="shared" si="258"/>
        <v>-24.95</v>
      </c>
      <c r="AF312" s="117">
        <f t="shared" si="259"/>
        <v>-2.0791666666666666</v>
      </c>
    </row>
    <row r="313" spans="2:32" hidden="1" outlineLevel="1" x14ac:dyDescent="0.2">
      <c r="B313" s="768" t="s">
        <v>271</v>
      </c>
      <c r="C313" s="143">
        <f>'2022 Budget &amp; CF'!C313</f>
        <v>100</v>
      </c>
      <c r="D313" s="144" t="str">
        <f>'2022 Budget &amp; CF'!D313</f>
        <v>000</v>
      </c>
      <c r="E313" s="144"/>
      <c r="F313" s="143">
        <f>'2022 Budget &amp; CF'!F313</f>
        <v>100</v>
      </c>
      <c r="G313" s="143" t="s">
        <v>540</v>
      </c>
      <c r="H313" s="145" t="s">
        <v>254</v>
      </c>
      <c r="I313" s="145"/>
      <c r="J313" s="345" t="str">
        <f t="shared" si="256"/>
        <v>10000010026400610</v>
      </c>
      <c r="K313" s="109">
        <v>2022</v>
      </c>
      <c r="L313" s="109" t="s">
        <v>348</v>
      </c>
      <c r="M313" s="109" t="s">
        <v>349</v>
      </c>
      <c r="N313" s="109" t="s">
        <v>350</v>
      </c>
      <c r="O313" s="12">
        <f>'2022 Budget &amp; CF'!J313</f>
        <v>0</v>
      </c>
      <c r="P313" s="12">
        <f>'2022 Budget &amp; CF'!K313</f>
        <v>0</v>
      </c>
      <c r="Q313" s="12">
        <f>'2022 Budget &amp; CF'!L313</f>
        <v>0</v>
      </c>
      <c r="R313" s="12">
        <f>'2022 Budget &amp; CF'!M313</f>
        <v>12.89</v>
      </c>
      <c r="S313" s="12">
        <f>'2022 Budget &amp; CF'!N313</f>
        <v>0</v>
      </c>
      <c r="T313" s="12">
        <f>'2022 Budget &amp; CF'!O313</f>
        <v>0</v>
      </c>
      <c r="U313" s="12">
        <f>'2022 Budget &amp; CF'!P313</f>
        <v>0</v>
      </c>
      <c r="V313" s="12">
        <f>'2022 Budget &amp; CF'!Q313</f>
        <v>0</v>
      </c>
      <c r="W313" s="12">
        <f>'2022 Budget &amp; CF'!R313</f>
        <v>0</v>
      </c>
      <c r="X313" s="12">
        <f>'2022 Budget &amp; CF'!S313</f>
        <v>0</v>
      </c>
      <c r="Y313" s="12">
        <f>'2022 Budget &amp; CF'!T313</f>
        <v>0</v>
      </c>
      <c r="Z313" s="12">
        <f>'2022 Budget &amp; CF'!U313</f>
        <v>0</v>
      </c>
      <c r="AA313" s="12">
        <f>'2022 Budget &amp; CF'!V313</f>
        <v>0</v>
      </c>
      <c r="AB313" s="12"/>
      <c r="AC313" s="121">
        <f t="shared" si="257"/>
        <v>12.89</v>
      </c>
      <c r="AD313" s="115">
        <f>'2022 Budget &amp; CF'!Z313</f>
        <v>0</v>
      </c>
      <c r="AE313" s="117">
        <f t="shared" si="258"/>
        <v>-12.89</v>
      </c>
      <c r="AF313" s="117">
        <f t="shared" si="259"/>
        <v>-1.0741666666666667</v>
      </c>
    </row>
    <row r="314" spans="2:32" hidden="1" outlineLevel="1" x14ac:dyDescent="0.2">
      <c r="B314" s="768" t="s">
        <v>271</v>
      </c>
      <c r="C314" s="143">
        <f>'2022 Budget &amp; CF'!C314</f>
        <v>100</v>
      </c>
      <c r="D314" s="144" t="str">
        <f>'2022 Budget &amp; CF'!D314</f>
        <v>000</v>
      </c>
      <c r="E314" s="144"/>
      <c r="F314" s="143">
        <f>'2022 Budget &amp; CF'!F314</f>
        <v>100</v>
      </c>
      <c r="G314" s="143" t="s">
        <v>541</v>
      </c>
      <c r="H314" s="145" t="s">
        <v>254</v>
      </c>
      <c r="I314" s="145"/>
      <c r="J314" s="345" t="str">
        <f t="shared" si="256"/>
        <v>10000010026600610</v>
      </c>
      <c r="K314" s="109">
        <v>2022</v>
      </c>
      <c r="L314" s="109" t="s">
        <v>348</v>
      </c>
      <c r="M314" s="109" t="s">
        <v>349</v>
      </c>
      <c r="N314" s="109" t="s">
        <v>350</v>
      </c>
      <c r="O314" s="12">
        <f>'2022 Budget &amp; CF'!J314</f>
        <v>0</v>
      </c>
      <c r="P314" s="12">
        <f>'2022 Budget &amp; CF'!K314</f>
        <v>0</v>
      </c>
      <c r="Q314" s="12">
        <f>'2022 Budget &amp; CF'!L314</f>
        <v>0</v>
      </c>
      <c r="R314" s="12">
        <f>'2022 Budget &amp; CF'!M314</f>
        <v>0</v>
      </c>
      <c r="S314" s="12">
        <f>'2022 Budget &amp; CF'!N314</f>
        <v>0</v>
      </c>
      <c r="T314" s="12">
        <f>'2022 Budget &amp; CF'!O314</f>
        <v>0</v>
      </c>
      <c r="U314" s="12">
        <f>'2022 Budget &amp; CF'!P314</f>
        <v>0</v>
      </c>
      <c r="V314" s="12">
        <f>'2022 Budget &amp; CF'!Q314</f>
        <v>0</v>
      </c>
      <c r="W314" s="12">
        <f>'2022 Budget &amp; CF'!R314</f>
        <v>0</v>
      </c>
      <c r="X314" s="12">
        <f>'2022 Budget &amp; CF'!S314</f>
        <v>0</v>
      </c>
      <c r="Y314" s="12">
        <f>'2022 Budget &amp; CF'!T314</f>
        <v>0</v>
      </c>
      <c r="Z314" s="12">
        <f>'2022 Budget &amp; CF'!U314</f>
        <v>0</v>
      </c>
      <c r="AA314" s="12">
        <f>'2022 Budget &amp; CF'!V314</f>
        <v>0</v>
      </c>
      <c r="AB314" s="12"/>
      <c r="AC314" s="121">
        <f t="shared" si="257"/>
        <v>0</v>
      </c>
      <c r="AD314" s="115">
        <f>'2022 Budget &amp; CF'!Z314</f>
        <v>0</v>
      </c>
      <c r="AE314" s="117">
        <f t="shared" si="258"/>
        <v>0</v>
      </c>
      <c r="AF314" s="117">
        <f t="shared" si="259"/>
        <v>0</v>
      </c>
    </row>
    <row r="315" spans="2:32" hidden="1" outlineLevel="1" x14ac:dyDescent="0.2">
      <c r="B315" s="768" t="s">
        <v>271</v>
      </c>
      <c r="C315" s="143">
        <f>'2022 Budget &amp; CF'!C315</f>
        <v>100</v>
      </c>
      <c r="D315" s="144" t="str">
        <f>'2022 Budget &amp; CF'!D315</f>
        <v>000</v>
      </c>
      <c r="E315" s="144"/>
      <c r="F315" s="143">
        <f>'2022 Budget &amp; CF'!F315</f>
        <v>100</v>
      </c>
      <c r="G315" s="143" t="s">
        <v>542</v>
      </c>
      <c r="H315" s="145" t="s">
        <v>254</v>
      </c>
      <c r="I315" s="145"/>
      <c r="J315" s="345" t="str">
        <f t="shared" si="256"/>
        <v>10000010026700610</v>
      </c>
      <c r="K315" s="109">
        <v>2022</v>
      </c>
      <c r="L315" s="109" t="s">
        <v>348</v>
      </c>
      <c r="M315" s="109" t="s">
        <v>349</v>
      </c>
      <c r="N315" s="109" t="s">
        <v>350</v>
      </c>
      <c r="O315" s="12">
        <f>'2022 Budget &amp; CF'!J315</f>
        <v>0</v>
      </c>
      <c r="P315" s="12">
        <f>'2022 Budget &amp; CF'!K315</f>
        <v>0</v>
      </c>
      <c r="Q315" s="12">
        <f>'2022 Budget &amp; CF'!L315</f>
        <v>244.9</v>
      </c>
      <c r="R315" s="12">
        <f>'2022 Budget &amp; CF'!M315</f>
        <v>9.4499999999999993</v>
      </c>
      <c r="S315" s="12">
        <f>'2022 Budget &amp; CF'!N315</f>
        <v>0</v>
      </c>
      <c r="T315" s="12">
        <f>'2022 Budget &amp; CF'!O315</f>
        <v>0</v>
      </c>
      <c r="U315" s="12">
        <f>'2022 Budget &amp; CF'!P315</f>
        <v>0</v>
      </c>
      <c r="V315" s="12">
        <f>'2022 Budget &amp; CF'!Q315</f>
        <v>0</v>
      </c>
      <c r="W315" s="12">
        <f>'2022 Budget &amp; CF'!R315</f>
        <v>0</v>
      </c>
      <c r="X315" s="12">
        <f>'2022 Budget &amp; CF'!S315</f>
        <v>0</v>
      </c>
      <c r="Y315" s="12">
        <f>'2022 Budget &amp; CF'!T315</f>
        <v>0</v>
      </c>
      <c r="Z315" s="12">
        <f>'2022 Budget &amp; CF'!U315</f>
        <v>0</v>
      </c>
      <c r="AA315" s="12">
        <f>'2022 Budget &amp; CF'!V315</f>
        <v>0</v>
      </c>
      <c r="AB315" s="12"/>
      <c r="AC315" s="121">
        <f t="shared" si="257"/>
        <v>254.35</v>
      </c>
      <c r="AD315" s="115">
        <f>'2022 Budget &amp; CF'!Z315</f>
        <v>0</v>
      </c>
      <c r="AE315" s="117">
        <f t="shared" si="258"/>
        <v>-254.35</v>
      </c>
      <c r="AF315" s="117">
        <f t="shared" si="259"/>
        <v>-21.195833333333333</v>
      </c>
    </row>
    <row r="316" spans="2:32" hidden="1" outlineLevel="1" x14ac:dyDescent="0.2">
      <c r="B316" s="768" t="s">
        <v>510</v>
      </c>
      <c r="C316" s="143">
        <f>'2022 Budget &amp; CF'!C316</f>
        <v>100</v>
      </c>
      <c r="D316" s="144" t="str">
        <f>'2022 Budget &amp; CF'!D316</f>
        <v>000</v>
      </c>
      <c r="E316" s="144"/>
      <c r="F316" s="143">
        <f>'2022 Budget &amp; CF'!F316</f>
        <v>100</v>
      </c>
      <c r="G316" s="143">
        <v>2610</v>
      </c>
      <c r="H316" s="145" t="s">
        <v>273</v>
      </c>
      <c r="I316" s="145"/>
      <c r="J316" s="345" t="str">
        <f t="shared" si="256"/>
        <v>10000010026100621</v>
      </c>
      <c r="K316" s="109">
        <v>2022</v>
      </c>
      <c r="L316" s="109" t="s">
        <v>348</v>
      </c>
      <c r="M316" s="109" t="s">
        <v>349</v>
      </c>
      <c r="N316" s="109" t="s">
        <v>350</v>
      </c>
      <c r="O316" s="12">
        <f>'2022 Budget &amp; CF'!J316</f>
        <v>27.09</v>
      </c>
      <c r="P316" s="12">
        <f>'2022 Budget &amp; CF'!K316</f>
        <v>27.09</v>
      </c>
      <c r="Q316" s="12">
        <f>'2022 Budget &amp; CF'!L316</f>
        <v>27.09</v>
      </c>
      <c r="R316" s="12">
        <f>'2022 Budget &amp; CF'!M316</f>
        <v>43.65</v>
      </c>
      <c r="S316" s="12">
        <f>'2022 Budget &amp; CF'!N316</f>
        <v>83.84</v>
      </c>
      <c r="T316" s="12">
        <f>'2022 Budget &amp; CF'!O316</f>
        <v>0</v>
      </c>
      <c r="U316" s="12">
        <f>'2022 Budget &amp; CF'!P316</f>
        <v>0</v>
      </c>
      <c r="V316" s="12">
        <f>'2022 Budget &amp; CF'!Q316</f>
        <v>0</v>
      </c>
      <c r="W316" s="12">
        <f>'2022 Budget &amp; CF'!R316</f>
        <v>0</v>
      </c>
      <c r="X316" s="12">
        <f>'2022 Budget &amp; CF'!S316</f>
        <v>0</v>
      </c>
      <c r="Y316" s="12">
        <f>'2022 Budget &amp; CF'!T316</f>
        <v>0</v>
      </c>
      <c r="Z316" s="12">
        <f>'2022 Budget &amp; CF'!U316</f>
        <v>0</v>
      </c>
      <c r="AA316" s="12">
        <f>'2022 Budget &amp; CF'!V316</f>
        <v>0</v>
      </c>
      <c r="AB316" s="12"/>
      <c r="AC316" s="121">
        <f t="shared" si="257"/>
        <v>208.76</v>
      </c>
      <c r="AD316" s="115">
        <f>'2022 Budget &amp; CF'!Z316</f>
        <v>2000</v>
      </c>
      <c r="AE316" s="117">
        <f t="shared" si="258"/>
        <v>1791.24</v>
      </c>
      <c r="AF316" s="117">
        <f t="shared" si="259"/>
        <v>149.27000000000001</v>
      </c>
    </row>
    <row r="317" spans="2:32" hidden="1" outlineLevel="1" x14ac:dyDescent="0.2">
      <c r="B317" s="768" t="s">
        <v>272</v>
      </c>
      <c r="C317" s="143">
        <f>'2022 Budget &amp; CF'!C317</f>
        <v>100</v>
      </c>
      <c r="D317" s="144" t="str">
        <f>'2022 Budget &amp; CF'!D317</f>
        <v>000</v>
      </c>
      <c r="E317" s="144"/>
      <c r="F317" s="143">
        <f>'2022 Budget &amp; CF'!F317</f>
        <v>100</v>
      </c>
      <c r="G317" s="143">
        <v>2610</v>
      </c>
      <c r="H317" s="145" t="s">
        <v>511</v>
      </c>
      <c r="I317" s="145"/>
      <c r="J317" s="345" t="str">
        <f t="shared" si="256"/>
        <v>10000010026100622</v>
      </c>
      <c r="K317" s="109">
        <v>2022</v>
      </c>
      <c r="L317" s="109" t="s">
        <v>348</v>
      </c>
      <c r="M317" s="109" t="s">
        <v>349</v>
      </c>
      <c r="N317" s="109" t="s">
        <v>350</v>
      </c>
      <c r="O317" s="12">
        <f>'2022 Budget &amp; CF'!J317</f>
        <v>2104.13</v>
      </c>
      <c r="P317" s="12">
        <f>'2022 Budget &amp; CF'!K317</f>
        <v>1943.28</v>
      </c>
      <c r="Q317" s="12">
        <f>'2022 Budget &amp; CF'!L317</f>
        <v>2234.37</v>
      </c>
      <c r="R317" s="12">
        <f>'2022 Budget &amp; CF'!M317</f>
        <v>1465.14</v>
      </c>
      <c r="S317" s="12">
        <f>'2022 Budget &amp; CF'!N317</f>
        <v>1361.41</v>
      </c>
      <c r="T317" s="12">
        <f>'2022 Budget &amp; CF'!O317</f>
        <v>0</v>
      </c>
      <c r="U317" s="12">
        <f>'2022 Budget &amp; CF'!P317</f>
        <v>0</v>
      </c>
      <c r="V317" s="12">
        <f>'2022 Budget &amp; CF'!Q317</f>
        <v>0</v>
      </c>
      <c r="W317" s="12">
        <f>'2022 Budget &amp; CF'!R317</f>
        <v>0</v>
      </c>
      <c r="X317" s="12">
        <f>'2022 Budget &amp; CF'!S317</f>
        <v>0</v>
      </c>
      <c r="Y317" s="12">
        <f>'2022 Budget &amp; CF'!T317</f>
        <v>0</v>
      </c>
      <c r="Z317" s="12">
        <f>'2022 Budget &amp; CF'!U317</f>
        <v>0</v>
      </c>
      <c r="AA317" s="12">
        <f>'2022 Budget &amp; CF'!V317</f>
        <v>0</v>
      </c>
      <c r="AB317" s="12"/>
      <c r="AC317" s="121">
        <f t="shared" si="257"/>
        <v>9108.33</v>
      </c>
      <c r="AD317" s="115">
        <f>'2022 Budget &amp; CF'!Z317</f>
        <v>24000</v>
      </c>
      <c r="AE317" s="117">
        <f t="shared" si="258"/>
        <v>14891.67</v>
      </c>
      <c r="AF317" s="117">
        <f t="shared" si="259"/>
        <v>1240.9725000000001</v>
      </c>
    </row>
    <row r="318" spans="2:32" hidden="1" outlineLevel="1" x14ac:dyDescent="0.2">
      <c r="B318" s="154" t="s">
        <v>274</v>
      </c>
      <c r="C318" s="151"/>
      <c r="D318" s="152"/>
      <c r="E318" s="152"/>
      <c r="F318" s="152"/>
      <c r="G318" s="152"/>
      <c r="H318" s="153"/>
      <c r="I318" s="152"/>
      <c r="J318" s="343"/>
      <c r="K318" s="133"/>
      <c r="L318" s="133"/>
      <c r="M318" s="133"/>
      <c r="N318" s="13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>
        <f>'2022 Budget &amp; CF'!Z318</f>
        <v>0</v>
      </c>
      <c r="AE318" s="114"/>
      <c r="AF318" s="114"/>
    </row>
    <row r="319" spans="2:32" hidden="1" outlineLevel="1" x14ac:dyDescent="0.2">
      <c r="B319" s="768" t="s">
        <v>275</v>
      </c>
      <c r="C319" s="143">
        <f>'2022 Budget &amp; CF'!C319</f>
        <v>240</v>
      </c>
      <c r="D319" s="144" t="str">
        <f>'2022 Budget &amp; CF'!D319</f>
        <v>325</v>
      </c>
      <c r="E319" s="144"/>
      <c r="F319" s="143">
        <f>'2022 Budget &amp; CF'!F319</f>
        <v>100</v>
      </c>
      <c r="G319" s="143">
        <f>'2022 Budget &amp; CF'!G319</f>
        <v>1000</v>
      </c>
      <c r="H319" s="145" t="str">
        <f>'2022 Budget &amp; CF'!H319</f>
        <v>0610</v>
      </c>
      <c r="I319" s="145"/>
      <c r="J319" s="345" t="str">
        <f t="shared" ref="J319" si="260">CONCATENATE(C319,D319,F319,G319,H319,I319)</f>
        <v>24032510010000610</v>
      </c>
      <c r="K319" s="109">
        <v>2022</v>
      </c>
      <c r="L319" s="109" t="s">
        <v>348</v>
      </c>
      <c r="M319" s="109" t="s">
        <v>349</v>
      </c>
      <c r="N319" s="109" t="s">
        <v>350</v>
      </c>
      <c r="O319" s="12">
        <f>'2022 Budget &amp; CF'!J319</f>
        <v>0</v>
      </c>
      <c r="P319" s="12">
        <f>'2022 Budget &amp; CF'!K319</f>
        <v>0</v>
      </c>
      <c r="Q319" s="12">
        <f>'2022 Budget &amp; CF'!L319</f>
        <v>0</v>
      </c>
      <c r="R319" s="12">
        <f>'2022 Budget &amp; CF'!M319</f>
        <v>0</v>
      </c>
      <c r="S319" s="12">
        <f>'2022 Budget &amp; CF'!N319</f>
        <v>0</v>
      </c>
      <c r="T319" s="12">
        <f>'2022 Budget &amp; CF'!O319</f>
        <v>0</v>
      </c>
      <c r="U319" s="12">
        <f>'2022 Budget &amp; CF'!P319</f>
        <v>0</v>
      </c>
      <c r="V319" s="12">
        <f>'2022 Budget &amp; CF'!Q319</f>
        <v>0</v>
      </c>
      <c r="W319" s="12">
        <f>'2022 Budget &amp; CF'!R319</f>
        <v>0</v>
      </c>
      <c r="X319" s="12">
        <f>'2022 Budget &amp; CF'!S319</f>
        <v>0</v>
      </c>
      <c r="Y319" s="12">
        <f>'2022 Budget &amp; CF'!T319</f>
        <v>0</v>
      </c>
      <c r="Z319" s="12">
        <f>'2022 Budget &amp; CF'!U319</f>
        <v>0</v>
      </c>
      <c r="AA319" s="12">
        <f>'2022 Budget &amp; CF'!V319</f>
        <v>0</v>
      </c>
      <c r="AB319" s="12"/>
      <c r="AC319" s="121">
        <f t="shared" ref="AC319" si="261">SUM(O319:AA319)</f>
        <v>0</v>
      </c>
      <c r="AD319" s="115">
        <f>'2022 Budget &amp; CF'!Z319</f>
        <v>0</v>
      </c>
      <c r="AE319" s="117">
        <f t="shared" ref="AE319" si="262">AD319-AC319</f>
        <v>0</v>
      </c>
      <c r="AF319" s="117">
        <f t="shared" ref="AF319" si="263">AE319/$AF$6</f>
        <v>0</v>
      </c>
    </row>
    <row r="320" spans="2:32" hidden="1" outlineLevel="1" x14ac:dyDescent="0.2">
      <c r="B320" s="461" t="s">
        <v>512</v>
      </c>
      <c r="C320" s="152"/>
      <c r="D320" s="152"/>
      <c r="E320" s="152"/>
      <c r="F320" s="152"/>
      <c r="G320" s="152"/>
      <c r="H320" s="152"/>
      <c r="I320" s="152"/>
      <c r="J320" s="343"/>
      <c r="K320" s="133"/>
      <c r="L320" s="133"/>
      <c r="M320" s="133"/>
      <c r="N320" s="13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>
        <f>'2022 Budget &amp; CF'!Z320</f>
        <v>0</v>
      </c>
      <c r="AE320" s="114"/>
      <c r="AF320" s="114"/>
    </row>
    <row r="321" spans="2:32" hidden="1" outlineLevel="1" x14ac:dyDescent="0.2">
      <c r="B321" s="768" t="s">
        <v>513</v>
      </c>
      <c r="C321" s="143">
        <v>240</v>
      </c>
      <c r="D321" s="82">
        <v>390</v>
      </c>
      <c r="E321" s="144"/>
      <c r="F321" s="143">
        <v>100</v>
      </c>
      <c r="G321" s="143">
        <v>1000</v>
      </c>
      <c r="H321" s="145" t="s">
        <v>260</v>
      </c>
      <c r="I321" s="145"/>
      <c r="J321" s="345" t="str">
        <f t="shared" ref="J321" si="264">CONCATENATE(C321,D321,F321,G321,H321,I321)</f>
        <v>24039010010000651</v>
      </c>
      <c r="K321" s="109">
        <v>2022</v>
      </c>
      <c r="L321" s="109" t="s">
        <v>348</v>
      </c>
      <c r="M321" s="109" t="s">
        <v>349</v>
      </c>
      <c r="N321" s="109" t="s">
        <v>350</v>
      </c>
      <c r="O321" s="12">
        <f>'2022 Budget &amp; CF'!J321</f>
        <v>0</v>
      </c>
      <c r="P321" s="12">
        <f>'2022 Budget &amp; CF'!K321</f>
        <v>0</v>
      </c>
      <c r="Q321" s="12">
        <f>'2022 Budget &amp; CF'!L321</f>
        <v>0</v>
      </c>
      <c r="R321" s="12">
        <f>'2022 Budget &amp; CF'!M321</f>
        <v>0</v>
      </c>
      <c r="S321" s="12">
        <f>'2022 Budget &amp; CF'!N321</f>
        <v>0</v>
      </c>
      <c r="T321" s="12">
        <f>'2022 Budget &amp; CF'!O321</f>
        <v>0</v>
      </c>
      <c r="U321" s="12">
        <f>'2022 Budget &amp; CF'!P321</f>
        <v>0</v>
      </c>
      <c r="V321" s="12">
        <f>'2022 Budget &amp; CF'!Q321</f>
        <v>0</v>
      </c>
      <c r="W321" s="12">
        <f>'2022 Budget &amp; CF'!R321</f>
        <v>0</v>
      </c>
      <c r="X321" s="12">
        <f>'2022 Budget &amp; CF'!S321</f>
        <v>0</v>
      </c>
      <c r="Y321" s="12">
        <f>'2022 Budget &amp; CF'!T321</f>
        <v>0</v>
      </c>
      <c r="Z321" s="12">
        <f>'2022 Budget &amp; CF'!U321</f>
        <v>0</v>
      </c>
      <c r="AA321" s="12">
        <f>'2022 Budget &amp; CF'!V321</f>
        <v>0</v>
      </c>
      <c r="AB321" s="12"/>
      <c r="AC321" s="121">
        <f t="shared" ref="AC321:AC322" si="265">SUM(O321:AA321)</f>
        <v>0</v>
      </c>
      <c r="AD321" s="115">
        <f>'2022 Budget &amp; CF'!Z321</f>
        <v>0</v>
      </c>
      <c r="AE321" s="117">
        <f t="shared" ref="AE321:AE322" si="266">AD321-AC321</f>
        <v>0</v>
      </c>
      <c r="AF321" s="117">
        <f t="shared" ref="AF321:AF322" si="267">AE321/$AF$6</f>
        <v>0</v>
      </c>
    </row>
    <row r="322" spans="2:32" hidden="1" outlineLevel="1" x14ac:dyDescent="0.2">
      <c r="B322" s="768" t="s">
        <v>1056</v>
      </c>
      <c r="C322" s="143">
        <v>240</v>
      </c>
      <c r="D322" s="82">
        <v>390</v>
      </c>
      <c r="E322" s="144"/>
      <c r="F322" s="143">
        <v>100</v>
      </c>
      <c r="G322" s="143">
        <v>1000</v>
      </c>
      <c r="H322" s="145" t="s">
        <v>264</v>
      </c>
      <c r="I322" s="152"/>
      <c r="J322" s="345" t="str">
        <f t="shared" ref="J322" si="268">CONCATENATE(C322,D322,F322,G322,H322,I322)</f>
        <v>24039010010000653</v>
      </c>
      <c r="K322" s="109">
        <v>2022</v>
      </c>
      <c r="L322" s="109" t="s">
        <v>348</v>
      </c>
      <c r="M322" s="109" t="s">
        <v>349</v>
      </c>
      <c r="N322" s="109" t="s">
        <v>350</v>
      </c>
      <c r="O322" s="12">
        <f>'2022 Budget &amp; CF'!J322</f>
        <v>0</v>
      </c>
      <c r="P322" s="12">
        <f>'2022 Budget &amp; CF'!K322</f>
        <v>0</v>
      </c>
      <c r="Q322" s="12">
        <f>'2022 Budget &amp; CF'!L322</f>
        <v>0</v>
      </c>
      <c r="R322" s="12">
        <f>'2022 Budget &amp; CF'!M322</f>
        <v>0</v>
      </c>
      <c r="S322" s="12">
        <f>'2022 Budget &amp; CF'!N322</f>
        <v>0</v>
      </c>
      <c r="T322" s="12">
        <f>'2022 Budget &amp; CF'!O322</f>
        <v>0</v>
      </c>
      <c r="U322" s="12">
        <f>'2022 Budget &amp; CF'!P322</f>
        <v>0</v>
      </c>
      <c r="V322" s="12">
        <f>'2022 Budget &amp; CF'!Q322</f>
        <v>0</v>
      </c>
      <c r="W322" s="12">
        <f>'2022 Budget &amp; CF'!R322</f>
        <v>0</v>
      </c>
      <c r="X322" s="12">
        <f>'2022 Budget &amp; CF'!S322</f>
        <v>0</v>
      </c>
      <c r="Y322" s="12">
        <f>'2022 Budget &amp; CF'!T322</f>
        <v>0</v>
      </c>
      <c r="Z322" s="12">
        <f>'2022 Budget &amp; CF'!U322</f>
        <v>0</v>
      </c>
      <c r="AA322" s="12">
        <f>'2022 Budget &amp; CF'!V322</f>
        <v>0</v>
      </c>
      <c r="AB322" s="114"/>
      <c r="AC322" s="121">
        <f t="shared" si="265"/>
        <v>0</v>
      </c>
      <c r="AD322" s="115">
        <f>'2022 Budget &amp; CF'!Z322</f>
        <v>0</v>
      </c>
      <c r="AE322" s="117">
        <f t="shared" si="266"/>
        <v>0</v>
      </c>
      <c r="AF322" s="117">
        <f t="shared" si="267"/>
        <v>0</v>
      </c>
    </row>
    <row r="323" spans="2:32" hidden="1" outlineLevel="1" x14ac:dyDescent="0.2">
      <c r="B323" s="154" t="s">
        <v>1056</v>
      </c>
      <c r="C323" s="151"/>
      <c r="D323" s="152"/>
      <c r="E323" s="152"/>
      <c r="F323" s="152"/>
      <c r="G323" s="152"/>
      <c r="H323" s="516"/>
      <c r="I323" s="152"/>
      <c r="J323" s="343"/>
      <c r="K323" s="133"/>
      <c r="L323" s="133"/>
      <c r="M323" s="133"/>
      <c r="N323" s="13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>
        <f>'2022 Budget &amp; CF'!Z323</f>
        <v>0</v>
      </c>
      <c r="AE323" s="114"/>
      <c r="AF323" s="114"/>
    </row>
    <row r="324" spans="2:32" hidden="1" outlineLevel="1" x14ac:dyDescent="0.2">
      <c r="B324" s="768" t="s">
        <v>545</v>
      </c>
      <c r="C324" s="143" t="s">
        <v>462</v>
      </c>
      <c r="D324" s="144" t="s">
        <v>132</v>
      </c>
      <c r="E324" s="144"/>
      <c r="F324" s="143" t="s">
        <v>463</v>
      </c>
      <c r="G324" s="143" t="s">
        <v>485</v>
      </c>
      <c r="H324" s="145" t="s">
        <v>254</v>
      </c>
      <c r="I324" s="145" t="s">
        <v>563</v>
      </c>
      <c r="J324" s="345" t="str">
        <f t="shared" ref="J324:J325" si="269">CONCATENATE(C324,D324,F324,G324,H324,I324)</f>
        <v>2502052002140061001</v>
      </c>
      <c r="K324" s="109">
        <v>2022</v>
      </c>
      <c r="L324" s="109" t="s">
        <v>348</v>
      </c>
      <c r="M324" s="109" t="s">
        <v>349</v>
      </c>
      <c r="N324" s="109" t="s">
        <v>350</v>
      </c>
      <c r="O324" s="12">
        <f>'2022 Budget &amp; CF'!J324</f>
        <v>0</v>
      </c>
      <c r="P324" s="12">
        <f>'2022 Budget &amp; CF'!K324</f>
        <v>1745.33</v>
      </c>
      <c r="Q324" s="12">
        <f>'2022 Budget &amp; CF'!L324</f>
        <v>389.53</v>
      </c>
      <c r="R324" s="12">
        <f>'2022 Budget &amp; CF'!M324</f>
        <v>0</v>
      </c>
      <c r="S324" s="12">
        <f>'2022 Budget &amp; CF'!N324</f>
        <v>0</v>
      </c>
      <c r="T324" s="12">
        <f>'2022 Budget &amp; CF'!O324</f>
        <v>0</v>
      </c>
      <c r="U324" s="12">
        <f>'2022 Budget &amp; CF'!P324</f>
        <v>0</v>
      </c>
      <c r="V324" s="12">
        <f>'2022 Budget &amp; CF'!Q324</f>
        <v>0</v>
      </c>
      <c r="W324" s="12">
        <f>'2022 Budget &amp; CF'!R324</f>
        <v>0</v>
      </c>
      <c r="X324" s="12">
        <f>'2022 Budget &amp; CF'!S324</f>
        <v>0</v>
      </c>
      <c r="Y324" s="12">
        <f>'2022 Budget &amp; CF'!T324</f>
        <v>0</v>
      </c>
      <c r="Z324" s="12">
        <f>'2022 Budget &amp; CF'!U324</f>
        <v>0</v>
      </c>
      <c r="AA324" s="12">
        <f>'2022 Budget &amp; CF'!V324</f>
        <v>0</v>
      </c>
      <c r="AB324" s="12"/>
      <c r="AC324" s="121">
        <f t="shared" ref="AC324:AC325" si="270">SUM(O324:AA324)</f>
        <v>2134.8599999999997</v>
      </c>
      <c r="AD324" s="115">
        <f>'2022 Budget &amp; CF'!Z324</f>
        <v>0</v>
      </c>
      <c r="AE324" s="117">
        <f t="shared" ref="AE324:AE325" si="271">AD324-AC324</f>
        <v>-2134.8599999999997</v>
      </c>
      <c r="AF324" s="117">
        <f t="shared" ref="AF324:AF325" si="272">AE324/$AF$6</f>
        <v>-177.90499999999997</v>
      </c>
    </row>
    <row r="325" spans="2:32" hidden="1" outlineLevel="1" x14ac:dyDescent="0.2">
      <c r="B325" s="768" t="s">
        <v>276</v>
      </c>
      <c r="C325" s="143">
        <f>'2022 Budget &amp; CF'!C325</f>
        <v>250</v>
      </c>
      <c r="D325" s="144" t="str">
        <f>'2022 Budget &amp; CF'!D325</f>
        <v>000</v>
      </c>
      <c r="E325" s="144"/>
      <c r="F325" s="143">
        <f>'2022 Budget &amp; CF'!F325</f>
        <v>200</v>
      </c>
      <c r="G325" s="143">
        <v>2240</v>
      </c>
      <c r="H325" s="145" t="s">
        <v>254</v>
      </c>
      <c r="I325" s="145" t="s">
        <v>563</v>
      </c>
      <c r="J325" s="345" t="str">
        <f t="shared" si="269"/>
        <v>2500002002240061001</v>
      </c>
      <c r="K325" s="109">
        <v>2022</v>
      </c>
      <c r="L325" s="109" t="s">
        <v>348</v>
      </c>
      <c r="M325" s="109" t="s">
        <v>349</v>
      </c>
      <c r="N325" s="109" t="s">
        <v>350</v>
      </c>
      <c r="O325" s="12">
        <f>'2022 Budget &amp; CF'!J325</f>
        <v>0</v>
      </c>
      <c r="P325" s="12">
        <f>'2022 Budget &amp; CF'!K325</f>
        <v>0</v>
      </c>
      <c r="Q325" s="12">
        <f>'2022 Budget &amp; CF'!L325</f>
        <v>0</v>
      </c>
      <c r="R325" s="12">
        <f>'2022 Budget &amp; CF'!M325</f>
        <v>0</v>
      </c>
      <c r="S325" s="12">
        <f>'2022 Budget &amp; CF'!N325</f>
        <v>0</v>
      </c>
      <c r="T325" s="12">
        <f>'2022 Budget &amp; CF'!O325</f>
        <v>0</v>
      </c>
      <c r="U325" s="12">
        <f>'2022 Budget &amp; CF'!P325</f>
        <v>0</v>
      </c>
      <c r="V325" s="12">
        <f>'2022 Budget &amp; CF'!Q325</f>
        <v>0</v>
      </c>
      <c r="W325" s="12">
        <f>'2022 Budget &amp; CF'!R325</f>
        <v>0</v>
      </c>
      <c r="X325" s="12">
        <f>'2022 Budget &amp; CF'!S325</f>
        <v>0</v>
      </c>
      <c r="Y325" s="12">
        <f>'2022 Budget &amp; CF'!T325</f>
        <v>0</v>
      </c>
      <c r="Z325" s="12">
        <f>'2022 Budget &amp; CF'!U325</f>
        <v>0</v>
      </c>
      <c r="AA325" s="12">
        <f>'2022 Budget &amp; CF'!V325</f>
        <v>0</v>
      </c>
      <c r="AB325" s="12"/>
      <c r="AC325" s="121">
        <f t="shared" si="270"/>
        <v>0</v>
      </c>
      <c r="AD325" s="115">
        <f>'2022 Budget &amp; CF'!Z325</f>
        <v>0</v>
      </c>
      <c r="AE325" s="117">
        <f t="shared" si="271"/>
        <v>0</v>
      </c>
      <c r="AF325" s="117">
        <f t="shared" si="272"/>
        <v>0</v>
      </c>
    </row>
    <row r="326" spans="2:32" hidden="1" outlineLevel="1" x14ac:dyDescent="0.2">
      <c r="B326" s="768" t="s">
        <v>545</v>
      </c>
      <c r="C326" s="143" t="s">
        <v>462</v>
      </c>
      <c r="D326" s="144" t="s">
        <v>132</v>
      </c>
      <c r="E326" s="144"/>
      <c r="F326" s="143" t="s">
        <v>463</v>
      </c>
      <c r="G326" s="143" t="s">
        <v>543</v>
      </c>
      <c r="H326" s="145" t="s">
        <v>254</v>
      </c>
      <c r="I326" s="145"/>
      <c r="J326" s="345" t="str">
        <f t="shared" ref="J326:J330" si="273">CONCATENATE(C326,D326,F326,G326,H326,I326)</f>
        <v>25020520024900610</v>
      </c>
      <c r="K326" s="109">
        <v>2022</v>
      </c>
      <c r="L326" s="109" t="s">
        <v>348</v>
      </c>
      <c r="M326" s="109" t="s">
        <v>349</v>
      </c>
      <c r="N326" s="109" t="s">
        <v>350</v>
      </c>
      <c r="O326" s="12">
        <f>'2022 Budget &amp; CF'!J326</f>
        <v>0</v>
      </c>
      <c r="P326" s="12">
        <f>'2022 Budget &amp; CF'!K326</f>
        <v>21.99</v>
      </c>
      <c r="Q326" s="12">
        <f>'2022 Budget &amp; CF'!L326</f>
        <v>0</v>
      </c>
      <c r="R326" s="12">
        <f>'2022 Budget &amp; CF'!M326</f>
        <v>0</v>
      </c>
      <c r="S326" s="12">
        <f>'2022 Budget &amp; CF'!N326</f>
        <v>0</v>
      </c>
      <c r="T326" s="12">
        <f>'2022 Budget &amp; CF'!O326</f>
        <v>0</v>
      </c>
      <c r="U326" s="12">
        <f>'2022 Budget &amp; CF'!P326</f>
        <v>0</v>
      </c>
      <c r="V326" s="12">
        <f>'2022 Budget &amp; CF'!Q326</f>
        <v>0</v>
      </c>
      <c r="W326" s="12">
        <f>'2022 Budget &amp; CF'!R326</f>
        <v>0</v>
      </c>
      <c r="X326" s="12">
        <f>'2022 Budget &amp; CF'!S326</f>
        <v>0</v>
      </c>
      <c r="Y326" s="12">
        <f>'2022 Budget &amp; CF'!T326</f>
        <v>0</v>
      </c>
      <c r="Z326" s="12">
        <f>'2022 Budget &amp; CF'!U326</f>
        <v>0</v>
      </c>
      <c r="AA326" s="12">
        <f>'2022 Budget &amp; CF'!V326</f>
        <v>0</v>
      </c>
      <c r="AB326" s="12"/>
      <c r="AC326" s="121">
        <f t="shared" ref="AC326:AC330" si="274">SUM(O326:AA326)</f>
        <v>21.99</v>
      </c>
      <c r="AD326" s="115">
        <f>'2022 Budget &amp; CF'!Z326</f>
        <v>0</v>
      </c>
      <c r="AE326" s="117">
        <f t="shared" ref="AE326:AE330" si="275">AD326-AC326</f>
        <v>-21.99</v>
      </c>
      <c r="AF326" s="117">
        <f t="shared" ref="AF326:AF330" si="276">AE326/$AF$6</f>
        <v>-1.8324999999999998</v>
      </c>
    </row>
    <row r="327" spans="2:32" hidden="1" outlineLevel="1" x14ac:dyDescent="0.2">
      <c r="B327" s="768" t="s">
        <v>545</v>
      </c>
      <c r="C327" s="143" t="s">
        <v>462</v>
      </c>
      <c r="D327" s="144" t="s">
        <v>132</v>
      </c>
      <c r="E327" s="144"/>
      <c r="F327" s="143" t="s">
        <v>463</v>
      </c>
      <c r="G327" s="143" t="s">
        <v>540</v>
      </c>
      <c r="H327" s="145" t="s">
        <v>254</v>
      </c>
      <c r="I327" s="145"/>
      <c r="J327" s="345" t="str">
        <f t="shared" si="273"/>
        <v>25020520026400610</v>
      </c>
      <c r="K327" s="109">
        <v>2022</v>
      </c>
      <c r="L327" s="109" t="s">
        <v>348</v>
      </c>
      <c r="M327" s="109" t="s">
        <v>349</v>
      </c>
      <c r="N327" s="109" t="s">
        <v>350</v>
      </c>
      <c r="O327" s="12">
        <f>'2022 Budget &amp; CF'!J327</f>
        <v>0</v>
      </c>
      <c r="P327" s="12">
        <f>'2022 Budget &amp; CF'!K327</f>
        <v>0</v>
      </c>
      <c r="Q327" s="12">
        <f>'2022 Budget &amp; CF'!L327</f>
        <v>0</v>
      </c>
      <c r="R327" s="12">
        <f>'2022 Budget &amp; CF'!M327</f>
        <v>0</v>
      </c>
      <c r="S327" s="12">
        <f>'2022 Budget &amp; CF'!N327</f>
        <v>0</v>
      </c>
      <c r="T327" s="12">
        <f>'2022 Budget &amp; CF'!O327</f>
        <v>0</v>
      </c>
      <c r="U327" s="12">
        <f>'2022 Budget &amp; CF'!P327</f>
        <v>0</v>
      </c>
      <c r="V327" s="12">
        <f>'2022 Budget &amp; CF'!Q327</f>
        <v>0</v>
      </c>
      <c r="W327" s="12">
        <f>'2022 Budget &amp; CF'!R327</f>
        <v>0</v>
      </c>
      <c r="X327" s="12">
        <f>'2022 Budget &amp; CF'!S327</f>
        <v>0</v>
      </c>
      <c r="Y327" s="12">
        <f>'2022 Budget &amp; CF'!T327</f>
        <v>0</v>
      </c>
      <c r="Z327" s="12">
        <f>'2022 Budget &amp; CF'!U327</f>
        <v>0</v>
      </c>
      <c r="AA327" s="12">
        <f>'2022 Budget &amp; CF'!V327</f>
        <v>0</v>
      </c>
      <c r="AB327" s="12"/>
      <c r="AC327" s="121">
        <f t="shared" si="274"/>
        <v>0</v>
      </c>
      <c r="AD327" s="115">
        <f>'2022 Budget &amp; CF'!Z327</f>
        <v>0</v>
      </c>
      <c r="AE327" s="117">
        <f t="shared" si="275"/>
        <v>0</v>
      </c>
      <c r="AF327" s="117">
        <f t="shared" si="276"/>
        <v>0</v>
      </c>
    </row>
    <row r="328" spans="2:32" hidden="1" outlineLevel="1" x14ac:dyDescent="0.2">
      <c r="B328" s="768" t="s">
        <v>276</v>
      </c>
      <c r="C328" s="143">
        <f>'2022 Budget &amp; CF'!C328</f>
        <v>250</v>
      </c>
      <c r="D328" s="144" t="str">
        <f>'2022 Budget &amp; CF'!D328</f>
        <v>000</v>
      </c>
      <c r="E328" s="144"/>
      <c r="F328" s="143">
        <f>'2022 Budget &amp; CF'!F328</f>
        <v>200</v>
      </c>
      <c r="G328" s="143">
        <f>'2022 Budget &amp; CF'!G328</f>
        <v>1000</v>
      </c>
      <c r="H328" s="145" t="str">
        <f>'2022 Budget &amp; CF'!H328</f>
        <v>0640</v>
      </c>
      <c r="I328" s="145"/>
      <c r="J328" s="345" t="str">
        <f t="shared" si="273"/>
        <v>25000020010000640</v>
      </c>
      <c r="K328" s="109">
        <v>2022</v>
      </c>
      <c r="L328" s="109" t="s">
        <v>348</v>
      </c>
      <c r="M328" s="109" t="s">
        <v>349</v>
      </c>
      <c r="N328" s="109" t="s">
        <v>350</v>
      </c>
      <c r="O328" s="12">
        <f>'2022 Budget &amp; CF'!J328</f>
        <v>0</v>
      </c>
      <c r="P328" s="12">
        <f>'2022 Budget &amp; CF'!K328</f>
        <v>0</v>
      </c>
      <c r="Q328" s="12">
        <f>'2022 Budget &amp; CF'!L328</f>
        <v>0</v>
      </c>
      <c r="R328" s="12">
        <f>'2022 Budget &amp; CF'!M328</f>
        <v>0</v>
      </c>
      <c r="S328" s="12">
        <f>'2022 Budget &amp; CF'!N328</f>
        <v>0</v>
      </c>
      <c r="T328" s="12">
        <f>'2022 Budget &amp; CF'!O328</f>
        <v>0</v>
      </c>
      <c r="U328" s="12">
        <f>'2022 Budget &amp; CF'!P328</f>
        <v>0</v>
      </c>
      <c r="V328" s="12">
        <f>'2022 Budget &amp; CF'!Q328</f>
        <v>0</v>
      </c>
      <c r="W328" s="12">
        <f>'2022 Budget &amp; CF'!R328</f>
        <v>0</v>
      </c>
      <c r="X328" s="12">
        <f>'2022 Budget &amp; CF'!S328</f>
        <v>0</v>
      </c>
      <c r="Y328" s="12">
        <f>'2022 Budget &amp; CF'!T328</f>
        <v>0</v>
      </c>
      <c r="Z328" s="12">
        <f>'2022 Budget &amp; CF'!U328</f>
        <v>0</v>
      </c>
      <c r="AA328" s="12">
        <f>'2022 Budget &amp; CF'!V328</f>
        <v>0</v>
      </c>
      <c r="AB328" s="12"/>
      <c r="AC328" s="121">
        <f t="shared" si="274"/>
        <v>0</v>
      </c>
      <c r="AD328" s="115">
        <f>'2022 Budget &amp; CF'!Z328</f>
        <v>0</v>
      </c>
      <c r="AE328" s="117">
        <f t="shared" si="275"/>
        <v>0</v>
      </c>
      <c r="AF328" s="117">
        <f t="shared" si="276"/>
        <v>0</v>
      </c>
    </row>
    <row r="329" spans="2:32" hidden="1" outlineLevel="1" x14ac:dyDescent="0.2">
      <c r="B329" s="768" t="s">
        <v>513</v>
      </c>
      <c r="C329" s="143" t="s">
        <v>462</v>
      </c>
      <c r="D329" s="144" t="s">
        <v>132</v>
      </c>
      <c r="E329" s="144"/>
      <c r="F329" s="143" t="s">
        <v>463</v>
      </c>
      <c r="G329" s="143" t="s">
        <v>485</v>
      </c>
      <c r="H329" s="145" t="s">
        <v>260</v>
      </c>
      <c r="I329" s="145" t="s">
        <v>563</v>
      </c>
      <c r="J329" s="345" t="str">
        <f t="shared" ref="J329" si="277">CONCATENATE(C329,D329,F329,G329,H329,I329)</f>
        <v>2502052002140065101</v>
      </c>
      <c r="K329" s="109">
        <v>2022</v>
      </c>
      <c r="L329" s="109" t="s">
        <v>348</v>
      </c>
      <c r="M329" s="109" t="s">
        <v>349</v>
      </c>
      <c r="N329" s="109" t="s">
        <v>350</v>
      </c>
      <c r="O329" s="12">
        <f>'2022 Budget &amp; CF'!J329</f>
        <v>0</v>
      </c>
      <c r="P329" s="12">
        <f>'2022 Budget &amp; CF'!K329</f>
        <v>0</v>
      </c>
      <c r="Q329" s="12">
        <f>'2022 Budget &amp; CF'!L329</f>
        <v>112.5</v>
      </c>
      <c r="R329" s="12">
        <f>'2022 Budget &amp; CF'!M329</f>
        <v>0</v>
      </c>
      <c r="S329" s="12">
        <f>'2022 Budget &amp; CF'!N329</f>
        <v>0</v>
      </c>
      <c r="T329" s="12">
        <f>'2022 Budget &amp; CF'!O329</f>
        <v>0</v>
      </c>
      <c r="U329" s="12">
        <f>'2022 Budget &amp; CF'!P329</f>
        <v>0</v>
      </c>
      <c r="V329" s="12">
        <f>'2022 Budget &amp; CF'!Q329</f>
        <v>0</v>
      </c>
      <c r="W329" s="12">
        <f>'2022 Budget &amp; CF'!R329</f>
        <v>0</v>
      </c>
      <c r="X329" s="12">
        <f>'2022 Budget &amp; CF'!S329</f>
        <v>0</v>
      </c>
      <c r="Y329" s="12">
        <f>'2022 Budget &amp; CF'!T329</f>
        <v>0</v>
      </c>
      <c r="Z329" s="12">
        <f>'2022 Budget &amp; CF'!U329</f>
        <v>0</v>
      </c>
      <c r="AA329" s="12">
        <f>'2022 Budget &amp; CF'!V329</f>
        <v>0</v>
      </c>
      <c r="AB329" s="12"/>
      <c r="AC329" s="121">
        <f t="shared" ref="AC329" si="278">SUM(O329:AA329)</f>
        <v>112.5</v>
      </c>
      <c r="AD329" s="115">
        <f>'2022 Budget &amp; CF'!Z329</f>
        <v>0</v>
      </c>
      <c r="AE329" s="117">
        <f t="shared" ref="AE329" si="279">AD329-AC329</f>
        <v>-112.5</v>
      </c>
      <c r="AF329" s="117">
        <f t="shared" ref="AF329" si="280">AE329/$AF$6</f>
        <v>-9.375</v>
      </c>
    </row>
    <row r="330" spans="2:32" hidden="1" outlineLevel="1" x14ac:dyDescent="0.2">
      <c r="B330" s="768" t="s">
        <v>551</v>
      </c>
      <c r="C330" s="143" t="s">
        <v>462</v>
      </c>
      <c r="D330" s="144" t="s">
        <v>132</v>
      </c>
      <c r="E330" s="144"/>
      <c r="F330" s="143" t="s">
        <v>463</v>
      </c>
      <c r="G330" s="143" t="s">
        <v>461</v>
      </c>
      <c r="H330" s="145" t="s">
        <v>264</v>
      </c>
      <c r="I330" s="145"/>
      <c r="J330" s="345" t="str">
        <f t="shared" si="273"/>
        <v>25020520010000653</v>
      </c>
      <c r="K330" s="109">
        <v>2022</v>
      </c>
      <c r="L330" s="109" t="s">
        <v>348</v>
      </c>
      <c r="M330" s="109" t="s">
        <v>349</v>
      </c>
      <c r="N330" s="109" t="s">
        <v>350</v>
      </c>
      <c r="O330" s="12">
        <f>'2022 Budget &amp; CF'!J330</f>
        <v>0</v>
      </c>
      <c r="P330" s="12">
        <f>'2022 Budget &amp; CF'!K330</f>
        <v>0</v>
      </c>
      <c r="Q330" s="12">
        <f>'2022 Budget &amp; CF'!L330</f>
        <v>0</v>
      </c>
      <c r="R330" s="12">
        <f>'2022 Budget &amp; CF'!M330</f>
        <v>0</v>
      </c>
      <c r="S330" s="12">
        <f>'2022 Budget &amp; CF'!N330</f>
        <v>0</v>
      </c>
      <c r="T330" s="12">
        <f>'2022 Budget &amp; CF'!O330</f>
        <v>0</v>
      </c>
      <c r="U330" s="12">
        <f>'2022 Budget &amp; CF'!P330</f>
        <v>0</v>
      </c>
      <c r="V330" s="12">
        <f>'2022 Budget &amp; CF'!Q330</f>
        <v>0</v>
      </c>
      <c r="W330" s="12">
        <f>'2022 Budget &amp; CF'!R330</f>
        <v>0</v>
      </c>
      <c r="X330" s="12">
        <f>'2022 Budget &amp; CF'!S330</f>
        <v>0</v>
      </c>
      <c r="Y330" s="12">
        <f>'2022 Budget &amp; CF'!T330</f>
        <v>0</v>
      </c>
      <c r="Z330" s="12">
        <f>'2022 Budget &amp; CF'!U330</f>
        <v>0</v>
      </c>
      <c r="AA330" s="12">
        <f>'2022 Budget &amp; CF'!V330</f>
        <v>0</v>
      </c>
      <c r="AB330" s="12"/>
      <c r="AC330" s="121">
        <f t="shared" si="274"/>
        <v>0</v>
      </c>
      <c r="AD330" s="115">
        <f>'2022 Budget &amp; CF'!Z330</f>
        <v>1000</v>
      </c>
      <c r="AE330" s="117">
        <f t="shared" si="275"/>
        <v>1000</v>
      </c>
      <c r="AF330" s="117">
        <f t="shared" si="276"/>
        <v>83.333333333333329</v>
      </c>
    </row>
    <row r="331" spans="2:32" hidden="1" outlineLevel="1" x14ac:dyDescent="0.2">
      <c r="B331" s="154" t="s">
        <v>376</v>
      </c>
      <c r="C331" s="151"/>
      <c r="D331" s="152"/>
      <c r="E331" s="152"/>
      <c r="F331" s="152"/>
      <c r="G331" s="152"/>
      <c r="H331" s="153"/>
      <c r="I331" s="152"/>
      <c r="J331" s="343"/>
      <c r="K331" s="133"/>
      <c r="L331" s="133"/>
      <c r="M331" s="133"/>
      <c r="N331" s="13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>
        <f>'2022 Budget &amp; CF'!Z331</f>
        <v>0</v>
      </c>
      <c r="AE331" s="114"/>
      <c r="AF331" s="114"/>
    </row>
    <row r="332" spans="2:32" hidden="1" outlineLevel="1" x14ac:dyDescent="0.2">
      <c r="B332" s="768" t="s">
        <v>545</v>
      </c>
      <c r="C332" s="143" t="s">
        <v>135</v>
      </c>
      <c r="D332" s="144" t="s">
        <v>544</v>
      </c>
      <c r="E332" s="144"/>
      <c r="F332" s="143" t="s">
        <v>468</v>
      </c>
      <c r="G332" s="143" t="s">
        <v>542</v>
      </c>
      <c r="H332" s="145" t="s">
        <v>254</v>
      </c>
      <c r="I332" s="145"/>
      <c r="J332" s="345" t="str">
        <f t="shared" ref="J332" si="281">CONCATENATE(C332,D332,F332,G332,H332,I332)</f>
        <v>28034010026700610</v>
      </c>
      <c r="K332" s="109">
        <v>2022</v>
      </c>
      <c r="L332" s="109" t="s">
        <v>348</v>
      </c>
      <c r="M332" s="109" t="s">
        <v>349</v>
      </c>
      <c r="N332" s="109" t="s">
        <v>350</v>
      </c>
      <c r="O332" s="12">
        <f>'2022 Budget &amp; CF'!J332</f>
        <v>0</v>
      </c>
      <c r="P332" s="12">
        <f>'2022 Budget &amp; CF'!K332</f>
        <v>0</v>
      </c>
      <c r="Q332" s="12">
        <f>'2022 Budget &amp; CF'!L332</f>
        <v>0</v>
      </c>
      <c r="R332" s="12">
        <f>'2022 Budget &amp; CF'!M332</f>
        <v>0</v>
      </c>
      <c r="S332" s="12">
        <f>'2022 Budget &amp; CF'!N332</f>
        <v>0</v>
      </c>
      <c r="T332" s="12">
        <f>'2022 Budget &amp; CF'!O332</f>
        <v>0</v>
      </c>
      <c r="U332" s="12">
        <f>'2022 Budget &amp; CF'!P332</f>
        <v>0</v>
      </c>
      <c r="V332" s="12">
        <f>'2022 Budget &amp; CF'!Q332</f>
        <v>0</v>
      </c>
      <c r="W332" s="12">
        <f>'2022 Budget &amp; CF'!R332</f>
        <v>0</v>
      </c>
      <c r="X332" s="12">
        <f>'2022 Budget &amp; CF'!S332</f>
        <v>0</v>
      </c>
      <c r="Y332" s="12">
        <f>'2022 Budget &amp; CF'!T332</f>
        <v>0</v>
      </c>
      <c r="Z332" s="12">
        <f>'2022 Budget &amp; CF'!U332</f>
        <v>0</v>
      </c>
      <c r="AA332" s="12">
        <f>'2022 Budget &amp; CF'!V332</f>
        <v>0</v>
      </c>
      <c r="AB332" s="12"/>
      <c r="AC332" s="121">
        <f t="shared" ref="AC332:AC334" si="282">SUM(O332:AA332)</f>
        <v>0</v>
      </c>
      <c r="AD332" s="115">
        <f>'2022 Budget &amp; CF'!Z332</f>
        <v>0</v>
      </c>
      <c r="AE332" s="117">
        <f t="shared" ref="AE332:AE334" si="283">AD332-AC332</f>
        <v>0</v>
      </c>
      <c r="AF332" s="117">
        <f t="shared" ref="AF332:AF334" si="284">AE332/$AF$6</f>
        <v>0</v>
      </c>
    </row>
    <row r="333" spans="2:32" hidden="1" outlineLevel="1" x14ac:dyDescent="0.2">
      <c r="B333" s="768" t="s">
        <v>546</v>
      </c>
      <c r="C333" s="143" t="s">
        <v>135</v>
      </c>
      <c r="D333" s="144" t="s">
        <v>544</v>
      </c>
      <c r="E333" s="144"/>
      <c r="F333" s="143">
        <v>100</v>
      </c>
      <c r="G333" s="143">
        <v>1000</v>
      </c>
      <c r="H333" s="145" t="s">
        <v>262</v>
      </c>
      <c r="I333" s="145"/>
      <c r="J333" s="345" t="str">
        <f>CONCATENATE(C333,D333,F333,G333,H333,I333)</f>
        <v>28034010010000652</v>
      </c>
      <c r="K333" s="109">
        <v>2022</v>
      </c>
      <c r="L333" s="109" t="s">
        <v>348</v>
      </c>
      <c r="M333" s="109" t="s">
        <v>349</v>
      </c>
      <c r="N333" s="109" t="s">
        <v>350</v>
      </c>
      <c r="O333" s="12">
        <f>'2022 Budget &amp; CF'!J333</f>
        <v>0</v>
      </c>
      <c r="P333" s="12">
        <f>'2022 Budget &amp; CF'!K333</f>
        <v>0</v>
      </c>
      <c r="Q333" s="12">
        <f>'2022 Budget &amp; CF'!L333</f>
        <v>0</v>
      </c>
      <c r="R333" s="12">
        <f>'2022 Budget &amp; CF'!M333</f>
        <v>0</v>
      </c>
      <c r="S333" s="12">
        <f>'2022 Budget &amp; CF'!N333</f>
        <v>0</v>
      </c>
      <c r="T333" s="12">
        <f>'2022 Budget &amp; CF'!O333</f>
        <v>0</v>
      </c>
      <c r="U333" s="12">
        <f>'2022 Budget &amp; CF'!P333</f>
        <v>0</v>
      </c>
      <c r="V333" s="12">
        <f>'2022 Budget &amp; CF'!Q333</f>
        <v>0</v>
      </c>
      <c r="W333" s="12">
        <f>'2022 Budget &amp; CF'!R333</f>
        <v>0</v>
      </c>
      <c r="X333" s="12">
        <f>'2022 Budget &amp; CF'!S333</f>
        <v>0</v>
      </c>
      <c r="Y333" s="12">
        <f>'2022 Budget &amp; CF'!T333</f>
        <v>0</v>
      </c>
      <c r="Z333" s="12">
        <f>'2022 Budget &amp; CF'!U333</f>
        <v>0</v>
      </c>
      <c r="AA333" s="12">
        <f>'2022 Budget &amp; CF'!V333</f>
        <v>0</v>
      </c>
      <c r="AB333" s="12"/>
      <c r="AC333" s="121">
        <f t="shared" si="282"/>
        <v>0</v>
      </c>
      <c r="AD333" s="115">
        <f>'2022 Budget &amp; CF'!Z333</f>
        <v>0</v>
      </c>
      <c r="AE333" s="117">
        <f t="shared" si="283"/>
        <v>0</v>
      </c>
      <c r="AF333" s="117">
        <f t="shared" si="284"/>
        <v>0</v>
      </c>
    </row>
    <row r="334" spans="2:32" hidden="1" outlineLevel="1" x14ac:dyDescent="0.2">
      <c r="B334" s="768" t="s">
        <v>551</v>
      </c>
      <c r="C334" s="143" t="s">
        <v>135</v>
      </c>
      <c r="D334" s="144" t="s">
        <v>544</v>
      </c>
      <c r="E334" s="144"/>
      <c r="F334" s="143">
        <v>100</v>
      </c>
      <c r="G334" s="143">
        <v>1000</v>
      </c>
      <c r="H334" s="145" t="s">
        <v>260</v>
      </c>
      <c r="I334" s="145"/>
      <c r="J334" s="345" t="str">
        <f>CONCATENATE(C334,D334,F334,G334,H334,I334)</f>
        <v>28034010010000651</v>
      </c>
      <c r="K334" s="109">
        <v>2022</v>
      </c>
      <c r="L334" s="109" t="s">
        <v>348</v>
      </c>
      <c r="M334" s="109" t="s">
        <v>349</v>
      </c>
      <c r="N334" s="109" t="s">
        <v>350</v>
      </c>
      <c r="O334" s="12">
        <f>'2022 Budget &amp; CF'!J334</f>
        <v>0</v>
      </c>
      <c r="P334" s="12">
        <f>'2022 Budget &amp; CF'!K334</f>
        <v>0</v>
      </c>
      <c r="Q334" s="12">
        <f>'2022 Budget &amp; CF'!L334</f>
        <v>0</v>
      </c>
      <c r="R334" s="12">
        <f>'2022 Budget &amp; CF'!M334</f>
        <v>0</v>
      </c>
      <c r="S334" s="12">
        <f>'2022 Budget &amp; CF'!N334</f>
        <v>0</v>
      </c>
      <c r="T334" s="12">
        <f>'2022 Budget &amp; CF'!O334</f>
        <v>0</v>
      </c>
      <c r="U334" s="12">
        <f>'2022 Budget &amp; CF'!P334</f>
        <v>0</v>
      </c>
      <c r="V334" s="12">
        <f>'2022 Budget &amp; CF'!Q334</f>
        <v>0</v>
      </c>
      <c r="W334" s="12">
        <f>'2022 Budget &amp; CF'!R334</f>
        <v>0</v>
      </c>
      <c r="X334" s="12">
        <f>'2022 Budget &amp; CF'!S334</f>
        <v>0</v>
      </c>
      <c r="Y334" s="12">
        <f>'2022 Budget &amp; CF'!T334</f>
        <v>0</v>
      </c>
      <c r="Z334" s="12">
        <f>'2022 Budget &amp; CF'!U334</f>
        <v>0</v>
      </c>
      <c r="AA334" s="12">
        <f>'2022 Budget &amp; CF'!V334</f>
        <v>0</v>
      </c>
      <c r="AB334" s="12"/>
      <c r="AC334" s="121">
        <f t="shared" si="282"/>
        <v>0</v>
      </c>
      <c r="AD334" s="115">
        <f>'2022 Budget &amp; CF'!Z334</f>
        <v>0</v>
      </c>
      <c r="AE334" s="117">
        <f t="shared" si="283"/>
        <v>0</v>
      </c>
      <c r="AF334" s="117">
        <f t="shared" si="284"/>
        <v>0</v>
      </c>
    </row>
    <row r="335" spans="2:32" hidden="1" outlineLevel="1" x14ac:dyDescent="0.2">
      <c r="B335" s="154" t="s">
        <v>139</v>
      </c>
      <c r="C335" s="151"/>
      <c r="D335" s="152"/>
      <c r="E335" s="152"/>
      <c r="F335" s="152"/>
      <c r="G335" s="152"/>
      <c r="H335" s="153"/>
      <c r="I335" s="152"/>
      <c r="J335" s="343"/>
      <c r="K335" s="133"/>
      <c r="L335" s="133"/>
      <c r="M335" s="133"/>
      <c r="N335" s="13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>
        <f>'2022 Budget &amp; CF'!Z335</f>
        <v>0</v>
      </c>
      <c r="AE335" s="114"/>
      <c r="AF335" s="114"/>
    </row>
    <row r="336" spans="2:32" hidden="1" outlineLevel="1" x14ac:dyDescent="0.2">
      <c r="B336" s="768" t="s">
        <v>546</v>
      </c>
      <c r="C336" s="143" t="s">
        <v>135</v>
      </c>
      <c r="D336" s="144" t="s">
        <v>242</v>
      </c>
      <c r="E336" s="144"/>
      <c r="F336" s="143" t="s">
        <v>532</v>
      </c>
      <c r="G336" s="143" t="s">
        <v>479</v>
      </c>
      <c r="H336" s="145" t="s">
        <v>262</v>
      </c>
      <c r="I336" s="145"/>
      <c r="J336" s="345" t="str">
        <f t="shared" ref="J336:J337" si="285">CONCATENATE(C336,D336,F336,G336,H336,I336)</f>
        <v>28062443025800652</v>
      </c>
      <c r="K336" s="109">
        <v>2022</v>
      </c>
      <c r="L336" s="109" t="s">
        <v>348</v>
      </c>
      <c r="M336" s="109" t="s">
        <v>349</v>
      </c>
      <c r="N336" s="109" t="s">
        <v>350</v>
      </c>
      <c r="O336" s="12">
        <f>'2022 Budget &amp; CF'!J336</f>
        <v>0</v>
      </c>
      <c r="P336" s="12">
        <f>'2022 Budget &amp; CF'!K336</f>
        <v>0</v>
      </c>
      <c r="Q336" s="12">
        <f>'2022 Budget &amp; CF'!L336</f>
        <v>0</v>
      </c>
      <c r="R336" s="12">
        <f>'2022 Budget &amp; CF'!M336</f>
        <v>0</v>
      </c>
      <c r="S336" s="12">
        <f>'2022 Budget &amp; CF'!N336</f>
        <v>0</v>
      </c>
      <c r="T336" s="12">
        <f>'2022 Budget &amp; CF'!O336</f>
        <v>0</v>
      </c>
      <c r="U336" s="12">
        <f>'2022 Budget &amp; CF'!P336</f>
        <v>0</v>
      </c>
      <c r="V336" s="12">
        <f>'2022 Budget &amp; CF'!Q336</f>
        <v>0</v>
      </c>
      <c r="W336" s="12">
        <f>'2022 Budget &amp; CF'!R336</f>
        <v>0</v>
      </c>
      <c r="X336" s="12">
        <f>'2022 Budget &amp; CF'!S336</f>
        <v>0</v>
      </c>
      <c r="Y336" s="12">
        <f>'2022 Budget &amp; CF'!T336</f>
        <v>0</v>
      </c>
      <c r="Z336" s="12">
        <f>'2022 Budget &amp; CF'!U336</f>
        <v>0</v>
      </c>
      <c r="AA336" s="12">
        <f>'2022 Budget &amp; CF'!V336</f>
        <v>0</v>
      </c>
      <c r="AB336" s="12"/>
      <c r="AC336" s="121">
        <f t="shared" ref="AC336:AC337" si="286">SUM(O336:AA336)</f>
        <v>0</v>
      </c>
      <c r="AD336" s="115">
        <f>'2022 Budget &amp; CF'!Z336</f>
        <v>8885</v>
      </c>
      <c r="AE336" s="117">
        <f t="shared" ref="AE336:AE337" si="287">AD336-AC336</f>
        <v>8885</v>
      </c>
      <c r="AF336" s="117">
        <f t="shared" ref="AF336:AF337" si="288">AE336/$AF$6</f>
        <v>740.41666666666663</v>
      </c>
    </row>
    <row r="337" spans="2:32" hidden="1" outlineLevel="1" x14ac:dyDescent="0.2">
      <c r="B337" s="768" t="s">
        <v>514</v>
      </c>
      <c r="C337" s="143">
        <v>280</v>
      </c>
      <c r="D337" s="144" t="s">
        <v>242</v>
      </c>
      <c r="E337" s="144"/>
      <c r="F337" s="143">
        <v>430</v>
      </c>
      <c r="G337" s="143">
        <v>1000</v>
      </c>
      <c r="H337" s="145" t="s">
        <v>264</v>
      </c>
      <c r="I337" s="145"/>
      <c r="J337" s="345" t="str">
        <f t="shared" si="285"/>
        <v>28062443010000653</v>
      </c>
      <c r="K337" s="109">
        <v>2022</v>
      </c>
      <c r="L337" s="109" t="s">
        <v>348</v>
      </c>
      <c r="M337" s="109" t="s">
        <v>349</v>
      </c>
      <c r="N337" s="109" t="s">
        <v>350</v>
      </c>
      <c r="O337" s="12">
        <f>'2022 Budget &amp; CF'!J337</f>
        <v>0</v>
      </c>
      <c r="P337" s="12">
        <f>'2022 Budget &amp; CF'!K337</f>
        <v>0</v>
      </c>
      <c r="Q337" s="12">
        <f>'2022 Budget &amp; CF'!L337</f>
        <v>0</v>
      </c>
      <c r="R337" s="12">
        <f>'2022 Budget &amp; CF'!M337</f>
        <v>0</v>
      </c>
      <c r="S337" s="12">
        <f>'2022 Budget &amp; CF'!N337</f>
        <v>0</v>
      </c>
      <c r="T337" s="12">
        <f>'2022 Budget &amp; CF'!O337</f>
        <v>0</v>
      </c>
      <c r="U337" s="12">
        <f>'2022 Budget &amp; CF'!P337</f>
        <v>0</v>
      </c>
      <c r="V337" s="12">
        <f>'2022 Budget &amp; CF'!Q337</f>
        <v>0</v>
      </c>
      <c r="W337" s="12">
        <f>'2022 Budget &amp; CF'!R337</f>
        <v>0</v>
      </c>
      <c r="X337" s="12">
        <f>'2022 Budget &amp; CF'!S337</f>
        <v>0</v>
      </c>
      <c r="Y337" s="12">
        <f>'2022 Budget &amp; CF'!T337</f>
        <v>0</v>
      </c>
      <c r="Z337" s="12">
        <f>'2022 Budget &amp; CF'!U337</f>
        <v>0</v>
      </c>
      <c r="AA337" s="12">
        <f>'2022 Budget &amp; CF'!V337</f>
        <v>0</v>
      </c>
      <c r="AB337" s="12"/>
      <c r="AC337" s="121">
        <f t="shared" si="286"/>
        <v>0</v>
      </c>
      <c r="AD337" s="115">
        <f>'2022 Budget &amp; CF'!Z337</f>
        <v>0</v>
      </c>
      <c r="AE337" s="117">
        <f t="shared" si="287"/>
        <v>0</v>
      </c>
      <c r="AF337" s="117">
        <f t="shared" si="288"/>
        <v>0</v>
      </c>
    </row>
    <row r="338" spans="2:32" hidden="1" outlineLevel="1" x14ac:dyDescent="0.2">
      <c r="B338" s="762" t="s">
        <v>1306</v>
      </c>
      <c r="C338" s="305"/>
      <c r="D338" s="132"/>
      <c r="E338" s="132"/>
      <c r="F338" s="132"/>
      <c r="G338" s="132"/>
      <c r="H338" s="306"/>
      <c r="I338" s="133"/>
      <c r="J338" s="343"/>
      <c r="K338" s="133"/>
      <c r="L338" s="133"/>
      <c r="M338" s="133"/>
      <c r="N338" s="13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>
        <f>'2022 Budget &amp; CF'!Z336</f>
        <v>8885</v>
      </c>
      <c r="AE338" s="114"/>
      <c r="AF338" s="114"/>
    </row>
    <row r="339" spans="2:32" hidden="1" outlineLevel="1" x14ac:dyDescent="0.2">
      <c r="B339" s="768" t="s">
        <v>826</v>
      </c>
      <c r="C339" s="143">
        <f>'2022 Budget &amp; CF'!C337</f>
        <v>280</v>
      </c>
      <c r="D339" s="144" t="s">
        <v>245</v>
      </c>
      <c r="E339" s="144"/>
      <c r="F339" s="143">
        <v>430</v>
      </c>
      <c r="G339" s="143">
        <f>'2022 Budget &amp; CF'!G337</f>
        <v>1000</v>
      </c>
      <c r="H339" s="145" t="str">
        <f>'2022 Budget &amp; CF'!H337</f>
        <v>0653</v>
      </c>
      <c r="I339" s="145"/>
      <c r="J339" s="345" t="str">
        <f t="shared" ref="J339" si="289">CONCATENATE(C339,D339,F339,G339,H339,I339)</f>
        <v>28063343010000653</v>
      </c>
      <c r="K339" s="109">
        <v>2022</v>
      </c>
      <c r="L339" s="109" t="s">
        <v>348</v>
      </c>
      <c r="M339" s="109" t="s">
        <v>349</v>
      </c>
      <c r="N339" s="109" t="s">
        <v>350</v>
      </c>
      <c r="O339" s="12">
        <f>'2022 Budget &amp; CF'!J337</f>
        <v>0</v>
      </c>
      <c r="P339" s="12">
        <f>'2022 Budget &amp; CF'!K337</f>
        <v>0</v>
      </c>
      <c r="Q339" s="12">
        <f>'2022 Budget &amp; CF'!L337</f>
        <v>0</v>
      </c>
      <c r="R339" s="12">
        <f>'2022 Budget &amp; CF'!M337</f>
        <v>0</v>
      </c>
      <c r="S339" s="12">
        <f>'2022 Budget &amp; CF'!N337</f>
        <v>0</v>
      </c>
      <c r="T339" s="12">
        <f>'2022 Budget &amp; CF'!O337</f>
        <v>0</v>
      </c>
      <c r="U339" s="12">
        <f>'2022 Budget &amp; CF'!P337</f>
        <v>0</v>
      </c>
      <c r="V339" s="12">
        <f>'2022 Budget &amp; CF'!Q337</f>
        <v>0</v>
      </c>
      <c r="W339" s="12">
        <f>'2022 Budget &amp; CF'!R337</f>
        <v>0</v>
      </c>
      <c r="X339" s="12">
        <f>'2022 Budget &amp; CF'!S337</f>
        <v>0</v>
      </c>
      <c r="Y339" s="12">
        <f>'2022 Budget &amp; CF'!T337</f>
        <v>0</v>
      </c>
      <c r="Z339" s="12">
        <f>'2022 Budget &amp; CF'!U337</f>
        <v>0</v>
      </c>
      <c r="AA339" s="12">
        <f>'2022 Budget &amp; CF'!V337</f>
        <v>0</v>
      </c>
      <c r="AB339" s="12"/>
      <c r="AC339" s="121">
        <f t="shared" ref="AC339" si="290">SUM(O339:AA339)</f>
        <v>0</v>
      </c>
      <c r="AD339" s="115">
        <f>'2022 Budget &amp; CF'!Z337</f>
        <v>0</v>
      </c>
      <c r="AE339" s="117">
        <f t="shared" ref="AE339" si="291">AD339-AC339</f>
        <v>0</v>
      </c>
      <c r="AF339" s="117">
        <f t="shared" ref="AF339" si="292">AE339/$AF$6</f>
        <v>0</v>
      </c>
    </row>
    <row r="340" spans="2:32" hidden="1" outlineLevel="1" x14ac:dyDescent="0.2">
      <c r="B340" s="762" t="s">
        <v>531</v>
      </c>
      <c r="C340" s="305"/>
      <c r="D340" s="132"/>
      <c r="E340" s="132"/>
      <c r="F340" s="132"/>
      <c r="G340" s="132"/>
      <c r="H340" s="306"/>
      <c r="I340" s="133"/>
      <c r="J340" s="343"/>
      <c r="K340" s="133"/>
      <c r="L340" s="133"/>
      <c r="M340" s="133"/>
      <c r="N340" s="13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>
        <f>'2022 Budget &amp; CF'!Z340</f>
        <v>0</v>
      </c>
      <c r="AE340" s="114"/>
      <c r="AF340" s="114"/>
    </row>
    <row r="341" spans="2:32" hidden="1" outlineLevel="1" x14ac:dyDescent="0.2">
      <c r="B341" s="768" t="s">
        <v>826</v>
      </c>
      <c r="C341" s="143">
        <f>'2022 Budget &amp; CF'!C341</f>
        <v>280</v>
      </c>
      <c r="D341" s="144" t="s">
        <v>533</v>
      </c>
      <c r="E341" s="144"/>
      <c r="F341" s="143">
        <v>430</v>
      </c>
      <c r="G341" s="143">
        <f>'2022 Budget &amp; CF'!G341</f>
        <v>1000</v>
      </c>
      <c r="H341" s="145" t="str">
        <f>'2022 Budget &amp; CF'!H341</f>
        <v>0610</v>
      </c>
      <c r="I341" s="145"/>
      <c r="J341" s="345" t="str">
        <f t="shared" ref="J341" si="293">CONCATENATE(C341,D341,F341,G341,H341,I341)</f>
        <v>28065043010000610</v>
      </c>
      <c r="K341" s="109">
        <v>2022</v>
      </c>
      <c r="L341" s="109" t="s">
        <v>348</v>
      </c>
      <c r="M341" s="109" t="s">
        <v>349</v>
      </c>
      <c r="N341" s="109" t="s">
        <v>350</v>
      </c>
      <c r="O341" s="12">
        <f>'2022 Budget &amp; CF'!J341</f>
        <v>0</v>
      </c>
      <c r="P341" s="12">
        <f>'2022 Budget &amp; CF'!K341</f>
        <v>0</v>
      </c>
      <c r="Q341" s="12">
        <f>'2022 Budget &amp; CF'!L341</f>
        <v>0</v>
      </c>
      <c r="R341" s="12">
        <f>'2022 Budget &amp; CF'!M341</f>
        <v>0</v>
      </c>
      <c r="S341" s="12">
        <f>'2022 Budget &amp; CF'!N341</f>
        <v>0</v>
      </c>
      <c r="T341" s="12">
        <f>'2022 Budget &amp; CF'!O341</f>
        <v>0</v>
      </c>
      <c r="U341" s="12">
        <f>'2022 Budget &amp; CF'!P341</f>
        <v>0</v>
      </c>
      <c r="V341" s="12">
        <f>'2022 Budget &amp; CF'!Q341</f>
        <v>0</v>
      </c>
      <c r="W341" s="12">
        <f>'2022 Budget &amp; CF'!R341</f>
        <v>0</v>
      </c>
      <c r="X341" s="12">
        <f>'2022 Budget &amp; CF'!S341</f>
        <v>0</v>
      </c>
      <c r="Y341" s="12">
        <f>'2022 Budget &amp; CF'!T341</f>
        <v>0</v>
      </c>
      <c r="Z341" s="12">
        <f>'2022 Budget &amp; CF'!U341</f>
        <v>0</v>
      </c>
      <c r="AA341" s="12">
        <f>'2022 Budget &amp; CF'!V341</f>
        <v>0</v>
      </c>
      <c r="AB341" s="12"/>
      <c r="AC341" s="121">
        <f t="shared" ref="AC341" si="294">SUM(O341:AA341)</f>
        <v>0</v>
      </c>
      <c r="AD341" s="115">
        <f>'2022 Budget &amp; CF'!Z341</f>
        <v>0</v>
      </c>
      <c r="AE341" s="117">
        <f t="shared" ref="AE341" si="295">AD341-AC341</f>
        <v>0</v>
      </c>
      <c r="AF341" s="117">
        <f t="shared" ref="AF341" si="296">AE341/$AF$6</f>
        <v>0</v>
      </c>
    </row>
    <row r="342" spans="2:32" hidden="1" outlineLevel="1" x14ac:dyDescent="0.2">
      <c r="B342" s="764" t="s">
        <v>922</v>
      </c>
      <c r="C342" s="132"/>
      <c r="D342" s="132"/>
      <c r="E342" s="132"/>
      <c r="F342" s="132"/>
      <c r="G342" s="132"/>
      <c r="H342" s="152"/>
      <c r="I342" s="133"/>
      <c r="J342" s="343"/>
      <c r="K342" s="133"/>
      <c r="L342" s="133"/>
      <c r="M342" s="133"/>
      <c r="N342" s="13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>
        <f>'2022 Budget &amp; CF'!Z342</f>
        <v>0</v>
      </c>
      <c r="AE342" s="114"/>
      <c r="AF342" s="114"/>
    </row>
    <row r="343" spans="2:32" hidden="1" outlineLevel="1" x14ac:dyDescent="0.2">
      <c r="B343" s="768" t="s">
        <v>826</v>
      </c>
      <c r="C343" s="143">
        <v>280</v>
      </c>
      <c r="D343" s="101">
        <v>661</v>
      </c>
      <c r="E343" s="144"/>
      <c r="F343" s="143">
        <v>100</v>
      </c>
      <c r="G343" s="143">
        <v>1000</v>
      </c>
      <c r="H343" s="145" t="s">
        <v>254</v>
      </c>
      <c r="I343" s="145" t="s">
        <v>497</v>
      </c>
      <c r="J343" s="345" t="str">
        <f t="shared" ref="J343:J344" si="297">CONCATENATE(C343,D343,F343,G343,H343,I343)</f>
        <v>2806611001000061002</v>
      </c>
      <c r="K343" s="109">
        <v>2022</v>
      </c>
      <c r="L343" s="109" t="s">
        <v>348</v>
      </c>
      <c r="M343" s="109" t="s">
        <v>349</v>
      </c>
      <c r="N343" s="109" t="s">
        <v>350</v>
      </c>
      <c r="O343" s="12">
        <f>'2022 Budget &amp; CF'!J343</f>
        <v>0</v>
      </c>
      <c r="P343" s="12">
        <f>'2022 Budget &amp; CF'!K343</f>
        <v>0</v>
      </c>
      <c r="Q343" s="12">
        <f>'2022 Budget &amp; CF'!L343</f>
        <v>0</v>
      </c>
      <c r="R343" s="12">
        <f>'2022 Budget &amp; CF'!M343</f>
        <v>0</v>
      </c>
      <c r="S343" s="12">
        <f>'2022 Budget &amp; CF'!N343</f>
        <v>0</v>
      </c>
      <c r="T343" s="12">
        <f>'2022 Budget &amp; CF'!O343</f>
        <v>0</v>
      </c>
      <c r="U343" s="12">
        <f>'2022 Budget &amp; CF'!P343</f>
        <v>0</v>
      </c>
      <c r="V343" s="12">
        <f>'2022 Budget &amp; CF'!Q343</f>
        <v>0</v>
      </c>
      <c r="W343" s="12">
        <f>'2022 Budget &amp; CF'!R343</f>
        <v>0</v>
      </c>
      <c r="X343" s="12">
        <f>'2022 Budget &amp; CF'!S343</f>
        <v>0</v>
      </c>
      <c r="Y343" s="12">
        <f>'2022 Budget &amp; CF'!T343</f>
        <v>0</v>
      </c>
      <c r="Z343" s="12">
        <f>'2022 Budget &amp; CF'!U343</f>
        <v>0</v>
      </c>
      <c r="AA343" s="12">
        <f>'2022 Budget &amp; CF'!V343</f>
        <v>0</v>
      </c>
      <c r="AB343" s="12"/>
      <c r="AC343" s="121">
        <f t="shared" ref="AC343:AC348" si="298">SUM(O343:AA343)</f>
        <v>0</v>
      </c>
      <c r="AD343" s="115">
        <f>'2022 Budget &amp; CF'!Z343</f>
        <v>0</v>
      </c>
      <c r="AE343" s="117">
        <f t="shared" ref="AE343:AE348" si="299">AD343-AC343</f>
        <v>0</v>
      </c>
      <c r="AF343" s="117">
        <f t="shared" ref="AF343:AF348" si="300">AE343/$AF$6</f>
        <v>0</v>
      </c>
    </row>
    <row r="344" spans="2:32" hidden="1" outlineLevel="1" x14ac:dyDescent="0.2">
      <c r="B344" s="768" t="s">
        <v>826</v>
      </c>
      <c r="C344" s="143">
        <v>280</v>
      </c>
      <c r="D344" s="101">
        <v>661</v>
      </c>
      <c r="E344" s="144"/>
      <c r="F344" s="143">
        <v>100</v>
      </c>
      <c r="G344" s="143">
        <v>2410</v>
      </c>
      <c r="H344" s="145" t="s">
        <v>254</v>
      </c>
      <c r="I344" s="145" t="s">
        <v>497</v>
      </c>
      <c r="J344" s="345" t="str">
        <f t="shared" si="297"/>
        <v>2806611002410061002</v>
      </c>
      <c r="K344" s="109">
        <v>2022</v>
      </c>
      <c r="L344" s="109" t="s">
        <v>348</v>
      </c>
      <c r="M344" s="109" t="s">
        <v>349</v>
      </c>
      <c r="N344" s="109" t="s">
        <v>350</v>
      </c>
      <c r="O344" s="12">
        <f>'2022 Budget &amp; CF'!J344</f>
        <v>0</v>
      </c>
      <c r="P344" s="12">
        <f>'2022 Budget &amp; CF'!K344</f>
        <v>0</v>
      </c>
      <c r="Q344" s="12">
        <f>'2022 Budget &amp; CF'!L344</f>
        <v>0</v>
      </c>
      <c r="R344" s="12">
        <f>'2022 Budget &amp; CF'!M344</f>
        <v>0</v>
      </c>
      <c r="S344" s="12">
        <f>'2022 Budget &amp; CF'!N344</f>
        <v>0</v>
      </c>
      <c r="T344" s="12">
        <f>'2022 Budget &amp; CF'!O344</f>
        <v>0</v>
      </c>
      <c r="U344" s="12">
        <f>'2022 Budget &amp; CF'!P344</f>
        <v>0</v>
      </c>
      <c r="V344" s="12">
        <f>'2022 Budget &amp; CF'!Q344</f>
        <v>0</v>
      </c>
      <c r="W344" s="12">
        <f>'2022 Budget &amp; CF'!R344</f>
        <v>0</v>
      </c>
      <c r="X344" s="12">
        <f>'2022 Budget &amp; CF'!S344</f>
        <v>0</v>
      </c>
      <c r="Y344" s="12">
        <f>'2022 Budget &amp; CF'!T344</f>
        <v>0</v>
      </c>
      <c r="Z344" s="12">
        <f>'2022 Budget &amp; CF'!U344</f>
        <v>0</v>
      </c>
      <c r="AA344" s="12">
        <f>'2022 Budget &amp; CF'!V344</f>
        <v>0</v>
      </c>
      <c r="AB344" s="12"/>
      <c r="AC344" s="121">
        <f t="shared" si="298"/>
        <v>0</v>
      </c>
      <c r="AD344" s="115">
        <f>'2022 Budget &amp; CF'!Z344</f>
        <v>0</v>
      </c>
      <c r="AE344" s="117">
        <f t="shared" si="299"/>
        <v>0</v>
      </c>
      <c r="AF344" s="117">
        <f t="shared" si="300"/>
        <v>0</v>
      </c>
    </row>
    <row r="345" spans="2:32" hidden="1" outlineLevel="1" x14ac:dyDescent="0.2">
      <c r="B345" s="768" t="s">
        <v>826</v>
      </c>
      <c r="C345" s="143">
        <v>280</v>
      </c>
      <c r="D345" s="101">
        <v>661</v>
      </c>
      <c r="E345" s="144"/>
      <c r="F345" s="143">
        <v>100</v>
      </c>
      <c r="G345" s="143">
        <v>2589</v>
      </c>
      <c r="H345" s="145" t="s">
        <v>254</v>
      </c>
      <c r="I345" s="145" t="s">
        <v>497</v>
      </c>
      <c r="J345" s="345" t="str">
        <f t="shared" ref="J345" si="301">CONCATENATE(C345,D345,F345,G345,H345,I345)</f>
        <v>2806611002589061002</v>
      </c>
      <c r="K345" s="109">
        <v>2022</v>
      </c>
      <c r="L345" s="109" t="s">
        <v>348</v>
      </c>
      <c r="M345" s="109" t="s">
        <v>349</v>
      </c>
      <c r="N345" s="109" t="s">
        <v>350</v>
      </c>
      <c r="O345" s="12">
        <f>'2022 Budget &amp; CF'!J345</f>
        <v>0</v>
      </c>
      <c r="P345" s="12">
        <f>'2022 Budget &amp; CF'!K345</f>
        <v>1081.6100000000001</v>
      </c>
      <c r="Q345" s="12">
        <f>'2022 Budget &amp; CF'!L345</f>
        <v>140.30000000000001</v>
      </c>
      <c r="R345" s="12">
        <f>'2022 Budget &amp; CF'!M345</f>
        <v>0</v>
      </c>
      <c r="S345" s="12">
        <f>'2022 Budget &amp; CF'!N345</f>
        <v>0</v>
      </c>
      <c r="T345" s="12">
        <f>'2022 Budget &amp; CF'!O345</f>
        <v>0</v>
      </c>
      <c r="U345" s="12">
        <f>'2022 Budget &amp; CF'!P345</f>
        <v>0</v>
      </c>
      <c r="V345" s="12">
        <f>'2022 Budget &amp; CF'!Q345</f>
        <v>0</v>
      </c>
      <c r="W345" s="12">
        <f>'2022 Budget &amp; CF'!R345</f>
        <v>0</v>
      </c>
      <c r="X345" s="12">
        <f>'2022 Budget &amp; CF'!S345</f>
        <v>0</v>
      </c>
      <c r="Y345" s="12">
        <f>'2022 Budget &amp; CF'!T345</f>
        <v>0</v>
      </c>
      <c r="Z345" s="12">
        <f>'2022 Budget &amp; CF'!U345</f>
        <v>0</v>
      </c>
      <c r="AA345" s="12">
        <f>'2022 Budget &amp; CF'!V345</f>
        <v>0</v>
      </c>
      <c r="AB345" s="12"/>
      <c r="AC345" s="121">
        <f t="shared" ref="AC345" si="302">SUM(O345:AA345)</f>
        <v>1221.9100000000001</v>
      </c>
      <c r="AD345" s="115">
        <f>'2022 Budget &amp; CF'!Z345</f>
        <v>0</v>
      </c>
      <c r="AE345" s="117">
        <f t="shared" ref="AE345" si="303">AD345-AC345</f>
        <v>-1221.9100000000001</v>
      </c>
      <c r="AF345" s="117">
        <f t="shared" ref="AF345" si="304">AE345/$AF$6</f>
        <v>-101.82583333333334</v>
      </c>
    </row>
    <row r="346" spans="2:32" hidden="1" outlineLevel="1" x14ac:dyDescent="0.2">
      <c r="B346" s="768" t="s">
        <v>826</v>
      </c>
      <c r="C346" s="143">
        <v>280</v>
      </c>
      <c r="D346" s="101">
        <v>661</v>
      </c>
      <c r="E346" s="144"/>
      <c r="F346" s="143">
        <v>100</v>
      </c>
      <c r="G346" s="143">
        <v>2610</v>
      </c>
      <c r="H346" s="145" t="s">
        <v>254</v>
      </c>
      <c r="I346" s="145" t="s">
        <v>497</v>
      </c>
      <c r="J346" s="345" t="str">
        <f t="shared" ref="J346" si="305">CONCATENATE(C346,D346,F346,G346,H346,I346)</f>
        <v>2806611002610061002</v>
      </c>
      <c r="K346" s="109">
        <v>2022</v>
      </c>
      <c r="L346" s="109" t="s">
        <v>348</v>
      </c>
      <c r="M346" s="109" t="s">
        <v>349</v>
      </c>
      <c r="N346" s="109" t="s">
        <v>350</v>
      </c>
      <c r="O346" s="12">
        <f>'2022 Budget &amp; CF'!J346</f>
        <v>0</v>
      </c>
      <c r="P346" s="12">
        <f>'2022 Budget &amp; CF'!K346</f>
        <v>0</v>
      </c>
      <c r="Q346" s="12">
        <f>'2022 Budget &amp; CF'!L346</f>
        <v>0</v>
      </c>
      <c r="R346" s="12">
        <f>'2022 Budget &amp; CF'!M346</f>
        <v>0</v>
      </c>
      <c r="S346" s="12">
        <f>'2022 Budget &amp; CF'!N346</f>
        <v>1789.33</v>
      </c>
      <c r="T346" s="12">
        <f>'2022 Budget &amp; CF'!O346</f>
        <v>0</v>
      </c>
      <c r="U346" s="12">
        <f>'2022 Budget &amp; CF'!P346</f>
        <v>0</v>
      </c>
      <c r="V346" s="12">
        <f>'2022 Budget &amp; CF'!Q346</f>
        <v>0</v>
      </c>
      <c r="W346" s="12">
        <f>'2022 Budget &amp; CF'!R346</f>
        <v>0</v>
      </c>
      <c r="X346" s="12">
        <f>'2022 Budget &amp; CF'!S346</f>
        <v>0</v>
      </c>
      <c r="Y346" s="12">
        <f>'2022 Budget &amp; CF'!T346</f>
        <v>0</v>
      </c>
      <c r="Z346" s="12">
        <f>'2022 Budget &amp; CF'!U346</f>
        <v>0</v>
      </c>
      <c r="AA346" s="12">
        <f>'2022 Budget &amp; CF'!V346</f>
        <v>0</v>
      </c>
      <c r="AB346" s="12"/>
      <c r="AC346" s="121">
        <f t="shared" si="298"/>
        <v>1789.33</v>
      </c>
      <c r="AD346" s="115">
        <f>'2022 Budget &amp; CF'!Z346</f>
        <v>0</v>
      </c>
      <c r="AE346" s="117">
        <f t="shared" si="299"/>
        <v>-1789.33</v>
      </c>
      <c r="AF346" s="117">
        <f t="shared" si="300"/>
        <v>-149.11083333333332</v>
      </c>
    </row>
    <row r="347" spans="2:32" hidden="1" outlineLevel="1" x14ac:dyDescent="0.2">
      <c r="B347" s="768" t="s">
        <v>546</v>
      </c>
      <c r="C347" s="143">
        <v>280</v>
      </c>
      <c r="D347" s="101">
        <v>661</v>
      </c>
      <c r="E347" s="144"/>
      <c r="F347" s="143">
        <v>100</v>
      </c>
      <c r="G347" s="143">
        <v>1000</v>
      </c>
      <c r="H347" s="145" t="s">
        <v>262</v>
      </c>
      <c r="I347" s="145" t="s">
        <v>497</v>
      </c>
      <c r="J347" s="729" t="str">
        <f t="shared" ref="J347" si="306">CONCATENATE(C347,D347,F347,G347,H347,I347)</f>
        <v>2806611001000065202</v>
      </c>
      <c r="K347" s="109">
        <v>2022</v>
      </c>
      <c r="L347" s="109" t="s">
        <v>348</v>
      </c>
      <c r="M347" s="109" t="s">
        <v>349</v>
      </c>
      <c r="N347" s="109" t="s">
        <v>350</v>
      </c>
      <c r="O347" s="12">
        <f>'2022 Budget &amp; CF'!J347</f>
        <v>3398.85</v>
      </c>
      <c r="P347" s="12">
        <f>'2022 Budget &amp; CF'!K347</f>
        <v>14575</v>
      </c>
      <c r="Q347" s="12">
        <f>'2022 Budget &amp; CF'!L347</f>
        <v>11132.46</v>
      </c>
      <c r="R347" s="12">
        <f>'2022 Budget &amp; CF'!M347</f>
        <v>0</v>
      </c>
      <c r="S347" s="12">
        <f>'2022 Budget &amp; CF'!N347</f>
        <v>-11132.46</v>
      </c>
      <c r="T347" s="12">
        <f>'2022 Budget &amp; CF'!O347</f>
        <v>0</v>
      </c>
      <c r="U347" s="12">
        <f>'2022 Budget &amp; CF'!P347</f>
        <v>0</v>
      </c>
      <c r="V347" s="12">
        <f>'2022 Budget &amp; CF'!Q347</f>
        <v>0</v>
      </c>
      <c r="W347" s="12">
        <f>'2022 Budget &amp; CF'!R347</f>
        <v>0</v>
      </c>
      <c r="X347" s="12">
        <f>'2022 Budget &amp; CF'!S347</f>
        <v>0</v>
      </c>
      <c r="Y347" s="12">
        <f>'2022 Budget &amp; CF'!T347</f>
        <v>0</v>
      </c>
      <c r="Z347" s="12">
        <f>'2022 Budget &amp; CF'!U347</f>
        <v>0</v>
      </c>
      <c r="AA347" s="12">
        <f>'2022 Budget &amp; CF'!V347</f>
        <v>0</v>
      </c>
      <c r="AB347" s="12"/>
      <c r="AC347" s="121">
        <f t="shared" si="298"/>
        <v>17973.849999999999</v>
      </c>
      <c r="AD347" s="115">
        <f>'2022 Budget &amp; CF'!Z347</f>
        <v>27208</v>
      </c>
      <c r="AE347" s="117">
        <f t="shared" si="299"/>
        <v>9234.1500000000015</v>
      </c>
      <c r="AF347" s="117">
        <f t="shared" si="300"/>
        <v>769.51250000000016</v>
      </c>
    </row>
    <row r="348" spans="2:32" hidden="1" outlineLevel="1" x14ac:dyDescent="0.2">
      <c r="B348" s="768" t="s">
        <v>546</v>
      </c>
      <c r="C348" s="143">
        <v>280</v>
      </c>
      <c r="D348" s="101">
        <v>661</v>
      </c>
      <c r="E348" s="144"/>
      <c r="F348" s="143">
        <v>100</v>
      </c>
      <c r="G348" s="143">
        <v>2410</v>
      </c>
      <c r="H348" s="145" t="s">
        <v>262</v>
      </c>
      <c r="I348" s="145" t="s">
        <v>497</v>
      </c>
      <c r="J348" s="345" t="str">
        <f t="shared" ref="J348:J349" si="307">CONCATENATE(C348,D348,F348,G348,H348,I348)</f>
        <v>2806611002410065202</v>
      </c>
      <c r="K348" s="109">
        <v>2022</v>
      </c>
      <c r="L348" s="109" t="s">
        <v>348</v>
      </c>
      <c r="M348" s="109" t="s">
        <v>349</v>
      </c>
      <c r="N348" s="109" t="s">
        <v>350</v>
      </c>
      <c r="O348" s="12">
        <f>'2022 Budget &amp; CF'!J348</f>
        <v>0</v>
      </c>
      <c r="P348" s="12">
        <f>'2022 Budget &amp; CF'!K348</f>
        <v>0</v>
      </c>
      <c r="Q348" s="12">
        <f>'2022 Budget &amp; CF'!L348</f>
        <v>0</v>
      </c>
      <c r="R348" s="12">
        <f>'2022 Budget &amp; CF'!M348</f>
        <v>0</v>
      </c>
      <c r="S348" s="12">
        <f>'2022 Budget &amp; CF'!N348</f>
        <v>0</v>
      </c>
      <c r="T348" s="12">
        <f>'2022 Budget &amp; CF'!O348</f>
        <v>0</v>
      </c>
      <c r="U348" s="12">
        <f>'2022 Budget &amp; CF'!P348</f>
        <v>0</v>
      </c>
      <c r="V348" s="12">
        <f>'2022 Budget &amp; CF'!Q348</f>
        <v>0</v>
      </c>
      <c r="W348" s="12">
        <f>'2022 Budget &amp; CF'!R348</f>
        <v>0</v>
      </c>
      <c r="X348" s="12">
        <f>'2022 Budget &amp; CF'!S348</f>
        <v>0</v>
      </c>
      <c r="Y348" s="12">
        <f>'2022 Budget &amp; CF'!T348</f>
        <v>0</v>
      </c>
      <c r="Z348" s="12">
        <f>'2022 Budget &amp; CF'!U348</f>
        <v>0</v>
      </c>
      <c r="AA348" s="12">
        <f>'2022 Budget &amp; CF'!V348</f>
        <v>0</v>
      </c>
      <c r="AB348" s="12"/>
      <c r="AC348" s="121">
        <f t="shared" si="298"/>
        <v>0</v>
      </c>
      <c r="AD348" s="115">
        <f>'2022 Budget &amp; CF'!Z348</f>
        <v>0</v>
      </c>
      <c r="AE348" s="117">
        <f t="shared" si="299"/>
        <v>0</v>
      </c>
      <c r="AF348" s="117">
        <f t="shared" si="300"/>
        <v>0</v>
      </c>
    </row>
    <row r="349" spans="2:32" hidden="1" outlineLevel="1" x14ac:dyDescent="0.2">
      <c r="B349" s="768" t="s">
        <v>546</v>
      </c>
      <c r="C349" s="143">
        <v>280</v>
      </c>
      <c r="D349" s="101">
        <v>661</v>
      </c>
      <c r="E349" s="144"/>
      <c r="F349" s="143">
        <v>100</v>
      </c>
      <c r="G349" s="143">
        <v>2580</v>
      </c>
      <c r="H349" s="145" t="s">
        <v>262</v>
      </c>
      <c r="I349" s="145" t="s">
        <v>497</v>
      </c>
      <c r="J349" s="345" t="str">
        <f t="shared" si="307"/>
        <v>2806611002580065202</v>
      </c>
      <c r="K349" s="109">
        <v>2022</v>
      </c>
      <c r="L349" s="109" t="s">
        <v>348</v>
      </c>
      <c r="M349" s="109" t="s">
        <v>349</v>
      </c>
      <c r="N349" s="109" t="s">
        <v>350</v>
      </c>
      <c r="O349" s="12">
        <f>'2022 Budget &amp; CF'!J349</f>
        <v>0</v>
      </c>
      <c r="P349" s="12">
        <f>'2022 Budget &amp; CF'!K349</f>
        <v>0</v>
      </c>
      <c r="Q349" s="12">
        <f>'2022 Budget &amp; CF'!L349</f>
        <v>0</v>
      </c>
      <c r="R349" s="12">
        <f>'2022 Budget &amp; CF'!M349</f>
        <v>9317.76</v>
      </c>
      <c r="S349" s="12">
        <f>'2022 Budget &amp; CF'!N349</f>
        <v>1051.58</v>
      </c>
      <c r="T349" s="12">
        <f>'2022 Budget &amp; CF'!O349</f>
        <v>0</v>
      </c>
      <c r="U349" s="12">
        <f>'2022 Budget &amp; CF'!P349</f>
        <v>0</v>
      </c>
      <c r="V349" s="12">
        <f>'2022 Budget &amp; CF'!Q349</f>
        <v>0</v>
      </c>
      <c r="W349" s="12">
        <f>'2022 Budget &amp; CF'!R349</f>
        <v>0</v>
      </c>
      <c r="X349" s="12">
        <f>'2022 Budget &amp; CF'!S349</f>
        <v>0</v>
      </c>
      <c r="Y349" s="12">
        <f>'2022 Budget &amp; CF'!T349</f>
        <v>0</v>
      </c>
      <c r="Z349" s="12">
        <f>'2022 Budget &amp; CF'!U349</f>
        <v>0</v>
      </c>
      <c r="AA349" s="12">
        <f>'2022 Budget &amp; CF'!V349</f>
        <v>0</v>
      </c>
      <c r="AB349" s="12"/>
      <c r="AC349" s="121">
        <f t="shared" ref="AC349" si="308">SUM(O349:AA349)</f>
        <v>10369.34</v>
      </c>
      <c r="AD349" s="115">
        <f>'2022 Budget &amp; CF'!Z349</f>
        <v>0</v>
      </c>
      <c r="AE349" s="117">
        <f t="shared" ref="AE349" si="309">AD349-AC349</f>
        <v>-10369.34</v>
      </c>
      <c r="AF349" s="117">
        <f t="shared" ref="AF349" si="310">AE349/$AF$6</f>
        <v>-864.11166666666668</v>
      </c>
    </row>
    <row r="350" spans="2:32" hidden="1" outlineLevel="1" x14ac:dyDescent="0.2">
      <c r="B350" s="154" t="s">
        <v>1041</v>
      </c>
      <c r="C350" s="151"/>
      <c r="D350" s="152"/>
      <c r="E350" s="152"/>
      <c r="F350" s="152"/>
      <c r="G350" s="152"/>
      <c r="H350" s="153"/>
      <c r="I350" s="152"/>
      <c r="J350" s="343"/>
      <c r="K350" s="133"/>
      <c r="L350" s="133"/>
      <c r="M350" s="133"/>
      <c r="N350" s="13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>
        <f>'2022 Budget &amp; CF'!Z350</f>
        <v>0</v>
      </c>
      <c r="AE350" s="114"/>
      <c r="AF350" s="114"/>
    </row>
    <row r="351" spans="2:32" hidden="1" outlineLevel="1" x14ac:dyDescent="0.2">
      <c r="B351" s="768" t="s">
        <v>513</v>
      </c>
      <c r="C351" s="143" t="s">
        <v>135</v>
      </c>
      <c r="D351" s="144" t="s">
        <v>1042</v>
      </c>
      <c r="E351" s="144"/>
      <c r="F351" s="143" t="s">
        <v>468</v>
      </c>
      <c r="G351" s="143" t="s">
        <v>461</v>
      </c>
      <c r="H351" s="145" t="s">
        <v>260</v>
      </c>
      <c r="I351" s="145"/>
      <c r="J351" s="345" t="str">
        <f t="shared" ref="J351" si="311">CONCATENATE(C351,D351,F351,G351,H351,I351)</f>
        <v>28069810010000651</v>
      </c>
      <c r="K351" s="109">
        <v>2022</v>
      </c>
      <c r="L351" s="109" t="s">
        <v>348</v>
      </c>
      <c r="M351" s="109" t="s">
        <v>349</v>
      </c>
      <c r="N351" s="109" t="s">
        <v>350</v>
      </c>
      <c r="O351" s="12">
        <f>'2022 Budget &amp; CF'!J351</f>
        <v>0</v>
      </c>
      <c r="P351" s="12">
        <f>'2022 Budget &amp; CF'!K351</f>
        <v>570</v>
      </c>
      <c r="Q351" s="12">
        <f>'2022 Budget &amp; CF'!L351</f>
        <v>0</v>
      </c>
      <c r="R351" s="12">
        <f>'2022 Budget &amp; CF'!M351</f>
        <v>460</v>
      </c>
      <c r="S351" s="12">
        <f>'2022 Budget &amp; CF'!N351</f>
        <v>0</v>
      </c>
      <c r="T351" s="12">
        <f>'2022 Budget &amp; CF'!O351</f>
        <v>0</v>
      </c>
      <c r="U351" s="12">
        <f>'2022 Budget &amp; CF'!P351</f>
        <v>0</v>
      </c>
      <c r="V351" s="12">
        <f>'2022 Budget &amp; CF'!Q351</f>
        <v>0</v>
      </c>
      <c r="W351" s="12">
        <f>'2022 Budget &amp; CF'!R351</f>
        <v>0</v>
      </c>
      <c r="X351" s="12">
        <f>'2022 Budget &amp; CF'!S351</f>
        <v>0</v>
      </c>
      <c r="Y351" s="12">
        <f>'2022 Budget &amp; CF'!T351</f>
        <v>0</v>
      </c>
      <c r="Z351" s="12">
        <f>'2022 Budget &amp; CF'!U351</f>
        <v>0</v>
      </c>
      <c r="AA351" s="12">
        <f>'2022 Budget &amp; CF'!V351</f>
        <v>0</v>
      </c>
      <c r="AB351" s="12"/>
      <c r="AC351" s="121">
        <f t="shared" ref="AC351" si="312">SUM(O351:AA351)</f>
        <v>1030</v>
      </c>
      <c r="AD351" s="115">
        <f>'2022 Budget &amp; CF'!Z351</f>
        <v>0</v>
      </c>
      <c r="AE351" s="117">
        <f t="shared" ref="AE351" si="313">AD351-AC351</f>
        <v>-1030</v>
      </c>
      <c r="AF351" s="117">
        <f t="shared" ref="AF351" si="314">AE351/$AF$6</f>
        <v>-85.833333333333329</v>
      </c>
    </row>
    <row r="352" spans="2:32" hidden="1" outlineLevel="1" x14ac:dyDescent="0.2">
      <c r="B352" s="154" t="s">
        <v>277</v>
      </c>
      <c r="C352" s="151"/>
      <c r="D352" s="152"/>
      <c r="E352" s="152"/>
      <c r="F352" s="152"/>
      <c r="G352" s="152"/>
      <c r="H352" s="153"/>
      <c r="I352" s="152"/>
      <c r="J352" s="343"/>
      <c r="K352" s="133"/>
      <c r="L352" s="133"/>
      <c r="M352" s="133"/>
      <c r="N352" s="13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>
        <f>'2022 Budget &amp; CF'!Z352</f>
        <v>0</v>
      </c>
      <c r="AE352" s="114"/>
      <c r="AF352" s="114"/>
    </row>
    <row r="353" spans="2:32" hidden="1" outlineLevel="1" x14ac:dyDescent="0.2">
      <c r="B353" s="768" t="s">
        <v>278</v>
      </c>
      <c r="C353" s="143">
        <f>'2022 Budget &amp; CF'!C353</f>
        <v>280</v>
      </c>
      <c r="D353" s="144" t="str">
        <f>'2022 Budget &amp; CF'!D353</f>
        <v>709</v>
      </c>
      <c r="E353" s="144"/>
      <c r="F353" s="143">
        <f>'2022 Budget &amp; CF'!F353</f>
        <v>100</v>
      </c>
      <c r="G353" s="143">
        <f>'2022 Budget &amp; CF'!G353</f>
        <v>1000</v>
      </c>
      <c r="H353" s="145" t="str">
        <f>'2022 Budget &amp; CF'!H353</f>
        <v>0610</v>
      </c>
      <c r="I353" s="145"/>
      <c r="J353" s="345" t="str">
        <f t="shared" ref="J353" si="315">CONCATENATE(C353,D353,F353,G353,H353,I353)</f>
        <v>28070910010000610</v>
      </c>
      <c r="K353" s="109">
        <v>2022</v>
      </c>
      <c r="L353" s="109" t="s">
        <v>348</v>
      </c>
      <c r="M353" s="109" t="s">
        <v>349</v>
      </c>
      <c r="N353" s="109" t="s">
        <v>350</v>
      </c>
      <c r="O353" s="12">
        <f>'2022 Budget &amp; CF'!J353</f>
        <v>0</v>
      </c>
      <c r="P353" s="12">
        <f>'2022 Budget &amp; CF'!K353</f>
        <v>0</v>
      </c>
      <c r="Q353" s="12">
        <f>'2022 Budget &amp; CF'!L353</f>
        <v>0</v>
      </c>
      <c r="R353" s="12">
        <f>'2022 Budget &amp; CF'!M353</f>
        <v>0</v>
      </c>
      <c r="S353" s="12">
        <f>'2022 Budget &amp; CF'!N353</f>
        <v>0</v>
      </c>
      <c r="T353" s="12">
        <f>'2022 Budget &amp; CF'!O353</f>
        <v>0</v>
      </c>
      <c r="U353" s="12">
        <f>'2022 Budget &amp; CF'!P353</f>
        <v>0</v>
      </c>
      <c r="V353" s="12">
        <f>'2022 Budget &amp; CF'!Q353</f>
        <v>0</v>
      </c>
      <c r="W353" s="12">
        <f>'2022 Budget &amp; CF'!R353</f>
        <v>0</v>
      </c>
      <c r="X353" s="12">
        <f>'2022 Budget &amp; CF'!S353</f>
        <v>0</v>
      </c>
      <c r="Y353" s="12">
        <f>'2022 Budget &amp; CF'!T353</f>
        <v>0</v>
      </c>
      <c r="Z353" s="12">
        <f>'2022 Budget &amp; CF'!U353</f>
        <v>0</v>
      </c>
      <c r="AA353" s="12">
        <f>'2022 Budget &amp; CF'!V353</f>
        <v>0</v>
      </c>
      <c r="AB353" s="12"/>
      <c r="AC353" s="121">
        <f t="shared" ref="AC353" si="316">SUM(O353:AA353)</f>
        <v>0</v>
      </c>
      <c r="AD353" s="115">
        <f>'2022 Budget &amp; CF'!Z353</f>
        <v>0</v>
      </c>
      <c r="AE353" s="117">
        <f t="shared" ref="AE353" si="317">AD353-AC353</f>
        <v>0</v>
      </c>
      <c r="AF353" s="117">
        <f t="shared" ref="AF353" si="318">AE353/$AF$6</f>
        <v>0</v>
      </c>
    </row>
    <row r="354" spans="2:32" hidden="1" outlineLevel="1" x14ac:dyDescent="0.2">
      <c r="B354" s="154" t="s">
        <v>547</v>
      </c>
      <c r="C354" s="151"/>
      <c r="D354" s="152"/>
      <c r="E354" s="152"/>
      <c r="F354" s="152"/>
      <c r="G354" s="152"/>
      <c r="H354" s="153"/>
      <c r="I354" s="152"/>
      <c r="J354" s="343"/>
      <c r="K354" s="133"/>
      <c r="L354" s="133"/>
      <c r="M354" s="133"/>
      <c r="N354" s="13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>
        <f>'2022 Budget &amp; CF'!Z354</f>
        <v>0</v>
      </c>
      <c r="AE354" s="114"/>
      <c r="AF354" s="114"/>
    </row>
    <row r="355" spans="2:32" hidden="1" outlineLevel="1" x14ac:dyDescent="0.2">
      <c r="B355" s="768" t="s">
        <v>513</v>
      </c>
      <c r="C355" s="143" t="s">
        <v>135</v>
      </c>
      <c r="D355" s="144" t="s">
        <v>550</v>
      </c>
      <c r="E355" s="144"/>
      <c r="F355" s="143" t="s">
        <v>468</v>
      </c>
      <c r="G355" s="143" t="s">
        <v>461</v>
      </c>
      <c r="H355" s="145" t="s">
        <v>260</v>
      </c>
      <c r="I355" s="145"/>
      <c r="J355" s="345" t="str">
        <f t="shared" ref="J355" si="319">CONCATENATE(C355,D355,F355,G355,H355,I355)</f>
        <v>28071510010000651</v>
      </c>
      <c r="K355" s="109">
        <v>2022</v>
      </c>
      <c r="L355" s="109" t="s">
        <v>348</v>
      </c>
      <c r="M355" s="109" t="s">
        <v>349</v>
      </c>
      <c r="N355" s="109" t="s">
        <v>350</v>
      </c>
      <c r="O355" s="12">
        <f>'2022 Budget &amp; CF'!J355</f>
        <v>0</v>
      </c>
      <c r="P355" s="12">
        <f>'2022 Budget &amp; CF'!K355</f>
        <v>0</v>
      </c>
      <c r="Q355" s="12">
        <f>'2022 Budget &amp; CF'!L355</f>
        <v>0</v>
      </c>
      <c r="R355" s="12">
        <f>'2022 Budget &amp; CF'!M355</f>
        <v>0</v>
      </c>
      <c r="S355" s="12">
        <f>'2022 Budget &amp; CF'!N355</f>
        <v>0</v>
      </c>
      <c r="T355" s="12">
        <f>'2022 Budget &amp; CF'!O355</f>
        <v>0</v>
      </c>
      <c r="U355" s="12">
        <f>'2022 Budget &amp; CF'!P355</f>
        <v>0</v>
      </c>
      <c r="V355" s="12">
        <f>'2022 Budget &amp; CF'!Q355</f>
        <v>0</v>
      </c>
      <c r="W355" s="12">
        <f>'2022 Budget &amp; CF'!R355</f>
        <v>0</v>
      </c>
      <c r="X355" s="12">
        <f>'2022 Budget &amp; CF'!S355</f>
        <v>0</v>
      </c>
      <c r="Y355" s="12">
        <f>'2022 Budget &amp; CF'!T355</f>
        <v>0</v>
      </c>
      <c r="Z355" s="12">
        <f>'2022 Budget &amp; CF'!U355</f>
        <v>0</v>
      </c>
      <c r="AA355" s="12">
        <f>'2022 Budget &amp; CF'!V355</f>
        <v>0</v>
      </c>
      <c r="AB355" s="12"/>
      <c r="AC355" s="121">
        <f t="shared" ref="AC355:AC357" si="320">SUM(O355:AA355)</f>
        <v>0</v>
      </c>
      <c r="AD355" s="115">
        <f>'2022 Budget &amp; CF'!Z355</f>
        <v>0</v>
      </c>
      <c r="AE355" s="117">
        <f t="shared" ref="AE355:AE357" si="321">AD355-AC355</f>
        <v>0</v>
      </c>
      <c r="AF355" s="117">
        <f t="shared" ref="AF355:AF357" si="322">AE355/$AF$6</f>
        <v>0</v>
      </c>
    </row>
    <row r="356" spans="2:32" hidden="1" outlineLevel="1" x14ac:dyDescent="0.2">
      <c r="B356" s="768" t="s">
        <v>546</v>
      </c>
      <c r="C356" s="143">
        <f>'2022 Budget &amp; CF'!C356</f>
        <v>280</v>
      </c>
      <c r="D356" s="144" t="s">
        <v>550</v>
      </c>
      <c r="E356" s="144"/>
      <c r="F356" s="143">
        <v>430</v>
      </c>
      <c r="G356" s="143">
        <f>'2022 Budget &amp; CF'!G356</f>
        <v>2230</v>
      </c>
      <c r="H356" s="145" t="s">
        <v>262</v>
      </c>
      <c r="I356" s="145"/>
      <c r="J356" s="345" t="str">
        <f t="shared" ref="J356:J357" si="323">CONCATENATE(C356,D356,F356,G356,H356,I356)</f>
        <v>28071543022300652</v>
      </c>
      <c r="K356" s="109">
        <v>2022</v>
      </c>
      <c r="L356" s="109" t="s">
        <v>348</v>
      </c>
      <c r="M356" s="109" t="s">
        <v>349</v>
      </c>
      <c r="N356" s="109" t="s">
        <v>350</v>
      </c>
      <c r="O356" s="12">
        <f>'2022 Budget &amp; CF'!J356</f>
        <v>0</v>
      </c>
      <c r="P356" s="12">
        <f>'2022 Budget &amp; CF'!K356</f>
        <v>0</v>
      </c>
      <c r="Q356" s="12">
        <f>'2022 Budget &amp; CF'!L356</f>
        <v>0</v>
      </c>
      <c r="R356" s="12">
        <f>'2022 Budget &amp; CF'!M356</f>
        <v>0</v>
      </c>
      <c r="S356" s="12">
        <f>'2022 Budget &amp; CF'!N356</f>
        <v>0</v>
      </c>
      <c r="T356" s="12">
        <f>'2022 Budget &amp; CF'!O356</f>
        <v>0</v>
      </c>
      <c r="U356" s="12">
        <f>'2022 Budget &amp; CF'!P356</f>
        <v>0</v>
      </c>
      <c r="V356" s="12">
        <f>'2022 Budget &amp; CF'!Q356</f>
        <v>0</v>
      </c>
      <c r="W356" s="12">
        <f>'2022 Budget &amp; CF'!R356</f>
        <v>0</v>
      </c>
      <c r="X356" s="12">
        <f>'2022 Budget &amp; CF'!S356</f>
        <v>0</v>
      </c>
      <c r="Y356" s="12">
        <f>'2022 Budget &amp; CF'!T356</f>
        <v>0</v>
      </c>
      <c r="Z356" s="12">
        <f>'2022 Budget &amp; CF'!U356</f>
        <v>0</v>
      </c>
      <c r="AA356" s="12">
        <f>'2022 Budget &amp; CF'!V356</f>
        <v>0</v>
      </c>
      <c r="AB356" s="12"/>
      <c r="AC356" s="121">
        <f t="shared" si="320"/>
        <v>0</v>
      </c>
      <c r="AD356" s="115">
        <f>'2022 Budget &amp; CF'!Z356</f>
        <v>0</v>
      </c>
      <c r="AE356" s="117">
        <f t="shared" si="321"/>
        <v>0</v>
      </c>
      <c r="AF356" s="117">
        <f t="shared" si="322"/>
        <v>0</v>
      </c>
    </row>
    <row r="357" spans="2:32" hidden="1" outlineLevel="1" x14ac:dyDescent="0.2">
      <c r="B357" s="768" t="s">
        <v>551</v>
      </c>
      <c r="C357" s="143">
        <f>'2022 Budget &amp; CF'!C357</f>
        <v>280</v>
      </c>
      <c r="D357" s="144" t="s">
        <v>550</v>
      </c>
      <c r="E357" s="144"/>
      <c r="F357" s="143">
        <v>430</v>
      </c>
      <c r="G357" s="143">
        <v>2230</v>
      </c>
      <c r="H357" s="145" t="s">
        <v>264</v>
      </c>
      <c r="I357" s="145"/>
      <c r="J357" s="345" t="str">
        <f t="shared" si="323"/>
        <v>28071543022300653</v>
      </c>
      <c r="K357" s="109">
        <v>2022</v>
      </c>
      <c r="L357" s="109" t="s">
        <v>348</v>
      </c>
      <c r="M357" s="109" t="s">
        <v>349</v>
      </c>
      <c r="N357" s="109" t="s">
        <v>350</v>
      </c>
      <c r="O357" s="12">
        <f>'2022 Budget &amp; CF'!J357</f>
        <v>0</v>
      </c>
      <c r="P357" s="12">
        <f>'2022 Budget &amp; CF'!K357</f>
        <v>0</v>
      </c>
      <c r="Q357" s="12">
        <f>'2022 Budget &amp; CF'!L357</f>
        <v>0</v>
      </c>
      <c r="R357" s="12">
        <f>'2022 Budget &amp; CF'!M357</f>
        <v>0</v>
      </c>
      <c r="S357" s="12">
        <f>'2022 Budget &amp; CF'!N357</f>
        <v>0</v>
      </c>
      <c r="T357" s="12">
        <f>'2022 Budget &amp; CF'!O357</f>
        <v>0</v>
      </c>
      <c r="U357" s="12">
        <f>'2022 Budget &amp; CF'!P357</f>
        <v>0</v>
      </c>
      <c r="V357" s="12">
        <f>'2022 Budget &amp; CF'!Q357</f>
        <v>0</v>
      </c>
      <c r="W357" s="12">
        <f>'2022 Budget &amp; CF'!R357</f>
        <v>0</v>
      </c>
      <c r="X357" s="12">
        <f>'2022 Budget &amp; CF'!S357</f>
        <v>0</v>
      </c>
      <c r="Y357" s="12">
        <f>'2022 Budget &amp; CF'!T357</f>
        <v>0</v>
      </c>
      <c r="Z357" s="12">
        <f>'2022 Budget &amp; CF'!U357</f>
        <v>0</v>
      </c>
      <c r="AA357" s="12">
        <f>'2022 Budget &amp; CF'!V357</f>
        <v>0</v>
      </c>
      <c r="AB357" s="12"/>
      <c r="AC357" s="121">
        <f t="shared" si="320"/>
        <v>0</v>
      </c>
      <c r="AD357" s="115">
        <f>'2022 Budget &amp; CF'!Z357</f>
        <v>0</v>
      </c>
      <c r="AE357" s="117">
        <f t="shared" si="321"/>
        <v>0</v>
      </c>
      <c r="AF357" s="117">
        <f t="shared" si="322"/>
        <v>0</v>
      </c>
    </row>
    <row r="358" spans="2:32" hidden="1" outlineLevel="1" x14ac:dyDescent="0.2">
      <c r="B358" s="154" t="s">
        <v>549</v>
      </c>
      <c r="C358" s="151"/>
      <c r="D358" s="152"/>
      <c r="E358" s="152"/>
      <c r="F358" s="152"/>
      <c r="G358" s="152"/>
      <c r="H358" s="153"/>
      <c r="I358" s="152"/>
      <c r="J358" s="343"/>
      <c r="K358" s="133"/>
      <c r="L358" s="133"/>
      <c r="M358" s="133"/>
      <c r="N358" s="13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>
        <f>'2022 Budget &amp; CF'!Z358</f>
        <v>0</v>
      </c>
      <c r="AE358" s="114"/>
      <c r="AF358" s="114"/>
    </row>
    <row r="359" spans="2:32" hidden="1" outlineLevel="1" x14ac:dyDescent="0.2">
      <c r="B359" s="768" t="s">
        <v>826</v>
      </c>
      <c r="C359" s="143" t="s">
        <v>135</v>
      </c>
      <c r="D359" s="144" t="s">
        <v>552</v>
      </c>
      <c r="E359" s="144"/>
      <c r="F359" s="143" t="s">
        <v>468</v>
      </c>
      <c r="G359" s="143" t="s">
        <v>520</v>
      </c>
      <c r="H359" s="145" t="s">
        <v>254</v>
      </c>
      <c r="I359" s="145" t="s">
        <v>563</v>
      </c>
      <c r="J359" s="345" t="str">
        <f t="shared" ref="J359" si="324">CONCATENATE(C359,D359,F359,G359,H359,I359)</f>
        <v>2807401002585061001</v>
      </c>
      <c r="K359" s="109">
        <v>2022</v>
      </c>
      <c r="L359" s="109" t="s">
        <v>348</v>
      </c>
      <c r="M359" s="109" t="s">
        <v>349</v>
      </c>
      <c r="N359" s="109" t="s">
        <v>350</v>
      </c>
      <c r="O359" s="12">
        <f>'2022 Budget &amp; CF'!J359</f>
        <v>0</v>
      </c>
      <c r="P359" s="12">
        <f>'2022 Budget &amp; CF'!K359</f>
        <v>0</v>
      </c>
      <c r="Q359" s="12">
        <f>'2022 Budget &amp; CF'!L359</f>
        <v>1261.98</v>
      </c>
      <c r="R359" s="12">
        <f>'2022 Budget &amp; CF'!M359</f>
        <v>0</v>
      </c>
      <c r="S359" s="12">
        <f>'2022 Budget &amp; CF'!N359</f>
        <v>0</v>
      </c>
      <c r="T359" s="12">
        <f>'2022 Budget &amp; CF'!O359</f>
        <v>0</v>
      </c>
      <c r="U359" s="12">
        <f>'2022 Budget &amp; CF'!P359</f>
        <v>0</v>
      </c>
      <c r="V359" s="12">
        <f>'2022 Budget &amp; CF'!Q359</f>
        <v>0</v>
      </c>
      <c r="W359" s="12">
        <f>'2022 Budget &amp; CF'!R359</f>
        <v>0</v>
      </c>
      <c r="X359" s="12">
        <f>'2022 Budget &amp; CF'!S359</f>
        <v>0</v>
      </c>
      <c r="Y359" s="12">
        <f>'2022 Budget &amp; CF'!T359</f>
        <v>0</v>
      </c>
      <c r="Z359" s="12">
        <f>'2022 Budget &amp; CF'!U359</f>
        <v>0</v>
      </c>
      <c r="AA359" s="12">
        <f>'2022 Budget &amp; CF'!V359</f>
        <v>0</v>
      </c>
      <c r="AB359" s="12"/>
      <c r="AC359" s="121">
        <f t="shared" ref="AC359" si="325">SUM(O359:AA359)</f>
        <v>1261.98</v>
      </c>
      <c r="AD359" s="115">
        <f>'2022 Budget &amp; CF'!Z359</f>
        <v>0</v>
      </c>
      <c r="AE359" s="117">
        <f t="shared" ref="AE359" si="326">AD359-AC359</f>
        <v>-1261.98</v>
      </c>
      <c r="AF359" s="117">
        <f t="shared" ref="AF359" si="327">AE359/$AF$6</f>
        <v>-105.16500000000001</v>
      </c>
    </row>
    <row r="360" spans="2:32" hidden="1" outlineLevel="1" x14ac:dyDescent="0.2">
      <c r="B360" s="768" t="s">
        <v>551</v>
      </c>
      <c r="C360" s="143">
        <f>'2022 Budget &amp; CF'!C360</f>
        <v>280</v>
      </c>
      <c r="D360" s="144" t="s">
        <v>552</v>
      </c>
      <c r="E360" s="144"/>
      <c r="F360" s="143">
        <f>'2022 Budget &amp; CF'!F360</f>
        <v>100</v>
      </c>
      <c r="G360" s="143">
        <f>'2022 Budget &amp; CF'!G360</f>
        <v>1000</v>
      </c>
      <c r="H360" s="145" t="s">
        <v>264</v>
      </c>
      <c r="I360" s="145"/>
      <c r="J360" s="345" t="str">
        <f t="shared" ref="J360" si="328">CONCATENATE(C360,D360,F360,G360,H360,I360)</f>
        <v>28074010010000653</v>
      </c>
      <c r="K360" s="109">
        <v>2022</v>
      </c>
      <c r="L360" s="109" t="s">
        <v>348</v>
      </c>
      <c r="M360" s="109" t="s">
        <v>349</v>
      </c>
      <c r="N360" s="109" t="s">
        <v>350</v>
      </c>
      <c r="O360" s="12">
        <f>'2022 Budget &amp; CF'!J360</f>
        <v>0</v>
      </c>
      <c r="P360" s="12">
        <f>'2022 Budget &amp; CF'!K360</f>
        <v>0</v>
      </c>
      <c r="Q360" s="12">
        <f>'2022 Budget &amp; CF'!L360</f>
        <v>0</v>
      </c>
      <c r="R360" s="12">
        <f>'2022 Budget &amp; CF'!M360</f>
        <v>0</v>
      </c>
      <c r="S360" s="12">
        <f>'2022 Budget &amp; CF'!N360</f>
        <v>0</v>
      </c>
      <c r="T360" s="12">
        <f>'2022 Budget &amp; CF'!O360</f>
        <v>0</v>
      </c>
      <c r="U360" s="12">
        <f>'2022 Budget &amp; CF'!P360</f>
        <v>0</v>
      </c>
      <c r="V360" s="12">
        <f>'2022 Budget &amp; CF'!Q360</f>
        <v>0</v>
      </c>
      <c r="W360" s="12">
        <f>'2022 Budget &amp; CF'!R360</f>
        <v>0</v>
      </c>
      <c r="X360" s="12">
        <f>'2022 Budget &amp; CF'!S360</f>
        <v>0</v>
      </c>
      <c r="Y360" s="12">
        <f>'2022 Budget &amp; CF'!T360</f>
        <v>0</v>
      </c>
      <c r="Z360" s="12">
        <f>'2022 Budget &amp; CF'!U360</f>
        <v>0</v>
      </c>
      <c r="AA360" s="12">
        <f>'2022 Budget &amp; CF'!V360</f>
        <v>0</v>
      </c>
      <c r="AB360" s="12"/>
      <c r="AC360" s="121">
        <f t="shared" ref="AC360:AC362" si="329">SUM(O360:AA360)</f>
        <v>0</v>
      </c>
      <c r="AD360" s="115">
        <f>'2022 Budget &amp; CF'!Z360</f>
        <v>0</v>
      </c>
      <c r="AE360" s="117">
        <f t="shared" ref="AE360:AE362" si="330">AD360-AC360</f>
        <v>0</v>
      </c>
      <c r="AF360" s="117">
        <f t="shared" ref="AF360:AF362" si="331">AE360/$AF$6</f>
        <v>0</v>
      </c>
    </row>
    <row r="361" spans="2:32" hidden="1" outlineLevel="1" x14ac:dyDescent="0.2">
      <c r="B361" s="768" t="s">
        <v>551</v>
      </c>
      <c r="C361" s="143">
        <f>'2022 Budget &amp; CF'!C361</f>
        <v>280</v>
      </c>
      <c r="D361" s="144" t="s">
        <v>552</v>
      </c>
      <c r="E361" s="144"/>
      <c r="F361" s="143">
        <f>'2022 Budget &amp; CF'!F361</f>
        <v>100</v>
      </c>
      <c r="G361" s="143">
        <v>2110</v>
      </c>
      <c r="H361" s="145" t="s">
        <v>264</v>
      </c>
      <c r="I361" s="145"/>
      <c r="J361" s="345" t="str">
        <f t="shared" ref="J361:J362" si="332">CONCATENATE(C361,D361,F361,G361,H361,I361)</f>
        <v>28074010021100653</v>
      </c>
      <c r="K361" s="109">
        <v>2022</v>
      </c>
      <c r="L361" s="109" t="s">
        <v>348</v>
      </c>
      <c r="M361" s="109" t="s">
        <v>349</v>
      </c>
      <c r="N361" s="109" t="s">
        <v>350</v>
      </c>
      <c r="O361" s="12">
        <f>'2022 Budget &amp; CF'!J361</f>
        <v>0</v>
      </c>
      <c r="P361" s="12">
        <f>'2022 Budget &amp; CF'!K361</f>
        <v>0</v>
      </c>
      <c r="Q361" s="12">
        <f>'2022 Budget &amp; CF'!L361</f>
        <v>0</v>
      </c>
      <c r="R361" s="12">
        <f>'2022 Budget &amp; CF'!M361</f>
        <v>0</v>
      </c>
      <c r="S361" s="12">
        <f>'2022 Budget &amp; CF'!N361</f>
        <v>0</v>
      </c>
      <c r="T361" s="12">
        <f>'2022 Budget &amp; CF'!O361</f>
        <v>0</v>
      </c>
      <c r="U361" s="12">
        <f>'2022 Budget &amp; CF'!P361</f>
        <v>0</v>
      </c>
      <c r="V361" s="12">
        <f>'2022 Budget &amp; CF'!Q361</f>
        <v>0</v>
      </c>
      <c r="W361" s="12">
        <f>'2022 Budget &amp; CF'!R361</f>
        <v>0</v>
      </c>
      <c r="X361" s="12">
        <f>'2022 Budget &amp; CF'!S361</f>
        <v>0</v>
      </c>
      <c r="Y361" s="12">
        <f>'2022 Budget &amp; CF'!T361</f>
        <v>0</v>
      </c>
      <c r="Z361" s="12">
        <f>'2022 Budget &amp; CF'!U361</f>
        <v>0</v>
      </c>
      <c r="AA361" s="12">
        <f>'2022 Budget &amp; CF'!V361</f>
        <v>0</v>
      </c>
      <c r="AB361" s="12"/>
      <c r="AC361" s="121">
        <f t="shared" si="329"/>
        <v>0</v>
      </c>
      <c r="AD361" s="115">
        <f>'2022 Budget &amp; CF'!Z361</f>
        <v>0</v>
      </c>
      <c r="AE361" s="117">
        <f t="shared" si="330"/>
        <v>0</v>
      </c>
      <c r="AF361" s="117">
        <f t="shared" si="331"/>
        <v>0</v>
      </c>
    </row>
    <row r="362" spans="2:32" hidden="1" outlineLevel="1" x14ac:dyDescent="0.2">
      <c r="B362" s="768" t="s">
        <v>551</v>
      </c>
      <c r="C362" s="143">
        <f>'2022 Budget &amp; CF'!C362</f>
        <v>280</v>
      </c>
      <c r="D362" s="144" t="s">
        <v>552</v>
      </c>
      <c r="E362" s="144"/>
      <c r="F362" s="143">
        <f>'2022 Budget &amp; CF'!F362</f>
        <v>100</v>
      </c>
      <c r="G362" s="143">
        <v>2230</v>
      </c>
      <c r="H362" s="145" t="s">
        <v>264</v>
      </c>
      <c r="I362" s="145"/>
      <c r="J362" s="345" t="str">
        <f t="shared" si="332"/>
        <v>28074010022300653</v>
      </c>
      <c r="K362" s="109">
        <v>2022</v>
      </c>
      <c r="L362" s="109" t="s">
        <v>348</v>
      </c>
      <c r="M362" s="109" t="s">
        <v>349</v>
      </c>
      <c r="N362" s="109" t="s">
        <v>350</v>
      </c>
      <c r="O362" s="12">
        <f>'2022 Budget &amp; CF'!J362</f>
        <v>0</v>
      </c>
      <c r="P362" s="12">
        <f>'2022 Budget &amp; CF'!K362</f>
        <v>0</v>
      </c>
      <c r="Q362" s="12">
        <f>'2022 Budget &amp; CF'!L362</f>
        <v>0</v>
      </c>
      <c r="R362" s="12">
        <f>'2022 Budget &amp; CF'!M362</f>
        <v>0</v>
      </c>
      <c r="S362" s="12">
        <f>'2022 Budget &amp; CF'!N362</f>
        <v>0</v>
      </c>
      <c r="T362" s="12">
        <f>'2022 Budget &amp; CF'!O362</f>
        <v>0</v>
      </c>
      <c r="U362" s="12">
        <f>'2022 Budget &amp; CF'!P362</f>
        <v>0</v>
      </c>
      <c r="V362" s="12">
        <f>'2022 Budget &amp; CF'!Q362</f>
        <v>0</v>
      </c>
      <c r="W362" s="12">
        <f>'2022 Budget &amp; CF'!R362</f>
        <v>0</v>
      </c>
      <c r="X362" s="12">
        <f>'2022 Budget &amp; CF'!S362</f>
        <v>0</v>
      </c>
      <c r="Y362" s="12">
        <f>'2022 Budget &amp; CF'!T362</f>
        <v>0</v>
      </c>
      <c r="Z362" s="12">
        <f>'2022 Budget &amp; CF'!U362</f>
        <v>0</v>
      </c>
      <c r="AA362" s="12">
        <f>'2022 Budget &amp; CF'!V362</f>
        <v>0</v>
      </c>
      <c r="AB362" s="12"/>
      <c r="AC362" s="121">
        <f t="shared" si="329"/>
        <v>0</v>
      </c>
      <c r="AD362" s="115">
        <f>'2022 Budget &amp; CF'!Z362</f>
        <v>0</v>
      </c>
      <c r="AE362" s="117">
        <f t="shared" si="330"/>
        <v>0</v>
      </c>
      <c r="AF362" s="117">
        <f t="shared" si="331"/>
        <v>0</v>
      </c>
    </row>
    <row r="363" spans="2:32" hidden="1" outlineLevel="1" x14ac:dyDescent="0.2">
      <c r="B363" s="461" t="s">
        <v>1057</v>
      </c>
      <c r="C363" s="152"/>
      <c r="D363" s="152"/>
      <c r="E363" s="152"/>
      <c r="F363" s="152"/>
      <c r="G363" s="152"/>
      <c r="H363" s="152"/>
      <c r="I363" s="152"/>
      <c r="J363" s="343"/>
      <c r="K363" s="133"/>
      <c r="L363" s="133"/>
      <c r="M363" s="133"/>
      <c r="N363" s="13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>
        <f>'2022 Budget &amp; CF'!Z363</f>
        <v>0</v>
      </c>
      <c r="AE363" s="114"/>
      <c r="AF363" s="114"/>
    </row>
    <row r="364" spans="2:32" hidden="1" outlineLevel="1" x14ac:dyDescent="0.2">
      <c r="B364" s="769" t="s">
        <v>551</v>
      </c>
      <c r="C364" s="143">
        <v>280</v>
      </c>
      <c r="D364" s="144" t="s">
        <v>1032</v>
      </c>
      <c r="E364" s="144"/>
      <c r="F364" s="143">
        <v>100</v>
      </c>
      <c r="G364" s="143">
        <v>1000</v>
      </c>
      <c r="H364" s="145" t="s">
        <v>264</v>
      </c>
      <c r="I364" s="145"/>
      <c r="J364" s="345" t="str">
        <f t="shared" ref="J364" si="333">CONCATENATE(C364,D364,F364,G364,H364,I364)</f>
        <v>28074510010000653</v>
      </c>
      <c r="K364" s="109">
        <v>2022</v>
      </c>
      <c r="L364" s="109" t="s">
        <v>348</v>
      </c>
      <c r="M364" s="109" t="s">
        <v>349</v>
      </c>
      <c r="N364" s="109" t="s">
        <v>350</v>
      </c>
      <c r="O364" s="12">
        <f>'2022 Budget &amp; CF'!J364</f>
        <v>0</v>
      </c>
      <c r="P364" s="12">
        <f>'2022 Budget &amp; CF'!K364</f>
        <v>18564</v>
      </c>
      <c r="Q364" s="12">
        <f>'2022 Budget &amp; CF'!L364</f>
        <v>0</v>
      </c>
      <c r="R364" s="12">
        <f>'2022 Budget &amp; CF'!M364</f>
        <v>14320</v>
      </c>
      <c r="S364" s="12">
        <f>'2022 Budget &amp; CF'!N364</f>
        <v>0</v>
      </c>
      <c r="T364" s="12">
        <f>'2022 Budget &amp; CF'!O364</f>
        <v>0</v>
      </c>
      <c r="U364" s="12">
        <f>'2022 Budget &amp; CF'!P364</f>
        <v>0</v>
      </c>
      <c r="V364" s="12">
        <f>'2022 Budget &amp; CF'!Q364</f>
        <v>0</v>
      </c>
      <c r="W364" s="12">
        <f>'2022 Budget &amp; CF'!R364</f>
        <v>0</v>
      </c>
      <c r="X364" s="12">
        <f>'2022 Budget &amp; CF'!S364</f>
        <v>0</v>
      </c>
      <c r="Y364" s="12">
        <f>'2022 Budget &amp; CF'!T364</f>
        <v>0</v>
      </c>
      <c r="Z364" s="12">
        <f>'2022 Budget &amp; CF'!U364</f>
        <v>0</v>
      </c>
      <c r="AA364" s="12">
        <f>'2022 Budget &amp; CF'!V364</f>
        <v>0</v>
      </c>
      <c r="AB364" s="12"/>
      <c r="AC364" s="121">
        <f t="shared" ref="AC364" si="334">SUM(O364:AA364)</f>
        <v>32884</v>
      </c>
      <c r="AD364" s="115">
        <f>'2022 Budget &amp; CF'!Z364</f>
        <v>10970</v>
      </c>
      <c r="AE364" s="117">
        <f t="shared" ref="AE364" si="335">AD364-AC364</f>
        <v>-21914</v>
      </c>
      <c r="AF364" s="117">
        <f t="shared" ref="AF364" si="336">AE364/$AF$6</f>
        <v>-1826.1666666666667</v>
      </c>
    </row>
    <row r="365" spans="2:32" hidden="1" outlineLevel="1" x14ac:dyDescent="0.2">
      <c r="B365" s="154" t="s">
        <v>1151</v>
      </c>
      <c r="C365" s="151"/>
      <c r="D365" s="152"/>
      <c r="E365" s="152"/>
      <c r="F365" s="152"/>
      <c r="G365" s="152"/>
      <c r="H365" s="153"/>
      <c r="I365" s="152"/>
      <c r="J365" s="343"/>
      <c r="K365" s="133"/>
      <c r="L365" s="133"/>
      <c r="M365" s="133"/>
      <c r="N365" s="13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>
        <f>'2022 Budget &amp; CF'!Z365</f>
        <v>0</v>
      </c>
      <c r="AE365" s="114"/>
      <c r="AF365" s="114"/>
    </row>
    <row r="366" spans="2:32" hidden="1" outlineLevel="1" x14ac:dyDescent="0.2">
      <c r="B366" s="768" t="s">
        <v>1152</v>
      </c>
      <c r="C366" s="143">
        <f>'2022 Budget &amp; CF'!C366</f>
        <v>280</v>
      </c>
      <c r="D366" s="144" t="s">
        <v>1153</v>
      </c>
      <c r="E366" s="144"/>
      <c r="F366" s="143">
        <f>'2022 Budget &amp; CF'!F366</f>
        <v>100</v>
      </c>
      <c r="G366" s="143">
        <f>'2022 Budget &amp; CF'!G366</f>
        <v>1000</v>
      </c>
      <c r="H366" s="145" t="s">
        <v>262</v>
      </c>
      <c r="I366" s="145" t="s">
        <v>563</v>
      </c>
      <c r="J366" s="345" t="str">
        <f t="shared" ref="J366" si="337">CONCATENATE(C366,D366,F366,G366,H366,I366)</f>
        <v>2807491001000065201</v>
      </c>
      <c r="K366" s="109">
        <v>2022</v>
      </c>
      <c r="L366" s="109" t="s">
        <v>348</v>
      </c>
      <c r="M366" s="109" t="s">
        <v>349</v>
      </c>
      <c r="N366" s="109" t="s">
        <v>350</v>
      </c>
      <c r="O366" s="12">
        <f>'2022 Budget &amp; CF'!J366</f>
        <v>6559.8</v>
      </c>
      <c r="P366" s="12">
        <f>'2022 Budget &amp; CF'!K366</f>
        <v>0</v>
      </c>
      <c r="Q366" s="12">
        <f>'2022 Budget &amp; CF'!L366</f>
        <v>0</v>
      </c>
      <c r="R366" s="12">
        <f>'2022 Budget &amp; CF'!M366</f>
        <v>0</v>
      </c>
      <c r="S366" s="12">
        <f>'2022 Budget &amp; CF'!N366</f>
        <v>0</v>
      </c>
      <c r="T366" s="12">
        <f>'2022 Budget &amp; CF'!O366</f>
        <v>0</v>
      </c>
      <c r="U366" s="12">
        <f>'2022 Budget &amp; CF'!P366</f>
        <v>0</v>
      </c>
      <c r="V366" s="12">
        <f>'2022 Budget &amp; CF'!Q366</f>
        <v>0</v>
      </c>
      <c r="W366" s="12">
        <f>'2022 Budget &amp; CF'!R366</f>
        <v>0</v>
      </c>
      <c r="X366" s="12">
        <f>'2022 Budget &amp; CF'!S366</f>
        <v>0</v>
      </c>
      <c r="Y366" s="12">
        <f>'2022 Budget &amp; CF'!T366</f>
        <v>0</v>
      </c>
      <c r="Z366" s="12">
        <f>'2022 Budget &amp; CF'!U366</f>
        <v>0</v>
      </c>
      <c r="AA366" s="12">
        <f>'2022 Budget &amp; CF'!V366</f>
        <v>0</v>
      </c>
      <c r="AB366" s="12"/>
      <c r="AC366" s="121">
        <f t="shared" ref="AC366" si="338">SUM(O366:AA366)</f>
        <v>6559.8</v>
      </c>
      <c r="AD366" s="115">
        <f>'2022 Budget &amp; CF'!Z366</f>
        <v>91</v>
      </c>
      <c r="AE366" s="117">
        <f t="shared" ref="AE366" si="339">AD366-AC366</f>
        <v>-6468.8</v>
      </c>
      <c r="AF366" s="117">
        <f t="shared" ref="AF366" si="340">AE366/$AF$6</f>
        <v>-539.06666666666672</v>
      </c>
    </row>
    <row r="367" spans="2:32" hidden="1" outlineLevel="1" x14ac:dyDescent="0.2">
      <c r="B367" s="461" t="s">
        <v>548</v>
      </c>
      <c r="C367" s="152"/>
      <c r="D367" s="152"/>
      <c r="E367" s="152"/>
      <c r="F367" s="152"/>
      <c r="G367" s="152"/>
      <c r="H367" s="152"/>
      <c r="I367" s="152"/>
      <c r="J367" s="343"/>
      <c r="K367" s="133"/>
      <c r="L367" s="133"/>
      <c r="M367" s="133"/>
      <c r="N367" s="13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>
        <f>'2022 Budget &amp; CF'!Z367</f>
        <v>0</v>
      </c>
      <c r="AE367" s="114"/>
      <c r="AF367" s="114"/>
    </row>
    <row r="368" spans="2:32" hidden="1" outlineLevel="1" x14ac:dyDescent="0.2">
      <c r="B368" s="768" t="s">
        <v>545</v>
      </c>
      <c r="C368" s="143">
        <v>279</v>
      </c>
      <c r="D368" s="144" t="s">
        <v>145</v>
      </c>
      <c r="E368" s="144"/>
      <c r="F368" s="143">
        <v>910</v>
      </c>
      <c r="G368" s="143">
        <v>6000</v>
      </c>
      <c r="H368" s="145" t="s">
        <v>254</v>
      </c>
      <c r="I368" s="145"/>
      <c r="J368" s="345" t="str">
        <f t="shared" ref="J368" si="341">CONCATENATE(C368,D368,F368,G368,H368,I368)</f>
        <v>27900091060000610</v>
      </c>
      <c r="K368" s="109">
        <v>2022</v>
      </c>
      <c r="L368" s="109" t="s">
        <v>348</v>
      </c>
      <c r="M368" s="109" t="s">
        <v>349</v>
      </c>
      <c r="N368" s="109" t="s">
        <v>350</v>
      </c>
      <c r="O368" s="12">
        <f>'2022 Budget &amp; CF'!J368</f>
        <v>0</v>
      </c>
      <c r="P368" s="12">
        <f>'2022 Budget &amp; CF'!K368</f>
        <v>0</v>
      </c>
      <c r="Q368" s="12">
        <f>'2022 Budget &amp; CF'!L368</f>
        <v>0</v>
      </c>
      <c r="R368" s="12">
        <f>'2022 Budget &amp; CF'!M368</f>
        <v>0</v>
      </c>
      <c r="S368" s="12">
        <f>'2022 Budget &amp; CF'!N368</f>
        <v>0</v>
      </c>
      <c r="T368" s="12">
        <f>'2022 Budget &amp; CF'!O368</f>
        <v>0</v>
      </c>
      <c r="U368" s="12">
        <f>'2022 Budget &amp; CF'!P368</f>
        <v>0</v>
      </c>
      <c r="V368" s="12">
        <f>'2022 Budget &amp; CF'!Q368</f>
        <v>0</v>
      </c>
      <c r="W368" s="12">
        <f>'2022 Budget &amp; CF'!R368</f>
        <v>0</v>
      </c>
      <c r="X368" s="12">
        <f>'2022 Budget &amp; CF'!S368</f>
        <v>0</v>
      </c>
      <c r="Y368" s="12">
        <f>'2022 Budget &amp; CF'!T368</f>
        <v>0</v>
      </c>
      <c r="Z368" s="12">
        <f>'2022 Budget &amp; CF'!U368</f>
        <v>0</v>
      </c>
      <c r="AA368" s="12">
        <f>'2022 Budget &amp; CF'!V368</f>
        <v>0</v>
      </c>
      <c r="AB368" s="12"/>
      <c r="AC368" s="121">
        <f t="shared" ref="AC368" si="342">SUM(O368:AA368)</f>
        <v>0</v>
      </c>
      <c r="AD368" s="115">
        <f>'2022 Budget &amp; CF'!Z368</f>
        <v>0</v>
      </c>
      <c r="AE368" s="117">
        <f t="shared" ref="AE368" si="343">AD368-AC368</f>
        <v>0</v>
      </c>
      <c r="AF368" s="117">
        <f t="shared" ref="AF368" si="344">AE368/$AF$6</f>
        <v>0</v>
      </c>
    </row>
    <row r="369" spans="2:36" s="2" customFormat="1" collapsed="1" x14ac:dyDescent="0.2">
      <c r="B369" s="770" t="s">
        <v>279</v>
      </c>
      <c r="C369" s="155"/>
      <c r="D369" s="156"/>
      <c r="E369" s="156"/>
      <c r="F369" s="155"/>
      <c r="G369" s="155"/>
      <c r="H369" s="155"/>
      <c r="I369" s="736"/>
      <c r="J369" s="346"/>
      <c r="K369" s="155"/>
      <c r="L369" s="155"/>
      <c r="M369" s="155"/>
      <c r="N369" s="155"/>
      <c r="O369" s="304">
        <f t="shared" ref="O369:AE369" si="345">SUM(O284:O368)</f>
        <v>41905.310000000005</v>
      </c>
      <c r="P369" s="304">
        <f t="shared" si="345"/>
        <v>44975.78</v>
      </c>
      <c r="Q369" s="304">
        <f t="shared" si="345"/>
        <v>159476.28999999995</v>
      </c>
      <c r="R369" s="304">
        <f t="shared" si="345"/>
        <v>26002.04</v>
      </c>
      <c r="S369" s="304">
        <f t="shared" si="345"/>
        <v>-959.15999999999985</v>
      </c>
      <c r="T369" s="304">
        <f t="shared" si="345"/>
        <v>0</v>
      </c>
      <c r="U369" s="304">
        <f t="shared" si="345"/>
        <v>0</v>
      </c>
      <c r="V369" s="304">
        <f t="shared" si="345"/>
        <v>0</v>
      </c>
      <c r="W369" s="304">
        <f t="shared" si="345"/>
        <v>0</v>
      </c>
      <c r="X369" s="304">
        <f t="shared" si="345"/>
        <v>0</v>
      </c>
      <c r="Y369" s="304">
        <f t="shared" si="345"/>
        <v>0</v>
      </c>
      <c r="Z369" s="304">
        <f t="shared" si="345"/>
        <v>0</v>
      </c>
      <c r="AA369" s="304">
        <f t="shared" si="345"/>
        <v>0</v>
      </c>
      <c r="AB369" s="304">
        <f t="shared" si="345"/>
        <v>0</v>
      </c>
      <c r="AC369" s="304">
        <f t="shared" si="345"/>
        <v>271400.26</v>
      </c>
      <c r="AD369" s="304">
        <f t="shared" si="345"/>
        <v>203086</v>
      </c>
      <c r="AE369" s="304">
        <f t="shared" si="345"/>
        <v>-77199.260000000024</v>
      </c>
      <c r="AF369" s="304">
        <f>PCFP!T149</f>
        <v>0</v>
      </c>
      <c r="AG369" s="553"/>
      <c r="AH369" s="553"/>
      <c r="AI369" s="553"/>
      <c r="AJ369" s="553"/>
    </row>
    <row r="370" spans="2:36" outlineLevel="1" x14ac:dyDescent="0.2">
      <c r="B370" s="771"/>
      <c r="C370" s="158"/>
      <c r="D370" s="159"/>
      <c r="E370" s="159"/>
      <c r="F370" s="158"/>
      <c r="G370" s="158"/>
      <c r="H370" s="734"/>
      <c r="I370" s="160"/>
      <c r="J370" s="730"/>
      <c r="K370" s="109"/>
      <c r="L370" s="109"/>
      <c r="M370" s="109"/>
      <c r="N370" s="109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1"/>
      <c r="AD370" s="115"/>
      <c r="AE370" s="117"/>
      <c r="AF370" s="117"/>
    </row>
    <row r="371" spans="2:36" outlineLevel="1" x14ac:dyDescent="0.2">
      <c r="B371" s="768" t="s">
        <v>354</v>
      </c>
      <c r="C371" s="143">
        <v>100</v>
      </c>
      <c r="D371" s="144" t="s">
        <v>145</v>
      </c>
      <c r="E371" s="144"/>
      <c r="F371" s="143">
        <v>100</v>
      </c>
      <c r="G371" s="143">
        <v>2500</v>
      </c>
      <c r="H371" s="735" t="s">
        <v>355</v>
      </c>
      <c r="I371" s="160"/>
      <c r="J371" s="730" t="str">
        <f t="shared" ref="J371" si="346">CONCATENATE(C371,D371,F371,G371,H371,I371)</f>
        <v>10000010025000790</v>
      </c>
      <c r="K371" s="109">
        <v>2022</v>
      </c>
      <c r="L371" s="109" t="s">
        <v>348</v>
      </c>
      <c r="M371" s="109" t="s">
        <v>349</v>
      </c>
      <c r="N371" s="109" t="s">
        <v>350</v>
      </c>
      <c r="O371" s="12">
        <f>'2022 Budget &amp; CF'!J371</f>
        <v>0</v>
      </c>
      <c r="P371" s="12">
        <f>'2022 Budget &amp; CF'!K371</f>
        <v>0</v>
      </c>
      <c r="Q371" s="12">
        <f>'2022 Budget &amp; CF'!L371</f>
        <v>0</v>
      </c>
      <c r="R371" s="12">
        <f>'2022 Budget &amp; CF'!M371</f>
        <v>0</v>
      </c>
      <c r="S371" s="12">
        <f>'2022 Budget &amp; CF'!N371</f>
        <v>0</v>
      </c>
      <c r="T371" s="12">
        <f>'2022 Budget &amp; CF'!O371</f>
        <v>0</v>
      </c>
      <c r="U371" s="12">
        <f>'2022 Budget &amp; CF'!P371</f>
        <v>0</v>
      </c>
      <c r="V371" s="12">
        <f>'2022 Budget &amp; CF'!Q371</f>
        <v>0</v>
      </c>
      <c r="W371" s="12">
        <f>'2022 Budget &amp; CF'!R371</f>
        <v>0</v>
      </c>
      <c r="X371" s="12">
        <f>'2022 Budget &amp; CF'!S371</f>
        <v>0</v>
      </c>
      <c r="Y371" s="12">
        <f>'2022 Budget &amp; CF'!T371</f>
        <v>0</v>
      </c>
      <c r="Z371" s="12">
        <f>'2022 Budget &amp; CF'!U371</f>
        <v>0</v>
      </c>
      <c r="AA371" s="12">
        <f>'2022 Budget &amp; CF'!V371</f>
        <v>0</v>
      </c>
      <c r="AB371" s="12"/>
      <c r="AC371" s="121">
        <f t="shared" ref="AC371" si="347">SUM(O371:AA371)</f>
        <v>0</v>
      </c>
      <c r="AD371" s="115">
        <f>'2022 Budget &amp; CF'!Z371</f>
        <v>0</v>
      </c>
      <c r="AE371" s="117">
        <f t="shared" ref="AE371" si="348">AD371-AC371</f>
        <v>0</v>
      </c>
      <c r="AF371" s="117">
        <f t="shared" ref="AF371" si="349">AE371/$AF$6</f>
        <v>0</v>
      </c>
    </row>
    <row r="372" spans="2:36" outlineLevel="1" x14ac:dyDescent="0.2">
      <c r="B372" s="768" t="s">
        <v>354</v>
      </c>
      <c r="C372" s="143">
        <v>300</v>
      </c>
      <c r="D372" s="144" t="s">
        <v>145</v>
      </c>
      <c r="E372" s="144"/>
      <c r="F372" s="143">
        <v>100</v>
      </c>
      <c r="G372" s="143">
        <v>2500</v>
      </c>
      <c r="H372" s="735" t="s">
        <v>355</v>
      </c>
      <c r="I372" s="160"/>
      <c r="J372" s="730" t="str">
        <f>CONCATENATE(C372,D372,F372,G372,H372,I372)</f>
        <v>30000010025000790</v>
      </c>
      <c r="K372" s="109">
        <v>2022</v>
      </c>
      <c r="L372" s="109" t="s">
        <v>348</v>
      </c>
      <c r="M372" s="109" t="s">
        <v>349</v>
      </c>
      <c r="N372" s="109" t="s">
        <v>350</v>
      </c>
      <c r="O372" s="12">
        <f>'2022 Budget &amp; CF'!J372</f>
        <v>0</v>
      </c>
      <c r="P372" s="12">
        <f>'2022 Budget &amp; CF'!K372</f>
        <v>0</v>
      </c>
      <c r="Q372" s="12">
        <f>'2022 Budget &amp; CF'!L372</f>
        <v>0</v>
      </c>
      <c r="R372" s="12">
        <f>'2022 Budget &amp; CF'!M372</f>
        <v>0</v>
      </c>
      <c r="S372" s="12">
        <f>'2022 Budget &amp; CF'!N372</f>
        <v>0</v>
      </c>
      <c r="T372" s="12">
        <f>'2022 Budget &amp; CF'!O372</f>
        <v>0</v>
      </c>
      <c r="U372" s="12">
        <f>'2022 Budget &amp; CF'!P372</f>
        <v>0</v>
      </c>
      <c r="V372" s="12">
        <f>'2022 Budget &amp; CF'!Q372</f>
        <v>0</v>
      </c>
      <c r="W372" s="12">
        <f>'2022 Budget &amp; CF'!R372</f>
        <v>0</v>
      </c>
      <c r="X372" s="12">
        <f>'2022 Budget &amp; CF'!S372</f>
        <v>0</v>
      </c>
      <c r="Y372" s="12">
        <f>'2022 Budget &amp; CF'!T372</f>
        <v>0</v>
      </c>
      <c r="Z372" s="12">
        <f>'2022 Budget &amp; CF'!U372</f>
        <v>0</v>
      </c>
      <c r="AA372" s="12">
        <f>'2022 Budget &amp; CF'!V372</f>
        <v>0</v>
      </c>
      <c r="AB372" s="12"/>
      <c r="AC372" s="121">
        <f>SUM(O372:AA372)</f>
        <v>0</v>
      </c>
      <c r="AD372" s="115">
        <f>'2022 Budget &amp; CF'!Z372</f>
        <v>8517</v>
      </c>
      <c r="AE372" s="117">
        <f>AD372-AC372</f>
        <v>8517</v>
      </c>
      <c r="AF372" s="117">
        <f>AE372/$AF$6</f>
        <v>709.75</v>
      </c>
    </row>
    <row r="373" spans="2:36" outlineLevel="1" x14ac:dyDescent="0.2">
      <c r="B373" s="771"/>
      <c r="C373" s="158"/>
      <c r="D373" s="159"/>
      <c r="E373" s="159"/>
      <c r="F373" s="158"/>
      <c r="G373" s="158"/>
      <c r="H373" s="734"/>
      <c r="I373" s="160"/>
      <c r="J373" s="730"/>
      <c r="K373" s="109"/>
      <c r="L373" s="109"/>
      <c r="M373" s="109"/>
      <c r="N373" s="109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1"/>
      <c r="AD373" s="115"/>
      <c r="AE373" s="117"/>
      <c r="AF373" s="117"/>
    </row>
    <row r="374" spans="2:36" s="2" customFormat="1" x14ac:dyDescent="0.2">
      <c r="B374" s="770" t="s">
        <v>353</v>
      </c>
      <c r="C374" s="155">
        <v>300</v>
      </c>
      <c r="D374" s="156"/>
      <c r="E374" s="156"/>
      <c r="F374" s="155"/>
      <c r="G374" s="155"/>
      <c r="H374" s="155"/>
      <c r="I374" s="736"/>
      <c r="J374" s="346"/>
      <c r="K374" s="155"/>
      <c r="L374" s="155"/>
      <c r="M374" s="155"/>
      <c r="N374" s="820">
        <f>SUM(N370:N373)</f>
        <v>0</v>
      </c>
      <c r="O374" s="304">
        <f t="shared" ref="O374:R374" si="350">SUM(O370:O373)</f>
        <v>0</v>
      </c>
      <c r="P374" s="304">
        <f t="shared" si="350"/>
        <v>0</v>
      </c>
      <c r="Q374" s="304">
        <f t="shared" si="350"/>
        <v>0</v>
      </c>
      <c r="R374" s="304">
        <f t="shared" si="350"/>
        <v>0</v>
      </c>
      <c r="S374" s="304">
        <f>SUM(S370:S373)</f>
        <v>0</v>
      </c>
      <c r="T374" s="304">
        <f t="shared" ref="T374:AC374" si="351">SUM(T370:T373)</f>
        <v>0</v>
      </c>
      <c r="U374" s="304">
        <f t="shared" si="351"/>
        <v>0</v>
      </c>
      <c r="V374" s="304">
        <f t="shared" si="351"/>
        <v>0</v>
      </c>
      <c r="W374" s="304">
        <f t="shared" si="351"/>
        <v>0</v>
      </c>
      <c r="X374" s="304">
        <f t="shared" si="351"/>
        <v>0</v>
      </c>
      <c r="Y374" s="304">
        <f t="shared" si="351"/>
        <v>0</v>
      </c>
      <c r="Z374" s="304">
        <f t="shared" si="351"/>
        <v>0</v>
      </c>
      <c r="AA374" s="304">
        <f t="shared" si="351"/>
        <v>0</v>
      </c>
      <c r="AB374" s="304">
        <f t="shared" si="351"/>
        <v>0</v>
      </c>
      <c r="AC374" s="304">
        <f t="shared" si="351"/>
        <v>0</v>
      </c>
      <c r="AD374" s="304">
        <f>SUM(AD370:AD373)</f>
        <v>8517</v>
      </c>
      <c r="AE374" s="304">
        <f>SUM(AE370:AE373)</f>
        <v>8517</v>
      </c>
      <c r="AF374" s="304">
        <f>PCFP!T150</f>
        <v>0</v>
      </c>
      <c r="AG374" s="553"/>
      <c r="AH374" s="553"/>
      <c r="AI374" s="553"/>
      <c r="AJ374" s="553"/>
    </row>
    <row r="375" spans="2:36" outlineLevel="1" x14ac:dyDescent="0.2">
      <c r="B375" s="138" t="s">
        <v>197</v>
      </c>
      <c r="C375" s="139"/>
      <c r="D375" s="140"/>
      <c r="E375" s="140"/>
      <c r="F375" s="140"/>
      <c r="G375" s="140"/>
      <c r="H375" s="140"/>
      <c r="I375" s="737"/>
      <c r="J375" s="731"/>
      <c r="K375" s="133"/>
      <c r="L375" s="133"/>
      <c r="M375" s="133"/>
      <c r="N375" s="13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</row>
    <row r="376" spans="2:36" outlineLevel="1" x14ac:dyDescent="0.2">
      <c r="B376" s="157" t="s">
        <v>280</v>
      </c>
      <c r="C376" s="158">
        <f>'2022 Budget &amp; CF'!C376</f>
        <v>100</v>
      </c>
      <c r="D376" s="159" t="str">
        <f>'2022 Budget &amp; CF'!D376</f>
        <v>000</v>
      </c>
      <c r="E376" s="159"/>
      <c r="F376" s="158">
        <f>'2022 Budget &amp; CF'!F376</f>
        <v>100</v>
      </c>
      <c r="G376" s="158">
        <f>'2022 Budget &amp; CF'!G376</f>
        <v>1000</v>
      </c>
      <c r="H376" s="734" t="str">
        <f>'2022 Budget &amp; CF'!H376</f>
        <v>0810</v>
      </c>
      <c r="I376" s="160"/>
      <c r="J376" s="730" t="str">
        <f t="shared" ref="J376" si="352">CONCATENATE(C376,D376,F376,G376,H376,I376)</f>
        <v>10000010010000810</v>
      </c>
      <c r="K376" s="109">
        <v>2022</v>
      </c>
      <c r="L376" s="109" t="s">
        <v>348</v>
      </c>
      <c r="M376" s="109" t="s">
        <v>349</v>
      </c>
      <c r="N376" s="109" t="s">
        <v>350</v>
      </c>
      <c r="O376" s="12">
        <f>'2022 Budget &amp; CF'!J376</f>
        <v>0</v>
      </c>
      <c r="P376" s="12">
        <f>'2022 Budget &amp; CF'!K376</f>
        <v>0</v>
      </c>
      <c r="Q376" s="12">
        <f>'2022 Budget &amp; CF'!L376</f>
        <v>0</v>
      </c>
      <c r="R376" s="12">
        <f>'2022 Budget &amp; CF'!M376</f>
        <v>0</v>
      </c>
      <c r="S376" s="12">
        <f>'2022 Budget &amp; CF'!N376</f>
        <v>0</v>
      </c>
      <c r="T376" s="12">
        <f>'2022 Budget &amp; CF'!O376</f>
        <v>0</v>
      </c>
      <c r="U376" s="12">
        <f>'2022 Budget &amp; CF'!P376</f>
        <v>0</v>
      </c>
      <c r="V376" s="12">
        <f>'2022 Budget &amp; CF'!Q376</f>
        <v>0</v>
      </c>
      <c r="W376" s="12">
        <f>'2022 Budget &amp; CF'!R376</f>
        <v>0</v>
      </c>
      <c r="X376" s="12">
        <f>'2022 Budget &amp; CF'!S376</f>
        <v>0</v>
      </c>
      <c r="Y376" s="12">
        <f>'2022 Budget &amp; CF'!T376</f>
        <v>0</v>
      </c>
      <c r="Z376" s="12">
        <f>'2022 Budget &amp; CF'!U376</f>
        <v>0</v>
      </c>
      <c r="AA376" s="12">
        <f>'2022 Budget &amp; CF'!V376</f>
        <v>0</v>
      </c>
      <c r="AB376" s="12"/>
      <c r="AC376" s="121">
        <f t="shared" ref="AC376" si="353">SUM(O376:AA376)</f>
        <v>0</v>
      </c>
      <c r="AD376" s="115">
        <f>'2022 Budget &amp; CF'!Z376</f>
        <v>18</v>
      </c>
      <c r="AE376" s="117">
        <f t="shared" ref="AE376" si="354">AD376-AC376</f>
        <v>18</v>
      </c>
      <c r="AF376" s="117">
        <f t="shared" ref="AF376" si="355">AE376/$AF$6</f>
        <v>1.5</v>
      </c>
    </row>
    <row r="377" spans="2:36" outlineLevel="1" x14ac:dyDescent="0.2">
      <c r="B377" s="146" t="s">
        <v>204</v>
      </c>
      <c r="C377" s="139"/>
      <c r="D377" s="140"/>
      <c r="E377" s="140"/>
      <c r="F377" s="140"/>
      <c r="G377" s="140"/>
      <c r="H377" s="140"/>
      <c r="I377" s="737"/>
      <c r="J377" s="731"/>
      <c r="K377" s="133"/>
      <c r="L377" s="133"/>
      <c r="M377" s="133"/>
      <c r="N377" s="13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</row>
    <row r="378" spans="2:36" outlineLevel="1" x14ac:dyDescent="0.2">
      <c r="B378" s="157" t="s">
        <v>282</v>
      </c>
      <c r="C378" s="158">
        <f>'2022 Budget &amp; CF'!C378</f>
        <v>100</v>
      </c>
      <c r="D378" s="159" t="str">
        <f>'2022 Budget &amp; CF'!D378</f>
        <v>000</v>
      </c>
      <c r="E378" s="159"/>
      <c r="F378" s="158">
        <f>'2022 Budget &amp; CF'!F378</f>
        <v>100</v>
      </c>
      <c r="G378" s="158">
        <v>2210</v>
      </c>
      <c r="H378" s="734" t="str">
        <f>'2022 Budget &amp; CF'!H378</f>
        <v>0810</v>
      </c>
      <c r="I378" s="160"/>
      <c r="J378" s="730" t="str">
        <f t="shared" ref="J378" si="356">CONCATENATE(C378,D378,F378,G378,H378,I378)</f>
        <v>10000010022100810</v>
      </c>
      <c r="K378" s="109">
        <v>2022</v>
      </c>
      <c r="L378" s="109" t="s">
        <v>348</v>
      </c>
      <c r="M378" s="109" t="s">
        <v>349</v>
      </c>
      <c r="N378" s="109" t="s">
        <v>350</v>
      </c>
      <c r="O378" s="12">
        <f>'2022 Budget &amp; CF'!J378</f>
        <v>3195</v>
      </c>
      <c r="P378" s="12">
        <f>'2022 Budget &amp; CF'!K378</f>
        <v>0</v>
      </c>
      <c r="Q378" s="12">
        <f>'2022 Budget &amp; CF'!L378</f>
        <v>0</v>
      </c>
      <c r="R378" s="12">
        <f>'2022 Budget &amp; CF'!M378</f>
        <v>0</v>
      </c>
      <c r="S378" s="12">
        <f>'2022 Budget &amp; CF'!N378</f>
        <v>0</v>
      </c>
      <c r="T378" s="12">
        <f>'2022 Budget &amp; CF'!O378</f>
        <v>0</v>
      </c>
      <c r="U378" s="12">
        <f>'2022 Budget &amp; CF'!P378</f>
        <v>0</v>
      </c>
      <c r="V378" s="12">
        <f>'2022 Budget &amp; CF'!Q378</f>
        <v>0</v>
      </c>
      <c r="W378" s="12">
        <f>'2022 Budget &amp; CF'!R378</f>
        <v>0</v>
      </c>
      <c r="X378" s="12">
        <f>'2022 Budget &amp; CF'!S378</f>
        <v>0</v>
      </c>
      <c r="Y378" s="12">
        <f>'2022 Budget &amp; CF'!T378</f>
        <v>0</v>
      </c>
      <c r="Z378" s="12">
        <f>'2022 Budget &amp; CF'!U378</f>
        <v>0</v>
      </c>
      <c r="AA378" s="12">
        <f>'2022 Budget &amp; CF'!V378</f>
        <v>0</v>
      </c>
      <c r="AB378" s="12"/>
      <c r="AC378" s="121">
        <f t="shared" ref="AC378" si="357">SUM(O378:AA378)</f>
        <v>3195</v>
      </c>
      <c r="AD378" s="115">
        <v>1700</v>
      </c>
      <c r="AE378" s="117">
        <f t="shared" ref="AE378" si="358">AD378-AC378</f>
        <v>-1495</v>
      </c>
      <c r="AF378" s="117">
        <f t="shared" ref="AF378" si="359">AE378/$AF$6</f>
        <v>-124.58333333333333</v>
      </c>
    </row>
    <row r="379" spans="2:36" outlineLevel="1" x14ac:dyDescent="0.2">
      <c r="B379" s="146" t="s">
        <v>206</v>
      </c>
      <c r="C379" s="139"/>
      <c r="D379" s="140"/>
      <c r="E379" s="140"/>
      <c r="F379" s="140"/>
      <c r="G379" s="140"/>
      <c r="H379" s="140"/>
      <c r="I379" s="737"/>
      <c r="J379" s="731"/>
      <c r="K379" s="133"/>
      <c r="L379" s="133"/>
      <c r="M379" s="133"/>
      <c r="N379" s="13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</row>
    <row r="380" spans="2:36" outlineLevel="1" x14ac:dyDescent="0.2">
      <c r="B380" s="157" t="s">
        <v>283</v>
      </c>
      <c r="C380" s="101">
        <f>'2022 Budget &amp; CF'!C380</f>
        <v>100</v>
      </c>
      <c r="D380" s="104" t="str">
        <f>'2022 Budget &amp; CF'!D380</f>
        <v>000</v>
      </c>
      <c r="E380" s="104"/>
      <c r="F380" s="101">
        <f>'2022 Budget &amp; CF'!F380</f>
        <v>100</v>
      </c>
      <c r="G380" s="101">
        <v>2320</v>
      </c>
      <c r="H380" s="720" t="str">
        <f>'2022 Budget &amp; CF'!H380</f>
        <v>0810</v>
      </c>
      <c r="I380" s="103"/>
      <c r="J380" s="732" t="str">
        <f t="shared" ref="J380" si="360">CONCATENATE(C380,D380,F380,G380,H380,I380)</f>
        <v>10000010023200810</v>
      </c>
      <c r="K380" s="109">
        <v>2022</v>
      </c>
      <c r="L380" s="109" t="s">
        <v>348</v>
      </c>
      <c r="M380" s="109" t="s">
        <v>349</v>
      </c>
      <c r="N380" s="109" t="s">
        <v>350</v>
      </c>
      <c r="O380" s="12">
        <f>'2022 Budget &amp; CF'!J380</f>
        <v>0</v>
      </c>
      <c r="P380" s="12">
        <f>'2022 Budget &amp; CF'!K380</f>
        <v>0</v>
      </c>
      <c r="Q380" s="12">
        <f>'2022 Budget &amp; CF'!L380</f>
        <v>44</v>
      </c>
      <c r="R380" s="12">
        <f>'2022 Budget &amp; CF'!M380</f>
        <v>0</v>
      </c>
      <c r="S380" s="12">
        <f>'2022 Budget &amp; CF'!N380</f>
        <v>0</v>
      </c>
      <c r="T380" s="12">
        <f>'2022 Budget &amp; CF'!O380</f>
        <v>0</v>
      </c>
      <c r="U380" s="12">
        <f>'2022 Budget &amp; CF'!P380</f>
        <v>0</v>
      </c>
      <c r="V380" s="12">
        <f>'2022 Budget &amp; CF'!Q380</f>
        <v>0</v>
      </c>
      <c r="W380" s="12">
        <f>'2022 Budget &amp; CF'!R380</f>
        <v>0</v>
      </c>
      <c r="X380" s="12">
        <f>'2022 Budget &amp; CF'!S380</f>
        <v>0</v>
      </c>
      <c r="Y380" s="12">
        <f>'2022 Budget &amp; CF'!T380</f>
        <v>0</v>
      </c>
      <c r="Z380" s="12">
        <f>'2022 Budget &amp; CF'!U380</f>
        <v>0</v>
      </c>
      <c r="AA380" s="12">
        <f>'2022 Budget &amp; CF'!V380</f>
        <v>0</v>
      </c>
      <c r="AB380" s="12"/>
      <c r="AC380" s="121">
        <f t="shared" ref="AC380" si="361">SUM(O380:AA380)</f>
        <v>44</v>
      </c>
      <c r="AD380" s="115">
        <f>'2022 Budget &amp; CF'!Z380</f>
        <v>886</v>
      </c>
      <c r="AE380" s="117">
        <f t="shared" ref="AE380" si="362">AD380-AC380</f>
        <v>842</v>
      </c>
      <c r="AF380" s="117">
        <f t="shared" ref="AF380" si="363">AE380/$AF$6</f>
        <v>70.166666666666671</v>
      </c>
    </row>
    <row r="381" spans="2:36" outlineLevel="1" x14ac:dyDescent="0.2">
      <c r="B381" s="146" t="s">
        <v>211</v>
      </c>
      <c r="C381" s="139"/>
      <c r="D381" s="140"/>
      <c r="E381" s="140"/>
      <c r="F381" s="140"/>
      <c r="G381" s="140"/>
      <c r="H381" s="140"/>
      <c r="I381" s="737"/>
      <c r="J381" s="731"/>
      <c r="K381" s="133"/>
      <c r="L381" s="133"/>
      <c r="M381" s="133"/>
      <c r="N381" s="13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</row>
    <row r="382" spans="2:36" outlineLevel="1" x14ac:dyDescent="0.2">
      <c r="B382" s="82" t="s">
        <v>287</v>
      </c>
      <c r="C382" s="101">
        <f>'2022 Budget &amp; CF'!C382</f>
        <v>100</v>
      </c>
      <c r="D382" s="104" t="str">
        <f>'2022 Budget &amp; CF'!D382</f>
        <v>000</v>
      </c>
      <c r="E382" s="104"/>
      <c r="F382" s="101">
        <f>'2022 Budget &amp; CF'!F382</f>
        <v>100</v>
      </c>
      <c r="G382" s="101">
        <v>2490</v>
      </c>
      <c r="H382" s="720" t="s">
        <v>281</v>
      </c>
      <c r="I382" s="103"/>
      <c r="J382" s="732" t="str">
        <f t="shared" ref="J382" si="364">CONCATENATE(C382,D382,F382,G382,H382,I382)</f>
        <v>10000010024900810</v>
      </c>
      <c r="K382" s="109">
        <v>2022</v>
      </c>
      <c r="L382" s="109" t="s">
        <v>348</v>
      </c>
      <c r="M382" s="109" t="s">
        <v>349</v>
      </c>
      <c r="N382" s="109" t="s">
        <v>350</v>
      </c>
      <c r="O382" s="12">
        <f>'2022 Budget &amp; CF'!J382</f>
        <v>0</v>
      </c>
      <c r="P382" s="12">
        <f>'2022 Budget &amp; CF'!K382</f>
        <v>2070</v>
      </c>
      <c r="Q382" s="12">
        <f>'2022 Budget &amp; CF'!L382</f>
        <v>0</v>
      </c>
      <c r="R382" s="12">
        <f>'2022 Budget &amp; CF'!M382</f>
        <v>0</v>
      </c>
      <c r="S382" s="12">
        <f>'2022 Budget &amp; CF'!N382</f>
        <v>174</v>
      </c>
      <c r="T382" s="12">
        <f>'2022 Budget &amp; CF'!O382</f>
        <v>0</v>
      </c>
      <c r="U382" s="12">
        <f>'2022 Budget &amp; CF'!P382</f>
        <v>0</v>
      </c>
      <c r="V382" s="12">
        <f>'2022 Budget &amp; CF'!Q382</f>
        <v>0</v>
      </c>
      <c r="W382" s="12">
        <f>'2022 Budget &amp; CF'!R382</f>
        <v>0</v>
      </c>
      <c r="X382" s="12">
        <f>'2022 Budget &amp; CF'!S382</f>
        <v>0</v>
      </c>
      <c r="Y382" s="12">
        <f>'2022 Budget &amp; CF'!T382</f>
        <v>0</v>
      </c>
      <c r="Z382" s="12">
        <f>'2022 Budget &amp; CF'!U382</f>
        <v>0</v>
      </c>
      <c r="AA382" s="12">
        <f>'2022 Budget &amp; CF'!V382</f>
        <v>0</v>
      </c>
      <c r="AB382" s="12"/>
      <c r="AC382" s="121">
        <f t="shared" ref="AC382" si="365">SUM(O382:AA382)</f>
        <v>2244</v>
      </c>
      <c r="AD382" s="115">
        <f>'2022 Budget &amp; CF'!Z382</f>
        <v>548</v>
      </c>
      <c r="AE382" s="117">
        <f t="shared" ref="AE382" si="366">AD382-AC382</f>
        <v>-1696</v>
      </c>
      <c r="AF382" s="117">
        <f t="shared" ref="AF382" si="367">AE382/$AF$6</f>
        <v>-141.33333333333334</v>
      </c>
    </row>
    <row r="383" spans="2:36" outlineLevel="1" x14ac:dyDescent="0.2">
      <c r="B383" s="459" t="s">
        <v>214</v>
      </c>
      <c r="C383" s="148"/>
      <c r="D383" s="148"/>
      <c r="E383" s="148"/>
      <c r="F383" s="148"/>
      <c r="G383" s="148"/>
      <c r="H383" s="152"/>
      <c r="I383" s="738"/>
      <c r="J383" s="731"/>
      <c r="K383" s="133"/>
      <c r="L383" s="133"/>
      <c r="M383" s="133"/>
      <c r="N383" s="13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</row>
    <row r="384" spans="2:36" outlineLevel="1" x14ac:dyDescent="0.2">
      <c r="B384" s="82" t="s">
        <v>284</v>
      </c>
      <c r="C384" s="101">
        <v>100</v>
      </c>
      <c r="D384" s="104" t="s">
        <v>145</v>
      </c>
      <c r="E384" s="104"/>
      <c r="F384" s="101">
        <v>100</v>
      </c>
      <c r="G384" s="101">
        <v>2510</v>
      </c>
      <c r="H384" s="720" t="s">
        <v>281</v>
      </c>
      <c r="I384" s="103"/>
      <c r="J384" s="732" t="str">
        <f t="shared" ref="J384" si="368">CONCATENATE(C384,D384,F384,G384,H384,I384)</f>
        <v>10000010025100810</v>
      </c>
      <c r="K384" s="109">
        <v>2022</v>
      </c>
      <c r="L384" s="109" t="s">
        <v>348</v>
      </c>
      <c r="M384" s="109" t="s">
        <v>349</v>
      </c>
      <c r="N384" s="109" t="s">
        <v>350</v>
      </c>
      <c r="O384" s="12">
        <f>'2022 Budget &amp; CF'!J384</f>
        <v>19</v>
      </c>
      <c r="P384" s="12">
        <f>'2022 Budget &amp; CF'!K384</f>
        <v>8</v>
      </c>
      <c r="Q384" s="12">
        <f>'2022 Budget &amp; CF'!L384</f>
        <v>183.14</v>
      </c>
      <c r="R384" s="12">
        <f>'2022 Budget &amp; CF'!M384</f>
        <v>0</v>
      </c>
      <c r="S384" s="12">
        <f>'2022 Budget &amp; CF'!N384</f>
        <v>0</v>
      </c>
      <c r="T384" s="12">
        <f>'2022 Budget &amp; CF'!O384</f>
        <v>0</v>
      </c>
      <c r="U384" s="12">
        <f>'2022 Budget &amp; CF'!P384</f>
        <v>0</v>
      </c>
      <c r="V384" s="12">
        <f>'2022 Budget &amp; CF'!Q384</f>
        <v>0</v>
      </c>
      <c r="W384" s="12">
        <f>'2022 Budget &amp; CF'!R384</f>
        <v>0</v>
      </c>
      <c r="X384" s="12">
        <f>'2022 Budget &amp; CF'!S384</f>
        <v>0</v>
      </c>
      <c r="Y384" s="12">
        <f>'2022 Budget &amp; CF'!T384</f>
        <v>0</v>
      </c>
      <c r="Z384" s="12">
        <f>'2022 Budget &amp; CF'!U384</f>
        <v>0</v>
      </c>
      <c r="AA384" s="12">
        <f>'2022 Budget &amp; CF'!V384</f>
        <v>0</v>
      </c>
      <c r="AB384" s="12"/>
      <c r="AC384" s="121">
        <f t="shared" ref="AC384:AC385" si="369">SUM(O384:AA384)</f>
        <v>210.14</v>
      </c>
      <c r="AD384" s="115">
        <f>'2022 Budget &amp; CF'!Z384</f>
        <v>836</v>
      </c>
      <c r="AE384" s="117">
        <f t="shared" ref="AE384:AE385" si="370">AD384-AC384</f>
        <v>625.86</v>
      </c>
      <c r="AF384" s="117">
        <f t="shared" ref="AF384:AF385" si="371">AE384/$AF$6</f>
        <v>52.155000000000001</v>
      </c>
    </row>
    <row r="385" spans="2:32" outlineLevel="1" x14ac:dyDescent="0.2">
      <c r="B385" s="157" t="s">
        <v>1058</v>
      </c>
      <c r="C385" s="158">
        <v>100</v>
      </c>
      <c r="D385" s="159" t="s">
        <v>145</v>
      </c>
      <c r="E385" s="159"/>
      <c r="F385" s="158">
        <v>100</v>
      </c>
      <c r="G385" s="158" t="s">
        <v>477</v>
      </c>
      <c r="H385" s="734" t="s">
        <v>281</v>
      </c>
      <c r="I385" s="739"/>
      <c r="J385" s="732" t="str">
        <f t="shared" ref="J385:J387" si="372">CONCATENATE(C385,D385,F385,G385,H385,I385)</f>
        <v>10000010025700810</v>
      </c>
      <c r="K385" s="109">
        <v>2022</v>
      </c>
      <c r="L385" s="109" t="s">
        <v>348</v>
      </c>
      <c r="M385" s="109" t="s">
        <v>349</v>
      </c>
      <c r="N385" s="109" t="s">
        <v>350</v>
      </c>
      <c r="O385" s="12">
        <f>'2022 Budget &amp; CF'!J385</f>
        <v>93</v>
      </c>
      <c r="P385" s="12">
        <f>'2022 Budget &amp; CF'!K385</f>
        <v>0</v>
      </c>
      <c r="Q385" s="12">
        <f>'2022 Budget &amp; CF'!L385</f>
        <v>0</v>
      </c>
      <c r="R385" s="12">
        <f>'2022 Budget &amp; CF'!M385</f>
        <v>0</v>
      </c>
      <c r="S385" s="12">
        <f>'2022 Budget &amp; CF'!N385</f>
        <v>0</v>
      </c>
      <c r="T385" s="12">
        <f>'2022 Budget &amp; CF'!O385</f>
        <v>0</v>
      </c>
      <c r="U385" s="12">
        <f>'2022 Budget &amp; CF'!P385</f>
        <v>0</v>
      </c>
      <c r="V385" s="12">
        <f>'2022 Budget &amp; CF'!Q385</f>
        <v>0</v>
      </c>
      <c r="W385" s="12">
        <f>'2022 Budget &amp; CF'!R385</f>
        <v>0</v>
      </c>
      <c r="X385" s="12">
        <f>'2022 Budget &amp; CF'!S385</f>
        <v>0</v>
      </c>
      <c r="Y385" s="12">
        <f>'2022 Budget &amp; CF'!T385</f>
        <v>0</v>
      </c>
      <c r="Z385" s="12">
        <f>'2022 Budget &amp; CF'!U385</f>
        <v>0</v>
      </c>
      <c r="AA385" s="12">
        <f>'2022 Budget &amp; CF'!V385</f>
        <v>0</v>
      </c>
      <c r="AB385" s="114"/>
      <c r="AC385" s="121">
        <f t="shared" si="369"/>
        <v>93</v>
      </c>
      <c r="AD385" s="115">
        <f>'2022 Budget &amp; CF'!Z385</f>
        <v>219</v>
      </c>
      <c r="AE385" s="117">
        <f t="shared" si="370"/>
        <v>126</v>
      </c>
      <c r="AF385" s="117">
        <f t="shared" si="371"/>
        <v>10.5</v>
      </c>
    </row>
    <row r="386" spans="2:32" outlineLevel="1" x14ac:dyDescent="0.2">
      <c r="B386" s="157" t="s">
        <v>1058</v>
      </c>
      <c r="C386" s="158">
        <v>100</v>
      </c>
      <c r="D386" s="159" t="s">
        <v>145</v>
      </c>
      <c r="E386" s="159"/>
      <c r="F386" s="158">
        <v>100</v>
      </c>
      <c r="G386" s="158" t="s">
        <v>479</v>
      </c>
      <c r="H386" s="734" t="s">
        <v>281</v>
      </c>
      <c r="I386" s="781" t="s">
        <v>563</v>
      </c>
      <c r="J386" s="732" t="str">
        <f t="shared" si="372"/>
        <v>1000001002580081001</v>
      </c>
      <c r="K386" s="109">
        <v>2022</v>
      </c>
      <c r="L386" s="109" t="s">
        <v>348</v>
      </c>
      <c r="M386" s="109" t="s">
        <v>349</v>
      </c>
      <c r="N386" s="109" t="s">
        <v>350</v>
      </c>
      <c r="O386" s="12">
        <f>'2022 Budget &amp; CF'!J386</f>
        <v>0</v>
      </c>
      <c r="P386" s="12">
        <f>'2022 Budget &amp; CF'!K386</f>
        <v>0</v>
      </c>
      <c r="Q386" s="12">
        <f>'2022 Budget &amp; CF'!L386</f>
        <v>0</v>
      </c>
      <c r="R386" s="12">
        <f>'2022 Budget &amp; CF'!M386</f>
        <v>0</v>
      </c>
      <c r="S386" s="12">
        <f>'2022 Budget &amp; CF'!N386</f>
        <v>0</v>
      </c>
      <c r="T386" s="12">
        <f>'2022 Budget &amp; CF'!O386</f>
        <v>0</v>
      </c>
      <c r="U386" s="12">
        <f>'2022 Budget &amp; CF'!P386</f>
        <v>0</v>
      </c>
      <c r="V386" s="12">
        <f>'2022 Budget &amp; CF'!Q386</f>
        <v>0</v>
      </c>
      <c r="W386" s="12">
        <f>'2022 Budget &amp; CF'!R386</f>
        <v>0</v>
      </c>
      <c r="X386" s="12">
        <f>'2022 Budget &amp; CF'!S386</f>
        <v>0</v>
      </c>
      <c r="Y386" s="12">
        <f>'2022 Budget &amp; CF'!T386</f>
        <v>0</v>
      </c>
      <c r="Z386" s="12">
        <f>'2022 Budget &amp; CF'!U386</f>
        <v>0</v>
      </c>
      <c r="AA386" s="12">
        <f>'2022 Budget &amp; CF'!V386</f>
        <v>0</v>
      </c>
      <c r="AB386" s="114"/>
      <c r="AC386" s="121">
        <f t="shared" ref="AC386:AC387" si="373">SUM(O386:AA386)</f>
        <v>0</v>
      </c>
      <c r="AD386" s="115">
        <f>'2022 Budget &amp; CF'!Z386</f>
        <v>119</v>
      </c>
      <c r="AE386" s="117">
        <f t="shared" ref="AE386:AE387" si="374">AD386-AC386</f>
        <v>119</v>
      </c>
      <c r="AF386" s="117">
        <f t="shared" ref="AF386:AF387" si="375">AE386/$AF$6</f>
        <v>9.9166666666666661</v>
      </c>
    </row>
    <row r="387" spans="2:32" outlineLevel="1" x14ac:dyDescent="0.2">
      <c r="B387" s="157" t="s">
        <v>1058</v>
      </c>
      <c r="C387" s="101" t="s">
        <v>468</v>
      </c>
      <c r="D387" s="104" t="s">
        <v>145</v>
      </c>
      <c r="E387" s="104"/>
      <c r="F387" s="101" t="s">
        <v>468</v>
      </c>
      <c r="G387" s="101" t="s">
        <v>520</v>
      </c>
      <c r="H387" s="720" t="s">
        <v>281</v>
      </c>
      <c r="I387" s="103"/>
      <c r="J387" s="732" t="str">
        <f t="shared" si="372"/>
        <v>10000010025850810</v>
      </c>
      <c r="K387" s="109">
        <v>2022</v>
      </c>
      <c r="L387" s="109" t="s">
        <v>348</v>
      </c>
      <c r="M387" s="109" t="s">
        <v>349</v>
      </c>
      <c r="N387" s="109" t="s">
        <v>350</v>
      </c>
      <c r="O387" s="12">
        <f>'2022 Budget &amp; CF'!J387</f>
        <v>0</v>
      </c>
      <c r="P387" s="12">
        <f>'2022 Budget &amp; CF'!K387</f>
        <v>0</v>
      </c>
      <c r="Q387" s="12">
        <f>'2022 Budget &amp; CF'!L387</f>
        <v>0</v>
      </c>
      <c r="R387" s="12">
        <f>'2022 Budget &amp; CF'!M387</f>
        <v>1355.76</v>
      </c>
      <c r="S387" s="12">
        <f>'2022 Budget &amp; CF'!N387</f>
        <v>0</v>
      </c>
      <c r="T387" s="12">
        <f>'2022 Budget &amp; CF'!O387</f>
        <v>0</v>
      </c>
      <c r="U387" s="12">
        <f>'2022 Budget &amp; CF'!P387</f>
        <v>0</v>
      </c>
      <c r="V387" s="12">
        <f>'2022 Budget &amp; CF'!Q387</f>
        <v>0</v>
      </c>
      <c r="W387" s="12">
        <f>'2022 Budget &amp; CF'!R387</f>
        <v>0</v>
      </c>
      <c r="X387" s="12">
        <f>'2022 Budget &amp; CF'!S387</f>
        <v>0</v>
      </c>
      <c r="Y387" s="12">
        <f>'2022 Budget &amp; CF'!T387</f>
        <v>0</v>
      </c>
      <c r="Z387" s="12">
        <f>'2022 Budget &amp; CF'!U387</f>
        <v>0</v>
      </c>
      <c r="AA387" s="12">
        <f>'2022 Budget &amp; CF'!V387</f>
        <v>0</v>
      </c>
      <c r="AB387" s="12"/>
      <c r="AC387" s="121">
        <f t="shared" si="373"/>
        <v>1355.76</v>
      </c>
      <c r="AD387" s="115">
        <f>'2022 Budget &amp; CF'!Z387</f>
        <v>0</v>
      </c>
      <c r="AE387" s="117">
        <f t="shared" si="374"/>
        <v>-1355.76</v>
      </c>
      <c r="AF387" s="117">
        <f t="shared" si="375"/>
        <v>-112.98</v>
      </c>
    </row>
    <row r="388" spans="2:32" outlineLevel="1" x14ac:dyDescent="0.2">
      <c r="B388" s="146" t="s">
        <v>1058</v>
      </c>
      <c r="C388" s="139"/>
      <c r="D388" s="140"/>
      <c r="E388" s="140"/>
      <c r="F388" s="140"/>
      <c r="G388" s="140"/>
      <c r="H388" s="140"/>
      <c r="I388" s="737"/>
      <c r="J388" s="731"/>
      <c r="K388" s="133"/>
      <c r="L388" s="133"/>
      <c r="M388" s="133"/>
      <c r="N388" s="13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</row>
    <row r="389" spans="2:32" outlineLevel="1" x14ac:dyDescent="0.2">
      <c r="B389" s="82" t="s">
        <v>285</v>
      </c>
      <c r="C389" s="101">
        <f>'2022 Budget &amp; CF'!C389</f>
        <v>100</v>
      </c>
      <c r="D389" s="104" t="str">
        <f>'2022 Budget &amp; CF'!D389</f>
        <v>000</v>
      </c>
      <c r="E389" s="104"/>
      <c r="F389" s="101">
        <f>'2022 Budget &amp; CF'!F389</f>
        <v>100</v>
      </c>
      <c r="G389" s="101">
        <v>2610</v>
      </c>
      <c r="H389" s="720" t="str">
        <f>'2022 Budget &amp; CF'!H389</f>
        <v>0810</v>
      </c>
      <c r="I389" s="103"/>
      <c r="J389" s="732" t="str">
        <f t="shared" ref="J389" si="376">CONCATENATE(C389,D389,F389,G389,H389,I389)</f>
        <v>10000010026100810</v>
      </c>
      <c r="K389" s="109">
        <v>2022</v>
      </c>
      <c r="L389" s="109" t="s">
        <v>348</v>
      </c>
      <c r="M389" s="109" t="s">
        <v>349</v>
      </c>
      <c r="N389" s="109" t="s">
        <v>350</v>
      </c>
      <c r="O389" s="12">
        <f>'2022 Budget &amp; CF'!J389</f>
        <v>118</v>
      </c>
      <c r="P389" s="12">
        <f>'2022 Budget &amp; CF'!K389</f>
        <v>0</v>
      </c>
      <c r="Q389" s="12">
        <f>'2022 Budget &amp; CF'!L389</f>
        <v>0</v>
      </c>
      <c r="R389" s="12">
        <f>'2022 Budget &amp; CF'!M389</f>
        <v>0</v>
      </c>
      <c r="S389" s="12">
        <f>'2022 Budget &amp; CF'!N389</f>
        <v>0</v>
      </c>
      <c r="T389" s="12">
        <f>'2022 Budget &amp; CF'!O389</f>
        <v>0</v>
      </c>
      <c r="U389" s="12">
        <f>'2022 Budget &amp; CF'!P389</f>
        <v>0</v>
      </c>
      <c r="V389" s="12">
        <f>'2022 Budget &amp; CF'!Q389</f>
        <v>0</v>
      </c>
      <c r="W389" s="12">
        <f>'2022 Budget &amp; CF'!R389</f>
        <v>0</v>
      </c>
      <c r="X389" s="12">
        <f>'2022 Budget &amp; CF'!S389</f>
        <v>0</v>
      </c>
      <c r="Y389" s="12">
        <f>'2022 Budget &amp; CF'!T389</f>
        <v>0</v>
      </c>
      <c r="Z389" s="12">
        <f>'2022 Budget &amp; CF'!U389</f>
        <v>0</v>
      </c>
      <c r="AA389" s="12">
        <f>'2022 Budget &amp; CF'!V389</f>
        <v>0</v>
      </c>
      <c r="AB389" s="12"/>
      <c r="AC389" s="121">
        <f t="shared" ref="AC389" si="377">SUM(O389:AA389)</f>
        <v>118</v>
      </c>
      <c r="AD389" s="115">
        <f>'2022 Budget &amp; CF'!Z389</f>
        <v>238</v>
      </c>
      <c r="AE389" s="117">
        <f t="shared" ref="AE389" si="378">AD389-AC389</f>
        <v>120</v>
      </c>
      <c r="AF389" s="117">
        <f t="shared" ref="AF389" si="379">AE389/$AF$6</f>
        <v>10</v>
      </c>
    </row>
    <row r="390" spans="2:32" outlineLevel="1" x14ac:dyDescent="0.2">
      <c r="B390" s="146" t="s">
        <v>996</v>
      </c>
      <c r="C390" s="151"/>
      <c r="D390" s="152"/>
      <c r="E390" s="152"/>
      <c r="F390" s="152"/>
      <c r="G390" s="152"/>
      <c r="H390" s="152"/>
      <c r="I390" s="739"/>
      <c r="J390" s="731"/>
      <c r="K390" s="133"/>
      <c r="L390" s="133"/>
      <c r="M390" s="133"/>
      <c r="N390" s="13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</row>
    <row r="391" spans="2:32" outlineLevel="1" x14ac:dyDescent="0.2">
      <c r="B391" s="157" t="s">
        <v>995</v>
      </c>
      <c r="C391" s="158">
        <f>'2022 Budget &amp; CF'!C391</f>
        <v>100</v>
      </c>
      <c r="D391" s="159" t="str">
        <f>'2022 Budget &amp; CF'!D391</f>
        <v>000</v>
      </c>
      <c r="E391" s="159"/>
      <c r="F391" s="158">
        <f>'2022 Budget &amp; CF'!F391</f>
        <v>100</v>
      </c>
      <c r="G391" s="158">
        <v>4600</v>
      </c>
      <c r="H391" s="734" t="str">
        <f>'2022 Budget &amp; CF'!H391</f>
        <v>0810</v>
      </c>
      <c r="I391" s="160"/>
      <c r="J391" s="730" t="str">
        <f t="shared" ref="J391" si="380">CONCATENATE(C391,D391,F391,G391,H391,I391)</f>
        <v>10000010046000810</v>
      </c>
      <c r="K391" s="109">
        <v>2022</v>
      </c>
      <c r="L391" s="109" t="s">
        <v>348</v>
      </c>
      <c r="M391" s="109" t="s">
        <v>349</v>
      </c>
      <c r="N391" s="109" t="s">
        <v>350</v>
      </c>
      <c r="O391" s="12">
        <f>'2022 Budget &amp; CF'!J391</f>
        <v>0</v>
      </c>
      <c r="P391" s="12">
        <f>'2022 Budget &amp; CF'!K391</f>
        <v>0</v>
      </c>
      <c r="Q391" s="12">
        <f>'2022 Budget &amp; CF'!L391</f>
        <v>0</v>
      </c>
      <c r="R391" s="12">
        <f>'2022 Budget &amp; CF'!M391</f>
        <v>0</v>
      </c>
      <c r="S391" s="12">
        <f>'2022 Budget &amp; CF'!N391</f>
        <v>0</v>
      </c>
      <c r="T391" s="12">
        <f>'2022 Budget &amp; CF'!O391</f>
        <v>0</v>
      </c>
      <c r="U391" s="12">
        <f>'2022 Budget &amp; CF'!P391</f>
        <v>0</v>
      </c>
      <c r="V391" s="12">
        <f>'2022 Budget &amp; CF'!Q391</f>
        <v>0</v>
      </c>
      <c r="W391" s="12">
        <f>'2022 Budget &amp; CF'!R391</f>
        <v>0</v>
      </c>
      <c r="X391" s="12">
        <f>'2022 Budget &amp; CF'!S391</f>
        <v>0</v>
      </c>
      <c r="Y391" s="12">
        <f>'2022 Budget &amp; CF'!T391</f>
        <v>0</v>
      </c>
      <c r="Z391" s="12">
        <f>'2022 Budget &amp; CF'!U391</f>
        <v>0</v>
      </c>
      <c r="AA391" s="12">
        <f>'2022 Budget &amp; CF'!V391</f>
        <v>0</v>
      </c>
      <c r="AB391" s="12"/>
      <c r="AC391" s="121">
        <f t="shared" ref="AC391" si="381">SUM(O391:AA391)</f>
        <v>0</v>
      </c>
      <c r="AD391" s="115">
        <f>'2022 Budget &amp; CF'!Z391</f>
        <v>3910</v>
      </c>
      <c r="AE391" s="117">
        <f t="shared" ref="AE391" si="382">AD391-AC391</f>
        <v>3910</v>
      </c>
      <c r="AF391" s="117">
        <f t="shared" ref="AF391" si="383">AE391/$AF$6</f>
        <v>325.83333333333331</v>
      </c>
    </row>
    <row r="392" spans="2:32" outlineLevel="1" x14ac:dyDescent="0.2">
      <c r="B392" s="146" t="s">
        <v>1133</v>
      </c>
      <c r="C392" s="151"/>
      <c r="D392" s="152"/>
      <c r="E392" s="152"/>
      <c r="F392" s="152"/>
      <c r="G392" s="152"/>
      <c r="H392" s="152"/>
      <c r="I392" s="739"/>
      <c r="J392" s="731"/>
      <c r="K392" s="133"/>
      <c r="L392" s="133"/>
      <c r="M392" s="133"/>
      <c r="N392" s="13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</row>
    <row r="393" spans="2:32" outlineLevel="1" x14ac:dyDescent="0.2">
      <c r="B393" s="157" t="s">
        <v>1134</v>
      </c>
      <c r="C393" s="158">
        <v>100</v>
      </c>
      <c r="D393" s="159" t="s">
        <v>145</v>
      </c>
      <c r="E393" s="159"/>
      <c r="F393" s="160" t="s">
        <v>145</v>
      </c>
      <c r="G393" s="158">
        <v>6200</v>
      </c>
      <c r="H393" s="734" t="s">
        <v>1135</v>
      </c>
      <c r="I393" s="160"/>
      <c r="J393" s="730" t="str">
        <f t="shared" ref="J393" si="384">CONCATENATE(C393,D393,F393,G393,H393,I393)</f>
        <v>10000000062000910</v>
      </c>
      <c r="K393" s="109">
        <v>2022</v>
      </c>
      <c r="L393" s="109" t="s">
        <v>348</v>
      </c>
      <c r="M393" s="109" t="s">
        <v>349</v>
      </c>
      <c r="N393" s="109" t="s">
        <v>350</v>
      </c>
      <c r="O393" s="12">
        <f>'2022 Budget &amp; CF'!J393</f>
        <v>0</v>
      </c>
      <c r="P393" s="12">
        <f>'2022 Budget &amp; CF'!K393</f>
        <v>0</v>
      </c>
      <c r="Q393" s="12">
        <f>'2022 Budget &amp; CF'!L393</f>
        <v>0</v>
      </c>
      <c r="R393" s="12">
        <f>'2022 Budget &amp; CF'!M393</f>
        <v>0</v>
      </c>
      <c r="S393" s="12">
        <f>'2022 Budget &amp; CF'!N393</f>
        <v>1559311.38</v>
      </c>
      <c r="T393" s="12">
        <f>'2022 Budget &amp; CF'!O396</f>
        <v>0</v>
      </c>
      <c r="U393" s="12">
        <f>'2022 Budget &amp; CF'!P396</f>
        <v>0</v>
      </c>
      <c r="V393" s="12">
        <f>'2022 Budget &amp; CF'!Q396</f>
        <v>0</v>
      </c>
      <c r="W393" s="12">
        <f>'2022 Budget &amp; CF'!R396</f>
        <v>0</v>
      </c>
      <c r="X393" s="12">
        <f>'2022 Budget &amp; CF'!S396</f>
        <v>0</v>
      </c>
      <c r="Y393" s="12">
        <f>'2022 Budget &amp; CF'!T396</f>
        <v>0</v>
      </c>
      <c r="Z393" s="12">
        <f>'2022 Budget &amp; CF'!U396</f>
        <v>0</v>
      </c>
      <c r="AA393" s="12">
        <f>'2022 Budget &amp; CF'!V396</f>
        <v>0</v>
      </c>
      <c r="AB393" s="12"/>
      <c r="AC393" s="121">
        <f t="shared" ref="AC393" si="385">SUM(O393:AA393)</f>
        <v>1559311.38</v>
      </c>
      <c r="AD393" s="115">
        <f>'2022 Budget &amp; CF'!Z393</f>
        <v>0</v>
      </c>
      <c r="AE393" s="117">
        <f t="shared" ref="AE393" si="386">AD393-AC393</f>
        <v>-1559311.38</v>
      </c>
      <c r="AF393" s="117">
        <f t="shared" ref="AF393" si="387">AE393/$AF$6</f>
        <v>-129942.61499999999</v>
      </c>
    </row>
    <row r="394" spans="2:32" outlineLevel="1" x14ac:dyDescent="0.2">
      <c r="B394" s="768" t="s">
        <v>1270</v>
      </c>
      <c r="C394" s="143">
        <v>100</v>
      </c>
      <c r="D394" s="144" t="s">
        <v>145</v>
      </c>
      <c r="E394" s="144"/>
      <c r="F394" s="143">
        <v>100</v>
      </c>
      <c r="G394" s="143">
        <v>6300</v>
      </c>
      <c r="H394" s="735" t="s">
        <v>1271</v>
      </c>
      <c r="I394" s="160"/>
      <c r="J394" s="730"/>
      <c r="K394" s="109"/>
      <c r="L394" s="109"/>
      <c r="M394" s="109"/>
      <c r="N394" s="109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1"/>
      <c r="AD394" s="115"/>
      <c r="AE394" s="117"/>
      <c r="AF394" s="117"/>
    </row>
    <row r="395" spans="2:32" outlineLevel="1" x14ac:dyDescent="0.2">
      <c r="B395" s="154" t="s">
        <v>512</v>
      </c>
      <c r="C395" s="151"/>
      <c r="D395" s="152"/>
      <c r="E395" s="152"/>
      <c r="F395" s="152"/>
      <c r="G395" s="152"/>
      <c r="H395" s="152"/>
      <c r="I395" s="739"/>
      <c r="J395" s="731"/>
      <c r="K395" s="133"/>
      <c r="L395" s="133"/>
      <c r="M395" s="133"/>
      <c r="N395" s="13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</row>
    <row r="396" spans="2:32" outlineLevel="1" x14ac:dyDescent="0.2">
      <c r="B396" s="82" t="s">
        <v>515</v>
      </c>
      <c r="C396" s="101">
        <v>240</v>
      </c>
      <c r="D396" s="104" t="s">
        <v>472</v>
      </c>
      <c r="E396" s="104"/>
      <c r="F396" s="101">
        <v>100</v>
      </c>
      <c r="G396" s="101">
        <v>2400</v>
      </c>
      <c r="H396" s="720" t="s">
        <v>288</v>
      </c>
      <c r="I396" s="103"/>
      <c r="J396" s="732" t="str">
        <f t="shared" ref="J396" si="388">CONCATENATE(C396,D396,F396,G396,H396,I396)</f>
        <v>24039010024000890</v>
      </c>
      <c r="K396" s="109">
        <v>2022</v>
      </c>
      <c r="L396" s="109" t="s">
        <v>348</v>
      </c>
      <c r="M396" s="109" t="s">
        <v>349</v>
      </c>
      <c r="N396" s="109" t="s">
        <v>350</v>
      </c>
      <c r="O396" s="12">
        <f>'2022 Budget &amp; CF'!J396</f>
        <v>0</v>
      </c>
      <c r="P396" s="12">
        <f>'2022 Budget &amp; CF'!K396</f>
        <v>0</v>
      </c>
      <c r="Q396" s="12">
        <f>'2022 Budget &amp; CF'!L396</f>
        <v>0</v>
      </c>
      <c r="R396" s="12">
        <f>'2022 Budget &amp; CF'!M396</f>
        <v>0</v>
      </c>
      <c r="S396" s="12">
        <f>'2022 Budget &amp; CF'!N396</f>
        <v>0</v>
      </c>
      <c r="T396" s="12">
        <f>'2022 Budget &amp; CF'!O396</f>
        <v>0</v>
      </c>
      <c r="U396" s="12">
        <f>'2022 Budget &amp; CF'!P396</f>
        <v>0</v>
      </c>
      <c r="V396" s="12">
        <f>'2022 Budget &amp; CF'!Q396</f>
        <v>0</v>
      </c>
      <c r="W396" s="12">
        <f>'2022 Budget &amp; CF'!R396</f>
        <v>0</v>
      </c>
      <c r="X396" s="12">
        <f>'2022 Budget &amp; CF'!S396</f>
        <v>0</v>
      </c>
      <c r="Y396" s="12">
        <f>'2022 Budget &amp; CF'!T396</f>
        <v>0</v>
      </c>
      <c r="Z396" s="12">
        <f>'2022 Budget &amp; CF'!U396</f>
        <v>0</v>
      </c>
      <c r="AA396" s="12">
        <f>'2022 Budget &amp; CF'!V396</f>
        <v>0</v>
      </c>
      <c r="AB396" s="12"/>
      <c r="AC396" s="121">
        <f t="shared" ref="AC396" si="389">SUM(O396:AA396)</f>
        <v>0</v>
      </c>
      <c r="AD396" s="115">
        <f>'2022 Budget &amp; CF'!Z396</f>
        <v>0</v>
      </c>
      <c r="AE396" s="117">
        <f t="shared" ref="AE396" si="390">AD396-AC396</f>
        <v>0</v>
      </c>
      <c r="AF396" s="117">
        <f t="shared" ref="AF396" si="391">AE396/$AF$6</f>
        <v>0</v>
      </c>
    </row>
    <row r="397" spans="2:32" outlineLevel="1" x14ac:dyDescent="0.2">
      <c r="B397" s="154" t="s">
        <v>42</v>
      </c>
      <c r="C397" s="151"/>
      <c r="D397" s="152"/>
      <c r="E397" s="152"/>
      <c r="F397" s="152"/>
      <c r="G397" s="152"/>
      <c r="H397" s="152"/>
      <c r="I397" s="739"/>
      <c r="J397" s="731"/>
      <c r="K397" s="133"/>
      <c r="L397" s="133"/>
      <c r="M397" s="133"/>
      <c r="N397" s="13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</row>
    <row r="398" spans="2:32" outlineLevel="1" x14ac:dyDescent="0.2">
      <c r="B398" s="82" t="s">
        <v>1058</v>
      </c>
      <c r="C398" s="101" t="s">
        <v>462</v>
      </c>
      <c r="D398" s="104" t="s">
        <v>132</v>
      </c>
      <c r="E398" s="104"/>
      <c r="F398" s="101" t="s">
        <v>463</v>
      </c>
      <c r="G398" s="101" t="s">
        <v>485</v>
      </c>
      <c r="H398" s="720" t="s">
        <v>281</v>
      </c>
      <c r="I398" s="103" t="s">
        <v>563</v>
      </c>
      <c r="J398" s="732" t="str">
        <f t="shared" ref="J398" si="392">CONCATENATE(C398,D398,F398,G398,H398,I398)</f>
        <v>2502052002140081001</v>
      </c>
      <c r="K398" s="109">
        <v>2022</v>
      </c>
      <c r="L398" s="109" t="s">
        <v>348</v>
      </c>
      <c r="M398" s="109" t="s">
        <v>349</v>
      </c>
      <c r="N398" s="109" t="s">
        <v>350</v>
      </c>
      <c r="O398" s="12">
        <f>'2022 Budget &amp; CF'!J398</f>
        <v>67.959999999999994</v>
      </c>
      <c r="P398" s="12">
        <f>'2022 Budget &amp; CF'!K398</f>
        <v>0</v>
      </c>
      <c r="Q398" s="12">
        <f>'2022 Budget &amp; CF'!L398</f>
        <v>0</v>
      </c>
      <c r="R398" s="12">
        <f>'2022 Budget &amp; CF'!M398</f>
        <v>1355.76</v>
      </c>
      <c r="S398" s="12">
        <f>'2022 Budget &amp; CF'!N398</f>
        <v>0</v>
      </c>
      <c r="T398" s="12">
        <f>'2022 Budget &amp; CF'!O398</f>
        <v>0</v>
      </c>
      <c r="U398" s="12">
        <f>'2022 Budget &amp; CF'!P398</f>
        <v>0</v>
      </c>
      <c r="V398" s="12">
        <f>'2022 Budget &amp; CF'!Q398</f>
        <v>0</v>
      </c>
      <c r="W398" s="12">
        <f>'2022 Budget &amp; CF'!R398</f>
        <v>0</v>
      </c>
      <c r="X398" s="12">
        <f>'2022 Budget &amp; CF'!S398</f>
        <v>0</v>
      </c>
      <c r="Y398" s="12">
        <f>'2022 Budget &amp; CF'!T398</f>
        <v>0</v>
      </c>
      <c r="Z398" s="12">
        <f>'2022 Budget &amp; CF'!U398</f>
        <v>0</v>
      </c>
      <c r="AA398" s="12">
        <f>'2022 Budget &amp; CF'!V398</f>
        <v>0</v>
      </c>
      <c r="AB398" s="12"/>
      <c r="AC398" s="121">
        <f t="shared" ref="AC398" si="393">SUM(O398:AA398)</f>
        <v>1423.72</v>
      </c>
      <c r="AD398" s="115">
        <f>'2022 Budget &amp; CF'!Z398</f>
        <v>0</v>
      </c>
      <c r="AE398" s="117">
        <f t="shared" ref="AE398" si="394">AD398-AC398</f>
        <v>-1423.72</v>
      </c>
      <c r="AF398" s="117">
        <f t="shared" ref="AF398" si="395">AE398/$AF$6</f>
        <v>-118.64333333333333</v>
      </c>
    </row>
    <row r="399" spans="2:32" outlineLevel="1" x14ac:dyDescent="0.2">
      <c r="B399" s="82" t="s">
        <v>1058</v>
      </c>
      <c r="C399" s="101" t="s">
        <v>462</v>
      </c>
      <c r="D399" s="104" t="s">
        <v>132</v>
      </c>
      <c r="E399" s="104"/>
      <c r="F399" s="101" t="s">
        <v>463</v>
      </c>
      <c r="G399" s="101" t="s">
        <v>520</v>
      </c>
      <c r="H399" s="720" t="s">
        <v>281</v>
      </c>
      <c r="I399" s="103" t="s">
        <v>563</v>
      </c>
      <c r="J399" s="732" t="str">
        <f t="shared" ref="J399" si="396">CONCATENATE(C399,D399,F399,G399,H399,I399)</f>
        <v>2502052002585081001</v>
      </c>
      <c r="K399" s="109">
        <v>2022</v>
      </c>
      <c r="L399" s="109" t="s">
        <v>348</v>
      </c>
      <c r="M399" s="109" t="s">
        <v>349</v>
      </c>
      <c r="N399" s="109" t="s">
        <v>350</v>
      </c>
      <c r="O399" s="12">
        <f>'2022 Budget &amp; CF'!J399</f>
        <v>0</v>
      </c>
      <c r="P399" s="12">
        <f>'2022 Budget &amp; CF'!K399</f>
        <v>0</v>
      </c>
      <c r="Q399" s="12">
        <f>'2022 Budget &amp; CF'!L399</f>
        <v>177.25</v>
      </c>
      <c r="R399" s="12">
        <f>'2022 Budget &amp; CF'!M399</f>
        <v>0</v>
      </c>
      <c r="S399" s="12">
        <f>'2022 Budget &amp; CF'!N399</f>
        <v>0</v>
      </c>
      <c r="T399" s="12">
        <f>'2022 Budget &amp; CF'!O399</f>
        <v>0</v>
      </c>
      <c r="U399" s="12">
        <f>'2022 Budget &amp; CF'!P399</f>
        <v>0</v>
      </c>
      <c r="V399" s="12">
        <f>'2022 Budget &amp; CF'!Q399</f>
        <v>0</v>
      </c>
      <c r="W399" s="12">
        <f>'2022 Budget &amp; CF'!R399</f>
        <v>0</v>
      </c>
      <c r="X399" s="12">
        <f>'2022 Budget &amp; CF'!S399</f>
        <v>0</v>
      </c>
      <c r="Y399" s="12">
        <f>'2022 Budget &amp; CF'!T399</f>
        <v>0</v>
      </c>
      <c r="Z399" s="12">
        <f>'2022 Budget &amp; CF'!U399</f>
        <v>0</v>
      </c>
      <c r="AA399" s="12">
        <f>'2022 Budget &amp; CF'!V399</f>
        <v>0</v>
      </c>
      <c r="AB399" s="12"/>
      <c r="AC399" s="121">
        <f t="shared" ref="AC399" si="397">SUM(O399:AA399)</f>
        <v>177.25</v>
      </c>
      <c r="AD399" s="115">
        <f>'2022 Budget &amp; CF'!Z399</f>
        <v>0</v>
      </c>
      <c r="AE399" s="117">
        <f t="shared" ref="AE399" si="398">AD399-AC399</f>
        <v>-177.25</v>
      </c>
      <c r="AF399" s="117">
        <f t="shared" ref="AF399" si="399">AE399/$AF$6</f>
        <v>-14.770833333333334</v>
      </c>
    </row>
    <row r="400" spans="2:32" outlineLevel="1" x14ac:dyDescent="0.2">
      <c r="B400" s="461" t="s">
        <v>548</v>
      </c>
      <c r="C400" s="152"/>
      <c r="D400" s="152"/>
      <c r="E400" s="152"/>
      <c r="F400" s="152"/>
      <c r="G400" s="152"/>
      <c r="H400" s="152"/>
      <c r="I400" s="739"/>
      <c r="J400" s="731"/>
      <c r="K400" s="133"/>
      <c r="L400" s="133"/>
      <c r="M400" s="133"/>
      <c r="N400" s="13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</row>
    <row r="401" spans="2:36" outlineLevel="1" x14ac:dyDescent="0.2">
      <c r="B401" s="82" t="s">
        <v>553</v>
      </c>
      <c r="C401" s="101" t="s">
        <v>814</v>
      </c>
      <c r="D401" s="104" t="s">
        <v>145</v>
      </c>
      <c r="E401" s="104"/>
      <c r="F401" s="101" t="s">
        <v>1260</v>
      </c>
      <c r="G401" s="101" t="s">
        <v>1261</v>
      </c>
      <c r="H401" s="720" t="s">
        <v>554</v>
      </c>
      <c r="I401" s="103" t="s">
        <v>563</v>
      </c>
      <c r="J401" s="732" t="str">
        <f t="shared" ref="J401" si="400">CONCATENATE(C401,D401,F401,G401,H401,I401)</f>
        <v>2790009106000090001</v>
      </c>
      <c r="K401" s="109">
        <v>2022</v>
      </c>
      <c r="L401" s="109" t="s">
        <v>348</v>
      </c>
      <c r="M401" s="109" t="s">
        <v>349</v>
      </c>
      <c r="N401" s="109" t="s">
        <v>350</v>
      </c>
      <c r="O401" s="12">
        <f>'2022 Budget &amp; CF'!J401</f>
        <v>41.81</v>
      </c>
      <c r="P401" s="12">
        <f>'2022 Budget &amp; CF'!K401</f>
        <v>380.13</v>
      </c>
      <c r="Q401" s="12">
        <f>'2022 Budget &amp; CF'!L401</f>
        <v>297.95</v>
      </c>
      <c r="R401" s="12">
        <f>'2022 Budget &amp; CF'!M401</f>
        <v>292.35000000000002</v>
      </c>
      <c r="S401" s="12">
        <f>'2022 Budget &amp; CF'!N401</f>
        <v>54.5</v>
      </c>
      <c r="T401" s="12">
        <f>'2022 Budget &amp; CF'!O401</f>
        <v>0</v>
      </c>
      <c r="U401" s="12">
        <f>'2022 Budget &amp; CF'!P401</f>
        <v>0</v>
      </c>
      <c r="V401" s="12">
        <f>'2022 Budget &amp; CF'!Q401</f>
        <v>0</v>
      </c>
      <c r="W401" s="12">
        <f>'2022 Budget &amp; CF'!R401</f>
        <v>0</v>
      </c>
      <c r="X401" s="12">
        <f>'2022 Budget &amp; CF'!S401</f>
        <v>0</v>
      </c>
      <c r="Y401" s="12">
        <f>'2022 Budget &amp; CF'!T401</f>
        <v>0</v>
      </c>
      <c r="Z401" s="12">
        <f>'2022 Budget &amp; CF'!U401</f>
        <v>0</v>
      </c>
      <c r="AA401" s="12">
        <f>'2022 Budget &amp; CF'!V401</f>
        <v>0</v>
      </c>
      <c r="AB401" s="12"/>
      <c r="AC401" s="121">
        <f t="shared" ref="AC401" si="401">SUM(O401:AA401)</f>
        <v>1066.74</v>
      </c>
      <c r="AD401" s="115">
        <f>'2022 Budget &amp; CF'!Z401</f>
        <v>2393</v>
      </c>
      <c r="AE401" s="117">
        <f t="shared" ref="AE401" si="402">AD401-AC401</f>
        <v>1326.26</v>
      </c>
      <c r="AF401" s="117">
        <f t="shared" ref="AF401" si="403">AE401/$AF$6</f>
        <v>110.52166666666666</v>
      </c>
    </row>
    <row r="402" spans="2:36" outlineLevel="1" x14ac:dyDescent="0.2">
      <c r="B402" s="461" t="s">
        <v>1041</v>
      </c>
      <c r="C402" s="152"/>
      <c r="D402" s="152"/>
      <c r="E402" s="152"/>
      <c r="F402" s="152"/>
      <c r="G402" s="152"/>
      <c r="H402" s="152"/>
      <c r="I402" s="739"/>
      <c r="J402" s="731"/>
      <c r="K402" s="133"/>
      <c r="L402" s="133"/>
      <c r="M402" s="133"/>
      <c r="N402" s="13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</row>
    <row r="403" spans="2:36" outlineLevel="1" x14ac:dyDescent="0.2">
      <c r="B403" s="782" t="s">
        <v>1058</v>
      </c>
      <c r="C403" s="745">
        <v>280</v>
      </c>
      <c r="D403" s="774" t="s">
        <v>1042</v>
      </c>
      <c r="E403" s="774"/>
      <c r="F403" s="745">
        <v>100</v>
      </c>
      <c r="G403" s="745">
        <v>2213</v>
      </c>
      <c r="H403" s="783" t="s">
        <v>281</v>
      </c>
      <c r="I403" s="776"/>
      <c r="J403" s="784" t="str">
        <f t="shared" ref="J403" si="404">CONCATENATE(C403,D403,F403,G403,H403,I403)</f>
        <v>28069810022130810</v>
      </c>
      <c r="K403" s="748">
        <v>2022</v>
      </c>
      <c r="L403" s="748" t="s">
        <v>348</v>
      </c>
      <c r="M403" s="748" t="s">
        <v>349</v>
      </c>
      <c r="N403" s="748" t="s">
        <v>350</v>
      </c>
      <c r="O403" s="12">
        <f>'2022 Budget &amp; CF'!J403</f>
        <v>0</v>
      </c>
      <c r="P403" s="12">
        <f>'2022 Budget &amp; CF'!K403</f>
        <v>0</v>
      </c>
      <c r="Q403" s="12">
        <f>'2022 Budget &amp; CF'!L403</f>
        <v>0</v>
      </c>
      <c r="R403" s="12">
        <f>'2022 Budget &amp; CF'!M403</f>
        <v>0</v>
      </c>
      <c r="S403" s="12">
        <f>'2022 Budget &amp; CF'!N403</f>
        <v>0</v>
      </c>
      <c r="T403" s="12">
        <f>'2022 Budget &amp; CF'!O403</f>
        <v>0</v>
      </c>
      <c r="U403" s="12">
        <f>'2022 Budget &amp; CF'!P403</f>
        <v>0</v>
      </c>
      <c r="V403" s="12">
        <f>'2022 Budget &amp; CF'!Q403</f>
        <v>0</v>
      </c>
      <c r="W403" s="12">
        <f>'2022 Budget &amp; CF'!R403</f>
        <v>0</v>
      </c>
      <c r="X403" s="12">
        <f>'2022 Budget &amp; CF'!S403</f>
        <v>0</v>
      </c>
      <c r="Y403" s="12">
        <f>'2022 Budget &amp; CF'!T403</f>
        <v>0</v>
      </c>
      <c r="Z403" s="12">
        <f>'2022 Budget &amp; CF'!U403</f>
        <v>0</v>
      </c>
      <c r="AA403" s="12">
        <f>'2022 Budget &amp; CF'!V403</f>
        <v>0</v>
      </c>
      <c r="AB403" s="12"/>
      <c r="AC403" s="121">
        <f t="shared" ref="AC403" si="405">SUM(O403:AA403)</f>
        <v>0</v>
      </c>
      <c r="AD403" s="115">
        <v>0</v>
      </c>
      <c r="AE403" s="117">
        <f t="shared" ref="AE403" si="406">AD403-AC403</f>
        <v>0</v>
      </c>
      <c r="AF403" s="117">
        <f t="shared" ref="AF403" si="407">AE403/$AF$6</f>
        <v>0</v>
      </c>
    </row>
    <row r="404" spans="2:36" outlineLevel="1" x14ac:dyDescent="0.2">
      <c r="B404" s="461" t="s">
        <v>277</v>
      </c>
      <c r="C404" s="152"/>
      <c r="D404" s="152"/>
      <c r="E404" s="152"/>
      <c r="F404" s="152"/>
      <c r="G404" s="152"/>
      <c r="H404" s="152"/>
      <c r="I404" s="739"/>
      <c r="J404" s="731"/>
      <c r="K404" s="133"/>
      <c r="L404" s="133"/>
      <c r="M404" s="133"/>
      <c r="N404" s="13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</row>
    <row r="405" spans="2:36" outlineLevel="1" x14ac:dyDescent="0.2">
      <c r="B405" s="82" t="s">
        <v>286</v>
      </c>
      <c r="C405" s="785" t="s">
        <v>135</v>
      </c>
      <c r="D405" s="785" t="s">
        <v>249</v>
      </c>
      <c r="E405" s="785"/>
      <c r="F405" s="785" t="s">
        <v>468</v>
      </c>
      <c r="G405" s="785" t="s">
        <v>489</v>
      </c>
      <c r="H405" s="785" t="s">
        <v>281</v>
      </c>
      <c r="I405" s="785" t="s">
        <v>563</v>
      </c>
      <c r="J405" s="733" t="str">
        <f t="shared" ref="J405:J407" si="408">CONCATENATE(C405,D405,F405,G405,H405,I405)</f>
        <v>2807091002213081001</v>
      </c>
      <c r="K405" s="109">
        <v>2022</v>
      </c>
      <c r="L405" s="109" t="s">
        <v>348</v>
      </c>
      <c r="M405" s="109" t="s">
        <v>349</v>
      </c>
      <c r="N405" s="109" t="s">
        <v>350</v>
      </c>
      <c r="O405" s="12">
        <f>'2022 Budget &amp; CF'!J405</f>
        <v>0</v>
      </c>
      <c r="P405" s="12">
        <f>'2022 Budget &amp; CF'!K405</f>
        <v>1199</v>
      </c>
      <c r="Q405" s="12">
        <f>'2022 Budget &amp; CF'!L405</f>
        <v>-1199</v>
      </c>
      <c r="R405" s="12">
        <f>'2022 Budget &amp; CF'!M405</f>
        <v>0</v>
      </c>
      <c r="S405" s="12">
        <f>'2022 Budget &amp; CF'!N405</f>
        <v>0</v>
      </c>
      <c r="T405" s="12">
        <f>'2022 Budget &amp; CF'!O405</f>
        <v>0</v>
      </c>
      <c r="U405" s="12">
        <f>'2022 Budget &amp; CF'!P405</f>
        <v>0</v>
      </c>
      <c r="V405" s="12">
        <f>'2022 Budget &amp; CF'!Q405</f>
        <v>0</v>
      </c>
      <c r="W405" s="12">
        <f>'2022 Budget &amp; CF'!R405</f>
        <v>0</v>
      </c>
      <c r="X405" s="12">
        <f>'2022 Budget &amp; CF'!S405</f>
        <v>0</v>
      </c>
      <c r="Y405" s="12">
        <f>'2022 Budget &amp; CF'!T405</f>
        <v>0</v>
      </c>
      <c r="Z405" s="12">
        <f>'2022 Budget &amp; CF'!U405</f>
        <v>0</v>
      </c>
      <c r="AA405" s="12">
        <f>'2022 Budget &amp; CF'!V405</f>
        <v>0</v>
      </c>
      <c r="AB405" s="12"/>
      <c r="AC405" s="121">
        <f t="shared" ref="AC405" si="409">SUM(O405:AA405)</f>
        <v>0</v>
      </c>
      <c r="AD405" s="115">
        <f>'2022 Budget &amp; CF'!Z405</f>
        <v>0</v>
      </c>
      <c r="AE405" s="117">
        <f t="shared" ref="AE405" si="410">AD405-AC405</f>
        <v>0</v>
      </c>
      <c r="AF405" s="117">
        <f t="shared" ref="AF405" si="411">AE405/$AF$6</f>
        <v>0</v>
      </c>
    </row>
    <row r="406" spans="2:36" outlineLevel="1" x14ac:dyDescent="0.2">
      <c r="B406" s="461" t="s">
        <v>1125</v>
      </c>
      <c r="C406" s="152"/>
      <c r="D406" s="152"/>
      <c r="E406" s="152"/>
      <c r="F406" s="152"/>
      <c r="G406" s="152"/>
      <c r="H406" s="152"/>
      <c r="I406" s="739"/>
      <c r="J406" s="731"/>
      <c r="K406" s="133"/>
      <c r="L406" s="133"/>
      <c r="M406" s="133"/>
      <c r="N406" s="13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</row>
    <row r="407" spans="2:36" outlineLevel="1" x14ac:dyDescent="0.2">
      <c r="B407" s="142" t="s">
        <v>282</v>
      </c>
      <c r="C407" s="143">
        <v>280</v>
      </c>
      <c r="D407" s="144">
        <v>740</v>
      </c>
      <c r="E407" s="144"/>
      <c r="F407" s="143">
        <v>100</v>
      </c>
      <c r="G407" s="143">
        <v>2213</v>
      </c>
      <c r="H407" s="735" t="s">
        <v>281</v>
      </c>
      <c r="I407" s="145"/>
      <c r="J407" s="733" t="str">
        <f t="shared" si="408"/>
        <v>28074010022130810</v>
      </c>
      <c r="K407" s="109">
        <v>2022</v>
      </c>
      <c r="L407" s="109" t="s">
        <v>348</v>
      </c>
      <c r="M407" s="109" t="s">
        <v>349</v>
      </c>
      <c r="N407" s="109" t="s">
        <v>350</v>
      </c>
      <c r="O407" s="12">
        <f>'2022 Budget &amp; CF'!J407</f>
        <v>0</v>
      </c>
      <c r="P407" s="12">
        <f>'2022 Budget &amp; CF'!K407</f>
        <v>0</v>
      </c>
      <c r="Q407" s="12">
        <f>'2022 Budget &amp; CF'!L407</f>
        <v>0</v>
      </c>
      <c r="R407" s="12">
        <f>'2022 Budget &amp; CF'!M407</f>
        <v>0</v>
      </c>
      <c r="S407" s="12">
        <f>'2022 Budget &amp; CF'!N407</f>
        <v>0</v>
      </c>
      <c r="T407" s="12">
        <f>'2022 Budget &amp; CF'!O407</f>
        <v>0</v>
      </c>
      <c r="U407" s="12">
        <f>'2022 Budget &amp; CF'!P407</f>
        <v>0</v>
      </c>
      <c r="V407" s="12">
        <f>'2022 Budget &amp; CF'!Q407</f>
        <v>0</v>
      </c>
      <c r="W407" s="12">
        <f>'2022 Budget &amp; CF'!R407</f>
        <v>0</v>
      </c>
      <c r="X407" s="12">
        <f>'2022 Budget &amp; CF'!S407</f>
        <v>0</v>
      </c>
      <c r="Y407" s="12">
        <f>'2022 Budget &amp; CF'!T407</f>
        <v>0</v>
      </c>
      <c r="Z407" s="12">
        <f>'2022 Budget &amp; CF'!U407</f>
        <v>0</v>
      </c>
      <c r="AA407" s="12">
        <f>'2022 Budget &amp; CF'!V407</f>
        <v>0</v>
      </c>
      <c r="AB407" s="12"/>
      <c r="AC407" s="121">
        <f t="shared" ref="AC407" si="412">SUM(O407:AA407)</f>
        <v>0</v>
      </c>
      <c r="AD407" s="115">
        <f>'2022 Budget &amp; CF'!Z407</f>
        <v>0</v>
      </c>
      <c r="AE407" s="117">
        <f t="shared" ref="AE407" si="413">AD407-AC407</f>
        <v>0</v>
      </c>
      <c r="AF407" s="117">
        <f t="shared" ref="AF407" si="414">AE407/$AF$6</f>
        <v>0</v>
      </c>
    </row>
    <row r="408" spans="2:36" outlineLevel="1" x14ac:dyDescent="0.2">
      <c r="B408" s="461" t="s">
        <v>1059</v>
      </c>
      <c r="C408" s="152"/>
      <c r="D408" s="152"/>
      <c r="E408" s="152"/>
      <c r="F408" s="152"/>
      <c r="G408" s="152"/>
      <c r="H408" s="152"/>
      <c r="I408" s="739"/>
      <c r="J408" s="731"/>
      <c r="K408" s="133"/>
      <c r="L408" s="133"/>
      <c r="M408" s="133"/>
      <c r="N408" s="13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</row>
    <row r="409" spans="2:36" outlineLevel="1" x14ac:dyDescent="0.2">
      <c r="B409" s="157" t="s">
        <v>1058</v>
      </c>
      <c r="C409" s="101">
        <v>280</v>
      </c>
      <c r="D409" s="104" t="s">
        <v>1033</v>
      </c>
      <c r="E409" s="104"/>
      <c r="F409" s="101">
        <v>100</v>
      </c>
      <c r="G409" s="101">
        <v>2213</v>
      </c>
      <c r="H409" s="734" t="s">
        <v>281</v>
      </c>
      <c r="I409" s="103"/>
      <c r="J409" s="732" t="str">
        <f t="shared" ref="J409" si="415">CONCATENATE(C409,D409,F409,G409,H409,I409)</f>
        <v>28074610022130810</v>
      </c>
      <c r="K409" s="109">
        <v>2022</v>
      </c>
      <c r="L409" s="109" t="s">
        <v>348</v>
      </c>
      <c r="M409" s="109" t="s">
        <v>349</v>
      </c>
      <c r="N409" s="109" t="s">
        <v>350</v>
      </c>
      <c r="O409" s="12">
        <f>'2022 Budget &amp; CF'!J409</f>
        <v>0</v>
      </c>
      <c r="P409" s="12">
        <f>'2022 Budget &amp; CF'!K409</f>
        <v>0</v>
      </c>
      <c r="Q409" s="12">
        <f>'2022 Budget &amp; CF'!L409</f>
        <v>0</v>
      </c>
      <c r="R409" s="12">
        <f>'2022 Budget &amp; CF'!M409</f>
        <v>0</v>
      </c>
      <c r="S409" s="12">
        <f>'2022 Budget &amp; CF'!N409</f>
        <v>0</v>
      </c>
      <c r="T409" s="12">
        <f>'2022 Budget &amp; CF'!O409</f>
        <v>0</v>
      </c>
      <c r="U409" s="12">
        <f>'2022 Budget &amp; CF'!P409</f>
        <v>0</v>
      </c>
      <c r="V409" s="12">
        <f>'2022 Budget &amp; CF'!Q409</f>
        <v>0</v>
      </c>
      <c r="W409" s="12">
        <f>'2022 Budget &amp; CF'!R409</f>
        <v>0</v>
      </c>
      <c r="X409" s="12">
        <f>'2022 Budget &amp; CF'!S409</f>
        <v>0</v>
      </c>
      <c r="Y409" s="12">
        <f>'2022 Budget &amp; CF'!T409</f>
        <v>0</v>
      </c>
      <c r="Z409" s="12">
        <f>'2022 Budget &amp; CF'!U409</f>
        <v>0</v>
      </c>
      <c r="AA409" s="12">
        <f>'2022 Budget &amp; CF'!V409</f>
        <v>0</v>
      </c>
      <c r="AB409" s="12"/>
      <c r="AC409" s="121">
        <f t="shared" ref="AC409" si="416">SUM(O409:AA409)</f>
        <v>0</v>
      </c>
      <c r="AD409" s="115">
        <f>'2022 Budget &amp; CF'!Z409</f>
        <v>2368</v>
      </c>
      <c r="AE409" s="117">
        <f t="shared" ref="AE409" si="417">AD409-AC409</f>
        <v>2368</v>
      </c>
      <c r="AF409" s="117">
        <f t="shared" ref="AF409" si="418">AE409/$AF$6</f>
        <v>197.33333333333334</v>
      </c>
    </row>
    <row r="410" spans="2:36" outlineLevel="1" x14ac:dyDescent="0.2">
      <c r="B410" s="461" t="s">
        <v>1307</v>
      </c>
      <c r="C410" s="152"/>
      <c r="D410" s="152"/>
      <c r="E410" s="152"/>
      <c r="F410" s="152"/>
      <c r="G410" s="152"/>
      <c r="H410" s="152"/>
      <c r="I410" s="739"/>
      <c r="J410" s="731"/>
      <c r="K410" s="133"/>
      <c r="L410" s="133"/>
      <c r="M410" s="133"/>
      <c r="N410" s="13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</row>
    <row r="411" spans="2:36" outlineLevel="1" x14ac:dyDescent="0.2">
      <c r="B411" s="82" t="s">
        <v>1308</v>
      </c>
      <c r="C411" s="101">
        <v>300</v>
      </c>
      <c r="D411" s="104" t="s">
        <v>145</v>
      </c>
      <c r="E411" s="104"/>
      <c r="F411" s="101">
        <v>100</v>
      </c>
      <c r="G411" s="101">
        <v>6200</v>
      </c>
      <c r="H411" s="720" t="s">
        <v>1135</v>
      </c>
      <c r="I411" s="103"/>
      <c r="J411" s="732" t="str">
        <f t="shared" ref="J411" si="419">CONCATENATE(C411,D411,F411,G411,H411,I411)</f>
        <v>30000010062000910</v>
      </c>
      <c r="K411" s="109">
        <v>2022</v>
      </c>
      <c r="L411" s="109" t="s">
        <v>348</v>
      </c>
      <c r="M411" s="109" t="s">
        <v>349</v>
      </c>
      <c r="N411" s="109" t="s">
        <v>350</v>
      </c>
      <c r="O411" s="12">
        <f>'2022 Budget &amp; CF'!J409</f>
        <v>0</v>
      </c>
      <c r="P411" s="12">
        <f>'2022 Budget &amp; CF'!K409</f>
        <v>0</v>
      </c>
      <c r="Q411" s="12">
        <f>'2022 Budget &amp; CF'!L409</f>
        <v>0</v>
      </c>
      <c r="R411" s="12">
        <f>'2022 Budget &amp; CF'!M409</f>
        <v>0</v>
      </c>
      <c r="S411" s="12">
        <f>'2022 Budget &amp; CF'!N409</f>
        <v>0</v>
      </c>
      <c r="T411" s="12">
        <f>'2022 Budget &amp; CF'!O409</f>
        <v>0</v>
      </c>
      <c r="U411" s="12">
        <f>'2022 Budget &amp; CF'!P409</f>
        <v>0</v>
      </c>
      <c r="V411" s="12">
        <f>'2022 Budget &amp; CF'!Q409</f>
        <v>0</v>
      </c>
      <c r="W411" s="12">
        <f>'2022 Budget &amp; CF'!R409</f>
        <v>0</v>
      </c>
      <c r="X411" s="12">
        <f>'2022 Budget &amp; CF'!S409</f>
        <v>0</v>
      </c>
      <c r="Y411" s="12">
        <f>'2022 Budget &amp; CF'!T409</f>
        <v>0</v>
      </c>
      <c r="Z411" s="12">
        <f>'2022 Budget &amp; CF'!U409</f>
        <v>0</v>
      </c>
      <c r="AA411" s="12">
        <f>'2022 Budget &amp; CF'!V409</f>
        <v>0</v>
      </c>
      <c r="AB411" s="12"/>
      <c r="AC411" s="121">
        <f t="shared" ref="AC411" si="420">SUM(O411:AA411)</f>
        <v>0</v>
      </c>
      <c r="AD411" s="115">
        <f>'2022 Budget &amp; CF'!Z409</f>
        <v>2368</v>
      </c>
      <c r="AE411" s="117">
        <f t="shared" ref="AE411" si="421">AD411-AC411</f>
        <v>2368</v>
      </c>
      <c r="AF411" s="117">
        <f t="shared" ref="AF411" si="422">AE411/$AF$6</f>
        <v>197.33333333333334</v>
      </c>
    </row>
    <row r="412" spans="2:36" outlineLevel="1" x14ac:dyDescent="0.2">
      <c r="B412" s="461" t="s">
        <v>801</v>
      </c>
      <c r="C412" s="152"/>
      <c r="D412" s="152"/>
      <c r="E412" s="152"/>
      <c r="F412" s="152"/>
      <c r="G412" s="152"/>
      <c r="H412" s="152"/>
      <c r="I412" s="739"/>
      <c r="J412" s="731"/>
      <c r="K412" s="133"/>
      <c r="L412" s="133"/>
      <c r="M412" s="133"/>
      <c r="N412" s="13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</row>
    <row r="413" spans="2:36" outlineLevel="1" x14ac:dyDescent="0.2">
      <c r="B413" s="82" t="s">
        <v>802</v>
      </c>
      <c r="C413" s="101">
        <v>400</v>
      </c>
      <c r="D413" s="104" t="s">
        <v>145</v>
      </c>
      <c r="E413" s="104"/>
      <c r="F413" s="101">
        <v>100</v>
      </c>
      <c r="G413" s="101">
        <v>5000</v>
      </c>
      <c r="H413" s="720" t="s">
        <v>803</v>
      </c>
      <c r="I413" s="103"/>
      <c r="J413" s="732" t="str">
        <f t="shared" ref="J413" si="423">CONCATENATE(C413,D413,F413,G413,H413,I413)</f>
        <v>40000010050000832</v>
      </c>
      <c r="K413" s="109">
        <v>2022</v>
      </c>
      <c r="L413" s="109" t="s">
        <v>348</v>
      </c>
      <c r="M413" s="109" t="s">
        <v>349</v>
      </c>
      <c r="N413" s="109" t="s">
        <v>350</v>
      </c>
      <c r="O413" s="12">
        <f>'2022 Budget &amp; CF'!J413</f>
        <v>0</v>
      </c>
      <c r="P413" s="12">
        <f>'2022 Budget &amp; CF'!K413</f>
        <v>0</v>
      </c>
      <c r="Q413" s="12">
        <f>'2022 Budget &amp; CF'!L413</f>
        <v>0</v>
      </c>
      <c r="R413" s="12">
        <f>'2022 Budget &amp; CF'!M413</f>
        <v>0</v>
      </c>
      <c r="S413" s="12">
        <f>'2022 Budget &amp; CF'!N413</f>
        <v>0</v>
      </c>
      <c r="T413" s="12">
        <f>'2022 Budget &amp; CF'!O413</f>
        <v>0</v>
      </c>
      <c r="U413" s="12">
        <f>'2022 Budget &amp; CF'!P413</f>
        <v>0</v>
      </c>
      <c r="V413" s="12">
        <f>'2022 Budget &amp; CF'!Q413</f>
        <v>0</v>
      </c>
      <c r="W413" s="12">
        <f>'2022 Budget &amp; CF'!R413</f>
        <v>0</v>
      </c>
      <c r="X413" s="12">
        <f>'2022 Budget &amp; CF'!S413</f>
        <v>0</v>
      </c>
      <c r="Y413" s="12">
        <f>'2022 Budget &amp; CF'!T413</f>
        <v>0</v>
      </c>
      <c r="Z413" s="12">
        <f>'2022 Budget &amp; CF'!U413</f>
        <v>0</v>
      </c>
      <c r="AA413" s="12">
        <f>'2022 Budget &amp; CF'!V413</f>
        <v>0</v>
      </c>
      <c r="AB413" s="12"/>
      <c r="AC413" s="121">
        <f t="shared" ref="AC413" si="424">SUM(O413:AA413)</f>
        <v>0</v>
      </c>
      <c r="AD413" s="115">
        <f>'2022 Budget &amp; CF'!Z413</f>
        <v>149903</v>
      </c>
      <c r="AE413" s="117">
        <f t="shared" ref="AE413" si="425">AD413-AC413</f>
        <v>149903</v>
      </c>
      <c r="AF413" s="117">
        <f t="shared" ref="AF413" si="426">AE413/$AF$6</f>
        <v>12491.916666666666</v>
      </c>
    </row>
    <row r="414" spans="2:36" s="2" customFormat="1" ht="15" x14ac:dyDescent="0.25">
      <c r="B414" s="208" t="s">
        <v>289</v>
      </c>
      <c r="C414" s="161"/>
      <c r="D414" s="162"/>
      <c r="E414" s="162"/>
      <c r="F414" s="161"/>
      <c r="G414" s="161"/>
      <c r="H414" s="161"/>
      <c r="I414" s="740"/>
      <c r="J414" s="347"/>
      <c r="K414" s="161"/>
      <c r="L414" s="161"/>
      <c r="M414" s="161"/>
      <c r="N414" s="161"/>
      <c r="O414" s="304">
        <f t="shared" ref="O414:AA414" si="427">SUM(O376:O413)</f>
        <v>3534.77</v>
      </c>
      <c r="P414" s="304">
        <f t="shared" si="427"/>
        <v>3657.13</v>
      </c>
      <c r="Q414" s="304">
        <f t="shared" si="427"/>
        <v>-496.66000000000008</v>
      </c>
      <c r="R414" s="304">
        <f t="shared" si="427"/>
        <v>3003.87</v>
      </c>
      <c r="S414" s="304">
        <f t="shared" si="427"/>
        <v>1559539.88</v>
      </c>
      <c r="T414" s="304">
        <f t="shared" si="427"/>
        <v>0</v>
      </c>
      <c r="U414" s="304">
        <f t="shared" si="427"/>
        <v>0</v>
      </c>
      <c r="V414" s="304">
        <f t="shared" si="427"/>
        <v>0</v>
      </c>
      <c r="W414" s="304">
        <f t="shared" si="427"/>
        <v>0</v>
      </c>
      <c r="X414" s="304">
        <f t="shared" si="427"/>
        <v>0</v>
      </c>
      <c r="Y414" s="304">
        <f t="shared" si="427"/>
        <v>0</v>
      </c>
      <c r="Z414" s="304">
        <f t="shared" si="427"/>
        <v>0</v>
      </c>
      <c r="AA414" s="304">
        <f t="shared" si="427"/>
        <v>0</v>
      </c>
      <c r="AB414" s="304"/>
      <c r="AC414" s="304">
        <f>SUM(AC376:AC413)</f>
        <v>1569238.9899999998</v>
      </c>
      <c r="AD414" s="304">
        <f>SUM(AD376:AD413)</f>
        <v>165506</v>
      </c>
      <c r="AE414" s="304">
        <f>SUM(AE376:AE413)</f>
        <v>-1403732.9899999998</v>
      </c>
      <c r="AF414" s="304">
        <f>PCFP!T160</f>
        <v>0</v>
      </c>
      <c r="AG414" s="553"/>
      <c r="AH414" s="553"/>
      <c r="AI414" s="553"/>
      <c r="AJ414" s="553"/>
    </row>
    <row r="415" spans="2:36" s="2" customFormat="1" x14ac:dyDescent="0.2">
      <c r="B415" s="209" t="s">
        <v>290</v>
      </c>
      <c r="C415" s="453"/>
      <c r="D415" s="453"/>
      <c r="E415" s="453"/>
      <c r="F415" s="454"/>
      <c r="G415" s="454"/>
      <c r="H415" s="453"/>
      <c r="I415" s="741"/>
      <c r="J415" s="551"/>
      <c r="K415" s="453"/>
      <c r="L415" s="453"/>
      <c r="M415" s="453"/>
      <c r="N415" s="453"/>
      <c r="O415" s="309">
        <f t="shared" ref="O415:AE415" si="428">SUM(O414,O374,O369,O283,O172)</f>
        <v>259405.96000000002</v>
      </c>
      <c r="P415" s="309">
        <f t="shared" si="428"/>
        <v>463925.65999999992</v>
      </c>
      <c r="Q415" s="309">
        <f t="shared" si="428"/>
        <v>609685.52</v>
      </c>
      <c r="R415" s="309">
        <f t="shared" si="428"/>
        <v>461803.31999999995</v>
      </c>
      <c r="S415" s="309">
        <f t="shared" si="428"/>
        <v>1921588.54</v>
      </c>
      <c r="T415" s="309">
        <f t="shared" si="428"/>
        <v>0</v>
      </c>
      <c r="U415" s="309">
        <f t="shared" si="428"/>
        <v>0</v>
      </c>
      <c r="V415" s="309">
        <f t="shared" si="428"/>
        <v>0</v>
      </c>
      <c r="W415" s="309">
        <f t="shared" si="428"/>
        <v>0</v>
      </c>
      <c r="X415" s="309">
        <f t="shared" si="428"/>
        <v>0</v>
      </c>
      <c r="Y415" s="309">
        <f t="shared" si="428"/>
        <v>0</v>
      </c>
      <c r="Z415" s="309">
        <f t="shared" si="428"/>
        <v>0</v>
      </c>
      <c r="AA415" s="309">
        <f t="shared" si="428"/>
        <v>0</v>
      </c>
      <c r="AB415" s="309">
        <f t="shared" si="428"/>
        <v>0</v>
      </c>
      <c r="AC415" s="309">
        <f t="shared" si="428"/>
        <v>3711068.8999999994</v>
      </c>
      <c r="AD415" s="309">
        <f t="shared" si="428"/>
        <v>5235131</v>
      </c>
      <c r="AE415" s="309">
        <f t="shared" si="428"/>
        <v>1515177.1000000006</v>
      </c>
      <c r="AF415" s="309">
        <f>PCFP!T161</f>
        <v>0</v>
      </c>
      <c r="AG415" s="553"/>
      <c r="AH415" s="553"/>
      <c r="AI415" s="553"/>
      <c r="AJ415" s="553"/>
    </row>
    <row r="416" spans="2:36" s="2" customFormat="1" ht="13.5" thickBot="1" x14ac:dyDescent="0.25">
      <c r="B416" s="210" t="s">
        <v>291</v>
      </c>
      <c r="C416" s="451"/>
      <c r="D416" s="451"/>
      <c r="E416" s="451"/>
      <c r="F416" s="166"/>
      <c r="G416" s="166"/>
      <c r="H416" s="451"/>
      <c r="I416" s="742"/>
      <c r="J416" s="552"/>
      <c r="K416" s="451"/>
      <c r="L416" s="451"/>
      <c r="M416" s="451"/>
      <c r="N416" s="451"/>
      <c r="O416" s="310">
        <f t="shared" ref="O416:AE416" si="429">O53+O415</f>
        <v>-169370.74</v>
      </c>
      <c r="P416" s="310">
        <f t="shared" si="429"/>
        <v>467803.04999999993</v>
      </c>
      <c r="Q416" s="310">
        <f t="shared" si="429"/>
        <v>380963.63</v>
      </c>
      <c r="R416" s="310">
        <f t="shared" si="429"/>
        <v>28692.759999999951</v>
      </c>
      <c r="S416" s="310">
        <f t="shared" si="429"/>
        <v>-42964.719999999972</v>
      </c>
      <c r="T416" s="310">
        <f t="shared" si="429"/>
        <v>0</v>
      </c>
      <c r="U416" s="310">
        <f t="shared" si="429"/>
        <v>0</v>
      </c>
      <c r="V416" s="310">
        <f t="shared" si="429"/>
        <v>0</v>
      </c>
      <c r="W416" s="310">
        <f t="shared" si="429"/>
        <v>0</v>
      </c>
      <c r="X416" s="310">
        <f t="shared" si="429"/>
        <v>0</v>
      </c>
      <c r="Y416" s="310">
        <f t="shared" si="429"/>
        <v>0</v>
      </c>
      <c r="Z416" s="310">
        <f t="shared" si="429"/>
        <v>0</v>
      </c>
      <c r="AA416" s="310">
        <f t="shared" si="429"/>
        <v>0</v>
      </c>
      <c r="AB416" s="310">
        <f t="shared" si="429"/>
        <v>0</v>
      </c>
      <c r="AC416" s="310">
        <f t="shared" si="429"/>
        <v>659783.87999999942</v>
      </c>
      <c r="AD416" s="310">
        <f t="shared" si="429"/>
        <v>-86435</v>
      </c>
      <c r="AE416" s="310">
        <f t="shared" si="429"/>
        <v>-755103.87999999989</v>
      </c>
      <c r="AF416" s="310">
        <f>PCFP!T162</f>
        <v>0</v>
      </c>
      <c r="AG416" s="553"/>
      <c r="AH416" s="553"/>
      <c r="AI416" s="553"/>
      <c r="AJ416" s="553"/>
    </row>
    <row r="417" spans="2:36" s="356" customFormat="1" ht="13.5" thickTop="1" x14ac:dyDescent="0.2">
      <c r="B417" s="169"/>
      <c r="C417" s="171"/>
      <c r="D417" s="172"/>
      <c r="E417" s="171"/>
      <c r="F417" s="171"/>
      <c r="G417" s="171"/>
      <c r="H417" s="171"/>
      <c r="I417" s="171"/>
      <c r="J417" s="348"/>
      <c r="K417" s="171"/>
      <c r="L417" s="171"/>
      <c r="M417" s="171"/>
      <c r="N417" s="171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554"/>
      <c r="AH417" s="554"/>
      <c r="AI417" s="554"/>
      <c r="AJ417" s="554"/>
    </row>
    <row r="421" spans="2:36" x14ac:dyDescent="0.2">
      <c r="B421" s="579" t="s">
        <v>1129</v>
      </c>
      <c r="C421" s="579"/>
      <c r="D421" s="579"/>
      <c r="E421" s="579"/>
      <c r="F421" s="579"/>
      <c r="G421" s="579"/>
      <c r="H421" s="579"/>
      <c r="I421" s="579"/>
      <c r="J421" s="580"/>
      <c r="K421" s="579"/>
      <c r="L421" s="579"/>
      <c r="M421" s="579"/>
      <c r="N421" s="579"/>
      <c r="O421" s="579"/>
      <c r="P421" s="579"/>
      <c r="Q421" s="579"/>
      <c r="R421" s="579"/>
      <c r="S421" s="579"/>
      <c r="T421" s="579"/>
      <c r="U421" s="579"/>
      <c r="V421" s="579"/>
      <c r="W421" s="579"/>
      <c r="X421" s="579"/>
      <c r="Y421" s="579"/>
      <c r="Z421" s="579"/>
      <c r="AA421" s="579"/>
      <c r="AB421" s="579"/>
      <c r="AC421" s="583"/>
      <c r="AD421" s="583"/>
      <c r="AE421" s="583"/>
      <c r="AF421" s="583"/>
    </row>
    <row r="422" spans="2:36" hidden="1" outlineLevel="1" x14ac:dyDescent="0.2">
      <c r="B422" s="7"/>
      <c r="C422" s="102" t="s">
        <v>468</v>
      </c>
      <c r="D422" s="102" t="s">
        <v>145</v>
      </c>
      <c r="E422" s="102"/>
      <c r="F422" s="102" t="s">
        <v>468</v>
      </c>
      <c r="G422" s="102">
        <v>1000</v>
      </c>
      <c r="H422" s="104" t="s">
        <v>178</v>
      </c>
      <c r="I422" s="104"/>
      <c r="J422" s="342" t="str">
        <f t="shared" ref="J422:J435" si="430">CONCATENATE(C422,D422,F422,G422,H422,I422)</f>
        <v>10000010010000210</v>
      </c>
      <c r="K422" s="109">
        <v>2022</v>
      </c>
      <c r="L422" s="109" t="s">
        <v>348</v>
      </c>
      <c r="M422" s="109" t="s">
        <v>349</v>
      </c>
      <c r="N422" s="109" t="s">
        <v>350</v>
      </c>
      <c r="O422" s="395">
        <v>3774.26</v>
      </c>
      <c r="P422" s="395">
        <v>2781.69</v>
      </c>
      <c r="Q422" s="395">
        <v>12764.13</v>
      </c>
      <c r="R422" s="395">
        <v>7098.53</v>
      </c>
      <c r="S422" s="395">
        <v>8524.9599999999991</v>
      </c>
      <c r="T422" s="715"/>
      <c r="U422" s="715"/>
      <c r="V422" s="715"/>
      <c r="W422" s="715"/>
      <c r="X422" s="715"/>
      <c r="Y422" s="715"/>
      <c r="Z422" s="715"/>
      <c r="AA422" s="715"/>
      <c r="AB422" s="7"/>
      <c r="AC422" s="121">
        <f t="shared" ref="AC422" si="431">SUM(O422:AA422)</f>
        <v>34943.57</v>
      </c>
      <c r="AD422" s="115">
        <f>ROUND(SUMIFS('Employee Detail FY22'!$AC$6:$AC$132,'Employee Detail FY22'!$B$6:$B$132,C422,'Employee Detail FY22'!$C$6:$C$132,D422,'Employee Detail FY22'!$E$6:$E$132,+F422,'Employee Detail FY22'!$F$6:$F$132,G422),0)-6</f>
        <v>87375</v>
      </c>
      <c r="AE422" s="117">
        <f t="shared" ref="AE422" si="432">AD422-AC422</f>
        <v>52431.43</v>
      </c>
      <c r="AF422" s="117">
        <f t="shared" ref="AF422" si="433">AE422/$AF$6</f>
        <v>4369.2858333333334</v>
      </c>
    </row>
    <row r="423" spans="2:36" hidden="1" outlineLevel="1" x14ac:dyDescent="0.2">
      <c r="B423" s="7"/>
      <c r="C423" s="102" t="s">
        <v>468</v>
      </c>
      <c r="D423" s="104" t="s">
        <v>145</v>
      </c>
      <c r="E423" s="104"/>
      <c r="F423" s="102" t="s">
        <v>468</v>
      </c>
      <c r="G423" s="102" t="s">
        <v>465</v>
      </c>
      <c r="H423" s="104" t="s">
        <v>178</v>
      </c>
      <c r="I423" s="103"/>
      <c r="J423" s="342" t="str">
        <f t="shared" ref="J423:J430" si="434">CONCATENATE(C423,D423,F423,G423,H423,I423)</f>
        <v>10000010021100210</v>
      </c>
      <c r="K423" s="109">
        <v>2022</v>
      </c>
      <c r="L423" s="109" t="s">
        <v>348</v>
      </c>
      <c r="M423" s="109" t="s">
        <v>349</v>
      </c>
      <c r="N423" s="109" t="s">
        <v>350</v>
      </c>
      <c r="O423" s="395">
        <v>5013.16</v>
      </c>
      <c r="P423" s="395">
        <v>2594.66</v>
      </c>
      <c r="Q423" s="395">
        <v>2237.1999999999998</v>
      </c>
      <c r="R423" s="395">
        <v>2240.86</v>
      </c>
      <c r="S423" s="395">
        <v>2255.4699999999998</v>
      </c>
      <c r="T423" s="715"/>
      <c r="U423" s="715"/>
      <c r="V423" s="715"/>
      <c r="W423" s="715"/>
      <c r="X423" s="715"/>
      <c r="Y423" s="715"/>
      <c r="Z423" s="715"/>
      <c r="AA423" s="715"/>
      <c r="AB423" s="7"/>
      <c r="AC423" s="121">
        <f>SUM(O423:AA423)</f>
        <v>14341.35</v>
      </c>
      <c r="AD423" s="115">
        <f>ROUND(SUMIFS('Employee Detail FY22'!$AC$6:$AC$132,'Employee Detail FY22'!$B$6:$B$132,C423,'Employee Detail FY22'!$C$6:$C$132,D423,'Employee Detail FY22'!$E$6:$E$132,+F423,'Employee Detail FY22'!$F$6:$F$132,G423),0)</f>
        <v>15888</v>
      </c>
      <c r="AE423" s="117">
        <f t="shared" ref="AE423:AE430" si="435">AD423-AC423</f>
        <v>1546.6499999999996</v>
      </c>
      <c r="AF423" s="117">
        <f t="shared" ref="AF423:AF430" si="436">AE423/$AF$6</f>
        <v>128.88749999999996</v>
      </c>
    </row>
    <row r="424" spans="2:36" hidden="1" outlineLevel="1" x14ac:dyDescent="0.2">
      <c r="B424" s="7"/>
      <c r="C424" s="102" t="s">
        <v>468</v>
      </c>
      <c r="D424" s="104" t="s">
        <v>145</v>
      </c>
      <c r="E424" s="104"/>
      <c r="F424" s="102" t="s">
        <v>468</v>
      </c>
      <c r="G424" s="102" t="s">
        <v>556</v>
      </c>
      <c r="H424" s="104" t="s">
        <v>178</v>
      </c>
      <c r="I424" s="103"/>
      <c r="J424" s="342" t="str">
        <f t="shared" si="434"/>
        <v>10000010021200210</v>
      </c>
      <c r="K424" s="109">
        <v>2022</v>
      </c>
      <c r="L424" s="109" t="s">
        <v>348</v>
      </c>
      <c r="M424" s="109" t="s">
        <v>349</v>
      </c>
      <c r="N424" s="109" t="s">
        <v>350</v>
      </c>
      <c r="O424" s="395">
        <v>4397.91</v>
      </c>
      <c r="P424" s="395">
        <v>1358.87</v>
      </c>
      <c r="Q424" s="395">
        <v>768.78</v>
      </c>
      <c r="R424" s="395">
        <v>1068.23</v>
      </c>
      <c r="S424" s="395">
        <v>1068.23</v>
      </c>
      <c r="T424" s="715"/>
      <c r="U424" s="715"/>
      <c r="V424" s="715"/>
      <c r="W424" s="715"/>
      <c r="X424" s="715"/>
      <c r="Y424" s="715"/>
      <c r="Z424" s="715"/>
      <c r="AA424" s="715"/>
      <c r="AB424" s="7"/>
      <c r="AC424" s="121">
        <f>SUM(O424:AA424)</f>
        <v>8662.0199999999986</v>
      </c>
      <c r="AD424" s="115">
        <f>ROUND(SUMIFS('Employee Detail FY22'!$AC$6:$AC$132,'Employee Detail FY22'!$B$6:$B$132,C424,'Employee Detail FY22'!$C$6:$C$132,D424,'Employee Detail FY22'!$E$6:$E$132,+F424,'Employee Detail FY22'!$F$6:$F$132,G424),0)</f>
        <v>7944</v>
      </c>
      <c r="AE424" s="117">
        <f t="shared" si="435"/>
        <v>-718.01999999999862</v>
      </c>
      <c r="AF424" s="117">
        <f t="shared" si="436"/>
        <v>-59.834999999999887</v>
      </c>
    </row>
    <row r="425" spans="2:36" hidden="1" outlineLevel="1" x14ac:dyDescent="0.2">
      <c r="B425" s="7"/>
      <c r="C425" s="102" t="s">
        <v>468</v>
      </c>
      <c r="D425" s="104" t="s">
        <v>145</v>
      </c>
      <c r="E425" s="104"/>
      <c r="F425" s="102" t="s">
        <v>468</v>
      </c>
      <c r="G425" s="102" t="s">
        <v>558</v>
      </c>
      <c r="H425" s="104" t="s">
        <v>178</v>
      </c>
      <c r="I425" s="103"/>
      <c r="J425" s="342" t="str">
        <f t="shared" si="434"/>
        <v>10000010022120210</v>
      </c>
      <c r="K425" s="109">
        <v>2022</v>
      </c>
      <c r="L425" s="109" t="s">
        <v>348</v>
      </c>
      <c r="M425" s="109" t="s">
        <v>349</v>
      </c>
      <c r="N425" s="109" t="s">
        <v>350</v>
      </c>
      <c r="O425" s="395">
        <v>698.99</v>
      </c>
      <c r="P425" s="395">
        <v>407.89</v>
      </c>
      <c r="Q425" s="395">
        <v>437.69</v>
      </c>
      <c r="R425" s="395">
        <v>413.84</v>
      </c>
      <c r="S425" s="395">
        <v>413.84</v>
      </c>
      <c r="T425" s="715"/>
      <c r="U425" s="715"/>
      <c r="V425" s="715"/>
      <c r="W425" s="715"/>
      <c r="X425" s="715"/>
      <c r="Y425" s="715"/>
      <c r="Z425" s="715"/>
      <c r="AA425" s="715"/>
      <c r="AB425" s="7"/>
      <c r="AC425" s="121">
        <f>SUM(O425:AA425)</f>
        <v>2372.25</v>
      </c>
      <c r="AD425" s="115">
        <f>ROUND(SUMIFS('Employee Detail FY22'!$AC$6:$AC$132,'Employee Detail FY22'!$B$6:$B$132,C425,'Employee Detail FY22'!$C$6:$C$132,D425,'Employee Detail FY22'!$E$6:$E$132,+F425,'Employee Detail FY22'!$F$6:$F$132,G425),0)</f>
        <v>7944</v>
      </c>
      <c r="AE425" s="117">
        <f t="shared" si="435"/>
        <v>5571.75</v>
      </c>
      <c r="AF425" s="117">
        <f t="shared" si="436"/>
        <v>464.3125</v>
      </c>
    </row>
    <row r="426" spans="2:36" hidden="1" outlineLevel="1" x14ac:dyDescent="0.2">
      <c r="B426" s="7"/>
      <c r="C426" s="102" t="s">
        <v>468</v>
      </c>
      <c r="D426" s="104" t="s">
        <v>145</v>
      </c>
      <c r="E426" s="104"/>
      <c r="F426" s="102" t="s">
        <v>468</v>
      </c>
      <c r="G426" s="102" t="s">
        <v>464</v>
      </c>
      <c r="H426" s="104" t="s">
        <v>178</v>
      </c>
      <c r="I426" s="103"/>
      <c r="J426" s="342" t="str">
        <f t="shared" si="434"/>
        <v>10000010023200210</v>
      </c>
      <c r="K426" s="109">
        <v>2022</v>
      </c>
      <c r="L426" s="109" t="s">
        <v>348</v>
      </c>
      <c r="M426" s="109" t="s">
        <v>349</v>
      </c>
      <c r="N426" s="109" t="s">
        <v>350</v>
      </c>
      <c r="O426" s="395">
        <v>2242.6999999999998</v>
      </c>
      <c r="P426" s="395">
        <v>1727.46</v>
      </c>
      <c r="Q426" s="395">
        <v>2886.94</v>
      </c>
      <c r="R426" s="395">
        <v>2048.39</v>
      </c>
      <c r="S426" s="395">
        <v>2048.39</v>
      </c>
      <c r="T426" s="715"/>
      <c r="U426" s="715"/>
      <c r="V426" s="715"/>
      <c r="W426" s="715"/>
      <c r="X426" s="715"/>
      <c r="Y426" s="715"/>
      <c r="Z426" s="715"/>
      <c r="AA426" s="715"/>
      <c r="AB426" s="7"/>
      <c r="AC426" s="121">
        <f t="shared" ref="AC426:AC455" si="437">SUM(O426:AA426)</f>
        <v>10953.88</v>
      </c>
      <c r="AD426" s="115">
        <f>ROUND(SUMIFS('Employee Detail FY22'!$AC$6:$AC$132,'Employee Detail FY22'!$B$6:$B$132,C426,'Employee Detail FY22'!$C$6:$C$132,D426,'Employee Detail FY22'!$E$6:$E$132,+F426,'Employee Detail FY22'!$F$6:$F$132,G426),0)</f>
        <v>15888</v>
      </c>
      <c r="AE426" s="117">
        <f t="shared" si="435"/>
        <v>4934.1200000000008</v>
      </c>
      <c r="AF426" s="117">
        <f t="shared" si="436"/>
        <v>411.17666666666673</v>
      </c>
    </row>
    <row r="427" spans="2:36" hidden="1" outlineLevel="1" x14ac:dyDescent="0.2">
      <c r="B427" s="7"/>
      <c r="C427" s="102" t="s">
        <v>468</v>
      </c>
      <c r="D427" s="102" t="s">
        <v>145</v>
      </c>
      <c r="E427" s="102"/>
      <c r="F427" s="102" t="s">
        <v>468</v>
      </c>
      <c r="G427" s="102" t="s">
        <v>460</v>
      </c>
      <c r="H427" s="104" t="s">
        <v>178</v>
      </c>
      <c r="I427" s="103"/>
      <c r="J427" s="342" t="str">
        <f t="shared" si="434"/>
        <v>10000010024100210</v>
      </c>
      <c r="K427" s="109">
        <v>2022</v>
      </c>
      <c r="L427" s="109" t="s">
        <v>348</v>
      </c>
      <c r="M427" s="109" t="s">
        <v>349</v>
      </c>
      <c r="N427" s="109" t="s">
        <v>350</v>
      </c>
      <c r="O427" s="395">
        <v>5245.69</v>
      </c>
      <c r="P427" s="395">
        <v>3023.29</v>
      </c>
      <c r="Q427" s="395">
        <v>-1118.08</v>
      </c>
      <c r="R427" s="395">
        <v>1282.53</v>
      </c>
      <c r="S427" s="395">
        <v>1223.8399999999999</v>
      </c>
      <c r="T427" s="715"/>
      <c r="U427" s="715"/>
      <c r="V427" s="715"/>
      <c r="W427" s="715"/>
      <c r="X427" s="715"/>
      <c r="Y427" s="715"/>
      <c r="Z427" s="715"/>
      <c r="AA427" s="715"/>
      <c r="AB427" s="7"/>
      <c r="AC427" s="121">
        <f t="shared" si="437"/>
        <v>9657.27</v>
      </c>
      <c r="AD427" s="115">
        <f>ROUND(SUMIFS('Employee Detail FY22'!$AC$6:$AC$132,'Employee Detail FY22'!$B$6:$B$132,C427,'Employee Detail FY22'!$C$6:$C$132,D427,'Employee Detail FY22'!$E$6:$E$132,+F427,'Employee Detail FY22'!$F$6:$F$132,G427),0)</f>
        <v>35747</v>
      </c>
      <c r="AE427" s="117">
        <f t="shared" si="435"/>
        <v>26089.73</v>
      </c>
      <c r="AF427" s="117">
        <f t="shared" si="436"/>
        <v>2174.1441666666665</v>
      </c>
    </row>
    <row r="428" spans="2:36" hidden="1" outlineLevel="1" x14ac:dyDescent="0.2">
      <c r="B428" s="7"/>
      <c r="C428" s="102" t="s">
        <v>468</v>
      </c>
      <c r="D428" s="104" t="s">
        <v>145</v>
      </c>
      <c r="E428" s="104"/>
      <c r="F428" s="102" t="s">
        <v>468</v>
      </c>
      <c r="G428" s="102" t="s">
        <v>458</v>
      </c>
      <c r="H428" s="104" t="s">
        <v>178</v>
      </c>
      <c r="I428" s="103"/>
      <c r="J428" s="342" t="str">
        <f t="shared" si="434"/>
        <v>10000010025100210</v>
      </c>
      <c r="K428" s="109">
        <v>2022</v>
      </c>
      <c r="L428" s="109" t="s">
        <v>348</v>
      </c>
      <c r="M428" s="109" t="s">
        <v>349</v>
      </c>
      <c r="N428" s="109" t="s">
        <v>350</v>
      </c>
      <c r="O428" s="395">
        <v>1243.47</v>
      </c>
      <c r="P428" s="395">
        <v>980.52</v>
      </c>
      <c r="Q428" s="395">
        <v>1118.6500000000001</v>
      </c>
      <c r="R428" s="395">
        <v>998.55</v>
      </c>
      <c r="S428" s="395">
        <v>998.55</v>
      </c>
      <c r="T428" s="715"/>
      <c r="U428" s="715"/>
      <c r="V428" s="715"/>
      <c r="W428" s="715"/>
      <c r="X428" s="715"/>
      <c r="Y428" s="715"/>
      <c r="Z428" s="715"/>
      <c r="AA428" s="715"/>
      <c r="AB428" s="7"/>
      <c r="AC428" s="121">
        <f t="shared" si="437"/>
        <v>5339.74</v>
      </c>
      <c r="AD428" s="115">
        <f>ROUND(SUMIFS('Employee Detail FY22'!$AC$6:$AC$132,'Employee Detail FY22'!$B$6:$B$132,C428,'Employee Detail FY22'!$C$6:$C$132,D428,'Employee Detail FY22'!$E$6:$E$132,+F428,'Employee Detail FY22'!$F$6:$F$132,G428),0)</f>
        <v>7944</v>
      </c>
      <c r="AE428" s="117">
        <f t="shared" si="435"/>
        <v>2604.2600000000002</v>
      </c>
      <c r="AF428" s="117">
        <f t="shared" si="436"/>
        <v>217.02166666666668</v>
      </c>
    </row>
    <row r="429" spans="2:36" hidden="1" outlineLevel="1" x14ac:dyDescent="0.2">
      <c r="B429" s="7"/>
      <c r="C429" s="102" t="s">
        <v>468</v>
      </c>
      <c r="D429" s="104" t="s">
        <v>145</v>
      </c>
      <c r="E429" s="104"/>
      <c r="F429" s="102" t="s">
        <v>468</v>
      </c>
      <c r="G429" s="102" t="s">
        <v>479</v>
      </c>
      <c r="H429" s="104" t="s">
        <v>178</v>
      </c>
      <c r="I429" s="103"/>
      <c r="J429" s="342" t="str">
        <f t="shared" si="434"/>
        <v>10000010025800210</v>
      </c>
      <c r="K429" s="109">
        <v>2022</v>
      </c>
      <c r="L429" s="109" t="s">
        <v>348</v>
      </c>
      <c r="M429" s="109" t="s">
        <v>349</v>
      </c>
      <c r="N429" s="109" t="s">
        <v>350</v>
      </c>
      <c r="O429" s="395">
        <v>869.66</v>
      </c>
      <c r="P429" s="395">
        <v>657.27</v>
      </c>
      <c r="Q429" s="395">
        <v>735.15</v>
      </c>
      <c r="R429" s="395">
        <v>633.71</v>
      </c>
      <c r="S429" s="395">
        <v>633.71</v>
      </c>
      <c r="T429" s="715"/>
      <c r="U429" s="715"/>
      <c r="V429" s="715"/>
      <c r="W429" s="715"/>
      <c r="X429" s="715"/>
      <c r="Y429" s="715"/>
      <c r="Z429" s="715"/>
      <c r="AA429" s="715"/>
      <c r="AB429" s="7"/>
      <c r="AC429" s="121">
        <f t="shared" si="437"/>
        <v>3529.5</v>
      </c>
      <c r="AD429" s="115">
        <f>ROUND(SUMIFS('Employee Detail FY22'!$AC$6:$AC$132,'Employee Detail FY22'!$B$6:$B$132,C429,'Employee Detail FY22'!$C$6:$C$132,D429,'Employee Detail FY22'!$E$6:$E$132,+F429,'Employee Detail FY22'!$F$6:$F$132,G429),0)</f>
        <v>7944</v>
      </c>
      <c r="AE429" s="117">
        <f t="shared" si="435"/>
        <v>4414.5</v>
      </c>
      <c r="AF429" s="117">
        <f t="shared" si="436"/>
        <v>367.875</v>
      </c>
    </row>
    <row r="430" spans="2:36" hidden="1" outlineLevel="1" x14ac:dyDescent="0.2">
      <c r="B430" s="7"/>
      <c r="C430" s="102" t="s">
        <v>468</v>
      </c>
      <c r="D430" s="102" t="s">
        <v>145</v>
      </c>
      <c r="E430" s="102"/>
      <c r="F430" s="102" t="s">
        <v>468</v>
      </c>
      <c r="G430" s="102" t="s">
        <v>459</v>
      </c>
      <c r="H430" s="104" t="s">
        <v>178</v>
      </c>
      <c r="I430" s="103"/>
      <c r="J430" s="342" t="str">
        <f t="shared" si="434"/>
        <v>10000010025820210</v>
      </c>
      <c r="K430" s="109">
        <v>2022</v>
      </c>
      <c r="L430" s="109" t="s">
        <v>348</v>
      </c>
      <c r="M430" s="109" t="s">
        <v>349</v>
      </c>
      <c r="N430" s="109" t="s">
        <v>350</v>
      </c>
      <c r="O430" s="395">
        <v>1560.96</v>
      </c>
      <c r="P430" s="395">
        <v>949.56</v>
      </c>
      <c r="Q430" s="395">
        <v>757.98</v>
      </c>
      <c r="R430" s="395">
        <v>775.24</v>
      </c>
      <c r="S430" s="395">
        <v>775.24</v>
      </c>
      <c r="T430" s="715"/>
      <c r="U430" s="715"/>
      <c r="V430" s="715"/>
      <c r="W430" s="715"/>
      <c r="X430" s="715"/>
      <c r="Y430" s="715"/>
      <c r="Z430" s="715"/>
      <c r="AA430" s="715"/>
      <c r="AB430" s="7"/>
      <c r="AC430" s="121">
        <f t="shared" si="437"/>
        <v>4818.9799999999996</v>
      </c>
      <c r="AD430" s="115">
        <f>ROUND(SUMIFS('Employee Detail FY22'!$AC$6:$AC$132,'Employee Detail FY22'!$B$6:$B$132,C430,'Employee Detail FY22'!$C$6:$C$132,D430,'Employee Detail FY22'!$E$6:$E$132,+F430,'Employee Detail FY22'!$F$6:$F$132,G430),0)</f>
        <v>7944</v>
      </c>
      <c r="AE430" s="117">
        <f t="shared" si="435"/>
        <v>3125.0200000000004</v>
      </c>
      <c r="AF430" s="117">
        <f t="shared" si="436"/>
        <v>260.41833333333335</v>
      </c>
    </row>
    <row r="431" spans="2:36" hidden="1" outlineLevel="1" x14ac:dyDescent="0.2">
      <c r="B431" s="7"/>
      <c r="C431" s="102" t="s">
        <v>135</v>
      </c>
      <c r="D431" s="104" t="s">
        <v>923</v>
      </c>
      <c r="E431" s="104"/>
      <c r="F431" s="102">
        <v>100</v>
      </c>
      <c r="G431" s="102">
        <v>1000</v>
      </c>
      <c r="H431" s="104" t="s">
        <v>178</v>
      </c>
      <c r="I431" s="103"/>
      <c r="J431" s="342" t="str">
        <f t="shared" si="430"/>
        <v>28066110010000210</v>
      </c>
      <c r="K431" s="109">
        <v>2022</v>
      </c>
      <c r="L431" s="109" t="s">
        <v>348</v>
      </c>
      <c r="M431" s="109" t="s">
        <v>349</v>
      </c>
      <c r="N431" s="109" t="s">
        <v>350</v>
      </c>
      <c r="O431" s="395">
        <v>0</v>
      </c>
      <c r="P431" s="395">
        <v>985.2</v>
      </c>
      <c r="Q431" s="395">
        <v>726.04</v>
      </c>
      <c r="R431" s="395">
        <v>755.32</v>
      </c>
      <c r="S431" s="395">
        <v>701.7</v>
      </c>
      <c r="T431" s="715"/>
      <c r="U431" s="715"/>
      <c r="V431" s="715"/>
      <c r="W431" s="715"/>
      <c r="X431" s="715"/>
      <c r="Y431" s="715"/>
      <c r="Z431" s="715"/>
      <c r="AA431" s="715"/>
      <c r="AB431" s="7"/>
      <c r="AC431" s="121">
        <f t="shared" si="437"/>
        <v>3168.26</v>
      </c>
      <c r="AD431" s="115">
        <f>ROUND(SUMIFS('Employee Detail FY22'!$AC$6:$AC$132,'Employee Detail FY22'!$B$6:$B$132,C431,'Employee Detail FY22'!$C$6:$C$132,D431,'Employee Detail FY22'!$E$6:$E$132,+F431,'Employee Detail FY22'!$F$6:$F$132,G431),0)</f>
        <v>7944</v>
      </c>
      <c r="AE431" s="117">
        <f t="shared" ref="AE431:AE455" si="438">AD431-AC431</f>
        <v>4775.74</v>
      </c>
      <c r="AF431" s="117">
        <f t="shared" ref="AF431:AF455" si="439">AE431/$AF$6</f>
        <v>397.9783333333333</v>
      </c>
    </row>
    <row r="432" spans="2:36" hidden="1" outlineLevel="1" x14ac:dyDescent="0.2">
      <c r="B432" s="7"/>
      <c r="C432" s="102" t="s">
        <v>135</v>
      </c>
      <c r="D432" s="104" t="s">
        <v>249</v>
      </c>
      <c r="E432" s="104"/>
      <c r="F432" s="102" t="s">
        <v>468</v>
      </c>
      <c r="G432" s="102" t="s">
        <v>461</v>
      </c>
      <c r="H432" s="104" t="s">
        <v>178</v>
      </c>
      <c r="I432" s="103"/>
      <c r="J432" s="342" t="str">
        <f t="shared" si="430"/>
        <v>28070910010000210</v>
      </c>
      <c r="K432" s="109">
        <v>2022</v>
      </c>
      <c r="L432" s="109" t="s">
        <v>348</v>
      </c>
      <c r="M432" s="109" t="s">
        <v>349</v>
      </c>
      <c r="N432" s="109" t="s">
        <v>350</v>
      </c>
      <c r="O432" s="395">
        <v>0</v>
      </c>
      <c r="P432" s="395">
        <v>0</v>
      </c>
      <c r="Q432" s="395">
        <v>0</v>
      </c>
      <c r="R432" s="723">
        <v>0</v>
      </c>
      <c r="S432" s="723">
        <v>0</v>
      </c>
      <c r="T432" s="715"/>
      <c r="U432" s="715"/>
      <c r="V432" s="715"/>
      <c r="W432" s="715"/>
      <c r="X432" s="715"/>
      <c r="Y432" s="715"/>
      <c r="Z432" s="715"/>
      <c r="AA432" s="715"/>
      <c r="AB432" s="7"/>
      <c r="AC432" s="121">
        <f t="shared" si="437"/>
        <v>0</v>
      </c>
      <c r="AD432" s="115">
        <f>ROUND(SUMIFS('Employee Detail FY22'!$AC$6:$AC$132,'Employee Detail FY22'!$B$6:$B$132,C432,'Employee Detail FY22'!$C$6:$C$132,D432,'Employee Detail FY22'!$E$6:$E$132,+F432,'Employee Detail FY22'!$F$6:$F$132,G432),0)</f>
        <v>0</v>
      </c>
      <c r="AE432" s="117">
        <f t="shared" si="438"/>
        <v>0</v>
      </c>
      <c r="AF432" s="117">
        <f t="shared" si="439"/>
        <v>0</v>
      </c>
    </row>
    <row r="433" spans="2:32" hidden="1" outlineLevel="1" x14ac:dyDescent="0.2">
      <c r="B433" s="7"/>
      <c r="C433" s="102" t="s">
        <v>468</v>
      </c>
      <c r="D433" s="104" t="s">
        <v>145</v>
      </c>
      <c r="E433" s="104"/>
      <c r="F433" s="102" t="s">
        <v>689</v>
      </c>
      <c r="G433" s="102" t="s">
        <v>461</v>
      </c>
      <c r="H433" s="104" t="s">
        <v>178</v>
      </c>
      <c r="I433" s="103"/>
      <c r="J433" s="342" t="str">
        <f t="shared" si="430"/>
        <v>10000014010000210</v>
      </c>
      <c r="K433" s="109">
        <v>2022</v>
      </c>
      <c r="L433" s="109" t="s">
        <v>348</v>
      </c>
      <c r="M433" s="109" t="s">
        <v>349</v>
      </c>
      <c r="N433" s="109" t="s">
        <v>350</v>
      </c>
      <c r="O433" s="395">
        <v>0</v>
      </c>
      <c r="P433" s="395">
        <v>0</v>
      </c>
      <c r="Q433" s="395">
        <v>0</v>
      </c>
      <c r="R433" s="723">
        <v>0</v>
      </c>
      <c r="S433" s="723">
        <v>0</v>
      </c>
      <c r="T433" s="715"/>
      <c r="U433" s="715"/>
      <c r="V433" s="715"/>
      <c r="W433" s="715"/>
      <c r="X433" s="715"/>
      <c r="Y433" s="715"/>
      <c r="Z433" s="715"/>
      <c r="AA433" s="715"/>
      <c r="AB433" s="7"/>
      <c r="AC433" s="121">
        <f t="shared" si="437"/>
        <v>0</v>
      </c>
      <c r="AD433" s="115">
        <f>ROUND(SUMIFS('Employee Detail FY22'!$AC$6:$AC$132,'Employee Detail FY22'!$B$6:$B$132,C433,'Employee Detail FY22'!$C$6:$C$132,D433,'Employee Detail FY22'!$E$6:$E$132,+F433,'Employee Detail FY22'!$F$6:$F$132,G433),0)</f>
        <v>0</v>
      </c>
      <c r="AE433" s="117">
        <f t="shared" si="438"/>
        <v>0</v>
      </c>
      <c r="AF433" s="117">
        <f t="shared" si="439"/>
        <v>0</v>
      </c>
    </row>
    <row r="434" spans="2:32" hidden="1" outlineLevel="1" x14ac:dyDescent="0.2">
      <c r="B434" s="7"/>
      <c r="C434" s="102" t="s">
        <v>135</v>
      </c>
      <c r="D434" s="104" t="s">
        <v>923</v>
      </c>
      <c r="E434" s="104"/>
      <c r="F434" s="102" t="s">
        <v>468</v>
      </c>
      <c r="G434" s="102" t="s">
        <v>465</v>
      </c>
      <c r="H434" s="104" t="s">
        <v>178</v>
      </c>
      <c r="I434" s="103"/>
      <c r="J434" s="342" t="str">
        <f t="shared" si="430"/>
        <v>28066110021100210</v>
      </c>
      <c r="K434" s="109">
        <v>2022</v>
      </c>
      <c r="L434" s="109" t="s">
        <v>348</v>
      </c>
      <c r="M434" s="109" t="s">
        <v>349</v>
      </c>
      <c r="N434" s="109" t="s">
        <v>350</v>
      </c>
      <c r="O434" s="395">
        <v>0</v>
      </c>
      <c r="P434" s="395">
        <v>2095.3200000000002</v>
      </c>
      <c r="Q434" s="395">
        <v>2095.4</v>
      </c>
      <c r="R434" s="395">
        <v>502.22</v>
      </c>
      <c r="S434" s="395">
        <v>592.95000000000005</v>
      </c>
      <c r="T434" s="715"/>
      <c r="U434" s="715"/>
      <c r="V434" s="715"/>
      <c r="W434" s="715"/>
      <c r="X434" s="715"/>
      <c r="Y434" s="715"/>
      <c r="Z434" s="715"/>
      <c r="AA434" s="715"/>
      <c r="AB434" s="7"/>
      <c r="AC434" s="121">
        <f t="shared" si="437"/>
        <v>5285.89</v>
      </c>
      <c r="AD434" s="115">
        <f>ROUND(SUMIFS('Employee Detail FY22'!$AC$6:$AC$132,'Employee Detail FY22'!$B$6:$B$132,C434,'Employee Detail FY22'!$C$6:$C$132,D434,'Employee Detail FY22'!$E$6:$E$132,+F434,'Employee Detail FY22'!$F$6:$F$132,G434),0)</f>
        <v>15888</v>
      </c>
      <c r="AE434" s="117">
        <f t="shared" si="438"/>
        <v>10602.11</v>
      </c>
      <c r="AF434" s="117">
        <f t="shared" si="439"/>
        <v>883.50916666666672</v>
      </c>
    </row>
    <row r="435" spans="2:32" hidden="1" outlineLevel="1" x14ac:dyDescent="0.2">
      <c r="B435" s="7"/>
      <c r="C435" s="102" t="s">
        <v>135</v>
      </c>
      <c r="D435" s="104" t="s">
        <v>1030</v>
      </c>
      <c r="E435" s="104"/>
      <c r="F435" s="102" t="s">
        <v>468</v>
      </c>
      <c r="G435" s="102" t="s">
        <v>465</v>
      </c>
      <c r="H435" s="104" t="s">
        <v>178</v>
      </c>
      <c r="I435" s="103"/>
      <c r="J435" s="342" t="str">
        <f t="shared" si="430"/>
        <v>28074110021100210</v>
      </c>
      <c r="K435" s="109">
        <v>2022</v>
      </c>
      <c r="L435" s="109" t="s">
        <v>348</v>
      </c>
      <c r="M435" s="109" t="s">
        <v>349</v>
      </c>
      <c r="N435" s="109" t="s">
        <v>350</v>
      </c>
      <c r="O435" s="395">
        <v>0</v>
      </c>
      <c r="P435" s="395">
        <v>0</v>
      </c>
      <c r="Q435" s="395">
        <v>624.59</v>
      </c>
      <c r="R435" s="395">
        <v>508.21</v>
      </c>
      <c r="S435" s="395">
        <v>360.83</v>
      </c>
      <c r="T435" s="715"/>
      <c r="U435" s="715"/>
      <c r="V435" s="715"/>
      <c r="W435" s="715"/>
      <c r="X435" s="715"/>
      <c r="Y435" s="715"/>
      <c r="Z435" s="715"/>
      <c r="AA435" s="715"/>
      <c r="AB435" s="7"/>
      <c r="AC435" s="121">
        <f t="shared" si="437"/>
        <v>1493.6299999999999</v>
      </c>
      <c r="AD435" s="115">
        <f>ROUND(SUMIFS('Employee Detail FY22'!$AC$6:$AC$132,'Employee Detail FY22'!$B$6:$B$132,C435,'Employee Detail FY22'!$C$6:$C$132,D435,'Employee Detail FY22'!$E$6:$E$132,+F435,'Employee Detail FY22'!$F$6:$F$132,G435),0)</f>
        <v>15888</v>
      </c>
      <c r="AE435" s="117">
        <f t="shared" si="438"/>
        <v>14394.37</v>
      </c>
      <c r="AF435" s="117">
        <f t="shared" si="439"/>
        <v>1199.5308333333335</v>
      </c>
    </row>
    <row r="436" spans="2:32" hidden="1" outlineLevel="1" x14ac:dyDescent="0.2">
      <c r="B436" s="7"/>
      <c r="C436" s="102" t="s">
        <v>135</v>
      </c>
      <c r="D436" s="104" t="s">
        <v>923</v>
      </c>
      <c r="E436" s="104"/>
      <c r="F436" s="102">
        <v>100</v>
      </c>
      <c r="G436" s="102" t="s">
        <v>460</v>
      </c>
      <c r="H436" s="104" t="s">
        <v>178</v>
      </c>
      <c r="I436" s="103"/>
      <c r="J436" s="342" t="str">
        <f t="shared" ref="J436:J455" si="440">CONCATENATE(C436,D436,F436,G436,H436,I436)</f>
        <v>28066110024100210</v>
      </c>
      <c r="K436" s="109">
        <v>2022</v>
      </c>
      <c r="L436" s="109" t="s">
        <v>348</v>
      </c>
      <c r="M436" s="109" t="s">
        <v>349</v>
      </c>
      <c r="N436" s="109" t="s">
        <v>350</v>
      </c>
      <c r="O436" s="395">
        <v>0</v>
      </c>
      <c r="P436" s="395">
        <v>0</v>
      </c>
      <c r="Q436" s="395">
        <v>0</v>
      </c>
      <c r="R436" s="723">
        <v>0</v>
      </c>
      <c r="S436" s="723">
        <v>0</v>
      </c>
      <c r="T436" s="715"/>
      <c r="U436" s="715"/>
      <c r="V436" s="715"/>
      <c r="W436" s="715"/>
      <c r="X436" s="715"/>
      <c r="Y436" s="715"/>
      <c r="Z436" s="715"/>
      <c r="AA436" s="715"/>
      <c r="AB436" s="7"/>
      <c r="AC436" s="121">
        <f t="shared" si="437"/>
        <v>0</v>
      </c>
      <c r="AD436" s="115">
        <f>ROUND(SUMIFS('Employee Detail FY22'!$AC$6:$AC$132,'Employee Detail FY22'!$B$6:$B$132,C436,'Employee Detail FY22'!$C$6:$C$132,D436,'Employee Detail FY22'!$E$6:$E$132,+F436,'Employee Detail FY22'!$F$6:$F$132,G436),0)</f>
        <v>7944</v>
      </c>
      <c r="AE436" s="117">
        <f t="shared" si="438"/>
        <v>7944</v>
      </c>
      <c r="AF436" s="117">
        <f t="shared" si="439"/>
        <v>662</v>
      </c>
    </row>
    <row r="437" spans="2:32" hidden="1" outlineLevel="1" x14ac:dyDescent="0.2">
      <c r="B437" s="7"/>
      <c r="C437" s="102" t="s">
        <v>462</v>
      </c>
      <c r="D437" s="102" t="s">
        <v>145</v>
      </c>
      <c r="E437" s="102"/>
      <c r="F437" s="102" t="s">
        <v>463</v>
      </c>
      <c r="G437" s="102">
        <v>1000</v>
      </c>
      <c r="H437" s="104" t="s">
        <v>178</v>
      </c>
      <c r="I437" s="103"/>
      <c r="J437" s="342" t="str">
        <f t="shared" si="440"/>
        <v>25000020010000210</v>
      </c>
      <c r="K437" s="109">
        <v>2022</v>
      </c>
      <c r="L437" s="109" t="s">
        <v>348</v>
      </c>
      <c r="M437" s="109" t="s">
        <v>349</v>
      </c>
      <c r="N437" s="109" t="s">
        <v>350</v>
      </c>
      <c r="O437" s="395">
        <v>4366.28</v>
      </c>
      <c r="P437" s="395">
        <v>1981.78</v>
      </c>
      <c r="Q437" s="395">
        <v>8499.81</v>
      </c>
      <c r="R437" s="395">
        <v>3484.58</v>
      </c>
      <c r="S437" s="395">
        <v>3342.41</v>
      </c>
      <c r="T437" s="715"/>
      <c r="U437" s="715"/>
      <c r="V437" s="715"/>
      <c r="W437" s="715"/>
      <c r="X437" s="715"/>
      <c r="Y437" s="715"/>
      <c r="Z437" s="715"/>
      <c r="AA437" s="715"/>
      <c r="AB437" s="7"/>
      <c r="AC437" s="121">
        <f t="shared" si="437"/>
        <v>21674.859999999997</v>
      </c>
      <c r="AD437" s="115">
        <f>ROUND(SUMIFS('Employee Detail FY22'!$AC$6:$AC$132,'Employee Detail FY22'!$B$6:$B$132,C437,'Employee Detail FY22'!$C$6:$C$132,D437,'Employee Detail FY22'!$E$6:$E$132,+F437,'Employee Detail FY22'!$F$6:$F$132,G437),0)</f>
        <v>23831</v>
      </c>
      <c r="AE437" s="117">
        <f t="shared" si="438"/>
        <v>2156.1400000000031</v>
      </c>
      <c r="AF437" s="117">
        <f t="shared" si="439"/>
        <v>179.6783333333336</v>
      </c>
    </row>
    <row r="438" spans="2:32" hidden="1" outlineLevel="1" x14ac:dyDescent="0.2">
      <c r="B438" s="7"/>
      <c r="C438" s="102" t="s">
        <v>135</v>
      </c>
      <c r="D438" s="102" t="s">
        <v>247</v>
      </c>
      <c r="E438" s="102"/>
      <c r="F438" s="102">
        <v>200</v>
      </c>
      <c r="G438" s="102">
        <v>1000</v>
      </c>
      <c r="H438" s="104" t="s">
        <v>178</v>
      </c>
      <c r="I438" s="103"/>
      <c r="J438" s="342" t="str">
        <f t="shared" si="440"/>
        <v>28063920010000210</v>
      </c>
      <c r="K438" s="109">
        <v>2022</v>
      </c>
      <c r="L438" s="109" t="s">
        <v>348</v>
      </c>
      <c r="M438" s="109" t="s">
        <v>349</v>
      </c>
      <c r="N438" s="109" t="s">
        <v>350</v>
      </c>
      <c r="O438" s="395">
        <v>1981.92</v>
      </c>
      <c r="P438" s="395">
        <v>692.77</v>
      </c>
      <c r="Q438" s="395">
        <v>-2674.69</v>
      </c>
      <c r="R438" s="395">
        <v>1071.21</v>
      </c>
      <c r="S438" s="395">
        <v>1030.45</v>
      </c>
      <c r="T438" s="715"/>
      <c r="U438" s="715"/>
      <c r="V438" s="715"/>
      <c r="W438" s="715"/>
      <c r="X438" s="715"/>
      <c r="Y438" s="715"/>
      <c r="Z438" s="715"/>
      <c r="AA438" s="715"/>
      <c r="AB438" s="7"/>
      <c r="AC438" s="121">
        <f t="shared" si="437"/>
        <v>2101.66</v>
      </c>
      <c r="AD438" s="115">
        <f>ROUND(SUMIFS('Employee Detail FY22'!$AC$6:$AC$132,'Employee Detail FY22'!$B$6:$B$132,C438,'Employee Detail FY22'!$C$6:$C$132,D438,'Employee Detail FY22'!$E$6:$E$132,+F438,'Employee Detail FY22'!$F$6:$F$132,G438),0)</f>
        <v>15888</v>
      </c>
      <c r="AE438" s="117">
        <f t="shared" si="438"/>
        <v>13786.34</v>
      </c>
      <c r="AF438" s="117">
        <f t="shared" si="439"/>
        <v>1148.8616666666667</v>
      </c>
    </row>
    <row r="439" spans="2:32" hidden="1" outlineLevel="1" x14ac:dyDescent="0.2">
      <c r="B439" s="7"/>
      <c r="C439" s="102" t="s">
        <v>462</v>
      </c>
      <c r="D439" s="102" t="s">
        <v>132</v>
      </c>
      <c r="E439" s="104"/>
      <c r="F439" s="102" t="s">
        <v>463</v>
      </c>
      <c r="G439" s="102">
        <v>2130</v>
      </c>
      <c r="H439" s="104" t="s">
        <v>178</v>
      </c>
      <c r="I439" s="103"/>
      <c r="J439" s="342" t="str">
        <f t="shared" si="440"/>
        <v>25020520021300210</v>
      </c>
      <c r="K439" s="109">
        <v>2022</v>
      </c>
      <c r="L439" s="109" t="s">
        <v>348</v>
      </c>
      <c r="M439" s="109" t="s">
        <v>349</v>
      </c>
      <c r="N439" s="109" t="s">
        <v>350</v>
      </c>
      <c r="O439" s="395">
        <v>0</v>
      </c>
      <c r="P439" s="395">
        <v>0</v>
      </c>
      <c r="Q439" s="395">
        <v>0</v>
      </c>
      <c r="R439" s="395">
        <v>125</v>
      </c>
      <c r="S439" s="395">
        <v>0</v>
      </c>
      <c r="T439" s="715"/>
      <c r="U439" s="715"/>
      <c r="V439" s="715"/>
      <c r="W439" s="715"/>
      <c r="X439" s="715"/>
      <c r="Y439" s="715"/>
      <c r="Z439" s="715"/>
      <c r="AA439" s="715"/>
      <c r="AB439" s="7"/>
      <c r="AC439" s="121">
        <f t="shared" si="437"/>
        <v>125</v>
      </c>
      <c r="AD439" s="115">
        <f>ROUND(SUMIFS('Employee Detail FY22'!$AC$6:$AC$132,'Employee Detail FY22'!$B$6:$B$132,C439,'Employee Detail FY22'!$C$6:$C$132,D439,'Employee Detail FY22'!$E$6:$E$132,+F439,'Employee Detail FY22'!$F$6:$F$132,G439),0)</f>
        <v>0</v>
      </c>
      <c r="AE439" s="117">
        <f t="shared" si="438"/>
        <v>-125</v>
      </c>
      <c r="AF439" s="117">
        <f t="shared" si="439"/>
        <v>-10.416666666666666</v>
      </c>
    </row>
    <row r="440" spans="2:32" hidden="1" outlineLevel="1" x14ac:dyDescent="0.2">
      <c r="B440" s="7"/>
      <c r="C440" s="102" t="s">
        <v>462</v>
      </c>
      <c r="D440" s="104" t="s">
        <v>132</v>
      </c>
      <c r="E440" s="104"/>
      <c r="F440" s="102" t="s">
        <v>463</v>
      </c>
      <c r="G440" s="102">
        <v>2140</v>
      </c>
      <c r="H440" s="104" t="s">
        <v>178</v>
      </c>
      <c r="I440" s="103"/>
      <c r="J440" s="342" t="str">
        <f t="shared" si="440"/>
        <v>25020520021400210</v>
      </c>
      <c r="K440" s="109">
        <v>2022</v>
      </c>
      <c r="L440" s="109" t="s">
        <v>348</v>
      </c>
      <c r="M440" s="109" t="s">
        <v>349</v>
      </c>
      <c r="N440" s="109" t="s">
        <v>350</v>
      </c>
      <c r="O440" s="395">
        <v>2068.1999999999998</v>
      </c>
      <c r="P440" s="395">
        <v>1281.6199999999999</v>
      </c>
      <c r="Q440" s="395">
        <v>810.56000000000006</v>
      </c>
      <c r="R440" s="395">
        <v>1556.32</v>
      </c>
      <c r="S440" s="395">
        <v>1010.13</v>
      </c>
      <c r="T440" s="715"/>
      <c r="U440" s="715"/>
      <c r="V440" s="715"/>
      <c r="W440" s="715"/>
      <c r="X440" s="715"/>
      <c r="Y440" s="715"/>
      <c r="Z440" s="715"/>
      <c r="AA440" s="715"/>
      <c r="AB440" s="7"/>
      <c r="AC440" s="121">
        <f t="shared" si="437"/>
        <v>6726.83</v>
      </c>
      <c r="AD440" s="115">
        <f>ROUND(SUMIFS('Employee Detail FY22'!$AC$6:$AC$132,'Employee Detail FY22'!$B$6:$B$132,C440,'Employee Detail FY22'!$C$6:$C$132,D440,'Employee Detail FY22'!$E$6:$E$132,+F440,'Employee Detail FY22'!$F$6:$F$132,G440),0)</f>
        <v>7944</v>
      </c>
      <c r="AE440" s="117">
        <f t="shared" si="438"/>
        <v>1217.17</v>
      </c>
      <c r="AF440" s="117">
        <f t="shared" si="439"/>
        <v>101.43083333333334</v>
      </c>
    </row>
    <row r="441" spans="2:32" hidden="1" outlineLevel="1" x14ac:dyDescent="0.2">
      <c r="B441" s="7"/>
      <c r="C441" s="102" t="s">
        <v>462</v>
      </c>
      <c r="D441" s="102">
        <v>205</v>
      </c>
      <c r="E441" s="104"/>
      <c r="F441" s="102" t="s">
        <v>463</v>
      </c>
      <c r="G441" s="102">
        <v>2410</v>
      </c>
      <c r="H441" s="104" t="s">
        <v>178</v>
      </c>
      <c r="I441" s="103"/>
      <c r="J441" s="342" t="str">
        <f t="shared" si="440"/>
        <v>25020520024100210</v>
      </c>
      <c r="K441" s="109">
        <v>2022</v>
      </c>
      <c r="L441" s="109" t="s">
        <v>348</v>
      </c>
      <c r="M441" s="109" t="s">
        <v>349</v>
      </c>
      <c r="N441" s="109" t="s">
        <v>350</v>
      </c>
      <c r="O441" s="395">
        <v>0</v>
      </c>
      <c r="P441" s="395">
        <v>0</v>
      </c>
      <c r="Q441" s="395">
        <v>125</v>
      </c>
      <c r="R441" s="395">
        <v>125</v>
      </c>
      <c r="S441" s="395">
        <v>518.22</v>
      </c>
      <c r="T441" s="715"/>
      <c r="U441" s="715"/>
      <c r="V441" s="715"/>
      <c r="W441" s="715"/>
      <c r="X441" s="715"/>
      <c r="Y441" s="715"/>
      <c r="Z441" s="715"/>
      <c r="AA441" s="715"/>
      <c r="AB441" s="7"/>
      <c r="AC441" s="121">
        <f t="shared" si="437"/>
        <v>768.22</v>
      </c>
      <c r="AD441" s="115">
        <f>ROUND(SUMIFS('Employee Detail FY22'!$AC$6:$AC$132,'Employee Detail FY22'!$B$6:$B$132,C441,'Employee Detail FY22'!$C$6:$C$132,D441,'Employee Detail FY22'!$E$6:$E$132,+F441,'Employee Detail FY22'!$F$6:$F$132,G441),0)</f>
        <v>7944</v>
      </c>
      <c r="AE441" s="117">
        <f t="shared" si="438"/>
        <v>7175.78</v>
      </c>
      <c r="AF441" s="117">
        <f t="shared" si="439"/>
        <v>597.98166666666668</v>
      </c>
    </row>
    <row r="442" spans="2:32" hidden="1" outlineLevel="1" x14ac:dyDescent="0.2">
      <c r="B442" s="7"/>
      <c r="C442" s="102" t="s">
        <v>135</v>
      </c>
      <c r="D442" s="102" t="s">
        <v>247</v>
      </c>
      <c r="E442" s="102"/>
      <c r="F442" s="102" t="s">
        <v>473</v>
      </c>
      <c r="G442" s="102" t="s">
        <v>461</v>
      </c>
      <c r="H442" s="104" t="s">
        <v>178</v>
      </c>
      <c r="I442" s="103"/>
      <c r="J442" s="342" t="str">
        <f t="shared" si="440"/>
        <v>28063924010000210</v>
      </c>
      <c r="K442" s="109">
        <v>2022</v>
      </c>
      <c r="L442" s="109" t="s">
        <v>348</v>
      </c>
      <c r="M442" s="109" t="s">
        <v>349</v>
      </c>
      <c r="N442" s="109" t="s">
        <v>350</v>
      </c>
      <c r="O442" s="395">
        <v>0</v>
      </c>
      <c r="P442" s="395">
        <v>0</v>
      </c>
      <c r="Q442" s="395">
        <v>0</v>
      </c>
      <c r="R442" s="723">
        <v>0</v>
      </c>
      <c r="S442" s="723">
        <v>0</v>
      </c>
      <c r="T442" s="715"/>
      <c r="U442" s="715"/>
      <c r="V442" s="715"/>
      <c r="W442" s="715"/>
      <c r="X442" s="715"/>
      <c r="Y442" s="715"/>
      <c r="Z442" s="715"/>
      <c r="AA442" s="715"/>
      <c r="AB442" s="7"/>
      <c r="AC442" s="121">
        <f t="shared" si="437"/>
        <v>0</v>
      </c>
      <c r="AD442" s="115">
        <f>ROUND(SUMIFS('Employee Detail FY22'!$AC$6:$AC$132,'Employee Detail FY22'!$B$6:$B$132,C442,'Employee Detail FY22'!$C$6:$C$132,D442,'Employee Detail FY22'!$E$6:$E$132,+F442,'Employee Detail FY22'!$F$6:$F$132,G442),0)</f>
        <v>0</v>
      </c>
      <c r="AE442" s="117">
        <f t="shared" si="438"/>
        <v>0</v>
      </c>
      <c r="AF442" s="117">
        <f t="shared" si="439"/>
        <v>0</v>
      </c>
    </row>
    <row r="443" spans="2:32" hidden="1" outlineLevel="1" x14ac:dyDescent="0.2">
      <c r="B443" s="7"/>
      <c r="C443" s="102" t="s">
        <v>135</v>
      </c>
      <c r="D443" s="102" t="s">
        <v>864</v>
      </c>
      <c r="E443" s="102"/>
      <c r="F443" s="102" t="s">
        <v>557</v>
      </c>
      <c r="G443" s="102" t="s">
        <v>465</v>
      </c>
      <c r="H443" s="104" t="s">
        <v>178</v>
      </c>
      <c r="I443" s="103"/>
      <c r="J443" s="342" t="str">
        <f t="shared" si="440"/>
        <v>28065842021100210</v>
      </c>
      <c r="K443" s="109">
        <v>2022</v>
      </c>
      <c r="L443" s="109" t="s">
        <v>348</v>
      </c>
      <c r="M443" s="109" t="s">
        <v>349</v>
      </c>
      <c r="N443" s="109" t="s">
        <v>350</v>
      </c>
      <c r="O443" s="395">
        <v>0</v>
      </c>
      <c r="P443" s="395">
        <v>0</v>
      </c>
      <c r="Q443" s="395">
        <v>0</v>
      </c>
      <c r="R443" s="723">
        <v>0</v>
      </c>
      <c r="S443" s="723">
        <v>0</v>
      </c>
      <c r="T443" s="715"/>
      <c r="U443" s="715"/>
      <c r="V443" s="715"/>
      <c r="W443" s="715"/>
      <c r="X443" s="715"/>
      <c r="Y443" s="715"/>
      <c r="Z443" s="715"/>
      <c r="AA443" s="715"/>
      <c r="AB443" s="7"/>
      <c r="AC443" s="121">
        <f t="shared" si="437"/>
        <v>0</v>
      </c>
      <c r="AD443" s="115">
        <f>ROUND(SUMIFS('Employee Detail FY22'!$AC$6:$AC$132,'Employee Detail FY22'!$B$6:$B$132,C443,'Employee Detail FY22'!$C$6:$C$132,D443,'Employee Detail FY22'!$E$6:$E$132,+F443,'Employee Detail FY22'!$F$6:$F$132,G443),0)</f>
        <v>0</v>
      </c>
      <c r="AE443" s="117">
        <f t="shared" si="438"/>
        <v>0</v>
      </c>
      <c r="AF443" s="117">
        <f t="shared" si="439"/>
        <v>0</v>
      </c>
    </row>
    <row r="444" spans="2:32" hidden="1" outlineLevel="1" x14ac:dyDescent="0.2">
      <c r="B444" s="7"/>
      <c r="C444" s="102" t="s">
        <v>135</v>
      </c>
      <c r="D444" s="102" t="s">
        <v>864</v>
      </c>
      <c r="E444" s="102"/>
      <c r="F444" s="102">
        <v>420</v>
      </c>
      <c r="G444" s="102">
        <v>2120</v>
      </c>
      <c r="H444" s="104" t="s">
        <v>178</v>
      </c>
      <c r="I444" s="103"/>
      <c r="J444" s="342" t="str">
        <f t="shared" si="440"/>
        <v>28065842021200210</v>
      </c>
      <c r="K444" s="109">
        <v>2022</v>
      </c>
      <c r="L444" s="109" t="s">
        <v>348</v>
      </c>
      <c r="M444" s="109" t="s">
        <v>349</v>
      </c>
      <c r="N444" s="109" t="s">
        <v>350</v>
      </c>
      <c r="O444" s="395">
        <v>0</v>
      </c>
      <c r="P444" s="395">
        <v>0</v>
      </c>
      <c r="Q444" s="395">
        <v>0</v>
      </c>
      <c r="R444" s="723">
        <v>0</v>
      </c>
      <c r="S444" s="723">
        <v>0</v>
      </c>
      <c r="T444" s="715"/>
      <c r="U444" s="715"/>
      <c r="V444" s="715"/>
      <c r="W444" s="715"/>
      <c r="X444" s="715"/>
      <c r="Y444" s="715"/>
      <c r="Z444" s="715"/>
      <c r="AA444" s="715"/>
      <c r="AB444" s="7"/>
      <c r="AC444" s="121">
        <f t="shared" si="437"/>
        <v>0</v>
      </c>
      <c r="AD444" s="115">
        <f>ROUND(SUMIFS('Employee Detail FY22'!$AC$6:$AC$132,'Employee Detail FY22'!$B$6:$B$132,C444,'Employee Detail FY22'!$C$6:$C$132,D444,'Employee Detail FY22'!$E$6:$E$132,+F444,'Employee Detail FY22'!$F$6:$F$132,G444),0)</f>
        <v>0</v>
      </c>
      <c r="AE444" s="117">
        <f t="shared" si="438"/>
        <v>0</v>
      </c>
      <c r="AF444" s="117">
        <f t="shared" si="439"/>
        <v>0</v>
      </c>
    </row>
    <row r="445" spans="2:32" hidden="1" outlineLevel="1" x14ac:dyDescent="0.2">
      <c r="B445" s="7"/>
      <c r="C445" s="102" t="s">
        <v>135</v>
      </c>
      <c r="D445" s="102" t="s">
        <v>864</v>
      </c>
      <c r="E445" s="102"/>
      <c r="F445" s="102" t="s">
        <v>557</v>
      </c>
      <c r="G445" s="102" t="s">
        <v>558</v>
      </c>
      <c r="H445" s="104" t="s">
        <v>178</v>
      </c>
      <c r="I445" s="103"/>
      <c r="J445" s="342" t="str">
        <f t="shared" si="440"/>
        <v>28065842022120210</v>
      </c>
      <c r="K445" s="109">
        <v>2022</v>
      </c>
      <c r="L445" s="109" t="s">
        <v>348</v>
      </c>
      <c r="M445" s="109" t="s">
        <v>349</v>
      </c>
      <c r="N445" s="109" t="s">
        <v>350</v>
      </c>
      <c r="O445" s="395">
        <v>0</v>
      </c>
      <c r="P445" s="395">
        <v>0</v>
      </c>
      <c r="Q445" s="395">
        <v>0</v>
      </c>
      <c r="R445" s="723">
        <v>0</v>
      </c>
      <c r="S445" s="723">
        <v>0</v>
      </c>
      <c r="T445" s="715"/>
      <c r="U445" s="715"/>
      <c r="V445" s="715"/>
      <c r="W445" s="715"/>
      <c r="X445" s="715"/>
      <c r="Y445" s="715"/>
      <c r="Z445" s="715"/>
      <c r="AA445" s="715"/>
      <c r="AB445" s="7"/>
      <c r="AC445" s="121">
        <f t="shared" si="437"/>
        <v>0</v>
      </c>
      <c r="AD445" s="115">
        <f>ROUND(SUMIFS('Employee Detail FY22'!$AC$6:$AC$132,'Employee Detail FY22'!$B$6:$B$132,C445,'Employee Detail FY22'!$C$6:$C$132,D445,'Employee Detail FY22'!$E$6:$E$132,+F445,'Employee Detail FY22'!$F$6:$F$132,G445),0)</f>
        <v>0</v>
      </c>
      <c r="AE445" s="117">
        <f t="shared" si="438"/>
        <v>0</v>
      </c>
      <c r="AF445" s="117">
        <f t="shared" si="439"/>
        <v>0</v>
      </c>
    </row>
    <row r="446" spans="2:32" hidden="1" outlineLevel="1" x14ac:dyDescent="0.2">
      <c r="B446" s="7"/>
      <c r="C446" s="102" t="s">
        <v>135</v>
      </c>
      <c r="D446" s="102" t="s">
        <v>245</v>
      </c>
      <c r="E446" s="102"/>
      <c r="F446" s="102">
        <v>430</v>
      </c>
      <c r="G446" s="102" t="s">
        <v>461</v>
      </c>
      <c r="H446" s="104" t="s">
        <v>178</v>
      </c>
      <c r="I446" s="103"/>
      <c r="J446" s="419" t="str">
        <f t="shared" si="440"/>
        <v>28063343010000210</v>
      </c>
      <c r="K446" s="109">
        <v>2022</v>
      </c>
      <c r="L446" s="109" t="s">
        <v>348</v>
      </c>
      <c r="M446" s="109" t="s">
        <v>349</v>
      </c>
      <c r="N446" s="109" t="s">
        <v>350</v>
      </c>
      <c r="O446" s="395">
        <v>1158.28</v>
      </c>
      <c r="P446" s="395">
        <v>107.24</v>
      </c>
      <c r="Q446" s="395">
        <v>-1265.52</v>
      </c>
      <c r="R446" s="395">
        <v>265.88</v>
      </c>
      <c r="S446" s="395">
        <v>265.88</v>
      </c>
      <c r="T446" s="715"/>
      <c r="U446" s="715"/>
      <c r="V446" s="715"/>
      <c r="W446" s="715"/>
      <c r="X446" s="715"/>
      <c r="Y446" s="715"/>
      <c r="Z446" s="715"/>
      <c r="AA446" s="715"/>
      <c r="AB446" s="7"/>
      <c r="AC446" s="121">
        <f t="shared" si="437"/>
        <v>531.76</v>
      </c>
      <c r="AD446" s="115">
        <f>ROUND(SUMIFS('Employee Detail FY22'!$AC$6:$AC$132,'Employee Detail FY22'!$B$6:$B$132,C446,'Employee Detail FY22'!$C$6:$C$132,D446,'Employee Detail FY22'!$E$6:$E$132,+F446,'Employee Detail FY22'!$F$6:$F$132,G446),0)</f>
        <v>7944</v>
      </c>
      <c r="AE446" s="117">
        <f t="shared" si="438"/>
        <v>7412.24</v>
      </c>
      <c r="AF446" s="117">
        <f t="shared" si="439"/>
        <v>617.68666666666661</v>
      </c>
    </row>
    <row r="447" spans="2:32" hidden="1" outlineLevel="1" x14ac:dyDescent="0.2">
      <c r="B447" s="7"/>
      <c r="C447" s="102" t="s">
        <v>135</v>
      </c>
      <c r="D447" s="102" t="s">
        <v>242</v>
      </c>
      <c r="E447" s="102"/>
      <c r="F447" s="102" t="s">
        <v>532</v>
      </c>
      <c r="G447" s="102" t="s">
        <v>461</v>
      </c>
      <c r="H447" s="104" t="s">
        <v>178</v>
      </c>
      <c r="I447" s="103"/>
      <c r="J447" s="419" t="str">
        <f t="shared" si="440"/>
        <v>28062443010000210</v>
      </c>
      <c r="K447" s="109">
        <v>2022</v>
      </c>
      <c r="L447" s="109" t="s">
        <v>348</v>
      </c>
      <c r="M447" s="109" t="s">
        <v>349</v>
      </c>
      <c r="N447" s="109" t="s">
        <v>350</v>
      </c>
      <c r="O447" s="395">
        <v>0</v>
      </c>
      <c r="P447" s="395">
        <v>0</v>
      </c>
      <c r="Q447" s="395">
        <v>58.87</v>
      </c>
      <c r="R447" s="395">
        <v>117.74</v>
      </c>
      <c r="S447" s="395">
        <v>117.74</v>
      </c>
      <c r="T447" s="715"/>
      <c r="U447" s="715"/>
      <c r="V447" s="715"/>
      <c r="W447" s="715"/>
      <c r="X447" s="715"/>
      <c r="Y447" s="715"/>
      <c r="Z447" s="715"/>
      <c r="AA447" s="715"/>
      <c r="AB447" s="7"/>
      <c r="AC447" s="121">
        <f t="shared" si="437"/>
        <v>294.34999999999997</v>
      </c>
      <c r="AD447" s="115">
        <f>ROUND(SUMIFS('Employee Detail FY22'!$AC$6:$AC$132,'Employee Detail FY22'!$B$6:$B$132,C447,'Employee Detail FY22'!$C$6:$C$132,D447,'Employee Detail FY22'!$E$6:$E$132,+F447,'Employee Detail FY22'!$F$6:$F$132,G447),0)</f>
        <v>0</v>
      </c>
      <c r="AE447" s="117">
        <f t="shared" si="438"/>
        <v>-294.34999999999997</v>
      </c>
      <c r="AF447" s="117">
        <f t="shared" si="439"/>
        <v>-24.529166666666665</v>
      </c>
    </row>
    <row r="448" spans="2:32" hidden="1" outlineLevel="1" x14ac:dyDescent="0.2">
      <c r="B448" s="7"/>
      <c r="C448" s="102" t="s">
        <v>135</v>
      </c>
      <c r="D448" s="102" t="s">
        <v>242</v>
      </c>
      <c r="E448" s="102"/>
      <c r="F448" s="102" t="s">
        <v>532</v>
      </c>
      <c r="G448" s="102" t="s">
        <v>465</v>
      </c>
      <c r="H448" s="104" t="s">
        <v>178</v>
      </c>
      <c r="I448" s="103"/>
      <c r="J448" s="419" t="str">
        <f t="shared" si="440"/>
        <v>28062443021100210</v>
      </c>
      <c r="K448" s="109">
        <v>2022</v>
      </c>
      <c r="L448" s="109" t="s">
        <v>348</v>
      </c>
      <c r="M448" s="109" t="s">
        <v>349</v>
      </c>
      <c r="N448" s="109" t="s">
        <v>350</v>
      </c>
      <c r="O448" s="395">
        <v>0</v>
      </c>
      <c r="P448" s="395">
        <v>0</v>
      </c>
      <c r="Q448" s="395">
        <v>0</v>
      </c>
      <c r="R448" s="723">
        <v>0</v>
      </c>
      <c r="S448" s="723">
        <v>0</v>
      </c>
      <c r="T448" s="715"/>
      <c r="U448" s="715"/>
      <c r="V448" s="715"/>
      <c r="W448" s="715"/>
      <c r="X448" s="715"/>
      <c r="Y448" s="715"/>
      <c r="Z448" s="715"/>
      <c r="AA448" s="715"/>
      <c r="AB448" s="7"/>
      <c r="AC448" s="121">
        <f t="shared" si="437"/>
        <v>0</v>
      </c>
      <c r="AD448" s="115">
        <f>ROUND(SUMIFS('Employee Detail FY22'!$AC$6:$AC$132,'Employee Detail FY22'!$B$6:$B$132,C448,'Employee Detail FY22'!$C$6:$C$132,D448,'Employee Detail FY22'!$E$6:$E$132,+F448,'Employee Detail FY22'!$F$6:$F$132,G448),0)</f>
        <v>0</v>
      </c>
      <c r="AE448" s="117">
        <f t="shared" si="438"/>
        <v>0</v>
      </c>
      <c r="AF448" s="117">
        <f t="shared" si="439"/>
        <v>0</v>
      </c>
    </row>
    <row r="449" spans="2:36" hidden="1" outlineLevel="1" x14ac:dyDescent="0.2">
      <c r="B449" s="7"/>
      <c r="C449" s="102" t="s">
        <v>135</v>
      </c>
      <c r="D449" s="102" t="s">
        <v>242</v>
      </c>
      <c r="E449" s="102"/>
      <c r="F449" s="102" t="s">
        <v>532</v>
      </c>
      <c r="G449" s="102" t="s">
        <v>556</v>
      </c>
      <c r="H449" s="104" t="s">
        <v>178</v>
      </c>
      <c r="I449" s="103"/>
      <c r="J449" s="419" t="str">
        <f t="shared" si="440"/>
        <v>28062443021200210</v>
      </c>
      <c r="K449" s="109">
        <v>2022</v>
      </c>
      <c r="L449" s="109" t="s">
        <v>348</v>
      </c>
      <c r="M449" s="109" t="s">
        <v>349</v>
      </c>
      <c r="N449" s="109" t="s">
        <v>350</v>
      </c>
      <c r="O449" s="395">
        <v>0</v>
      </c>
      <c r="P449" s="395">
        <v>0</v>
      </c>
      <c r="Q449" s="395">
        <v>0</v>
      </c>
      <c r="R449" s="723">
        <v>0</v>
      </c>
      <c r="S449" s="723">
        <v>0</v>
      </c>
      <c r="T449" s="715"/>
      <c r="U449" s="715"/>
      <c r="V449" s="715"/>
      <c r="W449" s="715"/>
      <c r="X449" s="715"/>
      <c r="Y449" s="715"/>
      <c r="Z449" s="715"/>
      <c r="AA449" s="715"/>
      <c r="AB449" s="7"/>
      <c r="AC449" s="121">
        <f t="shared" si="437"/>
        <v>0</v>
      </c>
      <c r="AD449" s="115">
        <f>ROUND(SUMIFS('Employee Detail FY22'!$AC$6:$AC$132,'Employee Detail FY22'!$B$6:$B$132,C449,'Employee Detail FY22'!$C$6:$C$132,D449,'Employee Detail FY22'!$E$6:$E$132,+F449,'Employee Detail FY22'!$F$6:$F$132,G449),0)</f>
        <v>0</v>
      </c>
      <c r="AE449" s="117">
        <f t="shared" si="438"/>
        <v>0</v>
      </c>
      <c r="AF449" s="117">
        <f t="shared" si="439"/>
        <v>0</v>
      </c>
    </row>
    <row r="450" spans="2:36" hidden="1" outlineLevel="1" x14ac:dyDescent="0.2">
      <c r="B450" s="7"/>
      <c r="C450" s="102" t="s">
        <v>135</v>
      </c>
      <c r="D450" s="102" t="s">
        <v>550</v>
      </c>
      <c r="E450" s="102"/>
      <c r="F450" s="102">
        <v>430</v>
      </c>
      <c r="G450" s="102" t="s">
        <v>484</v>
      </c>
      <c r="H450" s="104" t="s">
        <v>178</v>
      </c>
      <c r="I450" s="103"/>
      <c r="J450" s="714" t="str">
        <f t="shared" si="440"/>
        <v>28071543021300210</v>
      </c>
      <c r="K450" s="109">
        <v>2022</v>
      </c>
      <c r="L450" s="109" t="s">
        <v>348</v>
      </c>
      <c r="M450" s="109" t="s">
        <v>349</v>
      </c>
      <c r="N450" s="109" t="s">
        <v>350</v>
      </c>
      <c r="O450" s="395">
        <v>0</v>
      </c>
      <c r="P450" s="395">
        <v>0</v>
      </c>
      <c r="Q450" s="395">
        <v>0</v>
      </c>
      <c r="R450" s="723">
        <v>0</v>
      </c>
      <c r="S450" s="723">
        <v>0</v>
      </c>
      <c r="T450" s="715"/>
      <c r="U450" s="715"/>
      <c r="V450" s="715"/>
      <c r="W450" s="715"/>
      <c r="X450" s="715"/>
      <c r="Y450" s="715"/>
      <c r="Z450" s="715"/>
      <c r="AA450" s="715"/>
      <c r="AB450" s="7"/>
      <c r="AC450" s="121">
        <f t="shared" si="437"/>
        <v>0</v>
      </c>
      <c r="AD450" s="115">
        <f>ROUND(SUMIFS('Employee Detail FY22'!$AC$6:$AC$132,'Employee Detail FY22'!$B$6:$B$132,C450,'Employee Detail FY22'!$C$6:$C$132,D450,'Employee Detail FY22'!$E$6:$E$132,+F450,'Employee Detail FY22'!$F$6:$F$132,G450),0)</f>
        <v>0</v>
      </c>
      <c r="AE450" s="117">
        <f t="shared" si="438"/>
        <v>0</v>
      </c>
      <c r="AF450" s="117">
        <f t="shared" si="439"/>
        <v>0</v>
      </c>
    </row>
    <row r="451" spans="2:36" hidden="1" outlineLevel="1" x14ac:dyDescent="0.2">
      <c r="B451" s="7"/>
      <c r="C451" s="102" t="s">
        <v>135</v>
      </c>
      <c r="D451" s="102" t="s">
        <v>242</v>
      </c>
      <c r="E451" s="102"/>
      <c r="F451" s="102" t="s">
        <v>532</v>
      </c>
      <c r="G451" s="102" t="s">
        <v>485</v>
      </c>
      <c r="H451" s="104" t="s">
        <v>178</v>
      </c>
      <c r="I451" s="103"/>
      <c r="J451" s="714" t="str">
        <f t="shared" si="440"/>
        <v>28062443021400210</v>
      </c>
      <c r="K451" s="109">
        <v>2022</v>
      </c>
      <c r="L451" s="109" t="s">
        <v>348</v>
      </c>
      <c r="M451" s="109" t="s">
        <v>349</v>
      </c>
      <c r="N451" s="109" t="s">
        <v>350</v>
      </c>
      <c r="O451" s="395">
        <v>0</v>
      </c>
      <c r="P451" s="395">
        <v>0</v>
      </c>
      <c r="Q451" s="395">
        <v>0</v>
      </c>
      <c r="R451" s="723">
        <v>0</v>
      </c>
      <c r="S451" s="723">
        <v>0</v>
      </c>
      <c r="T451" s="715"/>
      <c r="U451" s="715"/>
      <c r="V451" s="715"/>
      <c r="W451" s="715"/>
      <c r="X451" s="715"/>
      <c r="Y451" s="715"/>
      <c r="Z451" s="715"/>
      <c r="AA451" s="715"/>
      <c r="AB451" s="7"/>
      <c r="AC451" s="121">
        <f t="shared" si="437"/>
        <v>0</v>
      </c>
      <c r="AD451" s="115">
        <f>ROUND(SUMIFS('Employee Detail FY22'!$AC$6:$AC$132,'Employee Detail FY22'!$B$6:$B$132,C451,'Employee Detail FY22'!$C$6:$C$132,D451,'Employee Detail FY22'!$E$6:$E$132,+F451,'Employee Detail FY22'!$F$6:$F$132,G451),0)</f>
        <v>0</v>
      </c>
      <c r="AE451" s="117">
        <f t="shared" si="438"/>
        <v>0</v>
      </c>
      <c r="AF451" s="117">
        <f t="shared" si="439"/>
        <v>0</v>
      </c>
    </row>
    <row r="452" spans="2:36" hidden="1" outlineLevel="1" x14ac:dyDescent="0.2">
      <c r="B452" s="7"/>
      <c r="C452" s="102" t="s">
        <v>135</v>
      </c>
      <c r="D452" s="102" t="s">
        <v>242</v>
      </c>
      <c r="E452" s="102"/>
      <c r="F452" s="102" t="s">
        <v>532</v>
      </c>
      <c r="G452" s="102" t="s">
        <v>534</v>
      </c>
      <c r="H452" s="104" t="s">
        <v>178</v>
      </c>
      <c r="I452" s="103"/>
      <c r="J452" s="342" t="str">
        <f t="shared" si="440"/>
        <v>28062443022100210</v>
      </c>
      <c r="K452" s="109">
        <v>2022</v>
      </c>
      <c r="L452" s="109" t="s">
        <v>348</v>
      </c>
      <c r="M452" s="109" t="s">
        <v>349</v>
      </c>
      <c r="N452" s="109" t="s">
        <v>350</v>
      </c>
      <c r="O452" s="395">
        <v>0</v>
      </c>
      <c r="P452" s="395">
        <v>895.15</v>
      </c>
      <c r="Q452" s="395">
        <v>797.95</v>
      </c>
      <c r="R452" s="395">
        <v>755.32</v>
      </c>
      <c r="S452" s="395">
        <v>755.32</v>
      </c>
      <c r="T452" s="715"/>
      <c r="U452" s="715"/>
      <c r="V452" s="715"/>
      <c r="W452" s="715"/>
      <c r="X452" s="715"/>
      <c r="Y452" s="715"/>
      <c r="Z452" s="715"/>
      <c r="AA452" s="715"/>
      <c r="AB452" s="7"/>
      <c r="AC452" s="121">
        <f t="shared" si="437"/>
        <v>3203.7400000000002</v>
      </c>
      <c r="AD452" s="115">
        <f>ROUND(SUMIFS('Employee Detail FY22'!$AC$6:$AC$132,'Employee Detail FY22'!$B$6:$B$132,C452,'Employee Detail FY22'!$C$6:$C$132,D452,'Employee Detail FY22'!$E$6:$E$132,+F452,'Employee Detail FY22'!$F$6:$F$132,G452),0)</f>
        <v>7944</v>
      </c>
      <c r="AE452" s="117">
        <f t="shared" si="438"/>
        <v>4740.26</v>
      </c>
      <c r="AF452" s="117">
        <f t="shared" si="439"/>
        <v>395.0216666666667</v>
      </c>
    </row>
    <row r="453" spans="2:36" hidden="1" outlineLevel="1" x14ac:dyDescent="0.2">
      <c r="B453" s="7"/>
      <c r="C453" s="102" t="s">
        <v>135</v>
      </c>
      <c r="D453" s="102" t="s">
        <v>245</v>
      </c>
      <c r="E453" s="102"/>
      <c r="F453" s="102">
        <v>430</v>
      </c>
      <c r="G453" s="102" t="s">
        <v>534</v>
      </c>
      <c r="H453" s="104" t="s">
        <v>178</v>
      </c>
      <c r="I453" s="103"/>
      <c r="J453" s="342" t="str">
        <f t="shared" si="440"/>
        <v>28063343022100210</v>
      </c>
      <c r="K453" s="109">
        <v>2022</v>
      </c>
      <c r="L453" s="109" t="s">
        <v>348</v>
      </c>
      <c r="M453" s="109" t="s">
        <v>349</v>
      </c>
      <c r="N453" s="109" t="s">
        <v>350</v>
      </c>
      <c r="O453" s="395">
        <v>1309.3800000000001</v>
      </c>
      <c r="P453" s="395">
        <v>1339.34</v>
      </c>
      <c r="Q453" s="395">
        <v>-905.67</v>
      </c>
      <c r="R453" s="395">
        <v>998.55</v>
      </c>
      <c r="S453" s="395">
        <v>998.55</v>
      </c>
      <c r="T453" s="715"/>
      <c r="U453" s="715"/>
      <c r="V453" s="715"/>
      <c r="W453" s="715"/>
      <c r="X453" s="715"/>
      <c r="Y453" s="715"/>
      <c r="Z453" s="715"/>
      <c r="AA453" s="715"/>
      <c r="AB453" s="7"/>
      <c r="AC453" s="121">
        <f t="shared" si="437"/>
        <v>3740.1500000000005</v>
      </c>
      <c r="AD453" s="115">
        <f>ROUND(SUMIFS('Employee Detail FY22'!$AC$6:$AC$132,'Employee Detail FY22'!$B$6:$B$132,C453,'Employee Detail FY22'!$C$6:$C$132,D453,'Employee Detail FY22'!$E$6:$E$132,+F453,'Employee Detail FY22'!$F$6:$F$132,G453),0)</f>
        <v>7944</v>
      </c>
      <c r="AE453" s="117">
        <f t="shared" si="438"/>
        <v>4203.8499999999995</v>
      </c>
      <c r="AF453" s="117">
        <f t="shared" si="439"/>
        <v>350.32083333333327</v>
      </c>
    </row>
    <row r="454" spans="2:36" hidden="1" outlineLevel="1" x14ac:dyDescent="0.2">
      <c r="B454" s="7"/>
      <c r="C454" s="102" t="s">
        <v>135</v>
      </c>
      <c r="D454" s="102" t="s">
        <v>242</v>
      </c>
      <c r="E454" s="102"/>
      <c r="F454" s="102" t="s">
        <v>532</v>
      </c>
      <c r="G454" s="102" t="s">
        <v>558</v>
      </c>
      <c r="H454" s="104" t="s">
        <v>178</v>
      </c>
      <c r="I454" s="103"/>
      <c r="J454" s="342" t="str">
        <f t="shared" si="440"/>
        <v>28062443022120210</v>
      </c>
      <c r="K454" s="109">
        <v>2022</v>
      </c>
      <c r="L454" s="109" t="s">
        <v>348</v>
      </c>
      <c r="M454" s="109" t="s">
        <v>349</v>
      </c>
      <c r="N454" s="109" t="s">
        <v>350</v>
      </c>
      <c r="O454" s="395">
        <v>0</v>
      </c>
      <c r="P454" s="395">
        <v>0</v>
      </c>
      <c r="Q454" s="395">
        <v>0</v>
      </c>
      <c r="R454" s="723">
        <v>0</v>
      </c>
      <c r="S454" s="723">
        <v>0</v>
      </c>
      <c r="T454" s="715"/>
      <c r="U454" s="715"/>
      <c r="V454" s="715"/>
      <c r="W454" s="715"/>
      <c r="X454" s="715"/>
      <c r="Y454" s="715"/>
      <c r="Z454" s="715"/>
      <c r="AA454" s="715"/>
      <c r="AB454" s="7"/>
      <c r="AC454" s="121">
        <f t="shared" si="437"/>
        <v>0</v>
      </c>
      <c r="AD454" s="115">
        <f>ROUND(SUMIFS('Employee Detail FY22'!$AC$6:$AC$132,'Employee Detail FY22'!$B$6:$B$132,C454,'Employee Detail FY22'!$C$6:$C$132,D454,'Employee Detail FY22'!$E$6:$E$132,+F454,'Employee Detail FY22'!$F$6:$F$132,G454),0)</f>
        <v>0</v>
      </c>
      <c r="AE454" s="117">
        <f t="shared" si="438"/>
        <v>0</v>
      </c>
      <c r="AF454" s="117">
        <f t="shared" si="439"/>
        <v>0</v>
      </c>
    </row>
    <row r="455" spans="2:36" hidden="1" outlineLevel="1" x14ac:dyDescent="0.2">
      <c r="B455" s="7"/>
      <c r="C455" s="102" t="s">
        <v>135</v>
      </c>
      <c r="D455" s="102" t="s">
        <v>242</v>
      </c>
      <c r="E455" s="102"/>
      <c r="F455" s="102">
        <v>430</v>
      </c>
      <c r="G455" s="102" t="s">
        <v>460</v>
      </c>
      <c r="H455" s="104" t="s">
        <v>178</v>
      </c>
      <c r="I455" s="103"/>
      <c r="J455" s="342" t="str">
        <f t="shared" si="440"/>
        <v>28062443024100210</v>
      </c>
      <c r="K455" s="109">
        <v>2022</v>
      </c>
      <c r="L455" s="109" t="s">
        <v>348</v>
      </c>
      <c r="M455" s="109" t="s">
        <v>349</v>
      </c>
      <c r="N455" s="109" t="s">
        <v>350</v>
      </c>
      <c r="O455" s="395">
        <v>0</v>
      </c>
      <c r="P455" s="395">
        <v>0</v>
      </c>
      <c r="Q455" s="395">
        <v>1755.59</v>
      </c>
      <c r="R455" s="395">
        <v>201.28</v>
      </c>
      <c r="S455" s="395">
        <v>191.22</v>
      </c>
      <c r="T455" s="715"/>
      <c r="U455" s="715"/>
      <c r="V455" s="715"/>
      <c r="W455" s="715"/>
      <c r="X455" s="715"/>
      <c r="Y455" s="715"/>
      <c r="Z455" s="715"/>
      <c r="AA455" s="715"/>
      <c r="AB455" s="7"/>
      <c r="AC455" s="121">
        <f t="shared" si="437"/>
        <v>2148.0899999999997</v>
      </c>
      <c r="AD455" s="115">
        <f>ROUND(SUMIFS('Employee Detail FY22'!$AC$6:$AC$132,'Employee Detail FY22'!$B$6:$B$132,C455,'Employee Detail FY22'!$C$6:$C$132,D455,'Employee Detail FY22'!$E$6:$E$132,+F455,'Employee Detail FY22'!$F$6:$F$132,G455),0)</f>
        <v>7944</v>
      </c>
      <c r="AE455" s="117">
        <f t="shared" si="438"/>
        <v>5795.91</v>
      </c>
      <c r="AF455" s="117">
        <f t="shared" si="439"/>
        <v>482.99250000000001</v>
      </c>
    </row>
    <row r="456" spans="2:36" hidden="1" outlineLevel="1" x14ac:dyDescent="0.2">
      <c r="B456" s="7"/>
      <c r="C456" s="102" t="s">
        <v>468</v>
      </c>
      <c r="D456" s="102" t="s">
        <v>145</v>
      </c>
      <c r="E456" s="104"/>
      <c r="F456" s="102" t="s">
        <v>468</v>
      </c>
      <c r="G456" s="102" t="s">
        <v>534</v>
      </c>
      <c r="H456" s="104" t="s">
        <v>178</v>
      </c>
      <c r="I456" s="103"/>
      <c r="J456" s="342" t="str">
        <f t="shared" ref="J456" si="441">CONCATENATE(C456,D456,F456,G456,H456,I456)</f>
        <v>10000010022100210</v>
      </c>
      <c r="K456" s="109">
        <v>2022</v>
      </c>
      <c r="L456" s="109" t="s">
        <v>348</v>
      </c>
      <c r="M456" s="109" t="s">
        <v>349</v>
      </c>
      <c r="N456" s="109" t="s">
        <v>350</v>
      </c>
      <c r="O456" s="395">
        <v>986.04</v>
      </c>
      <c r="P456" s="395">
        <v>0</v>
      </c>
      <c r="Q456" s="395">
        <v>2384.34</v>
      </c>
      <c r="R456" s="723">
        <v>0</v>
      </c>
      <c r="S456" s="723">
        <v>0</v>
      </c>
      <c r="T456" s="715"/>
      <c r="U456" s="715"/>
      <c r="V456" s="715"/>
      <c r="W456" s="715"/>
      <c r="X456" s="715"/>
      <c r="Y456" s="715"/>
      <c r="Z456" s="715"/>
      <c r="AA456" s="715"/>
      <c r="AB456" s="7"/>
      <c r="AC456" s="121"/>
      <c r="AD456" s="115">
        <f>SUMIFS('Employee Detail FY22'!$AC$6:$AC$132,'Employee Detail FY22'!$B$6:$B$132,C456,'Employee Detail FY22'!$C$6:$C$132,D456,'Employee Detail FY22'!$E$6:$E$132,+F456,'Employee Detail FY22'!$F$6:$F$132,G456)</f>
        <v>0</v>
      </c>
      <c r="AE456" s="117"/>
      <c r="AF456" s="117"/>
    </row>
    <row r="457" spans="2:36" hidden="1" outlineLevel="1" x14ac:dyDescent="0.2">
      <c r="B457" s="7"/>
      <c r="C457" s="102" t="s">
        <v>473</v>
      </c>
      <c r="D457" s="102" t="s">
        <v>470</v>
      </c>
      <c r="E457" s="104"/>
      <c r="F457" s="102" t="s">
        <v>557</v>
      </c>
      <c r="G457" s="102" t="s">
        <v>461</v>
      </c>
      <c r="H457" s="104" t="s">
        <v>178</v>
      </c>
      <c r="I457" s="103"/>
      <c r="J457" s="342" t="str">
        <f t="shared" ref="J457" si="442">CONCATENATE(C457,D457,F457,G457,H457,I457)</f>
        <v>24028942010000210</v>
      </c>
      <c r="K457" s="109">
        <v>2022</v>
      </c>
      <c r="L457" s="109" t="s">
        <v>348</v>
      </c>
      <c r="M457" s="109" t="s">
        <v>349</v>
      </c>
      <c r="N457" s="109" t="s">
        <v>350</v>
      </c>
      <c r="O457" s="395">
        <v>-359.3</v>
      </c>
      <c r="P457" s="395">
        <v>0</v>
      </c>
      <c r="Q457" s="395">
        <v>359.3</v>
      </c>
      <c r="R457" s="723">
        <v>0</v>
      </c>
      <c r="S457" s="723">
        <v>0</v>
      </c>
      <c r="T457" s="715"/>
      <c r="U457" s="715"/>
      <c r="V457" s="715"/>
      <c r="W457" s="715"/>
      <c r="X457" s="715"/>
      <c r="Y457" s="715"/>
      <c r="Z457" s="715"/>
      <c r="AA457" s="715"/>
      <c r="AB457" s="7"/>
      <c r="AC457" s="121"/>
      <c r="AD457" s="115">
        <f>SUMIFS('Employee Detail FY22'!$AC$6:$AC$132,'Employee Detail FY22'!$B$6:$B$132,C457,'Employee Detail FY22'!$C$6:$C$132,D457,'Employee Detail FY22'!$E$6:$E$132,+F457,'Employee Detail FY22'!$F$6:$F$132,G457)</f>
        <v>0</v>
      </c>
      <c r="AE457" s="117"/>
      <c r="AF457" s="117"/>
    </row>
    <row r="458" spans="2:36" hidden="1" outlineLevel="1" x14ac:dyDescent="0.2">
      <c r="B458" s="7"/>
      <c r="C458" s="102" t="s">
        <v>462</v>
      </c>
      <c r="D458" s="102" t="s">
        <v>132</v>
      </c>
      <c r="E458" s="104"/>
      <c r="F458" s="102" t="s">
        <v>463</v>
      </c>
      <c r="G458" s="102" t="s">
        <v>461</v>
      </c>
      <c r="H458" s="104" t="s">
        <v>178</v>
      </c>
      <c r="I458" s="103"/>
      <c r="J458" s="342" t="str">
        <f t="shared" ref="J458" si="443">CONCATENATE(C458,D458,F458,G458,H458,I458)</f>
        <v>25020520010000210</v>
      </c>
      <c r="K458" s="109">
        <v>2022</v>
      </c>
      <c r="L458" s="109" t="s">
        <v>348</v>
      </c>
      <c r="M458" s="109" t="s">
        <v>349</v>
      </c>
      <c r="N458" s="109" t="s">
        <v>350</v>
      </c>
      <c r="O458" s="395">
        <v>66.989999999999995</v>
      </c>
      <c r="P458" s="395">
        <v>139.52000000000001</v>
      </c>
      <c r="Q458" s="395">
        <v>0</v>
      </c>
      <c r="R458" s="723">
        <v>0</v>
      </c>
      <c r="S458" s="723">
        <v>0</v>
      </c>
      <c r="T458" s="715"/>
      <c r="U458" s="715"/>
      <c r="V458" s="715"/>
      <c r="W458" s="715"/>
      <c r="X458" s="715"/>
      <c r="Y458" s="715"/>
      <c r="Z458" s="715"/>
      <c r="AA458" s="715"/>
      <c r="AB458" s="7"/>
      <c r="AC458" s="121"/>
      <c r="AD458" s="115">
        <f>SUMIFS('Employee Detail FY22'!$AC$6:$AC$132,'Employee Detail FY22'!$B$6:$B$132,C458,'Employee Detail FY22'!$C$6:$C$132,D458,'Employee Detail FY22'!$E$6:$E$132,+F458,'Employee Detail FY22'!$F$6:$F$132,G458)</f>
        <v>0</v>
      </c>
      <c r="AE458" s="117"/>
      <c r="AF458" s="117"/>
    </row>
    <row r="459" spans="2:36" hidden="1" outlineLevel="1" x14ac:dyDescent="0.2">
      <c r="B459" s="7"/>
      <c r="C459" s="102" t="s">
        <v>462</v>
      </c>
      <c r="D459" s="102" t="s">
        <v>132</v>
      </c>
      <c r="E459" s="104"/>
      <c r="F459" s="102" t="s">
        <v>463</v>
      </c>
      <c r="G459" s="102" t="s">
        <v>1225</v>
      </c>
      <c r="H459" s="104" t="s">
        <v>178</v>
      </c>
      <c r="I459" s="103"/>
      <c r="J459" s="342" t="str">
        <f t="shared" ref="J459:J460" si="444">CONCATENATE(C459,D459,F459,G459,H459,I459)</f>
        <v>25020520021000210</v>
      </c>
      <c r="K459" s="109">
        <v>2022</v>
      </c>
      <c r="L459" s="109" t="s">
        <v>348</v>
      </c>
      <c r="M459" s="109" t="s">
        <v>349</v>
      </c>
      <c r="N459" s="109" t="s">
        <v>350</v>
      </c>
      <c r="O459" s="395">
        <v>0</v>
      </c>
      <c r="P459" s="395">
        <v>0</v>
      </c>
      <c r="Q459" s="395">
        <v>0</v>
      </c>
      <c r="R459" s="723">
        <v>107.24</v>
      </c>
      <c r="S459" s="723">
        <v>53.62</v>
      </c>
      <c r="T459" s="715"/>
      <c r="U459" s="715"/>
      <c r="V459" s="715"/>
      <c r="W459" s="715"/>
      <c r="X459" s="715"/>
      <c r="Y459" s="715"/>
      <c r="Z459" s="715"/>
      <c r="AA459" s="715"/>
      <c r="AB459" s="7"/>
      <c r="AC459" s="121"/>
      <c r="AD459" s="115">
        <f>SUMIFS('Employee Detail FY22'!$AC$6:$AC$132,'Employee Detail FY22'!$B$6:$B$132,C459,'Employee Detail FY22'!$C$6:$C$132,D459,'Employee Detail FY22'!$E$6:$E$132,+F459,'Employee Detail FY22'!$F$6:$F$132,G459)</f>
        <v>0</v>
      </c>
      <c r="AE459" s="117"/>
      <c r="AF459" s="117"/>
    </row>
    <row r="460" spans="2:36" hidden="1" outlineLevel="1" x14ac:dyDescent="0.2">
      <c r="B460" s="7"/>
      <c r="C460" s="102" t="s">
        <v>135</v>
      </c>
      <c r="D460" s="102" t="s">
        <v>245</v>
      </c>
      <c r="E460" s="104"/>
      <c r="F460" s="102" t="s">
        <v>532</v>
      </c>
      <c r="G460" s="102" t="s">
        <v>460</v>
      </c>
      <c r="H460" s="104" t="s">
        <v>178</v>
      </c>
      <c r="I460" s="103"/>
      <c r="J460" s="342" t="str">
        <f t="shared" si="444"/>
        <v>28063343024100210</v>
      </c>
      <c r="K460" s="109">
        <v>2022</v>
      </c>
      <c r="L460" s="109" t="s">
        <v>348</v>
      </c>
      <c r="M460" s="109" t="s">
        <v>349</v>
      </c>
      <c r="N460" s="109" t="s">
        <v>350</v>
      </c>
      <c r="O460" s="395">
        <v>0</v>
      </c>
      <c r="P460" s="395">
        <v>0</v>
      </c>
      <c r="Q460" s="395">
        <v>0</v>
      </c>
      <c r="R460" s="723">
        <v>432.43</v>
      </c>
      <c r="S460" s="723">
        <v>383.71</v>
      </c>
      <c r="T460" s="715"/>
      <c r="U460" s="715"/>
      <c r="V460" s="715"/>
      <c r="W460" s="715"/>
      <c r="X460" s="715"/>
      <c r="Y460" s="715"/>
      <c r="Z460" s="715"/>
      <c r="AA460" s="715"/>
      <c r="AB460" s="7"/>
      <c r="AC460" s="121"/>
      <c r="AD460" s="115">
        <f>SUMIFS('Employee Detail FY22'!$AC$6:$AC$132,'Employee Detail FY22'!$B$6:$B$132,C460,'Employee Detail FY22'!$C$6:$C$132,D460,'Employee Detail FY22'!$E$6:$E$132,+F460,'Employee Detail FY22'!$F$6:$F$132,G460)</f>
        <v>0</v>
      </c>
      <c r="AE460" s="117"/>
      <c r="AF460" s="117"/>
    </row>
    <row r="461" spans="2:36" hidden="1" outlineLevel="1" x14ac:dyDescent="0.2">
      <c r="B461" s="7"/>
      <c r="C461" s="102"/>
      <c r="D461" s="102"/>
      <c r="E461" s="104"/>
      <c r="F461" s="102"/>
      <c r="G461" s="102"/>
      <c r="H461" s="104"/>
      <c r="I461" s="103"/>
      <c r="J461" s="342"/>
      <c r="K461" s="109"/>
      <c r="L461" s="109"/>
      <c r="M461" s="109"/>
      <c r="N461" s="109"/>
      <c r="O461" s="395">
        <v>0</v>
      </c>
      <c r="P461" s="395">
        <v>0</v>
      </c>
      <c r="Q461" s="395">
        <v>0</v>
      </c>
      <c r="R461" s="723">
        <v>0</v>
      </c>
      <c r="S461" s="723">
        <v>0</v>
      </c>
      <c r="T461" s="715"/>
      <c r="U461" s="715"/>
      <c r="V461" s="715"/>
      <c r="W461" s="715"/>
      <c r="X461" s="715"/>
      <c r="Y461" s="715"/>
      <c r="Z461" s="715"/>
      <c r="AA461" s="715"/>
      <c r="AB461" s="7"/>
      <c r="AC461" s="121"/>
      <c r="AD461" s="115">
        <f>SUMIFS('Employee Detail FY22'!$AC$6:$AC$132,'Employee Detail FY22'!$B$6:$B$132,C461,'Employee Detail FY22'!$C$6:$C$132,D461,'Employee Detail FY22'!$E$6:$E$132,+F461,'Employee Detail FY22'!$F$6:$F$132,G461)</f>
        <v>0</v>
      </c>
      <c r="AE461" s="117"/>
      <c r="AF461" s="117"/>
    </row>
    <row r="462" spans="2:36" s="2" customFormat="1" ht="13.5" collapsed="1" thickBot="1" x14ac:dyDescent="0.25">
      <c r="B462" s="564"/>
      <c r="C462" s="6"/>
      <c r="D462" s="6"/>
      <c r="E462" s="6"/>
      <c r="F462" s="6"/>
      <c r="G462" s="6"/>
      <c r="H462" s="6"/>
      <c r="I462" s="6"/>
      <c r="J462" s="582"/>
      <c r="K462" s="6"/>
      <c r="L462" s="6"/>
      <c r="M462" s="6"/>
      <c r="N462" s="6"/>
      <c r="O462" s="584">
        <f t="shared" ref="O462:AD462" si="445">SUM(O422:O461)</f>
        <v>36624.589999999989</v>
      </c>
      <c r="P462" s="584">
        <f t="shared" si="445"/>
        <v>23999.150000000005</v>
      </c>
      <c r="Q462" s="584">
        <f t="shared" si="445"/>
        <v>33980.010000000009</v>
      </c>
      <c r="R462" s="584">
        <f t="shared" si="445"/>
        <v>27566.18</v>
      </c>
      <c r="S462" s="584">
        <f t="shared" si="445"/>
        <v>28264.960000000006</v>
      </c>
      <c r="T462" s="584">
        <f t="shared" si="445"/>
        <v>0</v>
      </c>
      <c r="U462" s="584">
        <f t="shared" si="445"/>
        <v>0</v>
      </c>
      <c r="V462" s="584">
        <f t="shared" si="445"/>
        <v>0</v>
      </c>
      <c r="W462" s="584">
        <f t="shared" si="445"/>
        <v>0</v>
      </c>
      <c r="X462" s="584">
        <f t="shared" si="445"/>
        <v>0</v>
      </c>
      <c r="Y462" s="584">
        <f t="shared" si="445"/>
        <v>0</v>
      </c>
      <c r="Z462" s="584">
        <f t="shared" si="445"/>
        <v>0</v>
      </c>
      <c r="AA462" s="584">
        <f t="shared" si="445"/>
        <v>0</v>
      </c>
      <c r="AB462" s="584">
        <f t="shared" si="445"/>
        <v>0</v>
      </c>
      <c r="AC462" s="584">
        <f t="shared" si="445"/>
        <v>145881</v>
      </c>
      <c r="AD462" s="584">
        <f t="shared" si="445"/>
        <v>329665</v>
      </c>
      <c r="AE462" s="584">
        <f>AD462-AC462</f>
        <v>183784</v>
      </c>
      <c r="AF462" s="584">
        <f>AE462/$AF$6</f>
        <v>15315.333333333334</v>
      </c>
      <c r="AG462" s="553"/>
      <c r="AH462" s="553"/>
      <c r="AI462" s="553"/>
      <c r="AJ462" s="553"/>
    </row>
    <row r="463" spans="2:36" ht="13.5" thickTop="1" x14ac:dyDescent="0.2">
      <c r="AC463" s="62"/>
      <c r="AD463" s="62">
        <f>AD162-AD462</f>
        <v>27804</v>
      </c>
      <c r="AE463" s="62"/>
      <c r="AF463" s="62"/>
    </row>
    <row r="464" spans="2:36" x14ac:dyDescent="0.2">
      <c r="B464" s="579" t="s">
        <v>179</v>
      </c>
      <c r="C464" s="579"/>
      <c r="D464" s="579"/>
      <c r="E464" s="579"/>
      <c r="F464" s="579"/>
      <c r="G464" s="579"/>
      <c r="H464" s="579"/>
      <c r="I464" s="579"/>
      <c r="J464" s="580"/>
      <c r="K464" s="579"/>
      <c r="L464" s="579"/>
      <c r="M464" s="579"/>
      <c r="N464" s="579"/>
      <c r="O464" s="579"/>
      <c r="P464" s="579"/>
      <c r="Q464" s="579"/>
      <c r="R464" s="579"/>
      <c r="S464" s="579"/>
      <c r="T464" s="579"/>
      <c r="U464" s="579"/>
      <c r="V464" s="579"/>
      <c r="W464" s="579"/>
      <c r="X464" s="579"/>
      <c r="Y464" s="579"/>
      <c r="Z464" s="579"/>
      <c r="AA464" s="579"/>
      <c r="AB464" s="579"/>
      <c r="AC464" s="583"/>
      <c r="AD464" s="583"/>
      <c r="AE464" s="583"/>
      <c r="AF464" s="583"/>
    </row>
    <row r="465" spans="2:32" hidden="1" outlineLevel="1" x14ac:dyDescent="0.2">
      <c r="B465" s="7"/>
      <c r="C465" s="102" t="s">
        <v>468</v>
      </c>
      <c r="D465" s="102" t="s">
        <v>145</v>
      </c>
      <c r="E465" s="102"/>
      <c r="F465" s="102" t="s">
        <v>468</v>
      </c>
      <c r="G465" s="102">
        <v>1000</v>
      </c>
      <c r="H465" s="104" t="s">
        <v>180</v>
      </c>
      <c r="I465" s="104"/>
      <c r="J465" s="342" t="str">
        <f t="shared" ref="J465" si="446">CONCATENATE(C465,D465,F465,G465,H465,I465)</f>
        <v>10000010010000220</v>
      </c>
      <c r="K465" s="109">
        <v>2022</v>
      </c>
      <c r="L465" s="109" t="s">
        <v>348</v>
      </c>
      <c r="M465" s="109" t="s">
        <v>349</v>
      </c>
      <c r="N465" s="109" t="s">
        <v>350</v>
      </c>
      <c r="O465" s="715">
        <v>0</v>
      </c>
      <c r="P465" s="715">
        <v>0</v>
      </c>
      <c r="Q465" s="715">
        <v>0</v>
      </c>
      <c r="R465" s="715">
        <v>0</v>
      </c>
      <c r="S465" s="715">
        <v>0</v>
      </c>
      <c r="T465" s="7"/>
      <c r="U465" s="7"/>
      <c r="V465" s="7"/>
      <c r="W465" s="7"/>
      <c r="X465" s="7"/>
      <c r="Y465" s="7"/>
      <c r="Z465" s="7"/>
      <c r="AA465" s="7"/>
      <c r="AB465" s="7"/>
      <c r="AC465" s="121">
        <f t="shared" ref="AC465:AC476" si="447">SUM(O465:AA465)</f>
        <v>0</v>
      </c>
      <c r="AD465" s="115">
        <f>ROUND(SUMIFS('Employee Detail FY22'!$AD$6:$AD$132,'Employee Detail FY22'!$B$6:$B$132,C465,'Employee Detail FY22'!$C$6:$C$132,D465,'Employee Detail FY22'!$E$6:$E$132,F465,'Employee Detail FY22'!$F$6:$F$132,G465),0)</f>
        <v>0</v>
      </c>
      <c r="AE465" s="117">
        <f t="shared" ref="AE465:AE476" si="448">AD465-AC465</f>
        <v>0</v>
      </c>
      <c r="AF465" s="117">
        <f t="shared" ref="AF465:AF476" si="449">AE465/$AF$6</f>
        <v>0</v>
      </c>
    </row>
    <row r="466" spans="2:32" hidden="1" outlineLevel="1" x14ac:dyDescent="0.2">
      <c r="B466" s="7"/>
      <c r="C466" s="102" t="s">
        <v>135</v>
      </c>
      <c r="D466" s="102" t="s">
        <v>923</v>
      </c>
      <c r="E466" s="102"/>
      <c r="F466" s="102">
        <v>100</v>
      </c>
      <c r="G466" s="102">
        <v>1000</v>
      </c>
      <c r="H466" s="104" t="s">
        <v>180</v>
      </c>
      <c r="I466" s="104"/>
      <c r="J466" s="342" t="str">
        <f t="shared" ref="J466:J498" si="450">CONCATENATE(C466,D466,F466,G466,H466,I466)</f>
        <v>28066110010000220</v>
      </c>
      <c r="K466" s="109">
        <v>2022</v>
      </c>
      <c r="L466" s="109" t="s">
        <v>348</v>
      </c>
      <c r="M466" s="109" t="s">
        <v>349</v>
      </c>
      <c r="N466" s="109" t="s">
        <v>350</v>
      </c>
      <c r="O466" s="715">
        <v>0</v>
      </c>
      <c r="P466" s="715">
        <v>0</v>
      </c>
      <c r="Q466" s="715">
        <v>0</v>
      </c>
      <c r="R466" s="715">
        <v>0</v>
      </c>
      <c r="S466" s="715">
        <v>0</v>
      </c>
      <c r="T466" s="7"/>
      <c r="U466" s="7"/>
      <c r="V466" s="7"/>
      <c r="W466" s="7"/>
      <c r="X466" s="7"/>
      <c r="Y466" s="7"/>
      <c r="Z466" s="7"/>
      <c r="AA466" s="7"/>
      <c r="AB466" s="7"/>
      <c r="AC466" s="121">
        <f t="shared" si="447"/>
        <v>0</v>
      </c>
      <c r="AD466" s="115">
        <f>ROUND(SUMIFS('Employee Detail FY22'!$AD$6:$AD$132,'Employee Detail FY22'!$B$6:$B$132,C466,'Employee Detail FY22'!$C$6:$C$132,D466,'Employee Detail FY22'!$E$6:$E$132,F466,'Employee Detail FY22'!$F$6:$F$132,G466),0)</f>
        <v>0</v>
      </c>
      <c r="AE466" s="117">
        <f t="shared" si="448"/>
        <v>0</v>
      </c>
      <c r="AF466" s="117">
        <f t="shared" si="449"/>
        <v>0</v>
      </c>
    </row>
    <row r="467" spans="2:32" hidden="1" outlineLevel="1" x14ac:dyDescent="0.2">
      <c r="B467" s="7"/>
      <c r="C467" s="102" t="s">
        <v>135</v>
      </c>
      <c r="D467" s="104" t="s">
        <v>249</v>
      </c>
      <c r="E467" s="104"/>
      <c r="F467" s="102" t="s">
        <v>468</v>
      </c>
      <c r="G467" s="102" t="s">
        <v>461</v>
      </c>
      <c r="H467" s="104" t="s">
        <v>180</v>
      </c>
      <c r="I467" s="103"/>
      <c r="J467" s="342" t="str">
        <f t="shared" si="450"/>
        <v>28070910010000220</v>
      </c>
      <c r="K467" s="109">
        <v>2022</v>
      </c>
      <c r="L467" s="109" t="s">
        <v>348</v>
      </c>
      <c r="M467" s="109" t="s">
        <v>349</v>
      </c>
      <c r="N467" s="109" t="s">
        <v>350</v>
      </c>
      <c r="O467" s="715">
        <v>0</v>
      </c>
      <c r="P467" s="715">
        <v>0</v>
      </c>
      <c r="Q467" s="715">
        <v>0</v>
      </c>
      <c r="R467" s="715">
        <v>0</v>
      </c>
      <c r="S467" s="715">
        <v>0</v>
      </c>
      <c r="T467" s="7"/>
      <c r="U467" s="7"/>
      <c r="V467" s="7"/>
      <c r="W467" s="7"/>
      <c r="X467" s="7"/>
      <c r="Y467" s="7"/>
      <c r="Z467" s="7"/>
      <c r="AA467" s="7"/>
      <c r="AB467" s="7"/>
      <c r="AC467" s="121">
        <f t="shared" si="447"/>
        <v>0</v>
      </c>
      <c r="AD467" s="115">
        <f>ROUND(SUMIFS('Employee Detail FY22'!$AD$6:$AD$132,'Employee Detail FY22'!$B$6:$B$132,C467,'Employee Detail FY22'!$C$6:$C$132,D467,'Employee Detail FY22'!$E$6:$E$132,F467,'Employee Detail FY22'!$F$6:$F$132,G467),0)</f>
        <v>0</v>
      </c>
      <c r="AE467" s="117">
        <f t="shared" si="448"/>
        <v>0</v>
      </c>
      <c r="AF467" s="117">
        <f t="shared" si="449"/>
        <v>0</v>
      </c>
    </row>
    <row r="468" spans="2:32" hidden="1" outlineLevel="1" x14ac:dyDescent="0.2">
      <c r="B468" s="7"/>
      <c r="C468" s="102" t="s">
        <v>468</v>
      </c>
      <c r="D468" s="104" t="s">
        <v>145</v>
      </c>
      <c r="E468" s="104"/>
      <c r="F468" s="102" t="s">
        <v>689</v>
      </c>
      <c r="G468" s="102" t="s">
        <v>461</v>
      </c>
      <c r="H468" s="104" t="s">
        <v>180</v>
      </c>
      <c r="I468" s="103"/>
      <c r="J468" s="342" t="str">
        <f t="shared" si="450"/>
        <v>10000014010000220</v>
      </c>
      <c r="K468" s="109">
        <v>2022</v>
      </c>
      <c r="L468" s="109" t="s">
        <v>348</v>
      </c>
      <c r="M468" s="109" t="s">
        <v>349</v>
      </c>
      <c r="N468" s="109" t="s">
        <v>350</v>
      </c>
      <c r="O468" s="715">
        <v>0</v>
      </c>
      <c r="P468" s="715">
        <v>0</v>
      </c>
      <c r="Q468" s="715">
        <v>0</v>
      </c>
      <c r="R468" s="715">
        <v>0</v>
      </c>
      <c r="S468" s="715">
        <v>0</v>
      </c>
      <c r="T468" s="7"/>
      <c r="U468" s="7"/>
      <c r="V468" s="7"/>
      <c r="W468" s="7"/>
      <c r="X468" s="7"/>
      <c r="Y468" s="7"/>
      <c r="Z468" s="7"/>
      <c r="AA468" s="7"/>
      <c r="AB468" s="7"/>
      <c r="AC468" s="121">
        <f t="shared" si="447"/>
        <v>0</v>
      </c>
      <c r="AD468" s="115">
        <f>ROUND(SUMIFS('Employee Detail FY22'!$AD$6:$AD$132,'Employee Detail FY22'!$B$6:$B$132,C468,'Employee Detail FY22'!$C$6:$C$132,D468,'Employee Detail FY22'!$E$6:$E$132,F468,'Employee Detail FY22'!$F$6:$F$132,G468),0)</f>
        <v>0</v>
      </c>
      <c r="AE468" s="117">
        <f t="shared" si="448"/>
        <v>0</v>
      </c>
      <c r="AF468" s="117">
        <f t="shared" si="449"/>
        <v>0</v>
      </c>
    </row>
    <row r="469" spans="2:32" hidden="1" outlineLevel="1" x14ac:dyDescent="0.2">
      <c r="B469" s="7"/>
      <c r="C469" s="102" t="s">
        <v>468</v>
      </c>
      <c r="D469" s="104" t="s">
        <v>145</v>
      </c>
      <c r="E469" s="104"/>
      <c r="F469" s="102" t="s">
        <v>468</v>
      </c>
      <c r="G469" s="102" t="s">
        <v>465</v>
      </c>
      <c r="H469" s="104" t="s">
        <v>180</v>
      </c>
      <c r="I469" s="103"/>
      <c r="J469" s="342" t="str">
        <f t="shared" si="450"/>
        <v>10000010021100220</v>
      </c>
      <c r="K469" s="109">
        <v>2022</v>
      </c>
      <c r="L469" s="109" t="s">
        <v>348</v>
      </c>
      <c r="M469" s="109" t="s">
        <v>349</v>
      </c>
      <c r="N469" s="109" t="s">
        <v>350</v>
      </c>
      <c r="O469" s="715">
        <v>0</v>
      </c>
      <c r="P469" s="715">
        <v>0</v>
      </c>
      <c r="Q469" s="715">
        <v>0</v>
      </c>
      <c r="R469" s="715">
        <v>0</v>
      </c>
      <c r="S469" s="715">
        <v>0</v>
      </c>
      <c r="T469" s="7"/>
      <c r="U469" s="7"/>
      <c r="V469" s="7"/>
      <c r="W469" s="7"/>
      <c r="X469" s="7"/>
      <c r="Y469" s="7"/>
      <c r="Z469" s="7"/>
      <c r="AA469" s="7"/>
      <c r="AB469" s="7"/>
      <c r="AC469" s="121">
        <f t="shared" si="447"/>
        <v>0</v>
      </c>
      <c r="AD469" s="115">
        <f>ROUND(SUMIFS('Employee Detail FY22'!$AD$6:$AD$132,'Employee Detail FY22'!$B$6:$B$132,C469,'Employee Detail FY22'!$C$6:$C$132,D469,'Employee Detail FY22'!$E$6:$E$132,F469,'Employee Detail FY22'!$F$6:$F$132,G469),0)</f>
        <v>0</v>
      </c>
      <c r="AE469" s="117">
        <f t="shared" si="448"/>
        <v>0</v>
      </c>
      <c r="AF469" s="117">
        <f t="shared" si="449"/>
        <v>0</v>
      </c>
    </row>
    <row r="470" spans="2:32" hidden="1" outlineLevel="1" x14ac:dyDescent="0.2">
      <c r="B470" s="7"/>
      <c r="C470" s="102" t="s">
        <v>135</v>
      </c>
      <c r="D470" s="102" t="s">
        <v>923</v>
      </c>
      <c r="E470" s="102"/>
      <c r="F470" s="102" t="s">
        <v>468</v>
      </c>
      <c r="G470" s="102" t="s">
        <v>465</v>
      </c>
      <c r="H470" s="104" t="s">
        <v>180</v>
      </c>
      <c r="I470" s="104"/>
      <c r="J470" s="342" t="str">
        <f t="shared" si="450"/>
        <v>28066110021100220</v>
      </c>
      <c r="K470" s="109">
        <v>2022</v>
      </c>
      <c r="L470" s="109" t="s">
        <v>348</v>
      </c>
      <c r="M470" s="109" t="s">
        <v>349</v>
      </c>
      <c r="N470" s="109" t="s">
        <v>350</v>
      </c>
      <c r="O470" s="715">
        <v>0</v>
      </c>
      <c r="P470" s="715">
        <v>0</v>
      </c>
      <c r="Q470" s="715">
        <v>0</v>
      </c>
      <c r="R470" s="715">
        <v>0</v>
      </c>
      <c r="S470" s="715">
        <v>0</v>
      </c>
      <c r="T470" s="7"/>
      <c r="U470" s="7"/>
      <c r="V470" s="7"/>
      <c r="W470" s="7"/>
      <c r="X470" s="7"/>
      <c r="Y470" s="7"/>
      <c r="Z470" s="7"/>
      <c r="AA470" s="7"/>
      <c r="AB470" s="7"/>
      <c r="AC470" s="121">
        <f t="shared" si="447"/>
        <v>0</v>
      </c>
      <c r="AD470" s="115">
        <f>ROUND(SUMIFS('Employee Detail FY22'!$AD$6:$AD$132,'Employee Detail FY22'!$B$6:$B$132,C470,'Employee Detail FY22'!$C$6:$C$132,D470,'Employee Detail FY22'!$E$6:$E$132,F470,'Employee Detail FY22'!$F$6:$F$132,G470),0)</f>
        <v>0</v>
      </c>
      <c r="AE470" s="117">
        <f t="shared" si="448"/>
        <v>0</v>
      </c>
      <c r="AF470" s="117">
        <f t="shared" si="449"/>
        <v>0</v>
      </c>
    </row>
    <row r="471" spans="2:32" hidden="1" outlineLevel="1" x14ac:dyDescent="0.2">
      <c r="B471" s="7"/>
      <c r="C471" s="102" t="s">
        <v>135</v>
      </c>
      <c r="D471" s="104" t="s">
        <v>1030</v>
      </c>
      <c r="E471" s="104"/>
      <c r="F471" s="102" t="s">
        <v>468</v>
      </c>
      <c r="G471" s="102" t="s">
        <v>465</v>
      </c>
      <c r="H471" s="104" t="s">
        <v>180</v>
      </c>
      <c r="I471" s="103"/>
      <c r="J471" s="342" t="str">
        <f t="shared" si="450"/>
        <v>28074110021100220</v>
      </c>
      <c r="K471" s="109">
        <v>2022</v>
      </c>
      <c r="L471" s="109" t="s">
        <v>348</v>
      </c>
      <c r="M471" s="109" t="s">
        <v>349</v>
      </c>
      <c r="N471" s="109" t="s">
        <v>350</v>
      </c>
      <c r="O471" s="715">
        <v>0</v>
      </c>
      <c r="P471" s="715">
        <v>0</v>
      </c>
      <c r="Q471" s="715">
        <v>0</v>
      </c>
      <c r="R471" s="715">
        <v>0</v>
      </c>
      <c r="S471" s="715">
        <v>0</v>
      </c>
      <c r="T471" s="7"/>
      <c r="U471" s="7"/>
      <c r="V471" s="7"/>
      <c r="W471" s="7"/>
      <c r="X471" s="7"/>
      <c r="Y471" s="7"/>
      <c r="Z471" s="7"/>
      <c r="AA471" s="7"/>
      <c r="AB471" s="7"/>
      <c r="AC471" s="121">
        <f t="shared" si="447"/>
        <v>0</v>
      </c>
      <c r="AD471" s="115">
        <f>ROUND(SUMIFS('Employee Detail FY22'!$AD$6:$AD$132,'Employee Detail FY22'!$B$6:$B$132,C471,'Employee Detail FY22'!$C$6:$C$132,D471,'Employee Detail FY22'!$E$6:$E$132,F471,'Employee Detail FY22'!$F$6:$F$132,G471),0)</f>
        <v>0</v>
      </c>
      <c r="AE471" s="117">
        <f t="shared" si="448"/>
        <v>0</v>
      </c>
      <c r="AF471" s="117">
        <f t="shared" si="449"/>
        <v>0</v>
      </c>
    </row>
    <row r="472" spans="2:32" hidden="1" outlineLevel="1" x14ac:dyDescent="0.2">
      <c r="B472" s="7"/>
      <c r="C472" s="102" t="s">
        <v>468</v>
      </c>
      <c r="D472" s="104" t="s">
        <v>145</v>
      </c>
      <c r="E472" s="104"/>
      <c r="F472" s="102" t="s">
        <v>468</v>
      </c>
      <c r="G472" s="102" t="s">
        <v>556</v>
      </c>
      <c r="H472" s="104" t="s">
        <v>180</v>
      </c>
      <c r="I472" s="103"/>
      <c r="J472" s="342" t="str">
        <f t="shared" si="450"/>
        <v>10000010021200220</v>
      </c>
      <c r="K472" s="109">
        <v>2022</v>
      </c>
      <c r="L472" s="109" t="s">
        <v>348</v>
      </c>
      <c r="M472" s="109" t="s">
        <v>349</v>
      </c>
      <c r="N472" s="109" t="s">
        <v>350</v>
      </c>
      <c r="O472" s="715">
        <v>0</v>
      </c>
      <c r="P472" s="715">
        <v>0</v>
      </c>
      <c r="Q472" s="715">
        <v>0</v>
      </c>
      <c r="R472" s="715">
        <v>0</v>
      </c>
      <c r="S472" s="715">
        <v>0</v>
      </c>
      <c r="T472" s="7"/>
      <c r="U472" s="7"/>
      <c r="V472" s="7"/>
      <c r="W472" s="7"/>
      <c r="X472" s="7"/>
      <c r="Y472" s="7"/>
      <c r="Z472" s="7"/>
      <c r="AA472" s="7"/>
      <c r="AB472" s="7"/>
      <c r="AC472" s="121">
        <f t="shared" si="447"/>
        <v>0</v>
      </c>
      <c r="AD472" s="115">
        <f>ROUND(SUMIFS('Employee Detail FY22'!$AD$6:$AD$132,'Employee Detail FY22'!$B$6:$B$132,C472,'Employee Detail FY22'!$C$6:$C$132,D472,'Employee Detail FY22'!$E$6:$E$132,F472,'Employee Detail FY22'!$F$6:$F$132,G472),0)</f>
        <v>0</v>
      </c>
      <c r="AE472" s="117">
        <f t="shared" si="448"/>
        <v>0</v>
      </c>
      <c r="AF472" s="117">
        <f t="shared" si="449"/>
        <v>0</v>
      </c>
    </row>
    <row r="473" spans="2:32" hidden="1" outlineLevel="1" x14ac:dyDescent="0.2">
      <c r="B473" s="7"/>
      <c r="C473" s="102" t="s">
        <v>468</v>
      </c>
      <c r="D473" s="104" t="s">
        <v>145</v>
      </c>
      <c r="E473" s="104"/>
      <c r="F473" s="102" t="s">
        <v>468</v>
      </c>
      <c r="G473" s="102" t="s">
        <v>558</v>
      </c>
      <c r="H473" s="104" t="s">
        <v>180</v>
      </c>
      <c r="I473" s="103"/>
      <c r="J473" s="342" t="str">
        <f t="shared" si="450"/>
        <v>10000010022120220</v>
      </c>
      <c r="K473" s="109">
        <v>2022</v>
      </c>
      <c r="L473" s="109" t="s">
        <v>348</v>
      </c>
      <c r="M473" s="109" t="s">
        <v>349</v>
      </c>
      <c r="N473" s="109" t="s">
        <v>350</v>
      </c>
      <c r="O473" s="715">
        <v>0</v>
      </c>
      <c r="P473" s="715">
        <v>0</v>
      </c>
      <c r="Q473" s="715">
        <v>0</v>
      </c>
      <c r="R473" s="715">
        <v>0</v>
      </c>
      <c r="S473" s="715">
        <v>0</v>
      </c>
      <c r="T473" s="7"/>
      <c r="U473" s="7"/>
      <c r="V473" s="7"/>
      <c r="W473" s="7"/>
      <c r="X473" s="7"/>
      <c r="Y473" s="7"/>
      <c r="Z473" s="7"/>
      <c r="AA473" s="7"/>
      <c r="AB473" s="7"/>
      <c r="AC473" s="121">
        <f t="shared" si="447"/>
        <v>0</v>
      </c>
      <c r="AD473" s="115">
        <f>ROUND(SUMIFS('Employee Detail FY22'!$AD$6:$AD$132,'Employee Detail FY22'!$B$6:$B$132,C473,'Employee Detail FY22'!$C$6:$C$132,D473,'Employee Detail FY22'!$E$6:$E$132,F473,'Employee Detail FY22'!$F$6:$F$132,G473),0)</f>
        <v>0</v>
      </c>
      <c r="AE473" s="117">
        <f t="shared" si="448"/>
        <v>0</v>
      </c>
      <c r="AF473" s="117">
        <f t="shared" si="449"/>
        <v>0</v>
      </c>
    </row>
    <row r="474" spans="2:32" hidden="1" outlineLevel="1" x14ac:dyDescent="0.2">
      <c r="B474" s="7"/>
      <c r="C474" s="102" t="s">
        <v>468</v>
      </c>
      <c r="D474" s="104" t="s">
        <v>145</v>
      </c>
      <c r="E474" s="104"/>
      <c r="F474" s="102" t="s">
        <v>468</v>
      </c>
      <c r="G474" s="102" t="s">
        <v>464</v>
      </c>
      <c r="H474" s="104" t="s">
        <v>180</v>
      </c>
      <c r="I474" s="103"/>
      <c r="J474" s="342" t="str">
        <f t="shared" si="450"/>
        <v>10000010023200220</v>
      </c>
      <c r="K474" s="109">
        <v>2022</v>
      </c>
      <c r="L474" s="109" t="s">
        <v>348</v>
      </c>
      <c r="M474" s="109" t="s">
        <v>349</v>
      </c>
      <c r="N474" s="109" t="s">
        <v>350</v>
      </c>
      <c r="O474" s="715">
        <v>0</v>
      </c>
      <c r="P474" s="715">
        <v>0</v>
      </c>
      <c r="Q474" s="715">
        <v>0</v>
      </c>
      <c r="R474" s="715">
        <v>0</v>
      </c>
      <c r="S474" s="715">
        <v>0</v>
      </c>
      <c r="T474" s="7"/>
      <c r="U474" s="7"/>
      <c r="V474" s="7"/>
      <c r="W474" s="7"/>
      <c r="X474" s="7"/>
      <c r="Y474" s="7"/>
      <c r="Z474" s="7"/>
      <c r="AA474" s="7"/>
      <c r="AB474" s="7"/>
      <c r="AC474" s="121">
        <f t="shared" si="447"/>
        <v>0</v>
      </c>
      <c r="AD474" s="115">
        <f>ROUND(SUMIFS('Employee Detail FY22'!$AD$6:$AD$132,'Employee Detail FY22'!$B$6:$B$132,C474,'Employee Detail FY22'!$C$6:$C$132,D474,'Employee Detail FY22'!$E$6:$E$132,F474,'Employee Detail FY22'!$F$6:$F$132,G474),0)</f>
        <v>0</v>
      </c>
      <c r="AE474" s="117">
        <f t="shared" si="448"/>
        <v>0</v>
      </c>
      <c r="AF474" s="117">
        <f t="shared" si="449"/>
        <v>0</v>
      </c>
    </row>
    <row r="475" spans="2:32" hidden="1" outlineLevel="1" x14ac:dyDescent="0.2">
      <c r="B475" s="7"/>
      <c r="C475" s="102" t="s">
        <v>468</v>
      </c>
      <c r="D475" s="104" t="s">
        <v>145</v>
      </c>
      <c r="E475" s="104"/>
      <c r="F475" s="102" t="s">
        <v>468</v>
      </c>
      <c r="G475" s="102" t="s">
        <v>460</v>
      </c>
      <c r="H475" s="104" t="s">
        <v>180</v>
      </c>
      <c r="I475" s="103"/>
      <c r="J475" s="342" t="str">
        <f t="shared" si="450"/>
        <v>10000010024100220</v>
      </c>
      <c r="K475" s="109">
        <v>2022</v>
      </c>
      <c r="L475" s="109" t="s">
        <v>348</v>
      </c>
      <c r="M475" s="109" t="s">
        <v>349</v>
      </c>
      <c r="N475" s="109" t="s">
        <v>350</v>
      </c>
      <c r="O475" s="715">
        <v>0</v>
      </c>
      <c r="P475" s="715">
        <v>0</v>
      </c>
      <c r="Q475" s="715">
        <v>0</v>
      </c>
      <c r="R475" s="715">
        <v>0</v>
      </c>
      <c r="S475" s="715">
        <v>0</v>
      </c>
      <c r="T475" s="7"/>
      <c r="U475" s="7"/>
      <c r="V475" s="7"/>
      <c r="W475" s="7"/>
      <c r="X475" s="7"/>
      <c r="Y475" s="7"/>
      <c r="Z475" s="7"/>
      <c r="AA475" s="7"/>
      <c r="AB475" s="7"/>
      <c r="AC475" s="121">
        <f t="shared" si="447"/>
        <v>0</v>
      </c>
      <c r="AD475" s="115">
        <f>ROUND(SUMIFS('Employee Detail FY22'!$AD$6:$AD$132,'Employee Detail FY22'!$B$6:$B$132,C475,'Employee Detail FY22'!$C$6:$C$132,D475,'Employee Detail FY22'!$E$6:$E$132,F475,'Employee Detail FY22'!$F$6:$F$132,G475),0)</f>
        <v>0</v>
      </c>
      <c r="AE475" s="117">
        <f t="shared" si="448"/>
        <v>0</v>
      </c>
      <c r="AF475" s="117">
        <f t="shared" si="449"/>
        <v>0</v>
      </c>
    </row>
    <row r="476" spans="2:32" hidden="1" outlineLevel="1" x14ac:dyDescent="0.2">
      <c r="B476" s="7"/>
      <c r="C476" s="102" t="s">
        <v>135</v>
      </c>
      <c r="D476" s="104" t="s">
        <v>923</v>
      </c>
      <c r="E476" s="104"/>
      <c r="F476" s="102">
        <v>100</v>
      </c>
      <c r="G476" s="102" t="s">
        <v>460</v>
      </c>
      <c r="H476" s="104" t="s">
        <v>180</v>
      </c>
      <c r="I476" s="103"/>
      <c r="J476" s="342" t="str">
        <f t="shared" si="450"/>
        <v>28066110024100220</v>
      </c>
      <c r="K476" s="109">
        <v>2022</v>
      </c>
      <c r="L476" s="109" t="s">
        <v>348</v>
      </c>
      <c r="M476" s="109" t="s">
        <v>349</v>
      </c>
      <c r="N476" s="109" t="s">
        <v>350</v>
      </c>
      <c r="O476" s="715">
        <v>0</v>
      </c>
      <c r="P476" s="715">
        <v>0</v>
      </c>
      <c r="Q476" s="715">
        <v>0</v>
      </c>
      <c r="R476" s="715">
        <v>0</v>
      </c>
      <c r="S476" s="715">
        <v>0</v>
      </c>
      <c r="T476" s="7"/>
      <c r="U476" s="7"/>
      <c r="V476" s="7"/>
      <c r="W476" s="7"/>
      <c r="X476" s="7"/>
      <c r="Y476" s="7"/>
      <c r="Z476" s="7"/>
      <c r="AA476" s="7"/>
      <c r="AB476" s="7"/>
      <c r="AC476" s="121">
        <f t="shared" si="447"/>
        <v>0</v>
      </c>
      <c r="AD476" s="115">
        <f>ROUND(SUMIFS('Employee Detail FY22'!$AD$6:$AD$132,'Employee Detail FY22'!$B$6:$B$132,C476,'Employee Detail FY22'!$C$6:$C$132,D476,'Employee Detail FY22'!$E$6:$E$132,F476,'Employee Detail FY22'!$F$6:$F$132,G476),0)</f>
        <v>0</v>
      </c>
      <c r="AE476" s="117">
        <f t="shared" si="448"/>
        <v>0</v>
      </c>
      <c r="AF476" s="117">
        <f t="shared" si="449"/>
        <v>0</v>
      </c>
    </row>
    <row r="477" spans="2:32" hidden="1" outlineLevel="1" x14ac:dyDescent="0.2">
      <c r="B477" s="7"/>
      <c r="C477" s="102" t="s">
        <v>468</v>
      </c>
      <c r="D477" s="104" t="s">
        <v>145</v>
      </c>
      <c r="E477" s="104"/>
      <c r="F477" s="102" t="s">
        <v>468</v>
      </c>
      <c r="G477" s="102" t="s">
        <v>458</v>
      </c>
      <c r="H477" s="104" t="s">
        <v>180</v>
      </c>
      <c r="I477" s="103"/>
      <c r="J477" s="342" t="str">
        <f t="shared" si="450"/>
        <v>10000010025100220</v>
      </c>
      <c r="K477" s="109">
        <v>2022</v>
      </c>
      <c r="L477" s="109" t="s">
        <v>348</v>
      </c>
      <c r="M477" s="109" t="s">
        <v>349</v>
      </c>
      <c r="N477" s="109" t="s">
        <v>350</v>
      </c>
      <c r="O477" s="715">
        <v>0</v>
      </c>
      <c r="P477" s="715">
        <v>0</v>
      </c>
      <c r="Q477" s="715">
        <v>0</v>
      </c>
      <c r="R477" s="715">
        <v>0</v>
      </c>
      <c r="S477" s="715">
        <v>0</v>
      </c>
      <c r="T477" s="7"/>
      <c r="U477" s="7"/>
      <c r="V477" s="7"/>
      <c r="W477" s="7"/>
      <c r="X477" s="7"/>
      <c r="Y477" s="7"/>
      <c r="Z477" s="7"/>
      <c r="AA477" s="7"/>
      <c r="AB477" s="7"/>
      <c r="AC477" s="121"/>
      <c r="AD477" s="115">
        <f>ROUND(SUMIFS('Employee Detail FY22'!$AD$6:$AD$132,'Employee Detail FY22'!$B$6:$B$132,C477,'Employee Detail FY22'!$C$6:$C$132,D477,'Employee Detail FY22'!$E$6:$E$132,F477,'Employee Detail FY22'!$F$6:$F$132,G477),0)</f>
        <v>0</v>
      </c>
      <c r="AE477" s="117"/>
      <c r="AF477" s="117"/>
    </row>
    <row r="478" spans="2:32" hidden="1" outlineLevel="1" x14ac:dyDescent="0.2">
      <c r="B478" s="7"/>
      <c r="C478" s="102" t="s">
        <v>468</v>
      </c>
      <c r="D478" s="104" t="s">
        <v>145</v>
      </c>
      <c r="E478" s="104"/>
      <c r="F478" s="102" t="s">
        <v>468</v>
      </c>
      <c r="G478" s="102" t="s">
        <v>479</v>
      </c>
      <c r="H478" s="104" t="s">
        <v>180</v>
      </c>
      <c r="I478" s="104"/>
      <c r="J478" s="342" t="str">
        <f t="shared" si="450"/>
        <v>10000010025800220</v>
      </c>
      <c r="K478" s="109">
        <v>2022</v>
      </c>
      <c r="L478" s="109" t="s">
        <v>348</v>
      </c>
      <c r="M478" s="109" t="s">
        <v>349</v>
      </c>
      <c r="N478" s="109" t="s">
        <v>350</v>
      </c>
      <c r="O478" s="715">
        <v>0</v>
      </c>
      <c r="P478" s="715">
        <v>0</v>
      </c>
      <c r="Q478" s="715">
        <v>0</v>
      </c>
      <c r="R478" s="715">
        <v>0</v>
      </c>
      <c r="S478" s="715">
        <v>0</v>
      </c>
      <c r="T478" s="7"/>
      <c r="U478" s="7"/>
      <c r="V478" s="7"/>
      <c r="W478" s="7"/>
      <c r="X478" s="7"/>
      <c r="Y478" s="7"/>
      <c r="Z478" s="7"/>
      <c r="AA478" s="7"/>
      <c r="AB478" s="7"/>
      <c r="AC478" s="121">
        <f>SUM(O478:AA478)</f>
        <v>0</v>
      </c>
      <c r="AD478" s="115">
        <f>ROUND(SUMIFS('Employee Detail FY22'!$AD$6:$AD$132,'Employee Detail FY22'!$B$6:$B$132,C478,'Employee Detail FY22'!$C$6:$C$132,D478,'Employee Detail FY22'!$E$6:$E$132,F478,'Employee Detail FY22'!$F$6:$F$132,G478),0)</f>
        <v>0</v>
      </c>
      <c r="AE478" s="117">
        <f>AD478-AC478</f>
        <v>0</v>
      </c>
      <c r="AF478" s="117">
        <f>AE478/$AF$6</f>
        <v>0</v>
      </c>
    </row>
    <row r="479" spans="2:32" hidden="1" outlineLevel="1" x14ac:dyDescent="0.2">
      <c r="B479" s="7"/>
      <c r="C479" s="102" t="s">
        <v>468</v>
      </c>
      <c r="D479" s="104" t="s">
        <v>145</v>
      </c>
      <c r="E479" s="104"/>
      <c r="F479" s="102" t="s">
        <v>468</v>
      </c>
      <c r="G479" s="102" t="s">
        <v>459</v>
      </c>
      <c r="H479" s="104" t="s">
        <v>180</v>
      </c>
      <c r="I479" s="104"/>
      <c r="J479" s="342" t="str">
        <f t="shared" si="450"/>
        <v>10000010025820220</v>
      </c>
      <c r="K479" s="109">
        <v>2022</v>
      </c>
      <c r="L479" s="109" t="s">
        <v>348</v>
      </c>
      <c r="M479" s="109" t="s">
        <v>349</v>
      </c>
      <c r="N479" s="109" t="s">
        <v>350</v>
      </c>
      <c r="O479" s="715">
        <v>0</v>
      </c>
      <c r="P479" s="715">
        <v>0</v>
      </c>
      <c r="Q479" s="715">
        <v>0</v>
      </c>
      <c r="R479" s="715">
        <v>0</v>
      </c>
      <c r="S479" s="715">
        <v>0</v>
      </c>
      <c r="T479" s="7"/>
      <c r="U479" s="7"/>
      <c r="V479" s="7"/>
      <c r="W479" s="7"/>
      <c r="X479" s="7"/>
      <c r="Y479" s="7"/>
      <c r="Z479" s="7"/>
      <c r="AA479" s="7"/>
      <c r="AB479" s="7"/>
      <c r="AC479" s="121"/>
      <c r="AD479" s="115">
        <f>ROUND(SUMIFS('Employee Detail FY22'!$AD$6:$AD$132,'Employee Detail FY22'!$B$6:$B$132,C479,'Employee Detail FY22'!$C$6:$C$132,D479,'Employee Detail FY22'!$E$6:$E$132,F479,'Employee Detail FY22'!$F$6:$F$132,G479),0)</f>
        <v>0</v>
      </c>
      <c r="AE479" s="117"/>
      <c r="AF479" s="117"/>
    </row>
    <row r="480" spans="2:32" hidden="1" outlineLevel="1" x14ac:dyDescent="0.2">
      <c r="B480" s="7"/>
      <c r="C480" s="102" t="s">
        <v>462</v>
      </c>
      <c r="D480" s="581" t="s">
        <v>145</v>
      </c>
      <c r="E480" s="104"/>
      <c r="F480" s="102" t="s">
        <v>463</v>
      </c>
      <c r="G480" s="102">
        <v>1000</v>
      </c>
      <c r="H480" s="104" t="s">
        <v>180</v>
      </c>
      <c r="I480" s="103"/>
      <c r="J480" s="342" t="str">
        <f t="shared" si="450"/>
        <v>25000020010000220</v>
      </c>
      <c r="K480" s="109">
        <v>2022</v>
      </c>
      <c r="L480" s="109" t="s">
        <v>348</v>
      </c>
      <c r="M480" s="109" t="s">
        <v>349</v>
      </c>
      <c r="N480" s="109" t="s">
        <v>350</v>
      </c>
      <c r="O480" s="715">
        <v>0</v>
      </c>
      <c r="P480" s="715">
        <v>0</v>
      </c>
      <c r="Q480" s="715">
        <v>0</v>
      </c>
      <c r="R480" s="715">
        <v>0</v>
      </c>
      <c r="S480" s="715">
        <v>0</v>
      </c>
      <c r="T480" s="7"/>
      <c r="U480" s="7"/>
      <c r="V480" s="7"/>
      <c r="W480" s="7"/>
      <c r="X480" s="7"/>
      <c r="Y480" s="7"/>
      <c r="Z480" s="7"/>
      <c r="AA480" s="7"/>
      <c r="AB480" s="7"/>
      <c r="AC480" s="121">
        <f>SUM(O480:AA480)</f>
        <v>0</v>
      </c>
      <c r="AD480" s="115">
        <f>ROUND(SUMIFS('Employee Detail FY22'!$AD$6:$AD$132,'Employee Detail FY22'!$B$6:$B$132,C480,'Employee Detail FY22'!$C$6:$C$132,D480,'Employee Detail FY22'!$E$6:$E$132,F480,'Employee Detail FY22'!$F$6:$F$132,G480),0)</f>
        <v>0</v>
      </c>
      <c r="AE480" s="117">
        <f>AD480-AC480</f>
        <v>0</v>
      </c>
      <c r="AF480" s="117">
        <f>AE480/$AF$6</f>
        <v>0</v>
      </c>
    </row>
    <row r="481" spans="2:32" hidden="1" outlineLevel="1" x14ac:dyDescent="0.2">
      <c r="B481" s="7"/>
      <c r="C481" s="102" t="s">
        <v>135</v>
      </c>
      <c r="D481" s="581" t="s">
        <v>247</v>
      </c>
      <c r="E481" s="104"/>
      <c r="F481" s="102">
        <v>200</v>
      </c>
      <c r="G481" s="102">
        <v>1000</v>
      </c>
      <c r="H481" s="104" t="s">
        <v>180</v>
      </c>
      <c r="I481" s="103"/>
      <c r="J481" s="342" t="str">
        <f t="shared" si="450"/>
        <v>28063920010000220</v>
      </c>
      <c r="K481" s="109">
        <v>2022</v>
      </c>
      <c r="L481" s="109" t="s">
        <v>348</v>
      </c>
      <c r="M481" s="109" t="s">
        <v>349</v>
      </c>
      <c r="N481" s="109" t="s">
        <v>350</v>
      </c>
      <c r="O481" s="715">
        <v>0</v>
      </c>
      <c r="P481" s="715">
        <v>0</v>
      </c>
      <c r="Q481" s="715">
        <v>0</v>
      </c>
      <c r="R481" s="715">
        <v>0</v>
      </c>
      <c r="S481" s="715">
        <v>0</v>
      </c>
      <c r="T481" s="7"/>
      <c r="U481" s="7"/>
      <c r="V481" s="7"/>
      <c r="W481" s="7"/>
      <c r="X481" s="7"/>
      <c r="Y481" s="7"/>
      <c r="Z481" s="7"/>
      <c r="AA481" s="7"/>
      <c r="AB481" s="7"/>
      <c r="AC481" s="121"/>
      <c r="AD481" s="115">
        <f>ROUND(SUMIFS('Employee Detail FY22'!$AD$6:$AD$132,'Employee Detail FY22'!$B$6:$B$132,C481,'Employee Detail FY22'!$C$6:$C$132,D481,'Employee Detail FY22'!$E$6:$E$132,F481,'Employee Detail FY22'!$F$6:$F$132,G481),0)</f>
        <v>0</v>
      </c>
      <c r="AE481" s="117"/>
      <c r="AF481" s="117"/>
    </row>
    <row r="482" spans="2:32" hidden="1" outlineLevel="1" x14ac:dyDescent="0.2">
      <c r="B482" s="7"/>
      <c r="C482" s="102" t="s">
        <v>462</v>
      </c>
      <c r="D482" s="102" t="s">
        <v>132</v>
      </c>
      <c r="E482" s="102"/>
      <c r="F482" s="102" t="s">
        <v>463</v>
      </c>
      <c r="G482" s="102">
        <v>2130</v>
      </c>
      <c r="H482" s="104" t="s">
        <v>180</v>
      </c>
      <c r="I482" s="104"/>
      <c r="J482" s="342" t="str">
        <f t="shared" si="450"/>
        <v>25020520021300220</v>
      </c>
      <c r="K482" s="109">
        <v>2022</v>
      </c>
      <c r="L482" s="109" t="s">
        <v>348</v>
      </c>
      <c r="M482" s="109" t="s">
        <v>349</v>
      </c>
      <c r="N482" s="109" t="s">
        <v>350</v>
      </c>
      <c r="O482" s="715">
        <v>74.63</v>
      </c>
      <c r="P482" s="715">
        <v>0</v>
      </c>
      <c r="Q482" s="715">
        <v>200.16</v>
      </c>
      <c r="R482" s="715">
        <v>87.89</v>
      </c>
      <c r="S482" s="715">
        <v>0</v>
      </c>
      <c r="T482" s="7"/>
      <c r="U482" s="7"/>
      <c r="V482" s="7"/>
      <c r="W482" s="7"/>
      <c r="X482" s="7"/>
      <c r="Y482" s="7"/>
      <c r="Z482" s="7"/>
      <c r="AA482" s="7"/>
      <c r="AB482" s="7"/>
      <c r="AC482" s="121">
        <f>SUM(O482:AA482)</f>
        <v>362.67999999999995</v>
      </c>
      <c r="AD482" s="115">
        <f>ROUND(SUMIFS('Employee Detail FY22'!$AD$6:$AD$132,'Employee Detail FY22'!$B$6:$B$132,C482,'Employee Detail FY22'!$C$6:$C$132,D482,'Employee Detail FY22'!$E$6:$E$132,F482,'Employee Detail FY22'!$F$6:$F$132,G482),0)</f>
        <v>1462</v>
      </c>
      <c r="AE482" s="117">
        <f>AD482-AC482</f>
        <v>1099.3200000000002</v>
      </c>
      <c r="AF482" s="117">
        <f>AE482/$AF$6</f>
        <v>91.610000000000014</v>
      </c>
    </row>
    <row r="483" spans="2:32" hidden="1" outlineLevel="1" x14ac:dyDescent="0.2">
      <c r="B483" s="7"/>
      <c r="C483" s="102" t="s">
        <v>462</v>
      </c>
      <c r="D483" s="102" t="s">
        <v>132</v>
      </c>
      <c r="E483" s="102"/>
      <c r="F483" s="102" t="s">
        <v>463</v>
      </c>
      <c r="G483" s="102">
        <v>2140</v>
      </c>
      <c r="H483" s="104" t="s">
        <v>180</v>
      </c>
      <c r="I483" s="104"/>
      <c r="J483" s="342" t="str">
        <f t="shared" si="450"/>
        <v>25020520021400220</v>
      </c>
      <c r="K483" s="109">
        <v>2022</v>
      </c>
      <c r="L483" s="109" t="s">
        <v>348</v>
      </c>
      <c r="M483" s="109" t="s">
        <v>349</v>
      </c>
      <c r="N483" s="109" t="s">
        <v>350</v>
      </c>
      <c r="O483" s="715">
        <v>0</v>
      </c>
      <c r="P483" s="715">
        <v>0</v>
      </c>
      <c r="Q483" s="715">
        <v>0</v>
      </c>
      <c r="R483" s="715">
        <v>0</v>
      </c>
      <c r="S483" s="715">
        <v>0</v>
      </c>
      <c r="T483" s="7"/>
      <c r="U483" s="7"/>
      <c r="V483" s="7"/>
      <c r="W483" s="7"/>
      <c r="X483" s="7"/>
      <c r="Y483" s="7"/>
      <c r="Z483" s="7"/>
      <c r="AA483" s="7"/>
      <c r="AB483" s="7"/>
      <c r="AC483" s="121">
        <f>SUM(O483:AA483)</f>
        <v>0</v>
      </c>
      <c r="AD483" s="115">
        <f>ROUND(SUMIFS('Employee Detail FY22'!$AD$6:$AD$132,'Employee Detail FY22'!$B$6:$B$132,C483,'Employee Detail FY22'!$C$6:$C$132,D483,'Employee Detail FY22'!$E$6:$E$132,F483,'Employee Detail FY22'!$F$6:$F$132,G483),0)</f>
        <v>0</v>
      </c>
      <c r="AE483" s="117">
        <f>AD483-AC483</f>
        <v>0</v>
      </c>
      <c r="AF483" s="117">
        <f>AE483/$AF$6</f>
        <v>0</v>
      </c>
    </row>
    <row r="484" spans="2:32" hidden="1" outlineLevel="1" x14ac:dyDescent="0.2">
      <c r="B484" s="7"/>
      <c r="C484" s="102" t="s">
        <v>462</v>
      </c>
      <c r="D484" s="104">
        <v>205</v>
      </c>
      <c r="E484" s="104"/>
      <c r="F484" s="102" t="s">
        <v>463</v>
      </c>
      <c r="G484" s="102">
        <v>2410</v>
      </c>
      <c r="H484" s="104" t="s">
        <v>180</v>
      </c>
      <c r="I484" s="104"/>
      <c r="J484" s="342" t="str">
        <f t="shared" si="450"/>
        <v>25020520024100220</v>
      </c>
      <c r="K484" s="109">
        <v>2022</v>
      </c>
      <c r="L484" s="109" t="s">
        <v>348</v>
      </c>
      <c r="M484" s="109" t="s">
        <v>349</v>
      </c>
      <c r="N484" s="109" t="s">
        <v>350</v>
      </c>
      <c r="O484" s="715">
        <v>0</v>
      </c>
      <c r="P484" s="715">
        <v>0</v>
      </c>
      <c r="Q484" s="715">
        <v>0</v>
      </c>
      <c r="R484" s="715">
        <v>0</v>
      </c>
      <c r="S484" s="715">
        <v>0</v>
      </c>
      <c r="T484" s="7"/>
      <c r="U484" s="7"/>
      <c r="V484" s="7"/>
      <c r="W484" s="7"/>
      <c r="X484" s="7"/>
      <c r="Y484" s="7"/>
      <c r="Z484" s="7"/>
      <c r="AA484" s="7"/>
      <c r="AB484" s="7"/>
      <c r="AC484" s="121">
        <f>SUM(O484:AA484)</f>
        <v>0</v>
      </c>
      <c r="AD484" s="115">
        <f>ROUND(SUMIFS('Employee Detail FY22'!$AD$6:$AD$132,'Employee Detail FY22'!$B$6:$B$132,C484,'Employee Detail FY22'!$C$6:$C$132,D484,'Employee Detail FY22'!$E$6:$E$132,F484,'Employee Detail FY22'!$F$6:$F$132,G484),0)</f>
        <v>0</v>
      </c>
      <c r="AE484" s="117">
        <f>AD484-AC484</f>
        <v>0</v>
      </c>
      <c r="AF484" s="117">
        <f>AE484/$AF$6</f>
        <v>0</v>
      </c>
    </row>
    <row r="485" spans="2:32" hidden="1" outlineLevel="1" x14ac:dyDescent="0.2">
      <c r="B485" s="7"/>
      <c r="C485" s="102" t="s">
        <v>135</v>
      </c>
      <c r="D485" s="104" t="s">
        <v>247</v>
      </c>
      <c r="E485" s="104"/>
      <c r="F485" s="102" t="s">
        <v>473</v>
      </c>
      <c r="G485" s="102" t="s">
        <v>461</v>
      </c>
      <c r="H485" s="104" t="s">
        <v>180</v>
      </c>
      <c r="I485" s="103"/>
      <c r="J485" s="342" t="str">
        <f t="shared" si="450"/>
        <v>28063924010000220</v>
      </c>
      <c r="K485" s="109">
        <v>2022</v>
      </c>
      <c r="L485" s="109" t="s">
        <v>348</v>
      </c>
      <c r="M485" s="109" t="s">
        <v>349</v>
      </c>
      <c r="N485" s="109" t="s">
        <v>350</v>
      </c>
      <c r="O485" s="715">
        <v>0</v>
      </c>
      <c r="P485" s="715">
        <v>0</v>
      </c>
      <c r="Q485" s="715">
        <v>0</v>
      </c>
      <c r="R485" s="715">
        <v>0</v>
      </c>
      <c r="S485" s="715">
        <v>0</v>
      </c>
      <c r="T485" s="7"/>
      <c r="U485" s="7"/>
      <c r="V485" s="7"/>
      <c r="W485" s="7"/>
      <c r="X485" s="7"/>
      <c r="Y485" s="7"/>
      <c r="Z485" s="7"/>
      <c r="AA485" s="7"/>
      <c r="AB485" s="7"/>
      <c r="AC485" s="121">
        <f>SUM(O485:AA485)</f>
        <v>0</v>
      </c>
      <c r="AD485" s="115">
        <f>ROUND(SUMIFS('Employee Detail FY22'!$AD$6:$AD$132,'Employee Detail FY22'!$B$6:$B$132,C485,'Employee Detail FY22'!$C$6:$C$132,D485,'Employee Detail FY22'!$E$6:$E$132,F485,'Employee Detail FY22'!$F$6:$F$132,G485),0)</f>
        <v>0</v>
      </c>
      <c r="AE485" s="117">
        <f>AD485-AC485</f>
        <v>0</v>
      </c>
      <c r="AF485" s="117">
        <f>AE485/$AF$6</f>
        <v>0</v>
      </c>
    </row>
    <row r="486" spans="2:32" hidden="1" outlineLevel="1" x14ac:dyDescent="0.2">
      <c r="B486" s="7"/>
      <c r="C486" s="102" t="s">
        <v>135</v>
      </c>
      <c r="D486" s="104" t="s">
        <v>864</v>
      </c>
      <c r="E486" s="104"/>
      <c r="F486" s="102" t="s">
        <v>557</v>
      </c>
      <c r="G486" s="102" t="s">
        <v>465</v>
      </c>
      <c r="H486" s="104" t="s">
        <v>180</v>
      </c>
      <c r="I486" s="103"/>
      <c r="J486" s="342" t="str">
        <f t="shared" si="450"/>
        <v>28065842021100220</v>
      </c>
      <c r="K486" s="109">
        <v>2022</v>
      </c>
      <c r="L486" s="109" t="s">
        <v>348</v>
      </c>
      <c r="M486" s="109" t="s">
        <v>349</v>
      </c>
      <c r="N486" s="109" t="s">
        <v>350</v>
      </c>
      <c r="O486" s="715">
        <v>0</v>
      </c>
      <c r="P486" s="715">
        <v>0</v>
      </c>
      <c r="Q486" s="715">
        <v>0</v>
      </c>
      <c r="R486" s="715">
        <v>0</v>
      </c>
      <c r="S486" s="715">
        <v>0</v>
      </c>
      <c r="T486" s="7"/>
      <c r="U486" s="7"/>
      <c r="V486" s="7"/>
      <c r="W486" s="7"/>
      <c r="X486" s="7"/>
      <c r="Y486" s="7"/>
      <c r="Z486" s="7"/>
      <c r="AA486" s="7"/>
      <c r="AB486" s="7"/>
      <c r="AC486" s="121"/>
      <c r="AD486" s="115">
        <f>ROUND(SUMIFS('Employee Detail FY22'!$AD$6:$AD$132,'Employee Detail FY22'!$B$6:$B$132,C486,'Employee Detail FY22'!$C$6:$C$132,D486,'Employee Detail FY22'!$E$6:$E$132,F486,'Employee Detail FY22'!$F$6:$F$132,G486),0)</f>
        <v>0</v>
      </c>
      <c r="AE486" s="117"/>
      <c r="AF486" s="117"/>
    </row>
    <row r="487" spans="2:32" hidden="1" outlineLevel="1" x14ac:dyDescent="0.2">
      <c r="B487" s="7"/>
      <c r="C487" s="102" t="s">
        <v>135</v>
      </c>
      <c r="D487" s="102" t="s">
        <v>864</v>
      </c>
      <c r="E487" s="102"/>
      <c r="F487" s="102">
        <v>420</v>
      </c>
      <c r="G487" s="102">
        <v>2120</v>
      </c>
      <c r="H487" s="104" t="s">
        <v>180</v>
      </c>
      <c r="I487" s="103"/>
      <c r="J487" s="342" t="str">
        <f t="shared" si="450"/>
        <v>28065842021200220</v>
      </c>
      <c r="K487" s="109">
        <v>2022</v>
      </c>
      <c r="L487" s="109" t="s">
        <v>348</v>
      </c>
      <c r="M487" s="109" t="s">
        <v>349</v>
      </c>
      <c r="N487" s="109" t="s">
        <v>350</v>
      </c>
      <c r="O487" s="715">
        <v>0</v>
      </c>
      <c r="P487" s="715">
        <v>0</v>
      </c>
      <c r="Q487" s="715">
        <v>0</v>
      </c>
      <c r="R487" s="715">
        <v>48.36</v>
      </c>
      <c r="S487" s="715">
        <v>29.76</v>
      </c>
      <c r="T487" s="7"/>
      <c r="U487" s="7"/>
      <c r="V487" s="7"/>
      <c r="W487" s="7"/>
      <c r="X487" s="7"/>
      <c r="Y487" s="7"/>
      <c r="Z487" s="7"/>
      <c r="AA487" s="7"/>
      <c r="AB487" s="7"/>
      <c r="AC487" s="121">
        <f t="shared" ref="AC487:AC492" si="451">SUM(O487:AA487)</f>
        <v>78.12</v>
      </c>
      <c r="AD487" s="115">
        <f>ROUND(SUMIFS('Employee Detail FY22'!$AD$6:$AD$132,'Employee Detail FY22'!$B$6:$B$132,C487,'Employee Detail FY22'!$C$6:$C$132,D487,'Employee Detail FY22'!$E$6:$E$132,F487,'Employee Detail FY22'!$F$6:$F$132,G487),0)</f>
        <v>0</v>
      </c>
      <c r="AE487" s="117">
        <f t="shared" ref="AE487:AE492" si="452">AD487-AC487</f>
        <v>-78.12</v>
      </c>
      <c r="AF487" s="117">
        <f t="shared" ref="AF487:AF492" si="453">AE487/$AF$6</f>
        <v>-6.5100000000000007</v>
      </c>
    </row>
    <row r="488" spans="2:32" hidden="1" outlineLevel="1" x14ac:dyDescent="0.2">
      <c r="B488" s="7"/>
      <c r="C488" s="102" t="s">
        <v>135</v>
      </c>
      <c r="D488" s="102" t="s">
        <v>864</v>
      </c>
      <c r="E488" s="102"/>
      <c r="F488" s="102" t="s">
        <v>557</v>
      </c>
      <c r="G488" s="102" t="s">
        <v>558</v>
      </c>
      <c r="H488" s="104" t="s">
        <v>180</v>
      </c>
      <c r="I488" s="104"/>
      <c r="J488" s="342" t="str">
        <f t="shared" si="450"/>
        <v>28065842022120220</v>
      </c>
      <c r="K488" s="109">
        <v>2022</v>
      </c>
      <c r="L488" s="109" t="s">
        <v>348</v>
      </c>
      <c r="M488" s="109" t="s">
        <v>349</v>
      </c>
      <c r="N488" s="109" t="s">
        <v>350</v>
      </c>
      <c r="O488" s="715">
        <v>0</v>
      </c>
      <c r="P488" s="715">
        <v>0</v>
      </c>
      <c r="Q488" s="715">
        <v>0</v>
      </c>
      <c r="R488" s="715">
        <v>0</v>
      </c>
      <c r="S488" s="715">
        <v>0</v>
      </c>
      <c r="T488" s="7"/>
      <c r="U488" s="7"/>
      <c r="V488" s="7"/>
      <c r="W488" s="7"/>
      <c r="X488" s="7"/>
      <c r="Y488" s="7"/>
      <c r="Z488" s="7"/>
      <c r="AA488" s="7"/>
      <c r="AB488" s="7"/>
      <c r="AC488" s="121">
        <f t="shared" si="451"/>
        <v>0</v>
      </c>
      <c r="AD488" s="115">
        <f>ROUND(SUMIFS('Employee Detail FY22'!$AD$6:$AD$132,'Employee Detail FY22'!$B$6:$B$132,C488,'Employee Detail FY22'!$C$6:$C$132,D488,'Employee Detail FY22'!$E$6:$E$132,F488,'Employee Detail FY22'!$F$6:$F$132,G488),0)</f>
        <v>0</v>
      </c>
      <c r="AE488" s="117">
        <f t="shared" si="452"/>
        <v>0</v>
      </c>
      <c r="AF488" s="117">
        <f t="shared" si="453"/>
        <v>0</v>
      </c>
    </row>
    <row r="489" spans="2:32" hidden="1" outlineLevel="1" x14ac:dyDescent="0.2">
      <c r="B489" s="7"/>
      <c r="C489" s="102" t="s">
        <v>135</v>
      </c>
      <c r="D489" s="102" t="s">
        <v>245</v>
      </c>
      <c r="E489" s="102"/>
      <c r="F489" s="102">
        <v>430</v>
      </c>
      <c r="G489" s="102" t="s">
        <v>461</v>
      </c>
      <c r="H489" s="104" t="s">
        <v>180</v>
      </c>
      <c r="I489" s="104"/>
      <c r="J489" s="342" t="str">
        <f t="shared" si="450"/>
        <v>28063343010000220</v>
      </c>
      <c r="K489" s="109">
        <v>2022</v>
      </c>
      <c r="L489" s="109" t="s">
        <v>348</v>
      </c>
      <c r="M489" s="109" t="s">
        <v>349</v>
      </c>
      <c r="N489" s="109" t="s">
        <v>350</v>
      </c>
      <c r="O489" s="715">
        <v>0</v>
      </c>
      <c r="P489" s="715">
        <v>0</v>
      </c>
      <c r="Q489" s="715">
        <v>0</v>
      </c>
      <c r="R489" s="715">
        <v>0</v>
      </c>
      <c r="S489" s="715">
        <v>0</v>
      </c>
      <c r="T489" s="7"/>
      <c r="U489" s="7"/>
      <c r="V489" s="7"/>
      <c r="W489" s="7"/>
      <c r="X489" s="7"/>
      <c r="Y489" s="7"/>
      <c r="Z489" s="7"/>
      <c r="AA489" s="7"/>
      <c r="AB489" s="7"/>
      <c r="AC489" s="121">
        <f t="shared" si="451"/>
        <v>0</v>
      </c>
      <c r="AD489" s="115">
        <f>ROUND(SUMIFS('Employee Detail FY22'!$AD$6:$AD$132,'Employee Detail FY22'!$B$6:$B$132,C489,'Employee Detail FY22'!$C$6:$C$132,D489,'Employee Detail FY22'!$E$6:$E$132,F489,'Employee Detail FY22'!$F$6:$F$132,G489),0)</f>
        <v>0</v>
      </c>
      <c r="AE489" s="117">
        <f t="shared" si="452"/>
        <v>0</v>
      </c>
      <c r="AF489" s="117">
        <f t="shared" si="453"/>
        <v>0</v>
      </c>
    </row>
    <row r="490" spans="2:32" hidden="1" outlineLevel="1" x14ac:dyDescent="0.2">
      <c r="B490" s="7"/>
      <c r="C490" s="102" t="s">
        <v>135</v>
      </c>
      <c r="D490" s="102" t="s">
        <v>242</v>
      </c>
      <c r="E490" s="102"/>
      <c r="F490" s="102" t="s">
        <v>532</v>
      </c>
      <c r="G490" s="102" t="s">
        <v>461</v>
      </c>
      <c r="H490" s="104" t="s">
        <v>180</v>
      </c>
      <c r="I490" s="515"/>
      <c r="J490" s="342" t="str">
        <f t="shared" si="450"/>
        <v>28062443010000220</v>
      </c>
      <c r="K490" s="102">
        <v>2022</v>
      </c>
      <c r="L490" s="102" t="s">
        <v>348</v>
      </c>
      <c r="M490" s="102" t="s">
        <v>349</v>
      </c>
      <c r="N490" s="102" t="s">
        <v>350</v>
      </c>
      <c r="O490" s="715">
        <v>0</v>
      </c>
      <c r="P490" s="715">
        <v>0</v>
      </c>
      <c r="Q490" s="715">
        <v>0</v>
      </c>
      <c r="R490" s="715">
        <v>0</v>
      </c>
      <c r="S490" s="715">
        <v>0</v>
      </c>
      <c r="T490" s="7"/>
      <c r="U490" s="7"/>
      <c r="V490" s="7"/>
      <c r="W490" s="7"/>
      <c r="X490" s="7"/>
      <c r="Y490" s="7"/>
      <c r="Z490" s="7"/>
      <c r="AA490" s="7"/>
      <c r="AB490" s="7"/>
      <c r="AC490" s="121">
        <f t="shared" si="451"/>
        <v>0</v>
      </c>
      <c r="AD490" s="115">
        <f>ROUND(SUMIFS('Employee Detail FY22'!$AD$6:$AD$132,'Employee Detail FY22'!$B$6:$B$132,C490,'Employee Detail FY22'!$C$6:$C$132,D490,'Employee Detail FY22'!$E$6:$E$132,F490,'Employee Detail FY22'!$F$6:$F$132,G490),0)</f>
        <v>0</v>
      </c>
      <c r="AE490" s="117">
        <f t="shared" si="452"/>
        <v>0</v>
      </c>
      <c r="AF490" s="117">
        <f t="shared" si="453"/>
        <v>0</v>
      </c>
    </row>
    <row r="491" spans="2:32" hidden="1" outlineLevel="1" x14ac:dyDescent="0.2">
      <c r="B491" s="7"/>
      <c r="C491" s="102" t="s">
        <v>135</v>
      </c>
      <c r="D491" s="102" t="s">
        <v>242</v>
      </c>
      <c r="E491" s="104"/>
      <c r="F491" s="102" t="s">
        <v>532</v>
      </c>
      <c r="G491" s="102" t="s">
        <v>465</v>
      </c>
      <c r="H491" s="104" t="s">
        <v>180</v>
      </c>
      <c r="I491" s="103"/>
      <c r="J491" s="342" t="str">
        <f t="shared" si="450"/>
        <v>28062443021100220</v>
      </c>
      <c r="K491" s="109">
        <v>2022</v>
      </c>
      <c r="L491" s="109" t="s">
        <v>348</v>
      </c>
      <c r="M491" s="109" t="s">
        <v>349</v>
      </c>
      <c r="N491" s="109" t="s">
        <v>350</v>
      </c>
      <c r="O491" s="715">
        <v>0</v>
      </c>
      <c r="P491" s="715">
        <v>0</v>
      </c>
      <c r="Q491" s="715">
        <v>0</v>
      </c>
      <c r="R491" s="715">
        <v>0</v>
      </c>
      <c r="S491" s="715">
        <v>0</v>
      </c>
      <c r="T491" s="7"/>
      <c r="U491" s="7"/>
      <c r="V491" s="7"/>
      <c r="W491" s="7"/>
      <c r="X491" s="7"/>
      <c r="Y491" s="7"/>
      <c r="Z491" s="7"/>
      <c r="AA491" s="7"/>
      <c r="AB491" s="7"/>
      <c r="AC491" s="121">
        <f t="shared" si="451"/>
        <v>0</v>
      </c>
      <c r="AD491" s="115">
        <f>ROUND(SUMIFS('Employee Detail FY22'!$AD$6:$AD$132,'Employee Detail FY22'!$B$6:$B$132,C491,'Employee Detail FY22'!$C$6:$C$132,D491,'Employee Detail FY22'!$E$6:$E$132,F491,'Employee Detail FY22'!$F$6:$F$132,G491),0)</f>
        <v>0</v>
      </c>
      <c r="AE491" s="117">
        <f t="shared" si="452"/>
        <v>0</v>
      </c>
      <c r="AF491" s="117">
        <f t="shared" si="453"/>
        <v>0</v>
      </c>
    </row>
    <row r="492" spans="2:32" hidden="1" outlineLevel="1" x14ac:dyDescent="0.2">
      <c r="B492" s="7"/>
      <c r="C492" s="102" t="s">
        <v>135</v>
      </c>
      <c r="D492" s="102" t="s">
        <v>242</v>
      </c>
      <c r="E492" s="102"/>
      <c r="F492" s="102" t="s">
        <v>532</v>
      </c>
      <c r="G492" s="102" t="s">
        <v>556</v>
      </c>
      <c r="H492" s="104" t="s">
        <v>180</v>
      </c>
      <c r="I492" s="103"/>
      <c r="J492" s="342" t="str">
        <f t="shared" si="450"/>
        <v>28062443021200220</v>
      </c>
      <c r="K492" s="109">
        <v>2022</v>
      </c>
      <c r="L492" s="109" t="s">
        <v>348</v>
      </c>
      <c r="M492" s="109" t="s">
        <v>349</v>
      </c>
      <c r="N492" s="109" t="s">
        <v>350</v>
      </c>
      <c r="O492" s="715">
        <v>0</v>
      </c>
      <c r="P492" s="715">
        <v>0</v>
      </c>
      <c r="Q492" s="715">
        <v>0</v>
      </c>
      <c r="R492" s="715">
        <v>0</v>
      </c>
      <c r="S492" s="715">
        <v>0</v>
      </c>
      <c r="T492" s="7"/>
      <c r="U492" s="7"/>
      <c r="V492" s="7"/>
      <c r="W492" s="7"/>
      <c r="X492" s="7"/>
      <c r="Y492" s="7"/>
      <c r="Z492" s="7"/>
      <c r="AA492" s="7"/>
      <c r="AB492" s="7"/>
      <c r="AC492" s="121">
        <f t="shared" si="451"/>
        <v>0</v>
      </c>
      <c r="AD492" s="115">
        <f>ROUND(SUMIFS('Employee Detail FY22'!$AD$6:$AD$132,'Employee Detail FY22'!$B$6:$B$132,C492,'Employee Detail FY22'!$C$6:$C$132,D492,'Employee Detail FY22'!$E$6:$E$132,F492,'Employee Detail FY22'!$F$6:$F$132,G492),0)</f>
        <v>0</v>
      </c>
      <c r="AE492" s="117">
        <f t="shared" si="452"/>
        <v>0</v>
      </c>
      <c r="AF492" s="117">
        <f t="shared" si="453"/>
        <v>0</v>
      </c>
    </row>
    <row r="493" spans="2:32" hidden="1" outlineLevel="1" x14ac:dyDescent="0.2">
      <c r="B493" s="7"/>
      <c r="C493" s="102" t="s">
        <v>135</v>
      </c>
      <c r="D493" s="102" t="s">
        <v>550</v>
      </c>
      <c r="E493" s="104"/>
      <c r="F493" s="102">
        <v>430</v>
      </c>
      <c r="G493" s="102" t="s">
        <v>484</v>
      </c>
      <c r="H493" s="104" t="s">
        <v>180</v>
      </c>
      <c r="I493" s="103"/>
      <c r="J493" s="342" t="str">
        <f t="shared" si="450"/>
        <v>28071543021300220</v>
      </c>
      <c r="K493" s="109">
        <v>2022</v>
      </c>
      <c r="L493" s="109" t="s">
        <v>348</v>
      </c>
      <c r="M493" s="109" t="s">
        <v>349</v>
      </c>
      <c r="N493" s="109" t="s">
        <v>350</v>
      </c>
      <c r="O493" s="715">
        <v>0</v>
      </c>
      <c r="P493" s="715">
        <v>124.86</v>
      </c>
      <c r="Q493" s="715">
        <v>104.63</v>
      </c>
      <c r="R493" s="715">
        <v>110.21</v>
      </c>
      <c r="S493" s="715">
        <v>209.95</v>
      </c>
      <c r="T493" s="7"/>
      <c r="U493" s="7"/>
      <c r="V493" s="7"/>
      <c r="W493" s="7"/>
      <c r="X493" s="7"/>
      <c r="Y493" s="7"/>
      <c r="Z493" s="7"/>
      <c r="AA493" s="7"/>
      <c r="AB493" s="7"/>
      <c r="AC493" s="121"/>
      <c r="AD493" s="115">
        <f>ROUND(SUMIFS('Employee Detail FY22'!$AD$6:$AD$132,'Employee Detail FY22'!$B$6:$B$132,C493,'Employee Detail FY22'!$C$6:$C$132,D493,'Employee Detail FY22'!$E$6:$E$132,F493,'Employee Detail FY22'!$F$6:$F$132,G493),0)</f>
        <v>722</v>
      </c>
      <c r="AE493" s="117"/>
      <c r="AF493" s="117"/>
    </row>
    <row r="494" spans="2:32" hidden="1" outlineLevel="1" x14ac:dyDescent="0.2">
      <c r="B494" s="7"/>
      <c r="C494" s="102" t="s">
        <v>135</v>
      </c>
      <c r="D494" s="102" t="s">
        <v>242</v>
      </c>
      <c r="E494" s="104"/>
      <c r="F494" s="102" t="s">
        <v>532</v>
      </c>
      <c r="G494" s="102" t="s">
        <v>485</v>
      </c>
      <c r="H494" s="104" t="s">
        <v>180</v>
      </c>
      <c r="I494" s="103"/>
      <c r="J494" s="342" t="str">
        <f t="shared" si="450"/>
        <v>28062443021400220</v>
      </c>
      <c r="K494" s="109">
        <v>2022</v>
      </c>
      <c r="L494" s="109" t="s">
        <v>348</v>
      </c>
      <c r="M494" s="109" t="s">
        <v>349</v>
      </c>
      <c r="N494" s="109" t="s">
        <v>350</v>
      </c>
      <c r="O494" s="715">
        <v>0</v>
      </c>
      <c r="P494" s="715">
        <v>0</v>
      </c>
      <c r="Q494" s="715">
        <v>0</v>
      </c>
      <c r="R494" s="715">
        <v>0</v>
      </c>
      <c r="S494" s="715">
        <v>0</v>
      </c>
      <c r="T494" s="7"/>
      <c r="U494" s="7"/>
      <c r="V494" s="7"/>
      <c r="W494" s="7"/>
      <c r="X494" s="7"/>
      <c r="Y494" s="7"/>
      <c r="Z494" s="7"/>
      <c r="AA494" s="7"/>
      <c r="AB494" s="7"/>
      <c r="AC494" s="121">
        <f>SUM(O494:AA494)</f>
        <v>0</v>
      </c>
      <c r="AD494" s="115">
        <f>ROUND(SUMIFS('Employee Detail FY22'!$AD$6:$AD$132,'Employee Detail FY22'!$B$6:$B$132,C494,'Employee Detail FY22'!$C$6:$C$132,D494,'Employee Detail FY22'!$E$6:$E$132,F494,'Employee Detail FY22'!$F$6:$F$132,G494),0)</f>
        <v>0</v>
      </c>
      <c r="AE494" s="117">
        <f>AD494-AC494</f>
        <v>0</v>
      </c>
      <c r="AF494" s="117">
        <f>AE494/$AF$6</f>
        <v>0</v>
      </c>
    </row>
    <row r="495" spans="2:32" hidden="1" outlineLevel="1" x14ac:dyDescent="0.2">
      <c r="B495" s="7"/>
      <c r="C495" s="102" t="s">
        <v>135</v>
      </c>
      <c r="D495" s="104" t="s">
        <v>242</v>
      </c>
      <c r="E495" s="104"/>
      <c r="F495" s="102" t="s">
        <v>532</v>
      </c>
      <c r="G495" s="102" t="s">
        <v>534</v>
      </c>
      <c r="H495" s="104" t="s">
        <v>180</v>
      </c>
      <c r="I495" s="103"/>
      <c r="J495" s="342" t="str">
        <f t="shared" si="450"/>
        <v>28062443022100220</v>
      </c>
      <c r="K495" s="109">
        <v>2022</v>
      </c>
      <c r="L495" s="109" t="s">
        <v>348</v>
      </c>
      <c r="M495" s="109" t="s">
        <v>349</v>
      </c>
      <c r="N495" s="109" t="s">
        <v>350</v>
      </c>
      <c r="O495" s="715">
        <v>0</v>
      </c>
      <c r="P495" s="715">
        <v>0</v>
      </c>
      <c r="Q495" s="715">
        <v>0</v>
      </c>
      <c r="R495" s="715">
        <v>0</v>
      </c>
      <c r="S495" s="715">
        <v>0</v>
      </c>
      <c r="T495" s="7"/>
      <c r="U495" s="7"/>
      <c r="V495" s="7"/>
      <c r="W495" s="7"/>
      <c r="X495" s="7"/>
      <c r="Y495" s="7"/>
      <c r="Z495" s="7"/>
      <c r="AA495" s="7"/>
      <c r="AB495" s="7"/>
      <c r="AC495" s="121">
        <f>SUM(O495:AA495)</f>
        <v>0</v>
      </c>
      <c r="AD495" s="115">
        <f>ROUND(SUMIFS('Employee Detail FY22'!$AD$6:$AD$132,'Employee Detail FY22'!$B$6:$B$132,C495,'Employee Detail FY22'!$C$6:$C$132,D495,'Employee Detail FY22'!$E$6:$E$132,F495,'Employee Detail FY22'!$F$6:$F$132,G495),0)</f>
        <v>0</v>
      </c>
      <c r="AE495" s="117">
        <f>AD495-AC495</f>
        <v>0</v>
      </c>
      <c r="AF495" s="117">
        <f>AE495/$AF$6</f>
        <v>0</v>
      </c>
    </row>
    <row r="496" spans="2:32" hidden="1" outlineLevel="1" x14ac:dyDescent="0.2">
      <c r="B496" s="7"/>
      <c r="C496" s="102" t="s">
        <v>135</v>
      </c>
      <c r="D496" s="104" t="s">
        <v>245</v>
      </c>
      <c r="E496" s="104"/>
      <c r="F496" s="102">
        <v>430</v>
      </c>
      <c r="G496" s="102" t="s">
        <v>534</v>
      </c>
      <c r="H496" s="104" t="s">
        <v>180</v>
      </c>
      <c r="I496" s="103"/>
      <c r="J496" s="342" t="str">
        <f t="shared" si="450"/>
        <v>28063343022100220</v>
      </c>
      <c r="K496" s="109">
        <v>2022</v>
      </c>
      <c r="L496" s="109" t="s">
        <v>348</v>
      </c>
      <c r="M496" s="109" t="s">
        <v>349</v>
      </c>
      <c r="N496" s="109" t="s">
        <v>350</v>
      </c>
      <c r="O496" s="715">
        <v>0</v>
      </c>
      <c r="P496" s="715">
        <v>0</v>
      </c>
      <c r="Q496" s="715">
        <v>0</v>
      </c>
      <c r="R496" s="715">
        <v>0</v>
      </c>
      <c r="S496" s="715">
        <v>0</v>
      </c>
      <c r="T496" s="7"/>
      <c r="U496" s="7"/>
      <c r="V496" s="7"/>
      <c r="W496" s="7"/>
      <c r="X496" s="7"/>
      <c r="Y496" s="7"/>
      <c r="Z496" s="7"/>
      <c r="AA496" s="7"/>
      <c r="AB496" s="7"/>
      <c r="AC496" s="121">
        <f>SUM(O496:AA496)</f>
        <v>0</v>
      </c>
      <c r="AD496" s="115">
        <f>ROUND(SUMIFS('Employee Detail FY22'!$AD$6:$AD$132,'Employee Detail FY22'!$B$6:$B$132,C496,'Employee Detail FY22'!$C$6:$C$132,D496,'Employee Detail FY22'!$E$6:$E$132,F496,'Employee Detail FY22'!$F$6:$F$132,G496),0)</f>
        <v>0</v>
      </c>
      <c r="AE496" s="117">
        <f>AD496-AC496</f>
        <v>0</v>
      </c>
      <c r="AF496" s="117">
        <f>AE496/$AF$6</f>
        <v>0</v>
      </c>
    </row>
    <row r="497" spans="2:36" hidden="1" outlineLevel="1" x14ac:dyDescent="0.2">
      <c r="B497" s="7"/>
      <c r="C497" s="102" t="s">
        <v>135</v>
      </c>
      <c r="D497" s="104" t="s">
        <v>242</v>
      </c>
      <c r="E497" s="104"/>
      <c r="F497" s="102" t="s">
        <v>532</v>
      </c>
      <c r="G497" s="102" t="s">
        <v>558</v>
      </c>
      <c r="H497" s="104" t="s">
        <v>180</v>
      </c>
      <c r="I497" s="182"/>
      <c r="J497" s="419" t="str">
        <f t="shared" si="450"/>
        <v>28062443022120220</v>
      </c>
      <c r="K497" s="420">
        <v>2022</v>
      </c>
      <c r="L497" s="420" t="s">
        <v>348</v>
      </c>
      <c r="M497" s="420" t="s">
        <v>349</v>
      </c>
      <c r="N497" s="420" t="s">
        <v>350</v>
      </c>
      <c r="O497" s="715">
        <v>0</v>
      </c>
      <c r="P497" s="715">
        <v>0</v>
      </c>
      <c r="Q497" s="715">
        <v>0</v>
      </c>
      <c r="R497" s="715">
        <v>0</v>
      </c>
      <c r="S497" s="715">
        <v>0</v>
      </c>
      <c r="T497" s="7"/>
      <c r="U497" s="7"/>
      <c r="V497" s="7"/>
      <c r="W497" s="7"/>
      <c r="X497" s="7"/>
      <c r="Y497" s="7"/>
      <c r="Z497" s="7"/>
      <c r="AA497" s="7"/>
      <c r="AB497" s="7"/>
      <c r="AC497" s="121">
        <f>SUM(O497:AA497)</f>
        <v>0</v>
      </c>
      <c r="AD497" s="115">
        <f>ROUND(SUMIFS('Employee Detail FY22'!$AD$6:$AD$132,'Employee Detail FY22'!$B$6:$B$132,C497,'Employee Detail FY22'!$C$6:$C$132,D497,'Employee Detail FY22'!$E$6:$E$132,F497,'Employee Detail FY22'!$F$6:$F$132,G497),0)</f>
        <v>0</v>
      </c>
      <c r="AE497" s="117">
        <f>AD497-AC497</f>
        <v>0</v>
      </c>
      <c r="AF497" s="117">
        <f>AE497/$AF$6</f>
        <v>0</v>
      </c>
    </row>
    <row r="498" spans="2:36" hidden="1" outlineLevel="1" x14ac:dyDescent="0.2">
      <c r="B498" s="7"/>
      <c r="C498" s="102" t="s">
        <v>135</v>
      </c>
      <c r="D498" s="104" t="s">
        <v>242</v>
      </c>
      <c r="E498" s="104"/>
      <c r="F498" s="102">
        <v>430</v>
      </c>
      <c r="G498" s="102" t="s">
        <v>460</v>
      </c>
      <c r="H498" s="104" t="s">
        <v>180</v>
      </c>
      <c r="I498" s="104"/>
      <c r="J498" s="342" t="str">
        <f t="shared" si="450"/>
        <v>28062443024100220</v>
      </c>
      <c r="K498" s="109">
        <v>2022</v>
      </c>
      <c r="L498" s="109" t="s">
        <v>348</v>
      </c>
      <c r="M498" s="109" t="s">
        <v>349</v>
      </c>
      <c r="N498" s="109" t="s">
        <v>350</v>
      </c>
      <c r="O498" s="715">
        <v>0</v>
      </c>
      <c r="P498" s="715">
        <v>0</v>
      </c>
      <c r="Q498" s="715">
        <v>0</v>
      </c>
      <c r="R498" s="715">
        <v>0</v>
      </c>
      <c r="S498" s="715">
        <v>0</v>
      </c>
      <c r="T498" s="7"/>
      <c r="U498" s="7"/>
      <c r="V498" s="7"/>
      <c r="W498" s="7"/>
      <c r="X498" s="7"/>
      <c r="Y498" s="7"/>
      <c r="Z498" s="7"/>
      <c r="AA498" s="7"/>
      <c r="AB498" s="7"/>
      <c r="AC498" s="121">
        <f>SUM(O498:AA498)</f>
        <v>0</v>
      </c>
      <c r="AD498" s="115">
        <f>ROUND(SUMIFS('Employee Detail FY22'!$AD$6:$AD$132,'Employee Detail FY22'!$B$6:$B$132,C498,'Employee Detail FY22'!$C$6:$C$132,D498,'Employee Detail FY22'!$E$6:$E$132,F498,'Employee Detail FY22'!$F$6:$F$132,G498),0)</f>
        <v>0</v>
      </c>
      <c r="AE498" s="117">
        <f>AD498-AC498</f>
        <v>0</v>
      </c>
      <c r="AF498" s="117">
        <f>AE498/$AF$6</f>
        <v>0</v>
      </c>
    </row>
    <row r="499" spans="2:36" hidden="1" outlineLevel="1" x14ac:dyDescent="0.2">
      <c r="B499" s="7"/>
      <c r="C499" s="102"/>
      <c r="D499" s="104"/>
      <c r="E499" s="104"/>
      <c r="F499" s="102"/>
      <c r="G499" s="102"/>
      <c r="H499" s="104"/>
      <c r="I499" s="103"/>
      <c r="J499" s="342"/>
      <c r="K499" s="109"/>
      <c r="L499" s="109"/>
      <c r="M499" s="109"/>
      <c r="N499" s="10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121"/>
      <c r="AD499" s="115">
        <f>ROUND(SUMIFS('Employee Detail FY22'!$AD$6:$AD$132,'Employee Detail FY22'!$B$6:$B$132,C499,'Employee Detail FY22'!$C$6:$C$132,D499,'Employee Detail FY22'!$E$6:$E$132,F499,'Employee Detail FY22'!$F$6:$F$132,G499),0)</f>
        <v>0</v>
      </c>
      <c r="AE499" s="117"/>
      <c r="AF499" s="117"/>
    </row>
    <row r="500" spans="2:36" s="2" customFormat="1" ht="13.5" collapsed="1" thickBot="1" x14ac:dyDescent="0.25">
      <c r="B500" s="564"/>
      <c r="C500" s="6"/>
      <c r="D500" s="6"/>
      <c r="E500" s="6"/>
      <c r="F500" s="6"/>
      <c r="G500" s="6"/>
      <c r="H500" s="6"/>
      <c r="I500" s="6"/>
      <c r="J500" s="582"/>
      <c r="K500" s="6"/>
      <c r="L500" s="6"/>
      <c r="M500" s="6"/>
      <c r="N500" s="6"/>
      <c r="O500" s="566">
        <f>SUM(O465:O499)</f>
        <v>74.63</v>
      </c>
      <c r="P500" s="566">
        <f t="shared" ref="P500:AC500" si="454">SUM(P465:P499)</f>
        <v>124.86</v>
      </c>
      <c r="Q500" s="566">
        <f t="shared" si="454"/>
        <v>304.78999999999996</v>
      </c>
      <c r="R500" s="566">
        <f t="shared" si="454"/>
        <v>246.45999999999998</v>
      </c>
      <c r="S500" s="566">
        <f t="shared" si="454"/>
        <v>239.70999999999998</v>
      </c>
      <c r="T500" s="566">
        <f t="shared" si="454"/>
        <v>0</v>
      </c>
      <c r="U500" s="566">
        <f t="shared" si="454"/>
        <v>0</v>
      </c>
      <c r="V500" s="566">
        <f t="shared" si="454"/>
        <v>0</v>
      </c>
      <c r="W500" s="566">
        <f t="shared" si="454"/>
        <v>0</v>
      </c>
      <c r="X500" s="566">
        <f t="shared" si="454"/>
        <v>0</v>
      </c>
      <c r="Y500" s="566">
        <f t="shared" si="454"/>
        <v>0</v>
      </c>
      <c r="Z500" s="566">
        <f t="shared" si="454"/>
        <v>0</v>
      </c>
      <c r="AA500" s="566">
        <f t="shared" si="454"/>
        <v>0</v>
      </c>
      <c r="AB500" s="566">
        <f t="shared" si="454"/>
        <v>0</v>
      </c>
      <c r="AC500" s="566">
        <f t="shared" si="454"/>
        <v>440.79999999999995</v>
      </c>
      <c r="AD500" s="584">
        <f>SUM(AD465:AD499)</f>
        <v>2184</v>
      </c>
      <c r="AE500" s="584">
        <f>AD500-AC500</f>
        <v>1743.2</v>
      </c>
      <c r="AF500" s="584">
        <f>AE500/$AF$6</f>
        <v>145.26666666666668</v>
      </c>
      <c r="AG500" s="553"/>
      <c r="AH500" s="553"/>
      <c r="AI500" s="553"/>
      <c r="AJ500" s="553"/>
    </row>
    <row r="501" spans="2:36" ht="13.5" thickTop="1" x14ac:dyDescent="0.2">
      <c r="AC501" s="62"/>
      <c r="AD501" s="62">
        <f>AD163-AD500</f>
        <v>0</v>
      </c>
      <c r="AE501" s="62"/>
      <c r="AF501" s="62"/>
    </row>
    <row r="502" spans="2:36" x14ac:dyDescent="0.2">
      <c r="B502" s="579" t="s">
        <v>181</v>
      </c>
      <c r="C502" s="579"/>
      <c r="D502" s="579"/>
      <c r="E502" s="579"/>
      <c r="F502" s="579"/>
      <c r="G502" s="579"/>
      <c r="H502" s="579"/>
      <c r="I502" s="579"/>
      <c r="J502" s="580"/>
      <c r="K502" s="579"/>
      <c r="L502" s="579"/>
      <c r="M502" s="579"/>
      <c r="N502" s="579"/>
      <c r="O502" s="579"/>
      <c r="P502" s="579"/>
      <c r="Q502" s="579"/>
      <c r="R502" s="579"/>
      <c r="S502" s="579"/>
      <c r="T502" s="579"/>
      <c r="U502" s="579"/>
      <c r="V502" s="579"/>
      <c r="W502" s="579"/>
      <c r="X502" s="579"/>
      <c r="Y502" s="579"/>
      <c r="Z502" s="579"/>
      <c r="AA502" s="579"/>
      <c r="AB502" s="579"/>
      <c r="AC502" s="583"/>
      <c r="AD502" s="583"/>
      <c r="AE502" s="583"/>
      <c r="AF502" s="583"/>
    </row>
    <row r="503" spans="2:36" hidden="1" outlineLevel="1" x14ac:dyDescent="0.2">
      <c r="B503" s="7"/>
      <c r="C503" s="102" t="s">
        <v>468</v>
      </c>
      <c r="D503" s="102" t="s">
        <v>145</v>
      </c>
      <c r="E503" s="102"/>
      <c r="F503" s="102" t="s">
        <v>468</v>
      </c>
      <c r="G503" s="102">
        <v>1000</v>
      </c>
      <c r="H503" s="104" t="s">
        <v>182</v>
      </c>
      <c r="I503" s="104"/>
      <c r="J503" s="724" t="str">
        <f t="shared" ref="J503:J536" si="455">CONCATENATE(C503,D503,F503,G503,H503,I503)</f>
        <v>10000010010000230</v>
      </c>
      <c r="K503" s="109">
        <v>2022</v>
      </c>
      <c r="L503" s="109" t="s">
        <v>348</v>
      </c>
      <c r="M503" s="109" t="s">
        <v>349</v>
      </c>
      <c r="N503" s="109" t="s">
        <v>350</v>
      </c>
      <c r="O503" s="395">
        <v>0</v>
      </c>
      <c r="P503" s="395">
        <v>7897.44</v>
      </c>
      <c r="Q503" s="395">
        <v>14508.34</v>
      </c>
      <c r="R503" s="395">
        <v>8487.91</v>
      </c>
      <c r="S503" s="395">
        <v>7732.39</v>
      </c>
      <c r="T503" s="7"/>
      <c r="U503" s="7"/>
      <c r="V503" s="7"/>
      <c r="W503" s="7"/>
      <c r="X503" s="7"/>
      <c r="Y503" s="7"/>
      <c r="Z503" s="7"/>
      <c r="AA503" s="7"/>
      <c r="AB503" s="7"/>
      <c r="AC503" s="121">
        <f t="shared" ref="AC503:AC511" si="456">SUM(O503:AA503)</f>
        <v>38626.080000000002</v>
      </c>
      <c r="AD503" s="115">
        <f>ROUND(SUMIFS('Employee Detail FY22'!$AE$6:$AE$132,'Employee Detail FY22'!$B$6:$B$132,C503,'Employee Detail FY22'!$C$6:$C$132,D503,'Employee Detail FY22'!$E$6:$E$132,+F503,'Employee Detail FY22'!$F$6:$F$132,G503),0)</f>
        <v>119121</v>
      </c>
      <c r="AE503" s="117">
        <f t="shared" ref="AE503" si="457">AD503-AC503</f>
        <v>80494.92</v>
      </c>
      <c r="AF503" s="117">
        <f t="shared" ref="AF503" si="458">AE503/$AF$6</f>
        <v>6707.91</v>
      </c>
    </row>
    <row r="504" spans="2:36" hidden="1" outlineLevel="1" x14ac:dyDescent="0.2">
      <c r="B504" s="7"/>
      <c r="C504" s="102" t="s">
        <v>135</v>
      </c>
      <c r="D504" s="102" t="s">
        <v>923</v>
      </c>
      <c r="E504" s="102"/>
      <c r="F504" s="102">
        <v>100</v>
      </c>
      <c r="G504" s="102">
        <v>1000</v>
      </c>
      <c r="H504" s="104" t="s">
        <v>182</v>
      </c>
      <c r="I504" s="104"/>
      <c r="J504" s="724" t="str">
        <f t="shared" si="455"/>
        <v>28066110010000230</v>
      </c>
      <c r="K504" s="109">
        <v>2022</v>
      </c>
      <c r="L504" s="109" t="s">
        <v>348</v>
      </c>
      <c r="M504" s="109" t="s">
        <v>349</v>
      </c>
      <c r="N504" s="109" t="s">
        <v>350</v>
      </c>
      <c r="O504" s="395">
        <v>577.22</v>
      </c>
      <c r="P504" s="395">
        <v>757.95</v>
      </c>
      <c r="Q504" s="395">
        <v>1096.6300000000001</v>
      </c>
      <c r="R504" s="395">
        <v>741.3</v>
      </c>
      <c r="S504" s="395">
        <v>741.3</v>
      </c>
      <c r="T504" s="7"/>
      <c r="U504" s="7"/>
      <c r="V504" s="7"/>
      <c r="W504" s="7"/>
      <c r="X504" s="7"/>
      <c r="Y504" s="7"/>
      <c r="Z504" s="7"/>
      <c r="AA504" s="7"/>
      <c r="AB504" s="7"/>
      <c r="AC504" s="121">
        <f t="shared" si="456"/>
        <v>3914.4000000000005</v>
      </c>
      <c r="AD504" s="115">
        <f>ROUND(SUMIFS('Employee Detail FY22'!$AE$6:$AE$132,'Employee Detail FY22'!$B$6:$B$132,C504,'Employee Detail FY22'!$C$6:$C$132,D504,'Employee Detail FY22'!$E$6:$E$132,+F504,'Employee Detail FY22'!$F$6:$F$132,G504),0)</f>
        <v>9637</v>
      </c>
      <c r="AE504" s="117">
        <f t="shared" ref="AE504:AE536" si="459">AD504-AC504</f>
        <v>5722.5999999999995</v>
      </c>
      <c r="AF504" s="117">
        <f t="shared" ref="AF504:AF536" si="460">AE504/$AF$6</f>
        <v>476.88333333333327</v>
      </c>
    </row>
    <row r="505" spans="2:36" hidden="1" outlineLevel="1" x14ac:dyDescent="0.2">
      <c r="B505" s="7"/>
      <c r="C505" s="102" t="s">
        <v>135</v>
      </c>
      <c r="D505" s="104" t="s">
        <v>249</v>
      </c>
      <c r="E505" s="104"/>
      <c r="F505" s="102" t="s">
        <v>468</v>
      </c>
      <c r="G505" s="102" t="s">
        <v>461</v>
      </c>
      <c r="H505" s="104" t="s">
        <v>182</v>
      </c>
      <c r="I505" s="103"/>
      <c r="J505" s="724" t="str">
        <f t="shared" si="455"/>
        <v>28070910010000230</v>
      </c>
      <c r="K505" s="109">
        <v>2022</v>
      </c>
      <c r="L505" s="109" t="s">
        <v>348</v>
      </c>
      <c r="M505" s="109" t="s">
        <v>349</v>
      </c>
      <c r="N505" s="109" t="s">
        <v>350</v>
      </c>
      <c r="O505" s="715">
        <v>0</v>
      </c>
      <c r="P505" s="715">
        <v>0</v>
      </c>
      <c r="Q505" s="715">
        <v>0</v>
      </c>
      <c r="R505" s="715">
        <v>0</v>
      </c>
      <c r="S505" s="715">
        <v>0</v>
      </c>
      <c r="T505" s="7"/>
      <c r="U505" s="7"/>
      <c r="V505" s="7"/>
      <c r="W505" s="7"/>
      <c r="X505" s="7"/>
      <c r="Y505" s="7"/>
      <c r="Z505" s="7"/>
      <c r="AA505" s="7"/>
      <c r="AB505" s="7"/>
      <c r="AC505" s="121">
        <f t="shared" si="456"/>
        <v>0</v>
      </c>
      <c r="AD505" s="115">
        <f>ROUND(SUMIFS('Employee Detail FY22'!$AE$6:$AE$132,'Employee Detail FY22'!$B$6:$B$132,C505,'Employee Detail FY22'!$C$6:$C$132,D505,'Employee Detail FY22'!$E$6:$E$132,+F505,'Employee Detail FY22'!$F$6:$F$132,G505),0)</f>
        <v>0</v>
      </c>
      <c r="AE505" s="117">
        <f t="shared" si="459"/>
        <v>0</v>
      </c>
      <c r="AF505" s="117">
        <f t="shared" si="460"/>
        <v>0</v>
      </c>
    </row>
    <row r="506" spans="2:36" hidden="1" outlineLevel="1" x14ac:dyDescent="0.2">
      <c r="B506" s="7"/>
      <c r="C506" s="102" t="s">
        <v>468</v>
      </c>
      <c r="D506" s="104" t="s">
        <v>145</v>
      </c>
      <c r="E506" s="104"/>
      <c r="F506" s="102" t="s">
        <v>689</v>
      </c>
      <c r="G506" s="102" t="s">
        <v>461</v>
      </c>
      <c r="H506" s="104" t="s">
        <v>182</v>
      </c>
      <c r="I506" s="103"/>
      <c r="J506" s="724" t="str">
        <f t="shared" si="455"/>
        <v>10000014010000230</v>
      </c>
      <c r="K506" s="109">
        <v>2022</v>
      </c>
      <c r="L506" s="109" t="s">
        <v>348</v>
      </c>
      <c r="M506" s="109" t="s">
        <v>349</v>
      </c>
      <c r="N506" s="109" t="s">
        <v>350</v>
      </c>
      <c r="O506" s="715">
        <v>0</v>
      </c>
      <c r="P506" s="715">
        <v>0</v>
      </c>
      <c r="Q506" s="715">
        <v>0</v>
      </c>
      <c r="R506" s="715">
        <v>0</v>
      </c>
      <c r="S506" s="715">
        <v>0</v>
      </c>
      <c r="T506" s="7"/>
      <c r="U506" s="7"/>
      <c r="V506" s="7"/>
      <c r="W506" s="7"/>
      <c r="X506" s="7"/>
      <c r="Y506" s="7"/>
      <c r="Z506" s="7"/>
      <c r="AA506" s="7"/>
      <c r="AB506" s="7"/>
      <c r="AC506" s="121">
        <f t="shared" si="456"/>
        <v>0</v>
      </c>
      <c r="AD506" s="115">
        <f>ROUND(SUMIFS('Employee Detail FY22'!$AE$6:$AE$132,'Employee Detail FY22'!$B$6:$B$132,C506,'Employee Detail FY22'!$C$6:$C$132,D506,'Employee Detail FY22'!$E$6:$E$132,+F506,'Employee Detail FY22'!$F$6:$F$132,G506),0)</f>
        <v>0</v>
      </c>
      <c r="AE506" s="117">
        <f t="shared" si="459"/>
        <v>0</v>
      </c>
      <c r="AF506" s="117">
        <f t="shared" si="460"/>
        <v>0</v>
      </c>
    </row>
    <row r="507" spans="2:36" hidden="1" outlineLevel="1" x14ac:dyDescent="0.2">
      <c r="B507" s="7"/>
      <c r="C507" s="102" t="s">
        <v>468</v>
      </c>
      <c r="D507" s="104" t="s">
        <v>145</v>
      </c>
      <c r="E507" s="104"/>
      <c r="F507" s="102" t="s">
        <v>468</v>
      </c>
      <c r="G507" s="102" t="s">
        <v>465</v>
      </c>
      <c r="H507" s="104" t="s">
        <v>182</v>
      </c>
      <c r="I507" s="103"/>
      <c r="J507" s="724" t="str">
        <f t="shared" si="455"/>
        <v>10000010021100230</v>
      </c>
      <c r="K507" s="109">
        <v>2022</v>
      </c>
      <c r="L507" s="109" t="s">
        <v>348</v>
      </c>
      <c r="M507" s="109" t="s">
        <v>349</v>
      </c>
      <c r="N507" s="109" t="s">
        <v>350</v>
      </c>
      <c r="O507" s="395">
        <v>3753.31</v>
      </c>
      <c r="P507" s="395">
        <v>1987.9</v>
      </c>
      <c r="Q507" s="395">
        <v>3022.63</v>
      </c>
      <c r="R507" s="395">
        <v>1851.07</v>
      </c>
      <c r="S507" s="395">
        <v>1760.7</v>
      </c>
      <c r="T507" s="7"/>
      <c r="U507" s="7"/>
      <c r="V507" s="7"/>
      <c r="W507" s="7"/>
      <c r="X507" s="7"/>
      <c r="Y507" s="7"/>
      <c r="Z507" s="7"/>
      <c r="AA507" s="7"/>
      <c r="AB507" s="7"/>
      <c r="AC507" s="121">
        <f t="shared" si="456"/>
        <v>12375.61</v>
      </c>
      <c r="AD507" s="115">
        <f>ROUND(SUMIFS('Employee Detail FY22'!$AE$6:$AE$132,'Employee Detail FY22'!$B$6:$B$132,C507,'Employee Detail FY22'!$C$6:$C$132,D507,'Employee Detail FY22'!$E$6:$E$132,+F507,'Employee Detail FY22'!$F$6:$F$132,G507),0)</f>
        <v>22889</v>
      </c>
      <c r="AE507" s="117">
        <f t="shared" si="459"/>
        <v>10513.39</v>
      </c>
      <c r="AF507" s="117">
        <f t="shared" si="460"/>
        <v>876.11583333333328</v>
      </c>
    </row>
    <row r="508" spans="2:36" hidden="1" outlineLevel="1" x14ac:dyDescent="0.2">
      <c r="B508" s="7"/>
      <c r="C508" s="102" t="s">
        <v>135</v>
      </c>
      <c r="D508" s="102" t="s">
        <v>923</v>
      </c>
      <c r="E508" s="102"/>
      <c r="F508" s="102" t="s">
        <v>468</v>
      </c>
      <c r="G508" s="102" t="s">
        <v>465</v>
      </c>
      <c r="H508" s="104" t="s">
        <v>182</v>
      </c>
      <c r="I508" s="104"/>
      <c r="J508" s="724" t="str">
        <f t="shared" si="455"/>
        <v>28066110021100230</v>
      </c>
      <c r="K508" s="109">
        <v>2022</v>
      </c>
      <c r="L508" s="109" t="s">
        <v>348</v>
      </c>
      <c r="M508" s="109" t="s">
        <v>349</v>
      </c>
      <c r="N508" s="109" t="s">
        <v>350</v>
      </c>
      <c r="O508" s="395">
        <v>1058.72</v>
      </c>
      <c r="P508" s="395">
        <v>2503.4299999999998</v>
      </c>
      <c r="Q508" s="395">
        <v>3282.63</v>
      </c>
      <c r="R508" s="395">
        <v>2635.25</v>
      </c>
      <c r="S508" s="395">
        <v>2962.24</v>
      </c>
      <c r="T508" s="7"/>
      <c r="U508" s="7"/>
      <c r="V508" s="7"/>
      <c r="W508" s="7"/>
      <c r="X508" s="7"/>
      <c r="Y508" s="7"/>
      <c r="Z508" s="7"/>
      <c r="AA508" s="7"/>
      <c r="AB508" s="7"/>
      <c r="AC508" s="121">
        <f t="shared" si="456"/>
        <v>12442.269999999999</v>
      </c>
      <c r="AD508" s="115">
        <f>ROUND(SUMIFS('Employee Detail FY22'!$AE$6:$AE$132,'Employee Detail FY22'!$B$6:$B$132,C508,'Employee Detail FY22'!$C$6:$C$132,D508,'Employee Detail FY22'!$E$6:$E$132,+F508,'Employee Detail FY22'!$F$6:$F$132,G508),0)</f>
        <v>21323</v>
      </c>
      <c r="AE508" s="117">
        <f t="shared" si="459"/>
        <v>8880.7300000000014</v>
      </c>
      <c r="AF508" s="117">
        <f t="shared" si="460"/>
        <v>740.06083333333345</v>
      </c>
    </row>
    <row r="509" spans="2:36" hidden="1" outlineLevel="1" x14ac:dyDescent="0.2">
      <c r="B509" s="7"/>
      <c r="C509" s="102" t="s">
        <v>135</v>
      </c>
      <c r="D509" s="104" t="s">
        <v>1030</v>
      </c>
      <c r="E509" s="104"/>
      <c r="F509" s="102" t="s">
        <v>468</v>
      </c>
      <c r="G509" s="102" t="s">
        <v>465</v>
      </c>
      <c r="H509" s="104" t="s">
        <v>182</v>
      </c>
      <c r="I509" s="103"/>
      <c r="J509" s="724" t="str">
        <f t="shared" si="455"/>
        <v>28074110021100230</v>
      </c>
      <c r="K509" s="109">
        <v>2022</v>
      </c>
      <c r="L509" s="109" t="s">
        <v>348</v>
      </c>
      <c r="M509" s="109" t="s">
        <v>349</v>
      </c>
      <c r="N509" s="109" t="s">
        <v>350</v>
      </c>
      <c r="O509" s="395">
        <v>0</v>
      </c>
      <c r="P509" s="395">
        <v>765.5</v>
      </c>
      <c r="Q509" s="395">
        <v>2045.55</v>
      </c>
      <c r="R509" s="395">
        <v>1652.86</v>
      </c>
      <c r="S509" s="395">
        <v>1652.86</v>
      </c>
      <c r="T509" s="7"/>
      <c r="U509" s="7"/>
      <c r="V509" s="7"/>
      <c r="W509" s="7"/>
      <c r="X509" s="7"/>
      <c r="Y509" s="7"/>
      <c r="Z509" s="7"/>
      <c r="AA509" s="7"/>
      <c r="AB509" s="7"/>
      <c r="AC509" s="121">
        <f t="shared" si="456"/>
        <v>6116.7699999999995</v>
      </c>
      <c r="AD509" s="115">
        <f>ROUND(SUMIFS('Employee Detail FY22'!$AE$6:$AE$132,'Employee Detail FY22'!$B$6:$B$132,C509,'Employee Detail FY22'!$C$6:$C$132,D509,'Employee Detail FY22'!$E$6:$E$132,+F509,'Employee Detail FY22'!$F$6:$F$132,G509),0)</f>
        <v>21487</v>
      </c>
      <c r="AE509" s="117">
        <f t="shared" si="459"/>
        <v>15370.23</v>
      </c>
      <c r="AF509" s="117">
        <f t="shared" si="460"/>
        <v>1280.8525</v>
      </c>
    </row>
    <row r="510" spans="2:36" hidden="1" outlineLevel="1" x14ac:dyDescent="0.2">
      <c r="B510" s="7"/>
      <c r="C510" s="102" t="s">
        <v>468</v>
      </c>
      <c r="D510" s="104" t="s">
        <v>145</v>
      </c>
      <c r="E510" s="104"/>
      <c r="F510" s="102" t="s">
        <v>468</v>
      </c>
      <c r="G510" s="102" t="s">
        <v>556</v>
      </c>
      <c r="H510" s="104" t="s">
        <v>182</v>
      </c>
      <c r="I510" s="103"/>
      <c r="J510" s="724" t="str">
        <f t="shared" si="455"/>
        <v>10000010021200230</v>
      </c>
      <c r="K510" s="109">
        <v>2022</v>
      </c>
      <c r="L510" s="109" t="s">
        <v>348</v>
      </c>
      <c r="M510" s="109" t="s">
        <v>349</v>
      </c>
      <c r="N510" s="109" t="s">
        <v>350</v>
      </c>
      <c r="O510" s="395">
        <v>874.12</v>
      </c>
      <c r="P510" s="395">
        <v>874.12</v>
      </c>
      <c r="Q510" s="395">
        <v>1292.73</v>
      </c>
      <c r="R510" s="395">
        <v>874.12</v>
      </c>
      <c r="S510" s="395">
        <v>874.12</v>
      </c>
      <c r="T510" s="7"/>
      <c r="U510" s="7"/>
      <c r="V510" s="7"/>
      <c r="W510" s="7"/>
      <c r="X510" s="7"/>
      <c r="Y510" s="7"/>
      <c r="Z510" s="7"/>
      <c r="AA510" s="7"/>
      <c r="AB510" s="7"/>
      <c r="AC510" s="121">
        <f t="shared" si="456"/>
        <v>4789.21</v>
      </c>
      <c r="AD510" s="115">
        <f>ROUND(SUMIFS('Employee Detail FY22'!$AE$6:$AE$132,'Employee Detail FY22'!$B$6:$B$132,C510,'Employee Detail FY22'!$C$6:$C$132,D510,'Employee Detail FY22'!$E$6:$E$132,+F510,'Employee Detail FY22'!$F$6:$F$132,G510),0)</f>
        <v>11363</v>
      </c>
      <c r="AE510" s="117">
        <f t="shared" si="459"/>
        <v>6573.79</v>
      </c>
      <c r="AF510" s="117">
        <f t="shared" si="460"/>
        <v>547.81583333333333</v>
      </c>
    </row>
    <row r="511" spans="2:36" hidden="1" outlineLevel="1" x14ac:dyDescent="0.2">
      <c r="B511" s="7"/>
      <c r="C511" s="102" t="s">
        <v>468</v>
      </c>
      <c r="D511" s="104" t="s">
        <v>145</v>
      </c>
      <c r="E511" s="104"/>
      <c r="F511" s="102" t="s">
        <v>468</v>
      </c>
      <c r="G511" s="102" t="s">
        <v>558</v>
      </c>
      <c r="H511" s="104" t="s">
        <v>182</v>
      </c>
      <c r="I511" s="103"/>
      <c r="J511" s="724" t="str">
        <f t="shared" si="455"/>
        <v>10000010022120230</v>
      </c>
      <c r="K511" s="109">
        <v>2022</v>
      </c>
      <c r="L511" s="109" t="s">
        <v>348</v>
      </c>
      <c r="M511" s="109" t="s">
        <v>349</v>
      </c>
      <c r="N511" s="109" t="s">
        <v>350</v>
      </c>
      <c r="O511" s="395">
        <v>605.20000000000005</v>
      </c>
      <c r="P511" s="395">
        <v>605.20000000000005</v>
      </c>
      <c r="Q511" s="395">
        <v>895.02</v>
      </c>
      <c r="R511" s="395">
        <v>605.20000000000005</v>
      </c>
      <c r="S511" s="395">
        <v>605.20000000000005</v>
      </c>
      <c r="T511" s="7"/>
      <c r="U511" s="7"/>
      <c r="V511" s="7"/>
      <c r="W511" s="7"/>
      <c r="X511" s="7"/>
      <c r="Y511" s="7"/>
      <c r="Z511" s="7"/>
      <c r="AA511" s="7"/>
      <c r="AB511" s="7"/>
      <c r="AC511" s="121">
        <f t="shared" si="456"/>
        <v>3315.8199999999997</v>
      </c>
      <c r="AD511" s="115">
        <f>ROUND(SUMIFS('Employee Detail FY22'!$AE$6:$AE$132,'Employee Detail FY22'!$B$6:$B$132,C511,'Employee Detail FY22'!$C$6:$C$132,D511,'Employee Detail FY22'!$E$6:$E$132,+F511,'Employee Detail FY22'!$F$6:$F$132,G511),0)</f>
        <v>7867</v>
      </c>
      <c r="AE511" s="117">
        <f t="shared" si="459"/>
        <v>4551.18</v>
      </c>
      <c r="AF511" s="117">
        <f t="shared" si="460"/>
        <v>379.26500000000004</v>
      </c>
    </row>
    <row r="512" spans="2:36" hidden="1" outlineLevel="1" x14ac:dyDescent="0.2">
      <c r="B512" s="7"/>
      <c r="C512" s="102" t="s">
        <v>468</v>
      </c>
      <c r="D512" s="104" t="s">
        <v>145</v>
      </c>
      <c r="E512" s="104"/>
      <c r="F512" s="102" t="s">
        <v>468</v>
      </c>
      <c r="G512" s="102" t="s">
        <v>464</v>
      </c>
      <c r="H512" s="104" t="s">
        <v>182</v>
      </c>
      <c r="I512" s="103"/>
      <c r="J512" s="724" t="str">
        <f t="shared" si="455"/>
        <v>10000010023200230</v>
      </c>
      <c r="K512" s="109">
        <v>2022</v>
      </c>
      <c r="L512" s="109" t="s">
        <v>348</v>
      </c>
      <c r="M512" s="109" t="s">
        <v>349</v>
      </c>
      <c r="N512" s="109" t="s">
        <v>350</v>
      </c>
      <c r="O512" s="395">
        <v>6081.36</v>
      </c>
      <c r="P512" s="395">
        <v>6081.36</v>
      </c>
      <c r="Q512" s="395">
        <v>9019.82</v>
      </c>
      <c r="R512" s="395">
        <v>6081.37</v>
      </c>
      <c r="S512" s="395">
        <v>6081.37</v>
      </c>
      <c r="T512" s="7"/>
      <c r="U512" s="7"/>
      <c r="V512" s="7"/>
      <c r="W512" s="7"/>
      <c r="X512" s="7"/>
      <c r="Y512" s="7"/>
      <c r="Z512" s="7"/>
      <c r="AA512" s="7"/>
      <c r="AB512" s="7"/>
      <c r="AC512" s="121"/>
      <c r="AD512" s="115">
        <f>ROUND(SUMIFS('Employee Detail FY22'!$AE$6:$AE$132,'Employee Detail FY22'!$B$6:$B$132,C512,'Employee Detail FY22'!$C$6:$C$132,D512,'Employee Detail FY22'!$E$6:$E$132,+F512,'Employee Detail FY22'!$F$6:$F$132,G512),0)</f>
        <v>79058</v>
      </c>
      <c r="AE512" s="117">
        <f t="shared" si="459"/>
        <v>79058</v>
      </c>
      <c r="AF512" s="117">
        <f t="shared" si="460"/>
        <v>6588.166666666667</v>
      </c>
    </row>
    <row r="513" spans="2:32" hidden="1" outlineLevel="1" x14ac:dyDescent="0.2">
      <c r="B513" s="7"/>
      <c r="C513" s="102" t="s">
        <v>468</v>
      </c>
      <c r="D513" s="104" t="s">
        <v>145</v>
      </c>
      <c r="E513" s="104"/>
      <c r="F513" s="102" t="s">
        <v>468</v>
      </c>
      <c r="G513" s="102" t="s">
        <v>460</v>
      </c>
      <c r="H513" s="104" t="s">
        <v>182</v>
      </c>
      <c r="I513" s="103"/>
      <c r="J513" s="724" t="str">
        <f t="shared" si="455"/>
        <v>10000010024100230</v>
      </c>
      <c r="K513" s="109">
        <v>2022</v>
      </c>
      <c r="L513" s="109" t="s">
        <v>348</v>
      </c>
      <c r="M513" s="109" t="s">
        <v>349</v>
      </c>
      <c r="N513" s="109" t="s">
        <v>350</v>
      </c>
      <c r="O513" s="395">
        <v>3301.47</v>
      </c>
      <c r="P513" s="395">
        <v>3252.26</v>
      </c>
      <c r="Q513" s="395">
        <v>-1168.67</v>
      </c>
      <c r="R513" s="395">
        <v>1818.32</v>
      </c>
      <c r="S513" s="395">
        <v>2584.3000000000002</v>
      </c>
      <c r="T513" s="7"/>
      <c r="U513" s="7"/>
      <c r="V513" s="7"/>
      <c r="W513" s="7"/>
      <c r="X513" s="7"/>
      <c r="Y513" s="7"/>
      <c r="Z513" s="7"/>
      <c r="AA513" s="7"/>
      <c r="AB513" s="7"/>
      <c r="AC513" s="121">
        <f>SUM(O513:AA513)</f>
        <v>9787.68</v>
      </c>
      <c r="AD513" s="115">
        <f>ROUND(SUMIFS('Employee Detail FY22'!$AE$6:$AE$132,'Employee Detail FY22'!$B$6:$B$132,C513,'Employee Detail FY22'!$C$6:$C$132,D513,'Employee Detail FY22'!$E$6:$E$132,+F513,'Employee Detail FY22'!$F$6:$F$132,G513),0)</f>
        <v>29588</v>
      </c>
      <c r="AE513" s="117">
        <f t="shared" si="459"/>
        <v>19800.32</v>
      </c>
      <c r="AF513" s="117">
        <f t="shared" si="460"/>
        <v>1650.0266666666666</v>
      </c>
    </row>
    <row r="514" spans="2:32" hidden="1" outlineLevel="1" x14ac:dyDescent="0.2">
      <c r="B514" s="7"/>
      <c r="C514" s="102" t="s">
        <v>135</v>
      </c>
      <c r="D514" s="104" t="s">
        <v>923</v>
      </c>
      <c r="E514" s="104"/>
      <c r="F514" s="102">
        <v>100</v>
      </c>
      <c r="G514" s="102" t="s">
        <v>460</v>
      </c>
      <c r="H514" s="104" t="s">
        <v>182</v>
      </c>
      <c r="I514" s="103"/>
      <c r="J514" s="724" t="str">
        <f t="shared" si="455"/>
        <v>28066110024100230</v>
      </c>
      <c r="K514" s="109">
        <v>2022</v>
      </c>
      <c r="L514" s="109" t="s">
        <v>348</v>
      </c>
      <c r="M514" s="109" t="s">
        <v>349</v>
      </c>
      <c r="N514" s="109" t="s">
        <v>350</v>
      </c>
      <c r="O514" s="395">
        <v>0</v>
      </c>
      <c r="P514" s="395">
        <v>334.09</v>
      </c>
      <c r="Q514" s="395">
        <v>0</v>
      </c>
      <c r="R514" s="395">
        <v>0</v>
      </c>
      <c r="S514" s="395">
        <v>0</v>
      </c>
      <c r="T514" s="7"/>
      <c r="U514" s="7"/>
      <c r="V514" s="7"/>
      <c r="W514" s="7"/>
      <c r="X514" s="7"/>
      <c r="Y514" s="7"/>
      <c r="Z514" s="7"/>
      <c r="AA514" s="7"/>
      <c r="AB514" s="7"/>
      <c r="AC514" s="121">
        <f>SUM(O514:AA514)</f>
        <v>334.09</v>
      </c>
      <c r="AD514" s="115">
        <f>ROUND(SUMIFS('Employee Detail FY22'!$AE$6:$AE$132,'Employee Detail FY22'!$B$6:$B$132,C514,'Employee Detail FY22'!$C$6:$C$132,D514,'Employee Detail FY22'!$E$6:$E$132,+F514,'Employee Detail FY22'!$F$6:$F$132,G514),0)</f>
        <v>17521</v>
      </c>
      <c r="AE514" s="117">
        <f t="shared" si="459"/>
        <v>17186.91</v>
      </c>
      <c r="AF514" s="117">
        <f t="shared" si="460"/>
        <v>1432.2425000000001</v>
      </c>
    </row>
    <row r="515" spans="2:32" hidden="1" outlineLevel="1" x14ac:dyDescent="0.2">
      <c r="B515" s="7"/>
      <c r="C515" s="102" t="s">
        <v>468</v>
      </c>
      <c r="D515" s="104" t="s">
        <v>145</v>
      </c>
      <c r="E515" s="104"/>
      <c r="F515" s="102" t="s">
        <v>468</v>
      </c>
      <c r="G515" s="102" t="s">
        <v>458</v>
      </c>
      <c r="H515" s="104" t="s">
        <v>182</v>
      </c>
      <c r="I515" s="103"/>
      <c r="J515" s="342" t="str">
        <f t="shared" si="455"/>
        <v>10000010025100230</v>
      </c>
      <c r="K515" s="109">
        <v>2022</v>
      </c>
      <c r="L515" s="109" t="s">
        <v>348</v>
      </c>
      <c r="M515" s="109" t="s">
        <v>349</v>
      </c>
      <c r="N515" s="109" t="s">
        <v>350</v>
      </c>
      <c r="O515" s="395">
        <v>2254.14</v>
      </c>
      <c r="P515" s="395">
        <v>2254.14</v>
      </c>
      <c r="Q515" s="395">
        <v>3343.33</v>
      </c>
      <c r="R515" s="395">
        <v>2254.14</v>
      </c>
      <c r="S515" s="395">
        <v>2254.14</v>
      </c>
      <c r="T515" s="7"/>
      <c r="U515" s="7"/>
      <c r="V515" s="7"/>
      <c r="W515" s="7"/>
      <c r="X515" s="7"/>
      <c r="Y515" s="7"/>
      <c r="Z515" s="7"/>
      <c r="AA515" s="7"/>
      <c r="AB515" s="7"/>
      <c r="AC515" s="121">
        <f>SUM(O515:AA515)</f>
        <v>12359.89</v>
      </c>
      <c r="AD515" s="115">
        <f>ROUND(SUMIFS('Employee Detail FY22'!$AE$6:$AE$132,'Employee Detail FY22'!$B$6:$B$132,C515,'Employee Detail FY22'!$C$6:$C$132,D515,'Employee Detail FY22'!$E$6:$E$132,+F515,'Employee Detail FY22'!$F$6:$F$132,G515),0)</f>
        <v>29304</v>
      </c>
      <c r="AE515" s="117">
        <f t="shared" si="459"/>
        <v>16944.11</v>
      </c>
      <c r="AF515" s="117">
        <f t="shared" si="460"/>
        <v>1412.0091666666667</v>
      </c>
    </row>
    <row r="516" spans="2:32" hidden="1" outlineLevel="1" x14ac:dyDescent="0.2">
      <c r="B516" s="7"/>
      <c r="C516" s="102" t="s">
        <v>468</v>
      </c>
      <c r="D516" s="104" t="s">
        <v>145</v>
      </c>
      <c r="E516" s="104"/>
      <c r="F516" s="102" t="s">
        <v>468</v>
      </c>
      <c r="G516" s="102" t="s">
        <v>479</v>
      </c>
      <c r="H516" s="104" t="s">
        <v>182</v>
      </c>
      <c r="I516" s="104"/>
      <c r="J516" s="342" t="str">
        <f t="shared" si="455"/>
        <v>10000010025800230</v>
      </c>
      <c r="K516" s="109">
        <v>2022</v>
      </c>
      <c r="L516" s="109" t="s">
        <v>348</v>
      </c>
      <c r="M516" s="109" t="s">
        <v>349</v>
      </c>
      <c r="N516" s="109" t="s">
        <v>350</v>
      </c>
      <c r="O516" s="395">
        <v>1144.24</v>
      </c>
      <c r="P516" s="395">
        <v>1144.24</v>
      </c>
      <c r="Q516" s="395">
        <v>1697.12</v>
      </c>
      <c r="R516" s="395">
        <v>1144.24</v>
      </c>
      <c r="S516" s="395">
        <v>1144.24</v>
      </c>
      <c r="T516" s="7"/>
      <c r="U516" s="7"/>
      <c r="V516" s="7"/>
      <c r="W516" s="7"/>
      <c r="X516" s="7"/>
      <c r="Y516" s="7"/>
      <c r="Z516" s="7"/>
      <c r="AA516" s="7"/>
      <c r="AB516" s="7"/>
      <c r="AC516" s="121"/>
      <c r="AD516" s="115">
        <f>ROUND(SUMIFS('Employee Detail FY22'!$AE$6:$AE$132,'Employee Detail FY22'!$B$6:$B$132,C516,'Employee Detail FY22'!$C$6:$C$132,D516,'Employee Detail FY22'!$E$6:$E$132,+F516,'Employee Detail FY22'!$F$6:$F$132,G516),0)</f>
        <v>14875</v>
      </c>
      <c r="AE516" s="117">
        <f t="shared" si="459"/>
        <v>14875</v>
      </c>
      <c r="AF516" s="117">
        <f t="shared" si="460"/>
        <v>1239.5833333333333</v>
      </c>
    </row>
    <row r="517" spans="2:32" hidden="1" outlineLevel="1" x14ac:dyDescent="0.2">
      <c r="B517" s="7"/>
      <c r="C517" s="102" t="s">
        <v>468</v>
      </c>
      <c r="D517" s="104" t="s">
        <v>145</v>
      </c>
      <c r="E517" s="104"/>
      <c r="F517" s="102" t="s">
        <v>468</v>
      </c>
      <c r="G517" s="102" t="s">
        <v>459</v>
      </c>
      <c r="H517" s="104" t="s">
        <v>182</v>
      </c>
      <c r="I517" s="104"/>
      <c r="J517" s="342" t="str">
        <f t="shared" si="455"/>
        <v>10000010025820230</v>
      </c>
      <c r="K517" s="109">
        <v>2022</v>
      </c>
      <c r="L517" s="109" t="s">
        <v>348</v>
      </c>
      <c r="M517" s="109" t="s">
        <v>349</v>
      </c>
      <c r="N517" s="109" t="s">
        <v>350</v>
      </c>
      <c r="O517" s="395">
        <v>1224.1400000000001</v>
      </c>
      <c r="P517" s="395">
        <v>1224.1400000000001</v>
      </c>
      <c r="Q517" s="395">
        <v>1810.39</v>
      </c>
      <c r="R517" s="395">
        <v>1224.1400000000001</v>
      </c>
      <c r="S517" s="395">
        <v>1224.1400000000001</v>
      </c>
      <c r="T517" s="7"/>
      <c r="U517" s="7"/>
      <c r="V517" s="7"/>
      <c r="W517" s="7"/>
      <c r="X517" s="7"/>
      <c r="Y517" s="7"/>
      <c r="Z517" s="7"/>
      <c r="AA517" s="7"/>
      <c r="AB517" s="7"/>
      <c r="AC517" s="121">
        <f t="shared" ref="AC517:AC519" si="461">SUM(O517:AA517)</f>
        <v>6706.9500000000007</v>
      </c>
      <c r="AD517" s="115">
        <f>ROUND(SUMIFS('Employee Detail FY22'!$AE$6:$AE$132,'Employee Detail FY22'!$B$6:$B$132,C517,'Employee Detail FY22'!$C$6:$C$132,D517,'Employee Detail FY22'!$E$6:$E$132,+F517,'Employee Detail FY22'!$F$6:$F$132,G517),0)</f>
        <v>15914</v>
      </c>
      <c r="AE517" s="117">
        <f t="shared" si="459"/>
        <v>9207.0499999999993</v>
      </c>
      <c r="AF517" s="117">
        <f t="shared" si="460"/>
        <v>767.25416666666661</v>
      </c>
    </row>
    <row r="518" spans="2:32" hidden="1" outlineLevel="1" x14ac:dyDescent="0.2">
      <c r="B518" s="7"/>
      <c r="C518" s="102" t="s">
        <v>462</v>
      </c>
      <c r="D518" s="581" t="s">
        <v>145</v>
      </c>
      <c r="E518" s="104"/>
      <c r="F518" s="102" t="s">
        <v>463</v>
      </c>
      <c r="G518" s="102">
        <v>1000</v>
      </c>
      <c r="H518" s="104" t="s">
        <v>182</v>
      </c>
      <c r="I518" s="103"/>
      <c r="J518" s="342" t="str">
        <f t="shared" si="455"/>
        <v>25000020010000230</v>
      </c>
      <c r="K518" s="109">
        <v>2022</v>
      </c>
      <c r="L518" s="109" t="s">
        <v>348</v>
      </c>
      <c r="M518" s="109" t="s">
        <v>349</v>
      </c>
      <c r="N518" s="109" t="s">
        <v>350</v>
      </c>
      <c r="O518" s="395">
        <v>0</v>
      </c>
      <c r="P518" s="395">
        <v>3806.49</v>
      </c>
      <c r="Q518" s="395">
        <v>8849.65</v>
      </c>
      <c r="R518" s="395">
        <v>5007.5600000000004</v>
      </c>
      <c r="S518" s="395">
        <v>5707.64</v>
      </c>
      <c r="T518" s="7"/>
      <c r="U518" s="7"/>
      <c r="V518" s="7"/>
      <c r="W518" s="7"/>
      <c r="X518" s="7"/>
      <c r="Y518" s="7"/>
      <c r="Z518" s="7"/>
      <c r="AA518" s="7"/>
      <c r="AB518" s="7"/>
      <c r="AC518" s="121">
        <f t="shared" si="461"/>
        <v>23371.34</v>
      </c>
      <c r="AD518" s="115">
        <f>ROUND(SUMIFS('Employee Detail FY22'!$AE$6:$AE$132,'Employee Detail FY22'!$B$6:$B$132,C518,'Employee Detail FY22'!$C$6:$C$132,D518,'Employee Detail FY22'!$E$6:$E$132,+F518,'Employee Detail FY22'!$F$6:$F$132,G518),0)</f>
        <v>55890</v>
      </c>
      <c r="AE518" s="117">
        <f t="shared" si="459"/>
        <v>32518.66</v>
      </c>
      <c r="AF518" s="117">
        <f t="shared" si="460"/>
        <v>2709.8883333333333</v>
      </c>
    </row>
    <row r="519" spans="2:32" hidden="1" outlineLevel="1" x14ac:dyDescent="0.2">
      <c r="B519" s="7"/>
      <c r="C519" s="102" t="s">
        <v>135</v>
      </c>
      <c r="D519" s="581" t="s">
        <v>247</v>
      </c>
      <c r="E519" s="104"/>
      <c r="F519" s="102">
        <v>200</v>
      </c>
      <c r="G519" s="102">
        <v>1000</v>
      </c>
      <c r="H519" s="104" t="s">
        <v>182</v>
      </c>
      <c r="I519" s="103"/>
      <c r="J519" s="342" t="str">
        <f t="shared" si="455"/>
        <v>28063920010000230</v>
      </c>
      <c r="K519" s="109">
        <v>2022</v>
      </c>
      <c r="L519" s="109" t="s">
        <v>348</v>
      </c>
      <c r="M519" s="109" t="s">
        <v>349</v>
      </c>
      <c r="N519" s="109" t="s">
        <v>350</v>
      </c>
      <c r="O519" s="395">
        <v>0</v>
      </c>
      <c r="P519" s="395">
        <v>2524.04</v>
      </c>
      <c r="Q519" s="395">
        <v>1269.92</v>
      </c>
      <c r="R519" s="395">
        <v>2524.04</v>
      </c>
      <c r="S519" s="395">
        <v>2524.04</v>
      </c>
      <c r="T519" s="7"/>
      <c r="U519" s="7"/>
      <c r="V519" s="7"/>
      <c r="W519" s="7"/>
      <c r="X519" s="7"/>
      <c r="Y519" s="7"/>
      <c r="Z519" s="7"/>
      <c r="AA519" s="7"/>
      <c r="AB519" s="7"/>
      <c r="AC519" s="121">
        <f t="shared" si="461"/>
        <v>8842.0400000000009</v>
      </c>
      <c r="AD519" s="115">
        <f>ROUND(SUMIFS('Employee Detail FY22'!$AE$6:$AE$132,'Employee Detail FY22'!$B$6:$B$132,C519,'Employee Detail FY22'!$C$6:$C$132,D519,'Employee Detail FY22'!$E$6:$E$132,+F519,'Employee Detail FY22'!$F$6:$F$132,G519),0)</f>
        <v>32812</v>
      </c>
      <c r="AE519" s="117">
        <f t="shared" si="459"/>
        <v>23969.96</v>
      </c>
      <c r="AF519" s="117">
        <f t="shared" si="460"/>
        <v>1997.4966666666667</v>
      </c>
    </row>
    <row r="520" spans="2:32" hidden="1" outlineLevel="1" x14ac:dyDescent="0.2">
      <c r="B520" s="7"/>
      <c r="C520" s="102" t="s">
        <v>462</v>
      </c>
      <c r="D520" s="102" t="s">
        <v>132</v>
      </c>
      <c r="E520" s="102"/>
      <c r="F520" s="102" t="s">
        <v>463</v>
      </c>
      <c r="G520" s="102">
        <v>2130</v>
      </c>
      <c r="H520" s="104" t="s">
        <v>182</v>
      </c>
      <c r="I520" s="104"/>
      <c r="J520" s="342" t="str">
        <f t="shared" si="455"/>
        <v>25020520021300230</v>
      </c>
      <c r="K520" s="109">
        <v>2022</v>
      </c>
      <c r="L520" s="109" t="s">
        <v>348</v>
      </c>
      <c r="M520" s="109" t="s">
        <v>349</v>
      </c>
      <c r="N520" s="109" t="s">
        <v>350</v>
      </c>
      <c r="O520" s="395">
        <v>0</v>
      </c>
      <c r="P520" s="395">
        <v>0</v>
      </c>
      <c r="Q520" s="395">
        <v>0</v>
      </c>
      <c r="R520" s="395">
        <v>276.8</v>
      </c>
      <c r="S520" s="395">
        <v>0</v>
      </c>
      <c r="T520" s="7"/>
      <c r="U520" s="7"/>
      <c r="V520" s="7"/>
      <c r="W520" s="7"/>
      <c r="X520" s="7"/>
      <c r="Y520" s="7"/>
      <c r="Z520" s="7"/>
      <c r="AA520" s="7"/>
      <c r="AB520" s="7"/>
      <c r="AC520" s="121"/>
      <c r="AD520" s="115">
        <f>ROUND(SUMIFS('Employee Detail FY22'!$AE$6:$AE$132,'Employee Detail FY22'!$B$6:$B$132,C520,'Employee Detail FY22'!$C$6:$C$132,D520,'Employee Detail FY22'!$E$6:$E$132,+F520,'Employee Detail FY22'!$F$6:$F$132,G520),0)</f>
        <v>0</v>
      </c>
      <c r="AE520" s="117">
        <f t="shared" si="459"/>
        <v>0</v>
      </c>
      <c r="AF520" s="117">
        <f t="shared" si="460"/>
        <v>0</v>
      </c>
    </row>
    <row r="521" spans="2:32" hidden="1" outlineLevel="1" x14ac:dyDescent="0.2">
      <c r="B521" s="7"/>
      <c r="C521" s="102" t="s">
        <v>462</v>
      </c>
      <c r="D521" s="102" t="s">
        <v>132</v>
      </c>
      <c r="E521" s="102"/>
      <c r="F521" s="102" t="s">
        <v>463</v>
      </c>
      <c r="G521" s="102">
        <v>2140</v>
      </c>
      <c r="H521" s="104" t="s">
        <v>182</v>
      </c>
      <c r="I521" s="104"/>
      <c r="J521" s="342" t="str">
        <f t="shared" si="455"/>
        <v>25020520021400230</v>
      </c>
      <c r="K521" s="109">
        <v>2022</v>
      </c>
      <c r="L521" s="109" t="s">
        <v>348</v>
      </c>
      <c r="M521" s="109" t="s">
        <v>349</v>
      </c>
      <c r="N521" s="109" t="s">
        <v>350</v>
      </c>
      <c r="O521" s="395">
        <v>0</v>
      </c>
      <c r="P521" s="395">
        <v>978.14</v>
      </c>
      <c r="Q521" s="395">
        <v>1448.85</v>
      </c>
      <c r="R521" s="395">
        <v>978.14</v>
      </c>
      <c r="S521" s="395">
        <v>911.97</v>
      </c>
      <c r="T521" s="7"/>
      <c r="U521" s="7"/>
      <c r="V521" s="7"/>
      <c r="W521" s="7"/>
      <c r="X521" s="7"/>
      <c r="Y521" s="7"/>
      <c r="Z521" s="7"/>
      <c r="AA521" s="7"/>
      <c r="AB521" s="7"/>
      <c r="AC521" s="121">
        <f>SUM(O521:AA521)</f>
        <v>4317.0999999999995</v>
      </c>
      <c r="AD521" s="115">
        <f>ROUND(SUMIFS('Employee Detail FY22'!$AE$6:$AE$132,'Employee Detail FY22'!$B$6:$B$132,C521,'Employee Detail FY22'!$C$6:$C$132,D521,'Employee Detail FY22'!$E$6:$E$132,+F521,'Employee Detail FY22'!$F$6:$F$132,G521),0)</f>
        <v>12716</v>
      </c>
      <c r="AE521" s="117">
        <f t="shared" si="459"/>
        <v>8398.9000000000015</v>
      </c>
      <c r="AF521" s="117">
        <f t="shared" si="460"/>
        <v>699.90833333333342</v>
      </c>
    </row>
    <row r="522" spans="2:32" hidden="1" outlineLevel="1" x14ac:dyDescent="0.2">
      <c r="B522" s="7"/>
      <c r="C522" s="102" t="s">
        <v>462</v>
      </c>
      <c r="D522" s="104">
        <v>205</v>
      </c>
      <c r="E522" s="104"/>
      <c r="F522" s="102" t="s">
        <v>463</v>
      </c>
      <c r="G522" s="102">
        <v>2410</v>
      </c>
      <c r="H522" s="104" t="s">
        <v>182</v>
      </c>
      <c r="I522" s="104"/>
      <c r="J522" s="714" t="str">
        <f t="shared" si="455"/>
        <v>25020520024100230</v>
      </c>
      <c r="K522" s="109">
        <v>2022</v>
      </c>
      <c r="L522" s="109" t="s">
        <v>348</v>
      </c>
      <c r="M522" s="109" t="s">
        <v>349</v>
      </c>
      <c r="N522" s="109" t="s">
        <v>350</v>
      </c>
      <c r="O522" s="395">
        <v>0</v>
      </c>
      <c r="P522" s="395">
        <v>0</v>
      </c>
      <c r="Q522" s="395">
        <v>359.84</v>
      </c>
      <c r="R522" s="395">
        <v>276.8</v>
      </c>
      <c r="S522" s="395">
        <v>619.77</v>
      </c>
      <c r="T522" s="7"/>
      <c r="U522" s="7"/>
      <c r="V522" s="7"/>
      <c r="W522" s="7"/>
      <c r="X522" s="7"/>
      <c r="Y522" s="7"/>
      <c r="Z522" s="7"/>
      <c r="AA522" s="7"/>
      <c r="AB522" s="7"/>
      <c r="AC522" s="121"/>
      <c r="AD522" s="115">
        <f>ROUND(SUMIFS('Employee Detail FY22'!$AE$6:$AE$132,'Employee Detail FY22'!$B$6:$B$132,C522,'Employee Detail FY22'!$C$6:$C$132,D522,'Employee Detail FY22'!$E$6:$E$132,+F522,'Employee Detail FY22'!$F$6:$F$132,G522),0)</f>
        <v>7197</v>
      </c>
      <c r="AE522" s="117">
        <f t="shared" si="459"/>
        <v>7197</v>
      </c>
      <c r="AF522" s="117">
        <f t="shared" si="460"/>
        <v>599.75</v>
      </c>
    </row>
    <row r="523" spans="2:32" hidden="1" outlineLevel="1" x14ac:dyDescent="0.2">
      <c r="B523" s="7"/>
      <c r="C523" s="102" t="s">
        <v>135</v>
      </c>
      <c r="D523" s="104" t="s">
        <v>247</v>
      </c>
      <c r="E523" s="104"/>
      <c r="F523" s="102" t="s">
        <v>473</v>
      </c>
      <c r="G523" s="102" t="s">
        <v>461</v>
      </c>
      <c r="H523" s="104" t="s">
        <v>182</v>
      </c>
      <c r="I523" s="103"/>
      <c r="J523" s="714" t="str">
        <f t="shared" si="455"/>
        <v>28063924010000230</v>
      </c>
      <c r="K523" s="109">
        <v>2022</v>
      </c>
      <c r="L523" s="109" t="s">
        <v>348</v>
      </c>
      <c r="M523" s="109" t="s">
        <v>349</v>
      </c>
      <c r="N523" s="109" t="s">
        <v>350</v>
      </c>
      <c r="O523" s="715">
        <v>0</v>
      </c>
      <c r="P523" s="715">
        <v>0</v>
      </c>
      <c r="Q523" s="715">
        <v>0</v>
      </c>
      <c r="R523" s="715">
        <v>0</v>
      </c>
      <c r="S523" s="715">
        <v>0</v>
      </c>
      <c r="T523" s="7"/>
      <c r="U523" s="7"/>
      <c r="V523" s="7"/>
      <c r="W523" s="7"/>
      <c r="X523" s="7"/>
      <c r="Y523" s="7"/>
      <c r="Z523" s="7"/>
      <c r="AA523" s="7"/>
      <c r="AB523" s="7"/>
      <c r="AC523" s="121">
        <f>SUM(O523:AA523)</f>
        <v>0</v>
      </c>
      <c r="AD523" s="115">
        <f>ROUND(SUMIFS('Employee Detail FY22'!$AE$6:$AE$132,'Employee Detail FY22'!$B$6:$B$132,C523,'Employee Detail FY22'!$C$6:$C$132,D523,'Employee Detail FY22'!$E$6:$E$132,+F523,'Employee Detail FY22'!$F$6:$F$132,G523),0)</f>
        <v>0</v>
      </c>
      <c r="AE523" s="117">
        <f t="shared" si="459"/>
        <v>0</v>
      </c>
      <c r="AF523" s="117">
        <f t="shared" si="460"/>
        <v>0</v>
      </c>
    </row>
    <row r="524" spans="2:32" hidden="1" outlineLevel="1" x14ac:dyDescent="0.2">
      <c r="B524" s="7"/>
      <c r="C524" s="102" t="s">
        <v>135</v>
      </c>
      <c r="D524" s="104" t="s">
        <v>864</v>
      </c>
      <c r="E524" s="104"/>
      <c r="F524" s="102" t="s">
        <v>557</v>
      </c>
      <c r="G524" s="102" t="s">
        <v>465</v>
      </c>
      <c r="H524" s="104" t="s">
        <v>182</v>
      </c>
      <c r="I524" s="103"/>
      <c r="J524" s="714" t="str">
        <f t="shared" si="455"/>
        <v>28065842021100230</v>
      </c>
      <c r="K524" s="109">
        <v>2022</v>
      </c>
      <c r="L524" s="109" t="s">
        <v>348</v>
      </c>
      <c r="M524" s="109" t="s">
        <v>349</v>
      </c>
      <c r="N524" s="109" t="s">
        <v>350</v>
      </c>
      <c r="O524" s="715">
        <v>0</v>
      </c>
      <c r="P524" s="715">
        <v>0</v>
      </c>
      <c r="Q524" s="715">
        <v>0</v>
      </c>
      <c r="R524" s="715">
        <v>0</v>
      </c>
      <c r="S524" s="715">
        <v>0</v>
      </c>
      <c r="T524" s="7"/>
      <c r="U524" s="7"/>
      <c r="V524" s="7"/>
      <c r="W524" s="7"/>
      <c r="X524" s="7"/>
      <c r="Y524" s="7"/>
      <c r="Z524" s="7"/>
      <c r="AA524" s="7"/>
      <c r="AB524" s="7"/>
      <c r="AC524" s="121">
        <f>SUM(O524:AA524)</f>
        <v>0</v>
      </c>
      <c r="AD524" s="115">
        <f>ROUND(SUMIFS('Employee Detail FY22'!$AE$6:$AE$132,'Employee Detail FY22'!$B$6:$B$132,C524,'Employee Detail FY22'!$C$6:$C$132,D524,'Employee Detail FY22'!$E$6:$E$132,+F524,'Employee Detail FY22'!$F$6:$F$132,G524),0)</f>
        <v>0</v>
      </c>
      <c r="AE524" s="117">
        <f t="shared" si="459"/>
        <v>0</v>
      </c>
      <c r="AF524" s="117">
        <f t="shared" si="460"/>
        <v>0</v>
      </c>
    </row>
    <row r="525" spans="2:32" hidden="1" outlineLevel="1" x14ac:dyDescent="0.2">
      <c r="B525" s="7"/>
      <c r="C525" s="102" t="s">
        <v>135</v>
      </c>
      <c r="D525" s="102" t="s">
        <v>864</v>
      </c>
      <c r="E525" s="102"/>
      <c r="F525" s="102">
        <v>420</v>
      </c>
      <c r="G525" s="102">
        <v>2120</v>
      </c>
      <c r="H525" s="104" t="s">
        <v>182</v>
      </c>
      <c r="I525" s="103"/>
      <c r="J525" s="714" t="str">
        <f t="shared" si="455"/>
        <v>28065842021200230</v>
      </c>
      <c r="K525" s="109">
        <v>2022</v>
      </c>
      <c r="L525" s="109" t="s">
        <v>348</v>
      </c>
      <c r="M525" s="109" t="s">
        <v>349</v>
      </c>
      <c r="N525" s="109" t="s">
        <v>350</v>
      </c>
      <c r="O525" s="715">
        <v>0</v>
      </c>
      <c r="P525" s="715">
        <v>0</v>
      </c>
      <c r="Q525" s="715">
        <v>0</v>
      </c>
      <c r="R525" s="715">
        <v>0</v>
      </c>
      <c r="S525" s="715">
        <v>0</v>
      </c>
      <c r="T525" s="7"/>
      <c r="U525" s="7"/>
      <c r="V525" s="7"/>
      <c r="W525" s="7"/>
      <c r="X525" s="7"/>
      <c r="Y525" s="7"/>
      <c r="Z525" s="7"/>
      <c r="AA525" s="7"/>
      <c r="AB525" s="7"/>
      <c r="AC525" s="121"/>
      <c r="AD525" s="115">
        <f>ROUND(SUMIFS('Employee Detail FY22'!$AE$6:$AE$132,'Employee Detail FY22'!$B$6:$B$132,C525,'Employee Detail FY22'!$C$6:$C$132,D525,'Employee Detail FY22'!$E$6:$E$132,+F525,'Employee Detail FY22'!$F$6:$F$132,G525),0)</f>
        <v>0</v>
      </c>
      <c r="AE525" s="117">
        <f t="shared" si="459"/>
        <v>0</v>
      </c>
      <c r="AF525" s="117">
        <f t="shared" si="460"/>
        <v>0</v>
      </c>
    </row>
    <row r="526" spans="2:32" hidden="1" outlineLevel="1" x14ac:dyDescent="0.2">
      <c r="B526" s="7"/>
      <c r="C526" s="102" t="s">
        <v>135</v>
      </c>
      <c r="D526" s="102" t="s">
        <v>864</v>
      </c>
      <c r="E526" s="102"/>
      <c r="F526" s="102" t="s">
        <v>557</v>
      </c>
      <c r="G526" s="102" t="s">
        <v>558</v>
      </c>
      <c r="H526" s="104" t="s">
        <v>182</v>
      </c>
      <c r="I526" s="104"/>
      <c r="J526" s="714" t="str">
        <f t="shared" si="455"/>
        <v>28065842022120230</v>
      </c>
      <c r="K526" s="109">
        <v>2022</v>
      </c>
      <c r="L526" s="109" t="s">
        <v>348</v>
      </c>
      <c r="M526" s="109" t="s">
        <v>349</v>
      </c>
      <c r="N526" s="109" t="s">
        <v>350</v>
      </c>
      <c r="O526" s="715">
        <v>0</v>
      </c>
      <c r="P526" s="715">
        <v>0</v>
      </c>
      <c r="Q526" s="715">
        <v>0</v>
      </c>
      <c r="R526" s="715">
        <v>0</v>
      </c>
      <c r="S526" s="715">
        <v>0</v>
      </c>
      <c r="T526" s="7"/>
      <c r="U526" s="7"/>
      <c r="V526" s="7"/>
      <c r="W526" s="7"/>
      <c r="X526" s="7"/>
      <c r="Y526" s="7"/>
      <c r="Z526" s="7"/>
      <c r="AA526" s="7"/>
      <c r="AB526" s="7"/>
      <c r="AC526" s="121"/>
      <c r="AD526" s="115">
        <f>ROUND(SUMIFS('Employee Detail FY22'!$AE$6:$AE$132,'Employee Detail FY22'!$B$6:$B$132,C526,'Employee Detail FY22'!$C$6:$C$132,D526,'Employee Detail FY22'!$E$6:$E$132,+F526,'Employee Detail FY22'!$F$6:$F$132,G526),0)</f>
        <v>0</v>
      </c>
      <c r="AE526" s="117">
        <f t="shared" si="459"/>
        <v>0</v>
      </c>
      <c r="AF526" s="117">
        <f t="shared" si="460"/>
        <v>0</v>
      </c>
    </row>
    <row r="527" spans="2:32" hidden="1" outlineLevel="1" x14ac:dyDescent="0.2">
      <c r="B527" s="7"/>
      <c r="C527" s="102" t="s">
        <v>135</v>
      </c>
      <c r="D527" s="102" t="s">
        <v>245</v>
      </c>
      <c r="E527" s="102"/>
      <c r="F527" s="102">
        <v>430</v>
      </c>
      <c r="G527" s="102" t="s">
        <v>461</v>
      </c>
      <c r="H527" s="104" t="s">
        <v>182</v>
      </c>
      <c r="I527" s="104"/>
      <c r="J527" s="714" t="str">
        <f t="shared" si="455"/>
        <v>28063343010000230</v>
      </c>
      <c r="K527" s="109">
        <v>2022</v>
      </c>
      <c r="L527" s="109" t="s">
        <v>348</v>
      </c>
      <c r="M527" s="109" t="s">
        <v>349</v>
      </c>
      <c r="N527" s="109" t="s">
        <v>350</v>
      </c>
      <c r="O527" s="395">
        <v>0</v>
      </c>
      <c r="P527" s="395">
        <v>350.91</v>
      </c>
      <c r="Q527" s="395">
        <v>6.71</v>
      </c>
      <c r="R527" s="395">
        <v>715.24</v>
      </c>
      <c r="S527" s="395">
        <v>715.24</v>
      </c>
      <c r="T527" s="7"/>
      <c r="U527" s="7"/>
      <c r="V527" s="7"/>
      <c r="W527" s="7"/>
      <c r="X527" s="7"/>
      <c r="Y527" s="7"/>
      <c r="Z527" s="7"/>
      <c r="AA527" s="7"/>
      <c r="AB527" s="7"/>
      <c r="AC527" s="121"/>
      <c r="AD527" s="115">
        <f>ROUND(SUMIFS('Employee Detail FY22'!$AE$6:$AE$132,'Employee Detail FY22'!$B$6:$B$132,C527,'Employee Detail FY22'!$C$6:$C$132,D527,'Employee Detail FY22'!$E$6:$E$132,+F527,'Employee Detail FY22'!$F$6:$F$132,G527),0)</f>
        <v>5632</v>
      </c>
      <c r="AE527" s="117">
        <f t="shared" si="459"/>
        <v>5632</v>
      </c>
      <c r="AF527" s="117">
        <f t="shared" si="460"/>
        <v>469.33333333333331</v>
      </c>
    </row>
    <row r="528" spans="2:32" hidden="1" outlineLevel="1" x14ac:dyDescent="0.2">
      <c r="B528" s="7"/>
      <c r="C528" s="102" t="s">
        <v>135</v>
      </c>
      <c r="D528" s="102" t="s">
        <v>242</v>
      </c>
      <c r="E528" s="102"/>
      <c r="F528" s="102" t="s">
        <v>532</v>
      </c>
      <c r="G528" s="102" t="s">
        <v>461</v>
      </c>
      <c r="H528" s="104" t="s">
        <v>182</v>
      </c>
      <c r="I528" s="515"/>
      <c r="J528" s="714" t="str">
        <f t="shared" si="455"/>
        <v>28062443010000230</v>
      </c>
      <c r="K528" s="102">
        <v>2022</v>
      </c>
      <c r="L528" s="102" t="s">
        <v>348</v>
      </c>
      <c r="M528" s="102" t="s">
        <v>349</v>
      </c>
      <c r="N528" s="102" t="s">
        <v>350</v>
      </c>
      <c r="O528" s="395">
        <v>0</v>
      </c>
      <c r="P528" s="395">
        <v>0</v>
      </c>
      <c r="Q528" s="395">
        <v>357.62</v>
      </c>
      <c r="R528" s="395">
        <v>715.24</v>
      </c>
      <c r="S528" s="395">
        <v>714.12</v>
      </c>
      <c r="T528" s="7"/>
      <c r="U528" s="7"/>
      <c r="V528" s="7"/>
      <c r="W528" s="7"/>
      <c r="X528" s="7"/>
      <c r="Y528" s="7"/>
      <c r="Z528" s="7"/>
      <c r="AA528" s="7"/>
      <c r="AB528" s="7"/>
      <c r="AC528" s="121"/>
      <c r="AD528" s="115">
        <f>ROUND(SUMIFS('Employee Detail FY22'!$AE$6:$AE$132,'Employee Detail FY22'!$B$6:$B$132,C528,'Employee Detail FY22'!$C$6:$C$132,D528,'Employee Detail FY22'!$E$6:$E$132,+F528,'Employee Detail FY22'!$F$6:$F$132,G528),0)</f>
        <v>0</v>
      </c>
      <c r="AE528" s="117">
        <f t="shared" si="459"/>
        <v>0</v>
      </c>
      <c r="AF528" s="117">
        <f t="shared" si="460"/>
        <v>0</v>
      </c>
    </row>
    <row r="529" spans="2:36" hidden="1" outlineLevel="1" x14ac:dyDescent="0.2">
      <c r="B529" s="7"/>
      <c r="C529" s="102" t="s">
        <v>135</v>
      </c>
      <c r="D529" s="102" t="s">
        <v>242</v>
      </c>
      <c r="E529" s="104"/>
      <c r="F529" s="102" t="s">
        <v>532</v>
      </c>
      <c r="G529" s="102" t="s">
        <v>465</v>
      </c>
      <c r="H529" s="104" t="s">
        <v>182</v>
      </c>
      <c r="I529" s="103"/>
      <c r="J529" s="714" t="str">
        <f t="shared" si="455"/>
        <v>28062443021100230</v>
      </c>
      <c r="K529" s="109">
        <v>2022</v>
      </c>
      <c r="L529" s="109" t="s">
        <v>348</v>
      </c>
      <c r="M529" s="109" t="s">
        <v>349</v>
      </c>
      <c r="N529" s="109" t="s">
        <v>350</v>
      </c>
      <c r="O529" s="715">
        <v>0</v>
      </c>
      <c r="P529" s="715">
        <v>0</v>
      </c>
      <c r="Q529" s="715">
        <v>0</v>
      </c>
      <c r="R529" s="715">
        <v>0</v>
      </c>
      <c r="S529" s="715">
        <v>0</v>
      </c>
      <c r="T529" s="7"/>
      <c r="U529" s="7"/>
      <c r="V529" s="7"/>
      <c r="W529" s="7"/>
      <c r="X529" s="7"/>
      <c r="Y529" s="7"/>
      <c r="Z529" s="7"/>
      <c r="AA529" s="7"/>
      <c r="AB529" s="7"/>
      <c r="AC529" s="121"/>
      <c r="AD529" s="115">
        <f>ROUND(SUMIFS('Employee Detail FY22'!$AE$6:$AE$132,'Employee Detail FY22'!$B$6:$B$132,C529,'Employee Detail FY22'!$C$6:$C$132,D529,'Employee Detail FY22'!$E$6:$E$132,+F529,'Employee Detail FY22'!$F$6:$F$132,G529),0)</f>
        <v>0</v>
      </c>
      <c r="AE529" s="117">
        <f t="shared" si="459"/>
        <v>0</v>
      </c>
      <c r="AF529" s="117">
        <f t="shared" si="460"/>
        <v>0</v>
      </c>
    </row>
    <row r="530" spans="2:36" hidden="1" outlineLevel="1" x14ac:dyDescent="0.2">
      <c r="B530" s="7"/>
      <c r="C530" s="102" t="s">
        <v>135</v>
      </c>
      <c r="D530" s="102" t="s">
        <v>242</v>
      </c>
      <c r="E530" s="102"/>
      <c r="F530" s="102" t="s">
        <v>532</v>
      </c>
      <c r="G530" s="102" t="s">
        <v>556</v>
      </c>
      <c r="H530" s="104" t="s">
        <v>182</v>
      </c>
      <c r="I530" s="103"/>
      <c r="J530" s="714" t="str">
        <f t="shared" si="455"/>
        <v>28062443021200230</v>
      </c>
      <c r="K530" s="109">
        <v>2022</v>
      </c>
      <c r="L530" s="109" t="s">
        <v>348</v>
      </c>
      <c r="M530" s="109" t="s">
        <v>349</v>
      </c>
      <c r="N530" s="109" t="s">
        <v>350</v>
      </c>
      <c r="O530" s="715">
        <v>0</v>
      </c>
      <c r="P530" s="715">
        <v>0</v>
      </c>
      <c r="Q530" s="715">
        <v>0</v>
      </c>
      <c r="R530" s="715">
        <v>0</v>
      </c>
      <c r="S530" s="715">
        <v>0</v>
      </c>
      <c r="T530" s="7"/>
      <c r="U530" s="7"/>
      <c r="V530" s="7"/>
      <c r="W530" s="7"/>
      <c r="X530" s="7"/>
      <c r="Y530" s="7"/>
      <c r="Z530" s="7"/>
      <c r="AA530" s="7"/>
      <c r="AB530" s="7"/>
      <c r="AC530" s="121"/>
      <c r="AD530" s="115">
        <f>ROUND(SUMIFS('Employee Detail FY22'!$AE$6:$AE$132,'Employee Detail FY22'!$B$6:$B$132,C530,'Employee Detail FY22'!$C$6:$C$132,D530,'Employee Detail FY22'!$E$6:$E$132,+F530,'Employee Detail FY22'!$F$6:$F$132,G530),0)</f>
        <v>0</v>
      </c>
      <c r="AE530" s="117">
        <f t="shared" si="459"/>
        <v>0</v>
      </c>
      <c r="AF530" s="117">
        <f t="shared" si="460"/>
        <v>0</v>
      </c>
    </row>
    <row r="531" spans="2:36" hidden="1" outlineLevel="1" x14ac:dyDescent="0.2">
      <c r="B531" s="7"/>
      <c r="C531" s="102" t="s">
        <v>135</v>
      </c>
      <c r="D531" s="102" t="s">
        <v>550</v>
      </c>
      <c r="E531" s="104"/>
      <c r="F531" s="102">
        <v>430</v>
      </c>
      <c r="G531" s="102" t="s">
        <v>484</v>
      </c>
      <c r="H531" s="104" t="s">
        <v>182</v>
      </c>
      <c r="I531" s="103"/>
      <c r="J531" s="714" t="str">
        <f t="shared" si="455"/>
        <v>28071543021300230</v>
      </c>
      <c r="K531" s="109">
        <v>2022</v>
      </c>
      <c r="L531" s="109" t="s">
        <v>348</v>
      </c>
      <c r="M531" s="109" t="s">
        <v>349</v>
      </c>
      <c r="N531" s="109" t="s">
        <v>350</v>
      </c>
      <c r="O531" s="715">
        <v>0</v>
      </c>
      <c r="P531" s="715">
        <v>0</v>
      </c>
      <c r="Q531" s="715">
        <v>0</v>
      </c>
      <c r="R531" s="715">
        <v>0</v>
      </c>
      <c r="S531" s="715">
        <v>0</v>
      </c>
      <c r="T531" s="7"/>
      <c r="U531" s="7"/>
      <c r="V531" s="7"/>
      <c r="W531" s="7"/>
      <c r="X531" s="7"/>
      <c r="Y531" s="7"/>
      <c r="Z531" s="7"/>
      <c r="AA531" s="7"/>
      <c r="AB531" s="7"/>
      <c r="AC531" s="121"/>
      <c r="AD531" s="115">
        <f>ROUND(SUMIFS('Employee Detail FY22'!$AE$6:$AE$132,'Employee Detail FY22'!$B$6:$B$132,C531,'Employee Detail FY22'!$C$6:$C$132,D531,'Employee Detail FY22'!$E$6:$E$132,+F531,'Employee Detail FY22'!$F$6:$F$132,G531),0)</f>
        <v>0</v>
      </c>
      <c r="AE531" s="117">
        <f t="shared" si="459"/>
        <v>0</v>
      </c>
      <c r="AF531" s="117">
        <f t="shared" si="460"/>
        <v>0</v>
      </c>
    </row>
    <row r="532" spans="2:36" hidden="1" outlineLevel="1" x14ac:dyDescent="0.2">
      <c r="B532" s="7"/>
      <c r="C532" s="102" t="s">
        <v>135</v>
      </c>
      <c r="D532" s="102" t="s">
        <v>242</v>
      </c>
      <c r="E532" s="104"/>
      <c r="F532" s="102" t="s">
        <v>532</v>
      </c>
      <c r="G532" s="102" t="s">
        <v>485</v>
      </c>
      <c r="H532" s="104" t="s">
        <v>182</v>
      </c>
      <c r="I532" s="103"/>
      <c r="J532" s="714" t="str">
        <f t="shared" si="455"/>
        <v>28062443021400230</v>
      </c>
      <c r="K532" s="109">
        <v>2022</v>
      </c>
      <c r="L532" s="109" t="s">
        <v>348</v>
      </c>
      <c r="M532" s="109" t="s">
        <v>349</v>
      </c>
      <c r="N532" s="109" t="s">
        <v>350</v>
      </c>
      <c r="O532" s="715">
        <v>0</v>
      </c>
      <c r="P532" s="715">
        <v>0</v>
      </c>
      <c r="Q532" s="715">
        <v>0</v>
      </c>
      <c r="R532" s="715">
        <v>0</v>
      </c>
      <c r="S532" s="715">
        <v>0</v>
      </c>
      <c r="T532" s="7"/>
      <c r="U532" s="7"/>
      <c r="V532" s="7"/>
      <c r="W532" s="7"/>
      <c r="X532" s="7"/>
      <c r="Y532" s="7"/>
      <c r="Z532" s="7"/>
      <c r="AA532" s="7"/>
      <c r="AB532" s="7"/>
      <c r="AC532" s="121"/>
      <c r="AD532" s="115">
        <f>ROUND(SUMIFS('Employee Detail FY22'!$AE$6:$AE$132,'Employee Detail FY22'!$B$6:$B$132,C532,'Employee Detail FY22'!$C$6:$C$132,D532,'Employee Detail FY22'!$E$6:$E$132,+F532,'Employee Detail FY22'!$F$6:$F$132,G532),0)</f>
        <v>0</v>
      </c>
      <c r="AE532" s="117">
        <f t="shared" si="459"/>
        <v>0</v>
      </c>
      <c r="AF532" s="117">
        <f t="shared" si="460"/>
        <v>0</v>
      </c>
    </row>
    <row r="533" spans="2:36" hidden="1" outlineLevel="1" x14ac:dyDescent="0.2">
      <c r="B533" s="7"/>
      <c r="C533" s="102" t="s">
        <v>135</v>
      </c>
      <c r="D533" s="104" t="s">
        <v>242</v>
      </c>
      <c r="E533" s="104"/>
      <c r="F533" s="102" t="s">
        <v>532</v>
      </c>
      <c r="G533" s="102" t="s">
        <v>534</v>
      </c>
      <c r="H533" s="104" t="s">
        <v>182</v>
      </c>
      <c r="I533" s="103"/>
      <c r="J533" s="342" t="str">
        <f t="shared" si="455"/>
        <v>28062443022100230</v>
      </c>
      <c r="K533" s="109">
        <v>2022</v>
      </c>
      <c r="L533" s="109" t="s">
        <v>348</v>
      </c>
      <c r="M533" s="109" t="s">
        <v>349</v>
      </c>
      <c r="N533" s="109" t="s">
        <v>350</v>
      </c>
      <c r="O533" s="395">
        <v>0</v>
      </c>
      <c r="P533" s="395">
        <v>1474.02</v>
      </c>
      <c r="Q533" s="395">
        <v>2186.7399999999998</v>
      </c>
      <c r="R533" s="395">
        <v>1474.02</v>
      </c>
      <c r="S533" s="395">
        <v>1474.02</v>
      </c>
      <c r="T533" s="7"/>
      <c r="U533" s="7"/>
      <c r="V533" s="7"/>
      <c r="W533" s="7"/>
      <c r="X533" s="7"/>
      <c r="Y533" s="7"/>
      <c r="Z533" s="7"/>
      <c r="AA533" s="7"/>
      <c r="AB533" s="7"/>
      <c r="AC533" s="121"/>
      <c r="AD533" s="115">
        <f>ROUND(SUMIFS('Employee Detail FY22'!$AE$6:$AE$132,'Employee Detail FY22'!$B$6:$B$132,C533,'Employee Detail FY22'!$C$6:$C$132,D533,'Employee Detail FY22'!$E$6:$E$132,+F533,'Employee Detail FY22'!$F$6:$F$132,G533),0)</f>
        <v>19162</v>
      </c>
      <c r="AE533" s="117">
        <f t="shared" si="459"/>
        <v>19162</v>
      </c>
      <c r="AF533" s="117">
        <f t="shared" si="460"/>
        <v>1596.8333333333333</v>
      </c>
    </row>
    <row r="534" spans="2:36" hidden="1" outlineLevel="1" x14ac:dyDescent="0.2">
      <c r="B534" s="7"/>
      <c r="C534" s="102" t="s">
        <v>135</v>
      </c>
      <c r="D534" s="104" t="s">
        <v>245</v>
      </c>
      <c r="E534" s="104"/>
      <c r="F534" s="102">
        <v>430</v>
      </c>
      <c r="G534" s="102" t="s">
        <v>534</v>
      </c>
      <c r="H534" s="104" t="s">
        <v>182</v>
      </c>
      <c r="I534" s="103"/>
      <c r="J534" s="342" t="str">
        <f t="shared" si="455"/>
        <v>28063343022100230</v>
      </c>
      <c r="K534" s="109">
        <v>2022</v>
      </c>
      <c r="L534" s="109" t="s">
        <v>348</v>
      </c>
      <c r="M534" s="109" t="s">
        <v>349</v>
      </c>
      <c r="N534" s="109" t="s">
        <v>350</v>
      </c>
      <c r="O534" s="395">
        <v>0</v>
      </c>
      <c r="P534" s="395">
        <v>903.66</v>
      </c>
      <c r="Q534" s="395">
        <v>1336.78</v>
      </c>
      <c r="R534" s="395">
        <v>903.66</v>
      </c>
      <c r="S534" s="395">
        <v>903.66</v>
      </c>
      <c r="T534" s="7"/>
      <c r="U534" s="7"/>
      <c r="V534" s="7"/>
      <c r="W534" s="7"/>
      <c r="X534" s="7"/>
      <c r="Y534" s="7"/>
      <c r="Z534" s="7"/>
      <c r="AA534" s="7"/>
      <c r="AB534" s="7"/>
      <c r="AC534" s="121"/>
      <c r="AD534" s="115">
        <f>ROUND(SUMIFS('Employee Detail FY22'!$AE$6:$AE$132,'Employee Detail FY22'!$B$6:$B$132,C534,'Employee Detail FY22'!$C$6:$C$132,D534,'Employee Detail FY22'!$E$6:$E$132,+F534,'Employee Detail FY22'!$F$6:$F$132,G534),0)</f>
        <v>11747</v>
      </c>
      <c r="AE534" s="117">
        <f t="shared" si="459"/>
        <v>11747</v>
      </c>
      <c r="AF534" s="117">
        <f t="shared" si="460"/>
        <v>978.91666666666663</v>
      </c>
    </row>
    <row r="535" spans="2:36" hidden="1" outlineLevel="1" x14ac:dyDescent="0.2">
      <c r="B535" s="7"/>
      <c r="C535" s="102" t="s">
        <v>135</v>
      </c>
      <c r="D535" s="104" t="s">
        <v>242</v>
      </c>
      <c r="E535" s="104"/>
      <c r="F535" s="102" t="s">
        <v>532</v>
      </c>
      <c r="G535" s="102" t="s">
        <v>558</v>
      </c>
      <c r="H535" s="104" t="s">
        <v>182</v>
      </c>
      <c r="I535" s="182"/>
      <c r="J535" s="419" t="str">
        <f t="shared" si="455"/>
        <v>28062443022120230</v>
      </c>
      <c r="K535" s="420">
        <v>2022</v>
      </c>
      <c r="L535" s="420" t="s">
        <v>348</v>
      </c>
      <c r="M535" s="420" t="s">
        <v>349</v>
      </c>
      <c r="N535" s="420" t="s">
        <v>350</v>
      </c>
      <c r="O535" s="715">
        <v>0</v>
      </c>
      <c r="P535" s="715">
        <v>0</v>
      </c>
      <c r="Q535" s="715">
        <v>0</v>
      </c>
      <c r="R535" s="715">
        <v>0</v>
      </c>
      <c r="S535" s="715">
        <v>0</v>
      </c>
      <c r="T535" s="7"/>
      <c r="U535" s="7"/>
      <c r="V535" s="7"/>
      <c r="W535" s="7"/>
      <c r="X535" s="7"/>
      <c r="Y535" s="7"/>
      <c r="Z535" s="7"/>
      <c r="AA535" s="7"/>
      <c r="AB535" s="7"/>
      <c r="AC535" s="121"/>
      <c r="AD535" s="115">
        <f>ROUND(SUMIFS('Employee Detail FY22'!$AE$6:$AE$132,'Employee Detail FY22'!$B$6:$B$132,C535,'Employee Detail FY22'!$C$6:$C$132,D535,'Employee Detail FY22'!$E$6:$E$132,+F535,'Employee Detail FY22'!$F$6:$F$132,G535),0)</f>
        <v>0</v>
      </c>
      <c r="AE535" s="117">
        <f t="shared" si="459"/>
        <v>0</v>
      </c>
      <c r="AF535" s="117">
        <f t="shared" si="460"/>
        <v>0</v>
      </c>
    </row>
    <row r="536" spans="2:36" hidden="1" outlineLevel="1" x14ac:dyDescent="0.2">
      <c r="B536" s="7"/>
      <c r="C536" s="102" t="s">
        <v>135</v>
      </c>
      <c r="D536" s="104" t="s">
        <v>242</v>
      </c>
      <c r="E536" s="104"/>
      <c r="F536" s="102">
        <v>430</v>
      </c>
      <c r="G536" s="102" t="s">
        <v>460</v>
      </c>
      <c r="H536" s="104" t="s">
        <v>182</v>
      </c>
      <c r="I536" s="104"/>
      <c r="J536" s="342" t="str">
        <f t="shared" si="455"/>
        <v>28062443024100230</v>
      </c>
      <c r="K536" s="109">
        <v>2022</v>
      </c>
      <c r="L536" s="109" t="s">
        <v>348</v>
      </c>
      <c r="M536" s="109" t="s">
        <v>349</v>
      </c>
      <c r="N536" s="109" t="s">
        <v>350</v>
      </c>
      <c r="O536" s="395">
        <v>0</v>
      </c>
      <c r="P536" s="395">
        <v>0</v>
      </c>
      <c r="Q536" s="395">
        <v>6735.66</v>
      </c>
      <c r="R536" s="395">
        <v>1933.76</v>
      </c>
      <c r="S536" s="395">
        <v>1837.07</v>
      </c>
      <c r="T536" s="7"/>
      <c r="U536" s="7"/>
      <c r="V536" s="7"/>
      <c r="W536" s="7"/>
      <c r="X536" s="7"/>
      <c r="Y536" s="7"/>
      <c r="Z536" s="7"/>
      <c r="AA536" s="7"/>
      <c r="AB536" s="7"/>
      <c r="AC536" s="121"/>
      <c r="AD536" s="115">
        <f>ROUND(SUMIFS('Employee Detail FY22'!$AE$6:$AE$132,'Employee Detail FY22'!$B$6:$B$132,C536,'Employee Detail FY22'!$C$6:$C$132,D536,'Employee Detail FY22'!$E$6:$E$132,+F536,'Employee Detail FY22'!$F$6:$F$132,G536),0)</f>
        <v>25139</v>
      </c>
      <c r="AE536" s="117">
        <f t="shared" si="459"/>
        <v>25139</v>
      </c>
      <c r="AF536" s="117">
        <f t="shared" si="460"/>
        <v>2094.9166666666665</v>
      </c>
    </row>
    <row r="537" spans="2:36" hidden="1" outlineLevel="1" x14ac:dyDescent="0.2">
      <c r="B537" s="7"/>
      <c r="C537" s="102" t="s">
        <v>462</v>
      </c>
      <c r="D537" s="104" t="s">
        <v>132</v>
      </c>
      <c r="E537" s="104"/>
      <c r="F537" s="102" t="s">
        <v>463</v>
      </c>
      <c r="G537" s="102" t="s">
        <v>461</v>
      </c>
      <c r="H537" s="104" t="s">
        <v>182</v>
      </c>
      <c r="I537" s="104"/>
      <c r="J537" s="342" t="str">
        <f t="shared" ref="J537" si="462">CONCATENATE(C537,D537,F537,G537,H537,I537)</f>
        <v>25020520010000230</v>
      </c>
      <c r="K537" s="109">
        <v>2022</v>
      </c>
      <c r="L537" s="109" t="s">
        <v>348</v>
      </c>
      <c r="M537" s="109" t="s">
        <v>349</v>
      </c>
      <c r="N537" s="109" t="s">
        <v>350</v>
      </c>
      <c r="O537" s="395">
        <v>3673.82</v>
      </c>
      <c r="P537" s="395">
        <v>0</v>
      </c>
      <c r="Q537" s="395">
        <v>0</v>
      </c>
      <c r="R537" s="395">
        <v>0</v>
      </c>
      <c r="S537" s="395">
        <v>0</v>
      </c>
      <c r="T537" s="7"/>
      <c r="U537" s="7"/>
      <c r="V537" s="7"/>
      <c r="W537" s="7"/>
      <c r="X537" s="7"/>
      <c r="Y537" s="7"/>
      <c r="Z537" s="7"/>
      <c r="AA537" s="7"/>
      <c r="AB537" s="7"/>
      <c r="AC537" s="121"/>
      <c r="AD537" s="115">
        <f>ROUND(SUMIFS('Employee Detail FY22'!$AE$6:$AE$132,'Employee Detail FY22'!$B$6:$B$132,C537,'Employee Detail FY22'!$C$6:$C$132,D537,'Employee Detail FY22'!$E$6:$E$132,+F537,'Employee Detail FY22'!$F$6:$F$132,G537),0)</f>
        <v>0</v>
      </c>
      <c r="AE537" s="117">
        <f t="shared" ref="AE537" si="463">AD537-AC537</f>
        <v>0</v>
      </c>
      <c r="AF537" s="117">
        <f t="shared" ref="AF537" si="464">AE537/$AF$6</f>
        <v>0</v>
      </c>
    </row>
    <row r="538" spans="2:36" hidden="1" outlineLevel="1" x14ac:dyDescent="0.2">
      <c r="B538" s="7"/>
      <c r="C538" s="102" t="s">
        <v>135</v>
      </c>
      <c r="D538" s="104" t="s">
        <v>923</v>
      </c>
      <c r="E538" s="104"/>
      <c r="F538" s="102" t="s">
        <v>532</v>
      </c>
      <c r="G538" s="102" t="s">
        <v>461</v>
      </c>
      <c r="H538" s="104" t="s">
        <v>182</v>
      </c>
      <c r="I538" s="104"/>
      <c r="J538" s="342" t="str">
        <f t="shared" ref="J538:J539" si="465">CONCATENATE(C538,D538,F538,G538,H538,I538)</f>
        <v>28066143010000230</v>
      </c>
      <c r="K538" s="109">
        <v>2022</v>
      </c>
      <c r="L538" s="109" t="s">
        <v>348</v>
      </c>
      <c r="M538" s="109" t="s">
        <v>349</v>
      </c>
      <c r="N538" s="109" t="s">
        <v>350</v>
      </c>
      <c r="O538" s="395">
        <v>0</v>
      </c>
      <c r="P538" s="395">
        <v>370.65</v>
      </c>
      <c r="Q538" s="395">
        <v>0</v>
      </c>
      <c r="R538" s="395">
        <v>0</v>
      </c>
      <c r="S538" s="395">
        <v>0</v>
      </c>
      <c r="T538" s="7"/>
      <c r="U538" s="7"/>
      <c r="V538" s="7"/>
      <c r="W538" s="7"/>
      <c r="X538" s="7"/>
      <c r="Y538" s="7"/>
      <c r="Z538" s="7"/>
      <c r="AA538" s="7"/>
      <c r="AB538" s="7"/>
      <c r="AC538" s="121"/>
      <c r="AD538" s="115">
        <f>ROUND(SUMIFS('Employee Detail FY22'!$AE$6:$AE$132,'Employee Detail FY22'!$B$6:$B$132,C538,'Employee Detail FY22'!$C$6:$C$132,D538,'Employee Detail FY22'!$E$6:$E$132,+F538,'Employee Detail FY22'!$F$6:$F$132,G538),0)</f>
        <v>0</v>
      </c>
      <c r="AE538" s="117">
        <f t="shared" ref="AE538:AE539" si="466">AD538-AC538</f>
        <v>0</v>
      </c>
      <c r="AF538" s="117">
        <f t="shared" ref="AF538:AF539" si="467">AE538/$AF$6</f>
        <v>0</v>
      </c>
    </row>
    <row r="539" spans="2:36" hidden="1" outlineLevel="1" x14ac:dyDescent="0.2">
      <c r="B539" s="7"/>
      <c r="C539" s="102" t="s">
        <v>135</v>
      </c>
      <c r="D539" s="104" t="s">
        <v>1030</v>
      </c>
      <c r="E539" s="104"/>
      <c r="F539" s="102" t="s">
        <v>468</v>
      </c>
      <c r="G539" s="102" t="s">
        <v>460</v>
      </c>
      <c r="H539" s="104" t="s">
        <v>182</v>
      </c>
      <c r="I539" s="104"/>
      <c r="J539" s="342" t="str">
        <f t="shared" si="465"/>
        <v>28074110024100230</v>
      </c>
      <c r="K539" s="109">
        <v>2022</v>
      </c>
      <c r="L539" s="109" t="s">
        <v>348</v>
      </c>
      <c r="M539" s="109" t="s">
        <v>349</v>
      </c>
      <c r="N539" s="109" t="s">
        <v>350</v>
      </c>
      <c r="O539" s="395">
        <v>0</v>
      </c>
      <c r="P539" s="395">
        <v>425.22</v>
      </c>
      <c r="Q539" s="395">
        <v>0</v>
      </c>
      <c r="R539" s="395">
        <v>0</v>
      </c>
      <c r="S539" s="395">
        <v>0</v>
      </c>
      <c r="T539" s="7"/>
      <c r="U539" s="7"/>
      <c r="V539" s="7"/>
      <c r="W539" s="7"/>
      <c r="X539" s="7"/>
      <c r="Y539" s="7"/>
      <c r="Z539" s="7"/>
      <c r="AA539" s="7"/>
      <c r="AB539" s="7"/>
      <c r="AC539" s="121"/>
      <c r="AD539" s="115">
        <f>ROUND(SUMIFS('Employee Detail FY22'!$AE$6:$AE$132,'Employee Detail FY22'!$B$6:$B$132,C539,'Employee Detail FY22'!$C$6:$C$132,D539,'Employee Detail FY22'!$E$6:$E$132,+F539,'Employee Detail FY22'!$F$6:$F$132,G539),0)</f>
        <v>0</v>
      </c>
      <c r="AE539" s="117">
        <f t="shared" si="466"/>
        <v>0</v>
      </c>
      <c r="AF539" s="117">
        <f t="shared" si="467"/>
        <v>0</v>
      </c>
    </row>
    <row r="540" spans="2:36" hidden="1" outlineLevel="1" x14ac:dyDescent="0.2">
      <c r="B540" s="7"/>
      <c r="C540" s="102"/>
      <c r="D540" s="102"/>
      <c r="E540" s="104"/>
      <c r="F540" s="102"/>
      <c r="G540" s="102"/>
      <c r="H540" s="104"/>
      <c r="I540" s="103"/>
      <c r="J540" s="342"/>
      <c r="K540" s="109"/>
      <c r="L540" s="109"/>
      <c r="M540" s="109"/>
      <c r="N540" s="10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121"/>
      <c r="AD540" s="115">
        <f>SUMIFS('Employee Detail FY22 FINAL'!$AE$6:$AE$120,'Employee Detail FY22 FINAL'!$B$6:$B$120,C540,'Employee Detail FY22 FINAL'!$C$6:$C$120,D540,'Employee Detail FY22 FINAL'!$E$6:$E$120,+F540,'Employee Detail FY22 FINAL'!$F$6:$F$120,G540)</f>
        <v>0</v>
      </c>
      <c r="AE540" s="117"/>
      <c r="AF540" s="117"/>
    </row>
    <row r="541" spans="2:36" s="2" customFormat="1" ht="13.5" collapsed="1" thickBot="1" x14ac:dyDescent="0.25">
      <c r="B541" s="564"/>
      <c r="C541" s="6"/>
      <c r="D541" s="6"/>
      <c r="E541" s="6"/>
      <c r="F541" s="6"/>
      <c r="G541" s="6"/>
      <c r="H541" s="6"/>
      <c r="I541" s="6"/>
      <c r="J541" s="582"/>
      <c r="K541" s="6"/>
      <c r="L541" s="6"/>
      <c r="M541" s="6"/>
      <c r="N541" s="6"/>
      <c r="O541" s="566">
        <f t="shared" ref="O541:AD541" si="468">SUM(O503:O540)</f>
        <v>24547.74</v>
      </c>
      <c r="P541" s="566">
        <f t="shared" si="468"/>
        <v>40514.900000000009</v>
      </c>
      <c r="Q541" s="566">
        <f t="shared" si="468"/>
        <v>63397.290000000008</v>
      </c>
      <c r="R541" s="566">
        <f t="shared" si="468"/>
        <v>44175.18</v>
      </c>
      <c r="S541" s="566">
        <f t="shared" si="468"/>
        <v>45024.530000000006</v>
      </c>
      <c r="T541" s="566">
        <f t="shared" si="468"/>
        <v>0</v>
      </c>
      <c r="U541" s="566">
        <f t="shared" si="468"/>
        <v>0</v>
      </c>
      <c r="V541" s="566">
        <f t="shared" si="468"/>
        <v>0</v>
      </c>
      <c r="W541" s="566">
        <f t="shared" si="468"/>
        <v>0</v>
      </c>
      <c r="X541" s="566">
        <f t="shared" si="468"/>
        <v>0</v>
      </c>
      <c r="Y541" s="566">
        <f t="shared" si="468"/>
        <v>0</v>
      </c>
      <c r="Z541" s="566">
        <f t="shared" si="468"/>
        <v>0</v>
      </c>
      <c r="AA541" s="566">
        <f t="shared" si="468"/>
        <v>0</v>
      </c>
      <c r="AB541" s="566">
        <f t="shared" si="468"/>
        <v>0</v>
      </c>
      <c r="AC541" s="584">
        <f t="shared" si="468"/>
        <v>147299.25</v>
      </c>
      <c r="AD541" s="584">
        <f t="shared" si="468"/>
        <v>570242</v>
      </c>
      <c r="AE541" s="584">
        <f>AD541-AC541</f>
        <v>422942.75</v>
      </c>
      <c r="AF541" s="584">
        <f>AE541/$AF$6</f>
        <v>35245.229166666664</v>
      </c>
      <c r="AG541" s="553"/>
      <c r="AH541" s="553"/>
      <c r="AI541" s="553"/>
      <c r="AJ541" s="553"/>
    </row>
    <row r="542" spans="2:36" ht="13.5" thickTop="1" x14ac:dyDescent="0.2">
      <c r="AC542" s="62"/>
      <c r="AD542" s="62">
        <f>AD164-AD541</f>
        <v>36146</v>
      </c>
      <c r="AE542" s="62"/>
      <c r="AF542" s="62"/>
    </row>
    <row r="543" spans="2:36" x14ac:dyDescent="0.2">
      <c r="B543" s="579" t="s">
        <v>1130</v>
      </c>
      <c r="C543" s="579"/>
      <c r="D543" s="579"/>
      <c r="E543" s="579"/>
      <c r="F543" s="579"/>
      <c r="G543" s="579"/>
      <c r="H543" s="579"/>
      <c r="I543" s="579"/>
      <c r="J543" s="580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  <c r="AA543" s="579"/>
      <c r="AB543" s="579"/>
      <c r="AC543" s="583"/>
      <c r="AD543" s="583"/>
      <c r="AE543" s="583"/>
      <c r="AF543" s="583"/>
    </row>
    <row r="544" spans="2:36" hidden="1" outlineLevel="1" x14ac:dyDescent="0.2">
      <c r="B544" s="7"/>
      <c r="C544" s="102" t="s">
        <v>468</v>
      </c>
      <c r="D544" s="102" t="s">
        <v>145</v>
      </c>
      <c r="E544" s="102"/>
      <c r="F544" s="102" t="s">
        <v>468</v>
      </c>
      <c r="G544" s="102">
        <v>1000</v>
      </c>
      <c r="H544" s="104" t="s">
        <v>184</v>
      </c>
      <c r="I544" s="104"/>
      <c r="J544" s="724" t="str">
        <f t="shared" ref="J544:J577" si="469">CONCATENATE(C544,D544,F544,G544,H544,I544)</f>
        <v>10000010010000240</v>
      </c>
      <c r="K544" s="109">
        <v>2022</v>
      </c>
      <c r="L544" s="109" t="s">
        <v>348</v>
      </c>
      <c r="M544" s="109" t="s">
        <v>349</v>
      </c>
      <c r="N544" s="109" t="s">
        <v>350</v>
      </c>
      <c r="O544" s="395">
        <v>0</v>
      </c>
      <c r="P544" s="395">
        <v>615.19000000000005</v>
      </c>
      <c r="Q544" s="395">
        <v>1006.51</v>
      </c>
      <c r="R544" s="395">
        <v>724.89</v>
      </c>
      <c r="S544" s="395">
        <v>527.34</v>
      </c>
      <c r="T544" s="7"/>
      <c r="U544" s="7"/>
      <c r="V544" s="7"/>
      <c r="W544" s="7"/>
      <c r="X544" s="7"/>
      <c r="Y544" s="7"/>
      <c r="Z544" s="7"/>
      <c r="AA544" s="7"/>
      <c r="AB544" s="7"/>
      <c r="AC544" s="121">
        <f t="shared" ref="AC544:AC582" si="470">SUM(O544:AA544)</f>
        <v>2873.9300000000003</v>
      </c>
      <c r="AD544" s="115">
        <f>ROUND(SUMIFS('Employee Detail FY22'!$AF$6:$AF$132,'Employee Detail FY22'!$B$6:$B$132,C544,'Employee Detail FY22'!$C$6:$C$132,D544,'Employee Detail FY22'!$E$6:$E$132,F544,'Employee Detail FY22'!$F$6:$F$132,G544),0)</f>
        <v>7520</v>
      </c>
      <c r="AE544" s="117">
        <f t="shared" ref="AE544" si="471">AD544-AC544</f>
        <v>4646.07</v>
      </c>
      <c r="AF544" s="117">
        <f t="shared" ref="AF544" si="472">AE544/$AF$6</f>
        <v>387.17249999999996</v>
      </c>
    </row>
    <row r="545" spans="2:32" hidden="1" outlineLevel="1" x14ac:dyDescent="0.2">
      <c r="B545" s="7"/>
      <c r="C545" s="102" t="s">
        <v>135</v>
      </c>
      <c r="D545" s="102" t="s">
        <v>923</v>
      </c>
      <c r="E545" s="102"/>
      <c r="F545" s="102">
        <v>100</v>
      </c>
      <c r="G545" s="102">
        <v>1000</v>
      </c>
      <c r="H545" s="104" t="s">
        <v>184</v>
      </c>
      <c r="I545" s="104"/>
      <c r="J545" s="724" t="str">
        <f t="shared" si="469"/>
        <v>28066110010000240</v>
      </c>
      <c r="K545" s="109">
        <v>2022</v>
      </c>
      <c r="L545" s="109" t="s">
        <v>348</v>
      </c>
      <c r="M545" s="109" t="s">
        <v>349</v>
      </c>
      <c r="N545" s="109" t="s">
        <v>350</v>
      </c>
      <c r="O545" s="395">
        <v>0</v>
      </c>
      <c r="P545" s="395">
        <v>186.94</v>
      </c>
      <c r="Q545" s="395">
        <v>103.86</v>
      </c>
      <c r="R545" s="395">
        <v>69.34</v>
      </c>
      <c r="S545" s="395">
        <v>69.34</v>
      </c>
      <c r="T545" s="7"/>
      <c r="U545" s="7"/>
      <c r="V545" s="7"/>
      <c r="W545" s="7"/>
      <c r="X545" s="7"/>
      <c r="Y545" s="7"/>
      <c r="Z545" s="7"/>
      <c r="AA545" s="7"/>
      <c r="AB545" s="7"/>
      <c r="AC545" s="121">
        <f t="shared" si="470"/>
        <v>429.48</v>
      </c>
      <c r="AD545" s="115">
        <f>ROUND(SUMIFS('Employee Detail FY22'!$AF$6:$AF$132,'Employee Detail FY22'!$B$6:$B$132,C545,'Employee Detail FY22'!$C$6:$C$132,D545,'Employee Detail FY22'!$E$6:$E$132,F545,'Employee Detail FY22'!$F$6:$F$132,G545),0)</f>
        <v>1872</v>
      </c>
      <c r="AE545" s="117">
        <f t="shared" ref="AE545:AE577" si="473">AD545-AC545</f>
        <v>1442.52</v>
      </c>
      <c r="AF545" s="117">
        <f t="shared" ref="AF545:AF577" si="474">AE545/$AF$6</f>
        <v>120.21</v>
      </c>
    </row>
    <row r="546" spans="2:32" hidden="1" outlineLevel="1" x14ac:dyDescent="0.2">
      <c r="B546" s="7"/>
      <c r="C546" s="102" t="s">
        <v>135</v>
      </c>
      <c r="D546" s="104" t="s">
        <v>249</v>
      </c>
      <c r="E546" s="104"/>
      <c r="F546" s="102" t="s">
        <v>468</v>
      </c>
      <c r="G546" s="102" t="s">
        <v>461</v>
      </c>
      <c r="H546" s="104" t="s">
        <v>184</v>
      </c>
      <c r="I546" s="103"/>
      <c r="J546" s="724" t="str">
        <f t="shared" si="469"/>
        <v>28070910010000240</v>
      </c>
      <c r="K546" s="109">
        <v>2022</v>
      </c>
      <c r="L546" s="109" t="s">
        <v>348</v>
      </c>
      <c r="M546" s="109" t="s">
        <v>349</v>
      </c>
      <c r="N546" s="109" t="s">
        <v>350</v>
      </c>
      <c r="O546" s="715">
        <v>0</v>
      </c>
      <c r="P546" s="715">
        <v>0</v>
      </c>
      <c r="Q546" s="715">
        <v>0</v>
      </c>
      <c r="R546" s="715">
        <v>0</v>
      </c>
      <c r="S546" s="715">
        <v>0</v>
      </c>
      <c r="T546" s="7"/>
      <c r="U546" s="7"/>
      <c r="V546" s="7"/>
      <c r="W546" s="7"/>
      <c r="X546" s="7"/>
      <c r="Y546" s="7"/>
      <c r="Z546" s="7"/>
      <c r="AA546" s="7"/>
      <c r="AB546" s="7"/>
      <c r="AC546" s="121">
        <f t="shared" si="470"/>
        <v>0</v>
      </c>
      <c r="AD546" s="115">
        <f>ROUND(SUMIFS('Employee Detail FY22'!$AF$6:$AF$132,'Employee Detail FY22'!$B$6:$B$132,C546,'Employee Detail FY22'!$C$6:$C$132,D546,'Employee Detail FY22'!$E$6:$E$132,F546,'Employee Detail FY22'!$F$6:$F$132,G546),0)</f>
        <v>349</v>
      </c>
      <c r="AE546" s="117">
        <f t="shared" si="473"/>
        <v>349</v>
      </c>
      <c r="AF546" s="117">
        <f t="shared" si="474"/>
        <v>29.083333333333332</v>
      </c>
    </row>
    <row r="547" spans="2:32" hidden="1" outlineLevel="1" x14ac:dyDescent="0.2">
      <c r="B547" s="7"/>
      <c r="C547" s="102" t="s">
        <v>468</v>
      </c>
      <c r="D547" s="104" t="s">
        <v>145</v>
      </c>
      <c r="E547" s="104"/>
      <c r="F547" s="102" t="s">
        <v>689</v>
      </c>
      <c r="G547" s="102" t="s">
        <v>461</v>
      </c>
      <c r="H547" s="104" t="s">
        <v>184</v>
      </c>
      <c r="I547" s="103"/>
      <c r="J547" s="724" t="str">
        <f t="shared" si="469"/>
        <v>10000014010000240</v>
      </c>
      <c r="K547" s="109">
        <v>2022</v>
      </c>
      <c r="L547" s="109" t="s">
        <v>348</v>
      </c>
      <c r="M547" s="109" t="s">
        <v>349</v>
      </c>
      <c r="N547" s="109" t="s">
        <v>350</v>
      </c>
      <c r="O547" s="395">
        <v>0</v>
      </c>
      <c r="P547" s="395">
        <v>256.83</v>
      </c>
      <c r="Q547" s="395">
        <v>0</v>
      </c>
      <c r="R547" s="395">
        <v>0</v>
      </c>
      <c r="S547" s="395">
        <v>0</v>
      </c>
      <c r="T547" s="7"/>
      <c r="U547" s="7"/>
      <c r="V547" s="7"/>
      <c r="W547" s="7"/>
      <c r="X547" s="7"/>
      <c r="Y547" s="7"/>
      <c r="Z547" s="7"/>
      <c r="AA547" s="7"/>
      <c r="AB547" s="7"/>
      <c r="AC547" s="121">
        <f t="shared" si="470"/>
        <v>256.83</v>
      </c>
      <c r="AD547" s="115">
        <f>ROUND(SUMIFS('Employee Detail FY22'!$AF$6:$AF$132,'Employee Detail FY22'!$B$6:$B$132,C547,'Employee Detail FY22'!$C$6:$C$132,D547,'Employee Detail FY22'!$E$6:$E$132,F547,'Employee Detail FY22'!$F$6:$F$132,G547),0)</f>
        <v>0</v>
      </c>
      <c r="AE547" s="117">
        <f t="shared" si="473"/>
        <v>-256.83</v>
      </c>
      <c r="AF547" s="117">
        <f t="shared" si="474"/>
        <v>-21.4025</v>
      </c>
    </row>
    <row r="548" spans="2:32" hidden="1" outlineLevel="1" x14ac:dyDescent="0.2">
      <c r="B548" s="7"/>
      <c r="C548" s="102" t="s">
        <v>468</v>
      </c>
      <c r="D548" s="104" t="s">
        <v>145</v>
      </c>
      <c r="E548" s="104"/>
      <c r="F548" s="102" t="s">
        <v>468</v>
      </c>
      <c r="G548" s="102" t="s">
        <v>465</v>
      </c>
      <c r="H548" s="104" t="s">
        <v>184</v>
      </c>
      <c r="I548" s="103"/>
      <c r="J548" s="724" t="str">
        <f t="shared" si="469"/>
        <v>10000010021100240</v>
      </c>
      <c r="K548" s="109">
        <v>2022</v>
      </c>
      <c r="L548" s="109" t="s">
        <v>348</v>
      </c>
      <c r="M548" s="109" t="s">
        <v>349</v>
      </c>
      <c r="N548" s="109" t="s">
        <v>350</v>
      </c>
      <c r="O548" s="395">
        <v>296.89</v>
      </c>
      <c r="P548" s="395">
        <v>137.06</v>
      </c>
      <c r="Q548" s="395">
        <v>201.25</v>
      </c>
      <c r="R548" s="395">
        <v>117.96</v>
      </c>
      <c r="S548" s="395">
        <v>109.58</v>
      </c>
      <c r="T548" s="7"/>
      <c r="U548" s="7"/>
      <c r="V548" s="7"/>
      <c r="W548" s="7"/>
      <c r="X548" s="7"/>
      <c r="Y548" s="7"/>
      <c r="Z548" s="7"/>
      <c r="AA548" s="7"/>
      <c r="AB548" s="7"/>
      <c r="AC548" s="121">
        <f t="shared" si="470"/>
        <v>862.74000000000012</v>
      </c>
      <c r="AD548" s="115">
        <f>ROUND(SUMIFS('Employee Detail FY22'!$AF$6:$AF$132,'Employee Detail FY22'!$B$6:$B$132,C548,'Employee Detail FY22'!$C$6:$C$132,D548,'Employee Detail FY22'!$E$6:$E$132,F548,'Employee Detail FY22'!$F$6:$F$132,G548),0)</f>
        <v>1451</v>
      </c>
      <c r="AE548" s="117">
        <f t="shared" si="473"/>
        <v>588.25999999999988</v>
      </c>
      <c r="AF548" s="117">
        <f t="shared" si="474"/>
        <v>49.021666666666654</v>
      </c>
    </row>
    <row r="549" spans="2:32" hidden="1" outlineLevel="1" x14ac:dyDescent="0.2">
      <c r="B549" s="7"/>
      <c r="C549" s="102" t="s">
        <v>135</v>
      </c>
      <c r="D549" s="102" t="s">
        <v>923</v>
      </c>
      <c r="E549" s="102"/>
      <c r="F549" s="102" t="s">
        <v>468</v>
      </c>
      <c r="G549" s="102" t="s">
        <v>465</v>
      </c>
      <c r="H549" s="104" t="s">
        <v>184</v>
      </c>
      <c r="I549" s="104"/>
      <c r="J549" s="724" t="str">
        <f t="shared" si="469"/>
        <v>28066110021100240</v>
      </c>
      <c r="K549" s="109">
        <v>2022</v>
      </c>
      <c r="L549" s="109" t="s">
        <v>348</v>
      </c>
      <c r="M549" s="109" t="s">
        <v>349</v>
      </c>
      <c r="N549" s="109" t="s">
        <v>350</v>
      </c>
      <c r="O549" s="395">
        <v>51.6</v>
      </c>
      <c r="P549" s="395">
        <v>139.44999999999999</v>
      </c>
      <c r="Q549" s="395">
        <v>203.97</v>
      </c>
      <c r="R549" s="395">
        <v>150.12</v>
      </c>
      <c r="S549" s="395">
        <v>161.4</v>
      </c>
      <c r="T549" s="7"/>
      <c r="U549" s="7"/>
      <c r="V549" s="7"/>
      <c r="W549" s="7"/>
      <c r="X549" s="7"/>
      <c r="Y549" s="7"/>
      <c r="Z549" s="7"/>
      <c r="AA549" s="7"/>
      <c r="AB549" s="7"/>
      <c r="AC549" s="121">
        <f t="shared" si="470"/>
        <v>706.54</v>
      </c>
      <c r="AD549" s="115">
        <f>ROUND(SUMIFS('Employee Detail FY22'!$AF$6:$AF$132,'Employee Detail FY22'!$B$6:$B$132,C549,'Employee Detail FY22'!$C$6:$C$132,D549,'Employee Detail FY22'!$E$6:$E$132,F549,'Employee Detail FY22'!$F$6:$F$132,G549),0)</f>
        <v>1443</v>
      </c>
      <c r="AE549" s="117">
        <f t="shared" si="473"/>
        <v>736.46</v>
      </c>
      <c r="AF549" s="117">
        <f t="shared" si="474"/>
        <v>61.37166666666667</v>
      </c>
    </row>
    <row r="550" spans="2:32" hidden="1" outlineLevel="1" x14ac:dyDescent="0.2">
      <c r="B550" s="7"/>
      <c r="C550" s="102" t="s">
        <v>135</v>
      </c>
      <c r="D550" s="104" t="s">
        <v>1030</v>
      </c>
      <c r="E550" s="104"/>
      <c r="F550" s="102" t="s">
        <v>468</v>
      </c>
      <c r="G550" s="102" t="s">
        <v>465</v>
      </c>
      <c r="H550" s="104" t="s">
        <v>184</v>
      </c>
      <c r="I550" s="103"/>
      <c r="J550" s="724" t="str">
        <f t="shared" si="469"/>
        <v>28074110021100240</v>
      </c>
      <c r="K550" s="109">
        <v>2022</v>
      </c>
      <c r="L550" s="109" t="s">
        <v>348</v>
      </c>
      <c r="M550" s="109" t="s">
        <v>349</v>
      </c>
      <c r="N550" s="109" t="s">
        <v>350</v>
      </c>
      <c r="O550" s="395">
        <v>0</v>
      </c>
      <c r="P550" s="395">
        <v>71.61</v>
      </c>
      <c r="Q550" s="395">
        <v>191.19</v>
      </c>
      <c r="R550" s="395">
        <v>152.69999999999999</v>
      </c>
      <c r="S550" s="395">
        <v>152.69999999999999</v>
      </c>
      <c r="T550" s="7"/>
      <c r="U550" s="7"/>
      <c r="V550" s="7"/>
      <c r="W550" s="7"/>
      <c r="X550" s="7"/>
      <c r="Y550" s="7"/>
      <c r="Z550" s="7"/>
      <c r="AA550" s="7"/>
      <c r="AB550" s="7"/>
      <c r="AC550" s="121">
        <f t="shared" si="470"/>
        <v>568.20000000000005</v>
      </c>
      <c r="AD550" s="115">
        <f>ROUND(SUMIFS('Employee Detail FY22'!$AF$6:$AF$132,'Employee Detail FY22'!$B$6:$B$132,C550,'Employee Detail FY22'!$C$6:$C$132,D550,'Employee Detail FY22'!$E$6:$E$132,F550,'Employee Detail FY22'!$F$6:$F$132,G550),0)</f>
        <v>2010</v>
      </c>
      <c r="AE550" s="117">
        <f t="shared" si="473"/>
        <v>1441.8</v>
      </c>
      <c r="AF550" s="117">
        <f t="shared" si="474"/>
        <v>120.14999999999999</v>
      </c>
    </row>
    <row r="551" spans="2:32" hidden="1" outlineLevel="1" x14ac:dyDescent="0.2">
      <c r="B551" s="7"/>
      <c r="C551" s="102" t="s">
        <v>468</v>
      </c>
      <c r="D551" s="104" t="s">
        <v>145</v>
      </c>
      <c r="E551" s="104"/>
      <c r="F551" s="102" t="s">
        <v>468</v>
      </c>
      <c r="G551" s="102" t="s">
        <v>556</v>
      </c>
      <c r="H551" s="104" t="s">
        <v>184</v>
      </c>
      <c r="I551" s="103"/>
      <c r="J551" s="724" t="str">
        <f t="shared" si="469"/>
        <v>10000010021200240</v>
      </c>
      <c r="K551" s="109">
        <v>2022</v>
      </c>
      <c r="L551" s="109" t="s">
        <v>348</v>
      </c>
      <c r="M551" s="109" t="s">
        <v>349</v>
      </c>
      <c r="N551" s="109" t="s">
        <v>350</v>
      </c>
      <c r="O551" s="395">
        <v>80.239999999999995</v>
      </c>
      <c r="P551" s="395">
        <v>78.7</v>
      </c>
      <c r="Q551" s="395">
        <v>117.82</v>
      </c>
      <c r="R551" s="395">
        <v>100.45</v>
      </c>
      <c r="S551" s="395">
        <v>78.680000000000007</v>
      </c>
      <c r="T551" s="7"/>
      <c r="U551" s="7"/>
      <c r="V551" s="7"/>
      <c r="W551" s="7"/>
      <c r="X551" s="7"/>
      <c r="Y551" s="7"/>
      <c r="Z551" s="7"/>
      <c r="AA551" s="7"/>
      <c r="AB551" s="7"/>
      <c r="AC551" s="121">
        <f t="shared" si="470"/>
        <v>455.89</v>
      </c>
      <c r="AD551" s="115">
        <f>ROUND(SUMIFS('Employee Detail FY22'!$AF$6:$AF$132,'Employee Detail FY22'!$B$6:$B$132,C551,'Employee Detail FY22'!$C$6:$C$132,D551,'Employee Detail FY22'!$E$6:$E$132,F551,'Employee Detail FY22'!$F$6:$F$132,G551),0)</f>
        <v>1063</v>
      </c>
      <c r="AE551" s="117">
        <f t="shared" si="473"/>
        <v>607.11</v>
      </c>
      <c r="AF551" s="117">
        <f t="shared" si="474"/>
        <v>50.592500000000001</v>
      </c>
    </row>
    <row r="552" spans="2:32" hidden="1" outlineLevel="1" x14ac:dyDescent="0.2">
      <c r="B552" s="7"/>
      <c r="C552" s="102" t="s">
        <v>468</v>
      </c>
      <c r="D552" s="104" t="s">
        <v>145</v>
      </c>
      <c r="E552" s="104"/>
      <c r="F552" s="102" t="s">
        <v>468</v>
      </c>
      <c r="G552" s="102" t="s">
        <v>558</v>
      </c>
      <c r="H552" s="104" t="s">
        <v>184</v>
      </c>
      <c r="I552" s="103"/>
      <c r="J552" s="724" t="str">
        <f t="shared" si="469"/>
        <v>10000010022120240</v>
      </c>
      <c r="K552" s="109">
        <v>2022</v>
      </c>
      <c r="L552" s="109" t="s">
        <v>348</v>
      </c>
      <c r="M552" s="109" t="s">
        <v>349</v>
      </c>
      <c r="N552" s="109" t="s">
        <v>350</v>
      </c>
      <c r="O552" s="395">
        <v>56.37</v>
      </c>
      <c r="P552" s="395">
        <v>56.16</v>
      </c>
      <c r="Q552" s="395">
        <v>84.09</v>
      </c>
      <c r="R552" s="395">
        <v>56.16</v>
      </c>
      <c r="S552" s="395">
        <v>56.14</v>
      </c>
      <c r="T552" s="7"/>
      <c r="U552" s="7"/>
      <c r="V552" s="7"/>
      <c r="W552" s="7"/>
      <c r="X552" s="7"/>
      <c r="Y552" s="7"/>
      <c r="Z552" s="7"/>
      <c r="AA552" s="7"/>
      <c r="AB552" s="7"/>
      <c r="AC552" s="121">
        <f t="shared" si="470"/>
        <v>308.92</v>
      </c>
      <c r="AD552" s="115">
        <f>ROUND(SUMIFS('Employee Detail FY22'!$AF$6:$AF$132,'Employee Detail FY22'!$B$6:$B$132,C552,'Employee Detail FY22'!$C$6:$C$132,D552,'Employee Detail FY22'!$E$6:$E$132,F552,'Employee Detail FY22'!$F$6:$F$132,G552),0)</f>
        <v>736</v>
      </c>
      <c r="AE552" s="117">
        <f t="shared" si="473"/>
        <v>427.08</v>
      </c>
      <c r="AF552" s="117">
        <f t="shared" si="474"/>
        <v>35.589999999999996</v>
      </c>
    </row>
    <row r="553" spans="2:32" hidden="1" outlineLevel="1" x14ac:dyDescent="0.2">
      <c r="B553" s="7"/>
      <c r="C553" s="102" t="s">
        <v>468</v>
      </c>
      <c r="D553" s="104" t="s">
        <v>145</v>
      </c>
      <c r="E553" s="104"/>
      <c r="F553" s="102" t="s">
        <v>468</v>
      </c>
      <c r="G553" s="102" t="s">
        <v>464</v>
      </c>
      <c r="H553" s="104" t="s">
        <v>184</v>
      </c>
      <c r="I553" s="103"/>
      <c r="J553" s="724" t="str">
        <f t="shared" si="469"/>
        <v>10000010023200240</v>
      </c>
      <c r="K553" s="109">
        <v>2022</v>
      </c>
      <c r="L553" s="109" t="s">
        <v>348</v>
      </c>
      <c r="M553" s="109" t="s">
        <v>349</v>
      </c>
      <c r="N553" s="109" t="s">
        <v>350</v>
      </c>
      <c r="O553" s="395">
        <v>296.39999999999998</v>
      </c>
      <c r="P553" s="395">
        <v>296.39</v>
      </c>
      <c r="Q553" s="395">
        <v>442.95</v>
      </c>
      <c r="R553" s="395">
        <v>295.3</v>
      </c>
      <c r="S553" s="395">
        <v>295.3</v>
      </c>
      <c r="T553" s="7"/>
      <c r="U553" s="7"/>
      <c r="V553" s="7"/>
      <c r="W553" s="7"/>
      <c r="X553" s="7"/>
      <c r="Y553" s="7"/>
      <c r="Z553" s="7"/>
      <c r="AA553" s="7"/>
      <c r="AB553" s="7"/>
      <c r="AC553" s="121">
        <f t="shared" si="470"/>
        <v>1626.34</v>
      </c>
      <c r="AD553" s="115">
        <f>ROUND(SUMIFS('Employee Detail FY22'!$AF$6:$AF$132,'Employee Detail FY22'!$B$6:$B$132,C553,'Employee Detail FY22'!$C$6:$C$132,D553,'Employee Detail FY22'!$E$6:$E$132,F553,'Employee Detail FY22'!$F$6:$F$132,G553),0)</f>
        <v>3853</v>
      </c>
      <c r="AE553" s="117">
        <f t="shared" si="473"/>
        <v>2226.66</v>
      </c>
      <c r="AF553" s="117">
        <f t="shared" si="474"/>
        <v>185.55499999999998</v>
      </c>
    </row>
    <row r="554" spans="2:32" hidden="1" outlineLevel="1" x14ac:dyDescent="0.2">
      <c r="B554" s="7"/>
      <c r="C554" s="102" t="s">
        <v>468</v>
      </c>
      <c r="D554" s="104" t="s">
        <v>145</v>
      </c>
      <c r="E554" s="104"/>
      <c r="F554" s="102" t="s">
        <v>468</v>
      </c>
      <c r="G554" s="102" t="s">
        <v>460</v>
      </c>
      <c r="H554" s="104" t="s">
        <v>184</v>
      </c>
      <c r="I554" s="103"/>
      <c r="J554" s="724" t="str">
        <f t="shared" si="469"/>
        <v>10000010024100240</v>
      </c>
      <c r="K554" s="109">
        <v>2022</v>
      </c>
      <c r="L554" s="109" t="s">
        <v>348</v>
      </c>
      <c r="M554" s="109" t="s">
        <v>349</v>
      </c>
      <c r="N554" s="109" t="s">
        <v>350</v>
      </c>
      <c r="O554" s="395">
        <v>245.77</v>
      </c>
      <c r="P554" s="395">
        <v>231.49</v>
      </c>
      <c r="Q554" s="395">
        <v>-22.09</v>
      </c>
      <c r="R554" s="395">
        <v>127.56</v>
      </c>
      <c r="S554" s="395">
        <v>194.32999999999998</v>
      </c>
      <c r="T554" s="7"/>
      <c r="U554" s="7"/>
      <c r="V554" s="7"/>
      <c r="W554" s="7"/>
      <c r="X554" s="7"/>
      <c r="Y554" s="7"/>
      <c r="Z554" s="7"/>
      <c r="AA554" s="7"/>
      <c r="AB554" s="7"/>
      <c r="AC554" s="121">
        <f t="shared" si="470"/>
        <v>777.06</v>
      </c>
      <c r="AD554" s="115">
        <f>ROUND(SUMIFS('Employee Detail FY22'!$AF$6:$AF$132,'Employee Detail FY22'!$B$6:$B$132,C554,'Employee Detail FY22'!$C$6:$C$132,D554,'Employee Detail FY22'!$E$6:$E$132,F554,'Employee Detail FY22'!$F$6:$F$132,G554),0)</f>
        <v>2059</v>
      </c>
      <c r="AE554" s="117">
        <f t="shared" si="473"/>
        <v>1281.94</v>
      </c>
      <c r="AF554" s="117">
        <f t="shared" si="474"/>
        <v>106.82833333333333</v>
      </c>
    </row>
    <row r="555" spans="2:32" hidden="1" outlineLevel="1" x14ac:dyDescent="0.2">
      <c r="B555" s="7"/>
      <c r="C555" s="102" t="s">
        <v>135</v>
      </c>
      <c r="D555" s="104" t="s">
        <v>923</v>
      </c>
      <c r="E555" s="104"/>
      <c r="F555" s="102">
        <v>100</v>
      </c>
      <c r="G555" s="102" t="s">
        <v>460</v>
      </c>
      <c r="H555" s="104" t="s">
        <v>184</v>
      </c>
      <c r="I555" s="103"/>
      <c r="J555" s="724" t="str">
        <f t="shared" si="469"/>
        <v>28066110024100240</v>
      </c>
      <c r="K555" s="109">
        <v>2022</v>
      </c>
      <c r="L555" s="109" t="s">
        <v>348</v>
      </c>
      <c r="M555" s="109" t="s">
        <v>349</v>
      </c>
      <c r="N555" s="109" t="s">
        <v>350</v>
      </c>
      <c r="O555" s="395">
        <v>0</v>
      </c>
      <c r="P555" s="395">
        <v>28.65</v>
      </c>
      <c r="Q555" s="395">
        <v>0</v>
      </c>
      <c r="R555" s="395">
        <v>0</v>
      </c>
      <c r="S555" s="395">
        <v>0</v>
      </c>
      <c r="T555" s="7"/>
      <c r="U555" s="7"/>
      <c r="V555" s="7"/>
      <c r="W555" s="7"/>
      <c r="X555" s="7"/>
      <c r="Y555" s="7"/>
      <c r="Z555" s="7"/>
      <c r="AA555" s="7"/>
      <c r="AB555" s="7"/>
      <c r="AC555" s="121">
        <f t="shared" si="470"/>
        <v>28.65</v>
      </c>
      <c r="AD555" s="115">
        <f>ROUND(SUMIFS('Employee Detail FY22'!$AF$6:$AF$132,'Employee Detail FY22'!$B$6:$B$132,C555,'Employee Detail FY22'!$C$6:$C$132,D555,'Employee Detail FY22'!$E$6:$E$132,F555,'Employee Detail FY22'!$F$6:$F$132,G555),0)</f>
        <v>854</v>
      </c>
      <c r="AE555" s="117">
        <f t="shared" si="473"/>
        <v>825.35</v>
      </c>
      <c r="AF555" s="117">
        <f t="shared" si="474"/>
        <v>68.779166666666669</v>
      </c>
    </row>
    <row r="556" spans="2:32" hidden="1" outlineLevel="1" x14ac:dyDescent="0.2">
      <c r="B556" s="7"/>
      <c r="C556" s="102" t="s">
        <v>468</v>
      </c>
      <c r="D556" s="104" t="s">
        <v>145</v>
      </c>
      <c r="E556" s="104"/>
      <c r="F556" s="102" t="s">
        <v>468</v>
      </c>
      <c r="G556" s="102" t="s">
        <v>458</v>
      </c>
      <c r="H556" s="104" t="s">
        <v>184</v>
      </c>
      <c r="I556" s="103"/>
      <c r="J556" s="724" t="str">
        <f t="shared" si="469"/>
        <v>10000010025100240</v>
      </c>
      <c r="K556" s="109">
        <v>2022</v>
      </c>
      <c r="L556" s="109" t="s">
        <v>348</v>
      </c>
      <c r="M556" s="109" t="s">
        <v>349</v>
      </c>
      <c r="N556" s="109" t="s">
        <v>350</v>
      </c>
      <c r="O556" s="395">
        <v>109.56</v>
      </c>
      <c r="P556" s="395">
        <v>109.26</v>
      </c>
      <c r="Q556" s="395">
        <v>162.91</v>
      </c>
      <c r="R556" s="395">
        <v>108.62</v>
      </c>
      <c r="S556" s="395">
        <v>108.6</v>
      </c>
      <c r="T556" s="7"/>
      <c r="U556" s="7"/>
      <c r="V556" s="7"/>
      <c r="W556" s="7"/>
      <c r="X556" s="7"/>
      <c r="Y556" s="7"/>
      <c r="Z556" s="7"/>
      <c r="AA556" s="7"/>
      <c r="AB556" s="7"/>
      <c r="AC556" s="121">
        <f t="shared" si="470"/>
        <v>598.95000000000005</v>
      </c>
      <c r="AD556" s="115">
        <f>ROUND(SUMIFS('Employee Detail FY22'!$AF$6:$AF$132,'Employee Detail FY22'!$B$6:$B$132,C556,'Employee Detail FY22'!$C$6:$C$132,D556,'Employee Detail FY22'!$E$6:$E$132,F556,'Employee Detail FY22'!$F$6:$F$132,G556),0)</f>
        <v>1428</v>
      </c>
      <c r="AE556" s="117">
        <f t="shared" si="473"/>
        <v>829.05</v>
      </c>
      <c r="AF556" s="117">
        <f t="shared" si="474"/>
        <v>69.087499999999991</v>
      </c>
    </row>
    <row r="557" spans="2:32" hidden="1" outlineLevel="1" x14ac:dyDescent="0.2">
      <c r="B557" s="7"/>
      <c r="C557" s="102" t="s">
        <v>468</v>
      </c>
      <c r="D557" s="104" t="s">
        <v>145</v>
      </c>
      <c r="E557" s="104"/>
      <c r="F557" s="102" t="s">
        <v>468</v>
      </c>
      <c r="G557" s="102" t="s">
        <v>479</v>
      </c>
      <c r="H557" s="104" t="s">
        <v>184</v>
      </c>
      <c r="I557" s="104"/>
      <c r="J557" s="724" t="str">
        <f t="shared" si="469"/>
        <v>10000010025800240</v>
      </c>
      <c r="K557" s="109">
        <v>2022</v>
      </c>
      <c r="L557" s="109" t="s">
        <v>348</v>
      </c>
      <c r="M557" s="109" t="s">
        <v>349</v>
      </c>
      <c r="N557" s="109" t="s">
        <v>350</v>
      </c>
      <c r="O557" s="395">
        <v>55.76</v>
      </c>
      <c r="P557" s="395">
        <v>55.76</v>
      </c>
      <c r="Q557" s="395">
        <v>83.66</v>
      </c>
      <c r="R557" s="395">
        <v>55.78</v>
      </c>
      <c r="S557" s="395">
        <v>55.76</v>
      </c>
      <c r="T557" s="7"/>
      <c r="U557" s="7"/>
      <c r="V557" s="7"/>
      <c r="W557" s="7"/>
      <c r="X557" s="7"/>
      <c r="Y557" s="7"/>
      <c r="Z557" s="7"/>
      <c r="AA557" s="7"/>
      <c r="AB557" s="7"/>
      <c r="AC557" s="121">
        <f t="shared" si="470"/>
        <v>306.72000000000003</v>
      </c>
      <c r="AD557" s="115">
        <f>ROUND(SUMIFS('Employee Detail FY22'!$AF$6:$AF$132,'Employee Detail FY22'!$B$6:$B$132,C557,'Employee Detail FY22'!$C$6:$C$132,D557,'Employee Detail FY22'!$E$6:$E$132,F557,'Employee Detail FY22'!$F$6:$F$132,G557),0)</f>
        <v>725</v>
      </c>
      <c r="AE557" s="117">
        <f t="shared" si="473"/>
        <v>418.28</v>
      </c>
      <c r="AF557" s="117">
        <f t="shared" si="474"/>
        <v>34.856666666666662</v>
      </c>
    </row>
    <row r="558" spans="2:32" hidden="1" outlineLevel="1" x14ac:dyDescent="0.2">
      <c r="B558" s="7"/>
      <c r="C558" s="102" t="s">
        <v>468</v>
      </c>
      <c r="D558" s="104" t="s">
        <v>145</v>
      </c>
      <c r="E558" s="104"/>
      <c r="F558" s="102" t="s">
        <v>468</v>
      </c>
      <c r="G558" s="102" t="s">
        <v>459</v>
      </c>
      <c r="H558" s="104" t="s">
        <v>184</v>
      </c>
      <c r="I558" s="104"/>
      <c r="J558" s="724" t="str">
        <f t="shared" si="469"/>
        <v>10000010025820240</v>
      </c>
      <c r="K558" s="109">
        <v>2022</v>
      </c>
      <c r="L558" s="109" t="s">
        <v>348</v>
      </c>
      <c r="M558" s="109" t="s">
        <v>349</v>
      </c>
      <c r="N558" s="109" t="s">
        <v>350</v>
      </c>
      <c r="O558" s="395">
        <v>114.14</v>
      </c>
      <c r="P558" s="395">
        <v>113.76</v>
      </c>
      <c r="Q558" s="395">
        <v>170.35</v>
      </c>
      <c r="R558" s="395">
        <v>113.76</v>
      </c>
      <c r="S558" s="395">
        <v>113.76</v>
      </c>
      <c r="T558" s="7"/>
      <c r="U558" s="7"/>
      <c r="V558" s="7"/>
      <c r="W558" s="7"/>
      <c r="X558" s="7"/>
      <c r="Y558" s="7"/>
      <c r="Z558" s="7"/>
      <c r="AA558" s="7"/>
      <c r="AB558" s="7"/>
      <c r="AC558" s="121">
        <f t="shared" si="470"/>
        <v>625.77</v>
      </c>
      <c r="AD558" s="115">
        <f>ROUND(SUMIFS('Employee Detail FY22'!$AF$6:$AF$132,'Employee Detail FY22'!$B$6:$B$132,C558,'Employee Detail FY22'!$C$6:$C$132,D558,'Employee Detail FY22'!$E$6:$E$132,F558,'Employee Detail FY22'!$F$6:$F$132,G558),0)</f>
        <v>1489</v>
      </c>
      <c r="AE558" s="117">
        <f t="shared" si="473"/>
        <v>863.23</v>
      </c>
      <c r="AF558" s="117">
        <f t="shared" si="474"/>
        <v>71.935833333333335</v>
      </c>
    </row>
    <row r="559" spans="2:32" hidden="1" outlineLevel="1" x14ac:dyDescent="0.2">
      <c r="B559" s="7"/>
      <c r="C559" s="102" t="s">
        <v>462</v>
      </c>
      <c r="D559" s="581" t="s">
        <v>145</v>
      </c>
      <c r="E559" s="104"/>
      <c r="F559" s="102" t="s">
        <v>463</v>
      </c>
      <c r="G559" s="102">
        <v>1000</v>
      </c>
      <c r="H559" s="104" t="s">
        <v>184</v>
      </c>
      <c r="I559" s="103"/>
      <c r="J559" s="724" t="str">
        <f t="shared" si="469"/>
        <v>25000020010000240</v>
      </c>
      <c r="K559" s="109">
        <v>2022</v>
      </c>
      <c r="L559" s="109" t="s">
        <v>348</v>
      </c>
      <c r="M559" s="109" t="s">
        <v>349</v>
      </c>
      <c r="N559" s="109" t="s">
        <v>350</v>
      </c>
      <c r="O559" s="395">
        <v>0</v>
      </c>
      <c r="P559" s="395">
        <v>229.02</v>
      </c>
      <c r="Q559" s="395">
        <v>542.83000000000004</v>
      </c>
      <c r="R559" s="395">
        <v>286.52</v>
      </c>
      <c r="S559" s="395">
        <v>277.67</v>
      </c>
      <c r="T559" s="7"/>
      <c r="U559" s="7"/>
      <c r="V559" s="7"/>
      <c r="W559" s="7"/>
      <c r="X559" s="7"/>
      <c r="Y559" s="7"/>
      <c r="Z559" s="7"/>
      <c r="AA559" s="7"/>
      <c r="AB559" s="7"/>
      <c r="AC559" s="121">
        <f t="shared" si="470"/>
        <v>1336.04</v>
      </c>
      <c r="AD559" s="115">
        <f>ROUND(SUMIFS('Employee Detail FY22'!$AF$6:$AF$132,'Employee Detail FY22'!$B$6:$B$132,C559,'Employee Detail FY22'!$C$6:$C$132,D559,'Employee Detail FY22'!$E$6:$E$132,F559,'Employee Detail FY22'!$F$6:$F$132,G559),0)</f>
        <v>2724</v>
      </c>
      <c r="AE559" s="117">
        <f t="shared" si="473"/>
        <v>1387.96</v>
      </c>
      <c r="AF559" s="117">
        <f t="shared" si="474"/>
        <v>115.66333333333334</v>
      </c>
    </row>
    <row r="560" spans="2:32" hidden="1" outlineLevel="1" x14ac:dyDescent="0.2">
      <c r="B560" s="7"/>
      <c r="C560" s="102" t="s">
        <v>135</v>
      </c>
      <c r="D560" s="581" t="s">
        <v>247</v>
      </c>
      <c r="E560" s="104"/>
      <c r="F560" s="102">
        <v>200</v>
      </c>
      <c r="G560" s="102">
        <v>1000</v>
      </c>
      <c r="H560" s="104" t="s">
        <v>184</v>
      </c>
      <c r="I560" s="103"/>
      <c r="J560" s="724" t="str">
        <f t="shared" si="469"/>
        <v>28063920010000240</v>
      </c>
      <c r="K560" s="109">
        <v>2022</v>
      </c>
      <c r="L560" s="109" t="s">
        <v>348</v>
      </c>
      <c r="M560" s="109" t="s">
        <v>349</v>
      </c>
      <c r="N560" s="109" t="s">
        <v>350</v>
      </c>
      <c r="O560" s="395">
        <v>0</v>
      </c>
      <c r="P560" s="395">
        <v>111.58</v>
      </c>
      <c r="Q560" s="395">
        <v>-53.09</v>
      </c>
      <c r="R560" s="395">
        <v>116.98</v>
      </c>
      <c r="S560" s="395">
        <v>116.98</v>
      </c>
      <c r="T560" s="7"/>
      <c r="U560" s="7"/>
      <c r="V560" s="7"/>
      <c r="W560" s="7"/>
      <c r="X560" s="7"/>
      <c r="Y560" s="7"/>
      <c r="Z560" s="7"/>
      <c r="AA560" s="7"/>
      <c r="AB560" s="7"/>
      <c r="AC560" s="121">
        <f t="shared" si="470"/>
        <v>292.45</v>
      </c>
      <c r="AD560" s="115">
        <f>ROUND(SUMIFS('Employee Detail FY22'!$AF$6:$AF$132,'Employee Detail FY22'!$B$6:$B$132,C560,'Employee Detail FY22'!$C$6:$C$132,D560,'Employee Detail FY22'!$E$6:$E$132,F560,'Employee Detail FY22'!$F$6:$F$132,G560),0)</f>
        <v>1599</v>
      </c>
      <c r="AE560" s="117">
        <f t="shared" si="473"/>
        <v>1306.55</v>
      </c>
      <c r="AF560" s="117">
        <f t="shared" si="474"/>
        <v>108.87916666666666</v>
      </c>
    </row>
    <row r="561" spans="2:32" hidden="1" outlineLevel="1" x14ac:dyDescent="0.2">
      <c r="B561" s="7"/>
      <c r="C561" s="102" t="s">
        <v>462</v>
      </c>
      <c r="D561" s="102" t="s">
        <v>132</v>
      </c>
      <c r="E561" s="102"/>
      <c r="F561" s="102" t="s">
        <v>463</v>
      </c>
      <c r="G561" s="102">
        <v>2130</v>
      </c>
      <c r="H561" s="104" t="s">
        <v>184</v>
      </c>
      <c r="I561" s="104"/>
      <c r="J561" s="724" t="str">
        <f t="shared" si="469"/>
        <v>25020520021300240</v>
      </c>
      <c r="K561" s="109">
        <v>2022</v>
      </c>
      <c r="L561" s="109" t="s">
        <v>348</v>
      </c>
      <c r="M561" s="109" t="s">
        <v>349</v>
      </c>
      <c r="N561" s="109" t="s">
        <v>350</v>
      </c>
      <c r="O561" s="395">
        <v>17.45</v>
      </c>
      <c r="P561" s="395">
        <v>0</v>
      </c>
      <c r="Q561" s="395">
        <v>46.82</v>
      </c>
      <c r="R561" s="395">
        <v>46.44</v>
      </c>
      <c r="S561" s="395">
        <v>0</v>
      </c>
      <c r="T561" s="7"/>
      <c r="U561" s="7"/>
      <c r="V561" s="7"/>
      <c r="W561" s="7"/>
      <c r="X561" s="7"/>
      <c r="Y561" s="7"/>
      <c r="Z561" s="7"/>
      <c r="AA561" s="7"/>
      <c r="AB561" s="7"/>
      <c r="AC561" s="121">
        <f t="shared" si="470"/>
        <v>110.71</v>
      </c>
      <c r="AD561" s="115">
        <f>ROUND(SUMIFS('Employee Detail FY22'!$AF$6:$AF$132,'Employee Detail FY22'!$B$6:$B$132,C561,'Employee Detail FY22'!$C$6:$C$132,D561,'Employee Detail FY22'!$E$6:$E$132,F561,'Employee Detail FY22'!$F$6:$F$132,G561),0)</f>
        <v>342</v>
      </c>
      <c r="AE561" s="117">
        <f t="shared" si="473"/>
        <v>231.29000000000002</v>
      </c>
      <c r="AF561" s="117">
        <f t="shared" si="474"/>
        <v>19.27416666666667</v>
      </c>
    </row>
    <row r="562" spans="2:32" hidden="1" outlineLevel="1" x14ac:dyDescent="0.2">
      <c r="B562" s="7"/>
      <c r="C562" s="102" t="s">
        <v>462</v>
      </c>
      <c r="D562" s="102" t="s">
        <v>132</v>
      </c>
      <c r="E562" s="102"/>
      <c r="F562" s="102" t="s">
        <v>463</v>
      </c>
      <c r="G562" s="102">
        <v>2140</v>
      </c>
      <c r="H562" s="104" t="s">
        <v>184</v>
      </c>
      <c r="I562" s="104"/>
      <c r="J562" s="724" t="str">
        <f t="shared" si="469"/>
        <v>25020520021400240</v>
      </c>
      <c r="K562" s="109">
        <v>2022</v>
      </c>
      <c r="L562" s="109" t="s">
        <v>348</v>
      </c>
      <c r="M562" s="109" t="s">
        <v>349</v>
      </c>
      <c r="N562" s="109" t="s">
        <v>350</v>
      </c>
      <c r="O562" s="395">
        <v>0</v>
      </c>
      <c r="P562" s="395">
        <v>91.5</v>
      </c>
      <c r="Q562" s="395">
        <v>135.76</v>
      </c>
      <c r="R562" s="395">
        <v>90.66</v>
      </c>
      <c r="S562" s="395">
        <v>84.53</v>
      </c>
      <c r="T562" s="7"/>
      <c r="U562" s="7"/>
      <c r="V562" s="7"/>
      <c r="W562" s="7"/>
      <c r="X562" s="7"/>
      <c r="Y562" s="7"/>
      <c r="Z562" s="7"/>
      <c r="AA562" s="7"/>
      <c r="AB562" s="7"/>
      <c r="AC562" s="121">
        <f t="shared" si="470"/>
        <v>402.44999999999993</v>
      </c>
      <c r="AD562" s="115">
        <f>ROUND(SUMIFS('Employee Detail FY22'!$AF$6:$AF$132,'Employee Detail FY22'!$B$6:$B$132,C562,'Employee Detail FY22'!$C$6:$C$132,D562,'Employee Detail FY22'!$E$6:$E$132,F562,'Employee Detail FY22'!$F$6:$F$132,G562),0)</f>
        <v>1190</v>
      </c>
      <c r="AE562" s="117">
        <f t="shared" si="473"/>
        <v>787.55000000000007</v>
      </c>
      <c r="AF562" s="117">
        <f t="shared" si="474"/>
        <v>65.629166666666677</v>
      </c>
    </row>
    <row r="563" spans="2:32" hidden="1" outlineLevel="1" x14ac:dyDescent="0.2">
      <c r="B563" s="7"/>
      <c r="C563" s="102" t="s">
        <v>462</v>
      </c>
      <c r="D563" s="104">
        <v>205</v>
      </c>
      <c r="E563" s="104"/>
      <c r="F563" s="102" t="s">
        <v>463</v>
      </c>
      <c r="G563" s="102">
        <v>2410</v>
      </c>
      <c r="H563" s="104" t="s">
        <v>184</v>
      </c>
      <c r="I563" s="104"/>
      <c r="J563" s="724" t="str">
        <f t="shared" si="469"/>
        <v>25020520024100240</v>
      </c>
      <c r="K563" s="109">
        <v>2022</v>
      </c>
      <c r="L563" s="109" t="s">
        <v>348</v>
      </c>
      <c r="M563" s="109" t="s">
        <v>349</v>
      </c>
      <c r="N563" s="109" t="s">
        <v>350</v>
      </c>
      <c r="O563" s="395">
        <v>0</v>
      </c>
      <c r="P563" s="395">
        <v>0</v>
      </c>
      <c r="Q563" s="395">
        <v>33.770000000000003</v>
      </c>
      <c r="R563" s="395">
        <v>25.89</v>
      </c>
      <c r="S563" s="395">
        <v>57.91</v>
      </c>
      <c r="T563" s="7"/>
      <c r="U563" s="7"/>
      <c r="V563" s="7"/>
      <c r="W563" s="7"/>
      <c r="X563" s="7"/>
      <c r="Y563" s="7"/>
      <c r="Z563" s="7"/>
      <c r="AA563" s="7"/>
      <c r="AB563" s="7"/>
      <c r="AC563" s="121">
        <f t="shared" si="470"/>
        <v>117.57</v>
      </c>
      <c r="AD563" s="115">
        <f>ROUND(SUMIFS('Employee Detail FY22'!$AF$6:$AF$132,'Employee Detail FY22'!$B$6:$B$132,C563,'Employee Detail FY22'!$C$6:$C$132,D563,'Employee Detail FY22'!$E$6:$E$132,F563,'Employee Detail FY22'!$F$6:$F$132,G563),0)</f>
        <v>673</v>
      </c>
      <c r="AE563" s="117">
        <f t="shared" si="473"/>
        <v>555.43000000000006</v>
      </c>
      <c r="AF563" s="117">
        <f t="shared" si="474"/>
        <v>46.285833333333336</v>
      </c>
    </row>
    <row r="564" spans="2:32" hidden="1" outlineLevel="1" x14ac:dyDescent="0.2">
      <c r="B564" s="7"/>
      <c r="C564" s="102" t="s">
        <v>135</v>
      </c>
      <c r="D564" s="104" t="s">
        <v>247</v>
      </c>
      <c r="E564" s="104"/>
      <c r="F564" s="102" t="s">
        <v>473</v>
      </c>
      <c r="G564" s="102" t="s">
        <v>461</v>
      </c>
      <c r="H564" s="104" t="s">
        <v>184</v>
      </c>
      <c r="I564" s="103"/>
      <c r="J564" s="724" t="str">
        <f t="shared" si="469"/>
        <v>28063924010000240</v>
      </c>
      <c r="K564" s="109">
        <v>2022</v>
      </c>
      <c r="L564" s="109" t="s">
        <v>348</v>
      </c>
      <c r="M564" s="109" t="s">
        <v>349</v>
      </c>
      <c r="N564" s="109" t="s">
        <v>350</v>
      </c>
      <c r="O564" s="395">
        <v>0</v>
      </c>
      <c r="P564" s="395">
        <v>54.52</v>
      </c>
      <c r="Q564" s="395">
        <v>0</v>
      </c>
      <c r="R564" s="395">
        <v>0</v>
      </c>
      <c r="S564" s="395">
        <v>0</v>
      </c>
      <c r="T564" s="7"/>
      <c r="U564" s="7"/>
      <c r="V564" s="7"/>
      <c r="W564" s="7"/>
      <c r="X564" s="7"/>
      <c r="Y564" s="7"/>
      <c r="Z564" s="7"/>
      <c r="AA564" s="7"/>
      <c r="AB564" s="7"/>
      <c r="AC564" s="121">
        <f t="shared" si="470"/>
        <v>54.52</v>
      </c>
      <c r="AD564" s="115">
        <f>ROUND(SUMIFS('Employee Detail FY22'!$AF$6:$AF$132,'Employee Detail FY22'!$B$6:$B$132,C564,'Employee Detail FY22'!$C$6:$C$132,D564,'Employee Detail FY22'!$E$6:$E$132,F564,'Employee Detail FY22'!$F$6:$F$132,G564),0)</f>
        <v>0</v>
      </c>
      <c r="AE564" s="117">
        <f t="shared" si="473"/>
        <v>-54.52</v>
      </c>
      <c r="AF564" s="117">
        <f t="shared" si="474"/>
        <v>-4.5433333333333339</v>
      </c>
    </row>
    <row r="565" spans="2:32" hidden="1" outlineLevel="1" x14ac:dyDescent="0.2">
      <c r="B565" s="7"/>
      <c r="C565" s="102" t="s">
        <v>135</v>
      </c>
      <c r="D565" s="104" t="s">
        <v>864</v>
      </c>
      <c r="E565" s="104"/>
      <c r="F565" s="102" t="s">
        <v>557</v>
      </c>
      <c r="G565" s="102" t="s">
        <v>465</v>
      </c>
      <c r="H565" s="104" t="s">
        <v>184</v>
      </c>
      <c r="I565" s="103"/>
      <c r="J565" s="724" t="str">
        <f t="shared" si="469"/>
        <v>28065842021100240</v>
      </c>
      <c r="K565" s="109">
        <v>2022</v>
      </c>
      <c r="L565" s="109" t="s">
        <v>348</v>
      </c>
      <c r="M565" s="109" t="s">
        <v>349</v>
      </c>
      <c r="N565" s="109" t="s">
        <v>350</v>
      </c>
      <c r="O565" s="715">
        <v>0</v>
      </c>
      <c r="P565" s="715">
        <v>0</v>
      </c>
      <c r="Q565" s="715">
        <v>0</v>
      </c>
      <c r="R565" s="715">
        <v>0</v>
      </c>
      <c r="S565" s="715">
        <v>0</v>
      </c>
      <c r="T565" s="7"/>
      <c r="U565" s="7"/>
      <c r="V565" s="7"/>
      <c r="W565" s="7"/>
      <c r="X565" s="7"/>
      <c r="Y565" s="7"/>
      <c r="Z565" s="7"/>
      <c r="AA565" s="7"/>
      <c r="AB565" s="7"/>
      <c r="AC565" s="121">
        <f t="shared" si="470"/>
        <v>0</v>
      </c>
      <c r="AD565" s="115">
        <f>ROUND(SUMIFS('Employee Detail FY22'!$AF$6:$AF$132,'Employee Detail FY22'!$B$6:$B$132,C565,'Employee Detail FY22'!$C$6:$C$132,D565,'Employee Detail FY22'!$E$6:$E$132,F565,'Employee Detail FY22'!$F$6:$F$132,G565),0)</f>
        <v>0</v>
      </c>
      <c r="AE565" s="117">
        <f t="shared" si="473"/>
        <v>0</v>
      </c>
      <c r="AF565" s="117">
        <f t="shared" si="474"/>
        <v>0</v>
      </c>
    </row>
    <row r="566" spans="2:32" hidden="1" outlineLevel="1" x14ac:dyDescent="0.2">
      <c r="B566" s="7"/>
      <c r="C566" s="102" t="s">
        <v>135</v>
      </c>
      <c r="D566" s="102" t="s">
        <v>864</v>
      </c>
      <c r="E566" s="102"/>
      <c r="F566" s="102">
        <v>420</v>
      </c>
      <c r="G566" s="102">
        <v>2120</v>
      </c>
      <c r="H566" s="104" t="s">
        <v>184</v>
      </c>
      <c r="I566" s="103"/>
      <c r="J566" s="724" t="str">
        <f t="shared" si="469"/>
        <v>28065842021200240</v>
      </c>
      <c r="K566" s="109">
        <v>2022</v>
      </c>
      <c r="L566" s="109" t="s">
        <v>348</v>
      </c>
      <c r="M566" s="109" t="s">
        <v>349</v>
      </c>
      <c r="N566" s="109" t="s">
        <v>350</v>
      </c>
      <c r="O566" s="395">
        <v>0</v>
      </c>
      <c r="P566" s="395">
        <v>0</v>
      </c>
      <c r="Q566" s="395">
        <v>0</v>
      </c>
      <c r="R566" s="395">
        <v>11.31</v>
      </c>
      <c r="S566" s="395">
        <v>6.96</v>
      </c>
      <c r="T566" s="7"/>
      <c r="U566" s="7"/>
      <c r="V566" s="7"/>
      <c r="W566" s="7"/>
      <c r="X566" s="7"/>
      <c r="Y566" s="7"/>
      <c r="Z566" s="7"/>
      <c r="AA566" s="7"/>
      <c r="AB566" s="7"/>
      <c r="AC566" s="121">
        <f t="shared" si="470"/>
        <v>18.27</v>
      </c>
      <c r="AD566" s="115">
        <f>ROUND(SUMIFS('Employee Detail FY22'!$AF$6:$AF$132,'Employee Detail FY22'!$B$6:$B$132,C566,'Employee Detail FY22'!$C$6:$C$132,D566,'Employee Detail FY22'!$E$6:$E$132,F566,'Employee Detail FY22'!$F$6:$F$132,G566),0)</f>
        <v>97</v>
      </c>
      <c r="AE566" s="117">
        <f t="shared" si="473"/>
        <v>78.73</v>
      </c>
      <c r="AF566" s="117">
        <f t="shared" si="474"/>
        <v>6.560833333333334</v>
      </c>
    </row>
    <row r="567" spans="2:32" hidden="1" outlineLevel="1" x14ac:dyDescent="0.2">
      <c r="B567" s="7"/>
      <c r="C567" s="102" t="s">
        <v>135</v>
      </c>
      <c r="D567" s="102" t="s">
        <v>864</v>
      </c>
      <c r="E567" s="102"/>
      <c r="F567" s="102" t="s">
        <v>557</v>
      </c>
      <c r="G567" s="102" t="s">
        <v>558</v>
      </c>
      <c r="H567" s="104" t="s">
        <v>184</v>
      </c>
      <c r="I567" s="104"/>
      <c r="J567" s="724" t="str">
        <f t="shared" si="469"/>
        <v>28065842022120240</v>
      </c>
      <c r="K567" s="109">
        <v>2022</v>
      </c>
      <c r="L567" s="109" t="s">
        <v>348</v>
      </c>
      <c r="M567" s="109" t="s">
        <v>349</v>
      </c>
      <c r="N567" s="109" t="s">
        <v>350</v>
      </c>
      <c r="O567" s="715">
        <v>0</v>
      </c>
      <c r="P567" s="715">
        <v>0</v>
      </c>
      <c r="Q567" s="715">
        <v>0</v>
      </c>
      <c r="R567" s="715">
        <v>0</v>
      </c>
      <c r="S567" s="715">
        <v>0</v>
      </c>
      <c r="T567" s="7"/>
      <c r="U567" s="7"/>
      <c r="V567" s="7"/>
      <c r="W567" s="7"/>
      <c r="X567" s="7"/>
      <c r="Y567" s="7"/>
      <c r="Z567" s="7"/>
      <c r="AA567" s="7"/>
      <c r="AB567" s="7"/>
      <c r="AC567" s="121">
        <f t="shared" si="470"/>
        <v>0</v>
      </c>
      <c r="AD567" s="115">
        <f>ROUND(SUMIFS('Employee Detail FY22'!$AF$6:$AF$132,'Employee Detail FY22'!$B$6:$B$132,C567,'Employee Detail FY22'!$C$6:$C$132,D567,'Employee Detail FY22'!$E$6:$E$132,F567,'Employee Detail FY22'!$F$6:$F$132,G567),0)</f>
        <v>0</v>
      </c>
      <c r="AE567" s="117">
        <f t="shared" si="473"/>
        <v>0</v>
      </c>
      <c r="AF567" s="117">
        <f t="shared" si="474"/>
        <v>0</v>
      </c>
    </row>
    <row r="568" spans="2:32" hidden="1" outlineLevel="1" x14ac:dyDescent="0.2">
      <c r="B568" s="7"/>
      <c r="C568" s="102" t="s">
        <v>135</v>
      </c>
      <c r="D568" s="102" t="s">
        <v>245</v>
      </c>
      <c r="E568" s="102"/>
      <c r="F568" s="102">
        <v>430</v>
      </c>
      <c r="G568" s="102" t="s">
        <v>461</v>
      </c>
      <c r="H568" s="104" t="s">
        <v>184</v>
      </c>
      <c r="I568" s="104"/>
      <c r="J568" s="724" t="str">
        <f t="shared" si="469"/>
        <v>28063343010000240</v>
      </c>
      <c r="K568" s="109">
        <v>2022</v>
      </c>
      <c r="L568" s="109" t="s">
        <v>348</v>
      </c>
      <c r="M568" s="109" t="s">
        <v>349</v>
      </c>
      <c r="N568" s="109" t="s">
        <v>350</v>
      </c>
      <c r="O568" s="395">
        <v>0</v>
      </c>
      <c r="P568" s="395">
        <v>32.83</v>
      </c>
      <c r="Q568" s="395">
        <v>0.36</v>
      </c>
      <c r="R568" s="395">
        <v>66.38</v>
      </c>
      <c r="S568" s="395">
        <v>66.38</v>
      </c>
      <c r="T568" s="7"/>
      <c r="U568" s="7"/>
      <c r="V568" s="7"/>
      <c r="W568" s="7"/>
      <c r="X568" s="7"/>
      <c r="Y568" s="7"/>
      <c r="Z568" s="7"/>
      <c r="AA568" s="7"/>
      <c r="AB568" s="7"/>
      <c r="AC568" s="121">
        <f t="shared" si="470"/>
        <v>165.95</v>
      </c>
      <c r="AD568" s="115">
        <f>ROUND(SUMIFS('Employee Detail FY22'!$AF$6:$AF$132,'Employee Detail FY22'!$B$6:$B$132,C568,'Employee Detail FY22'!$C$6:$C$132,D568,'Employee Detail FY22'!$E$6:$E$132,F568,'Employee Detail FY22'!$F$6:$F$132,G568),0)</f>
        <v>527</v>
      </c>
      <c r="AE568" s="117">
        <f t="shared" si="473"/>
        <v>361.05</v>
      </c>
      <c r="AF568" s="117">
        <f t="shared" si="474"/>
        <v>30.087500000000002</v>
      </c>
    </row>
    <row r="569" spans="2:32" hidden="1" outlineLevel="1" x14ac:dyDescent="0.2">
      <c r="B569" s="7"/>
      <c r="C569" s="102" t="s">
        <v>135</v>
      </c>
      <c r="D569" s="102" t="s">
        <v>242</v>
      </c>
      <c r="E569" s="102"/>
      <c r="F569" s="102" t="s">
        <v>532</v>
      </c>
      <c r="G569" s="102" t="s">
        <v>461</v>
      </c>
      <c r="H569" s="104" t="s">
        <v>184</v>
      </c>
      <c r="I569" s="515"/>
      <c r="J569" s="724" t="str">
        <f t="shared" si="469"/>
        <v>28062443010000240</v>
      </c>
      <c r="K569" s="102">
        <v>2022</v>
      </c>
      <c r="L569" s="102" t="s">
        <v>348</v>
      </c>
      <c r="M569" s="102" t="s">
        <v>349</v>
      </c>
      <c r="N569" s="102" t="s">
        <v>350</v>
      </c>
      <c r="O569" s="395">
        <v>0</v>
      </c>
      <c r="P569" s="395">
        <v>0</v>
      </c>
      <c r="Q569" s="395">
        <v>33.19</v>
      </c>
      <c r="R569" s="395">
        <v>134.54</v>
      </c>
      <c r="S569" s="395">
        <v>66.28</v>
      </c>
      <c r="T569" s="7"/>
      <c r="U569" s="7"/>
      <c r="V569" s="7"/>
      <c r="W569" s="7"/>
      <c r="X569" s="7"/>
      <c r="Y569" s="7"/>
      <c r="Z569" s="7"/>
      <c r="AA569" s="7"/>
      <c r="AB569" s="7"/>
      <c r="AC569" s="121">
        <f t="shared" si="470"/>
        <v>234.01</v>
      </c>
      <c r="AD569" s="115">
        <f>ROUND(SUMIFS('Employee Detail FY22'!$AF$6:$AF$132,'Employee Detail FY22'!$B$6:$B$132,C569,'Employee Detail FY22'!$C$6:$C$132,D569,'Employee Detail FY22'!$E$6:$E$132,F569,'Employee Detail FY22'!$F$6:$F$132,G569),0)</f>
        <v>87</v>
      </c>
      <c r="AE569" s="117">
        <f t="shared" si="473"/>
        <v>-147.01</v>
      </c>
      <c r="AF569" s="117">
        <f t="shared" si="474"/>
        <v>-12.250833333333333</v>
      </c>
    </row>
    <row r="570" spans="2:32" hidden="1" outlineLevel="1" x14ac:dyDescent="0.2">
      <c r="B570" s="7"/>
      <c r="C570" s="102" t="s">
        <v>135</v>
      </c>
      <c r="D570" s="102" t="s">
        <v>242</v>
      </c>
      <c r="E570" s="104"/>
      <c r="F570" s="102" t="s">
        <v>532</v>
      </c>
      <c r="G570" s="102" t="s">
        <v>465</v>
      </c>
      <c r="H570" s="104" t="s">
        <v>184</v>
      </c>
      <c r="I570" s="103"/>
      <c r="J570" s="724" t="str">
        <f t="shared" si="469"/>
        <v>28062443021100240</v>
      </c>
      <c r="K570" s="109">
        <v>2022</v>
      </c>
      <c r="L570" s="109" t="s">
        <v>348</v>
      </c>
      <c r="M570" s="109" t="s">
        <v>349</v>
      </c>
      <c r="N570" s="109" t="s">
        <v>350</v>
      </c>
      <c r="O570" s="715">
        <v>0</v>
      </c>
      <c r="P570" s="715">
        <v>0</v>
      </c>
      <c r="Q570" s="715">
        <v>0</v>
      </c>
      <c r="R570" s="715">
        <v>0</v>
      </c>
      <c r="S570" s="715">
        <v>0</v>
      </c>
      <c r="T570" s="7"/>
      <c r="U570" s="7"/>
      <c r="V570" s="7"/>
      <c r="W570" s="7"/>
      <c r="X570" s="7"/>
      <c r="Y570" s="7"/>
      <c r="Z570" s="7"/>
      <c r="AA570" s="7"/>
      <c r="AB570" s="7"/>
      <c r="AC570" s="121">
        <f t="shared" si="470"/>
        <v>0</v>
      </c>
      <c r="AD570" s="115">
        <f>ROUND(SUMIFS('Employee Detail FY22'!$AF$6:$AF$132,'Employee Detail FY22'!$B$6:$B$132,C570,'Employee Detail FY22'!$C$6:$C$132,D570,'Employee Detail FY22'!$E$6:$E$132,F570,'Employee Detail FY22'!$F$6:$F$132,G570),0)</f>
        <v>0</v>
      </c>
      <c r="AE570" s="117">
        <f t="shared" si="473"/>
        <v>0</v>
      </c>
      <c r="AF570" s="117">
        <f t="shared" si="474"/>
        <v>0</v>
      </c>
    </row>
    <row r="571" spans="2:32" hidden="1" outlineLevel="1" x14ac:dyDescent="0.2">
      <c r="B571" s="7"/>
      <c r="C571" s="102" t="s">
        <v>135</v>
      </c>
      <c r="D571" s="102" t="s">
        <v>242</v>
      </c>
      <c r="E571" s="102"/>
      <c r="F571" s="102" t="s">
        <v>532</v>
      </c>
      <c r="G571" s="102" t="s">
        <v>556</v>
      </c>
      <c r="H571" s="104" t="s">
        <v>184</v>
      </c>
      <c r="I571" s="103"/>
      <c r="J571" s="724" t="str">
        <f t="shared" si="469"/>
        <v>28062443021200240</v>
      </c>
      <c r="K571" s="109">
        <v>2022</v>
      </c>
      <c r="L571" s="109" t="s">
        <v>348</v>
      </c>
      <c r="M571" s="109" t="s">
        <v>349</v>
      </c>
      <c r="N571" s="109" t="s">
        <v>350</v>
      </c>
      <c r="O571" s="395">
        <v>0</v>
      </c>
      <c r="P571" s="395">
        <v>0</v>
      </c>
      <c r="Q571" s="395">
        <v>0</v>
      </c>
      <c r="R571" s="395">
        <v>5.44</v>
      </c>
      <c r="S571" s="395">
        <v>0</v>
      </c>
      <c r="T571" s="7"/>
      <c r="U571" s="7"/>
      <c r="V571" s="7"/>
      <c r="W571" s="7"/>
      <c r="X571" s="7"/>
      <c r="Y571" s="7"/>
      <c r="Z571" s="7"/>
      <c r="AA571" s="7"/>
      <c r="AB571" s="7"/>
      <c r="AC571" s="121">
        <f t="shared" si="470"/>
        <v>5.44</v>
      </c>
      <c r="AD571" s="115">
        <f>ROUND(SUMIFS('Employee Detail FY22'!$AF$6:$AF$132,'Employee Detail FY22'!$B$6:$B$132,C571,'Employee Detail FY22'!$C$6:$C$132,D571,'Employee Detail FY22'!$E$6:$E$132,F571,'Employee Detail FY22'!$F$6:$F$132,G571),0)</f>
        <v>0</v>
      </c>
      <c r="AE571" s="117">
        <f t="shared" si="473"/>
        <v>-5.44</v>
      </c>
      <c r="AF571" s="117">
        <f t="shared" si="474"/>
        <v>-0.45333333333333337</v>
      </c>
    </row>
    <row r="572" spans="2:32" hidden="1" outlineLevel="1" x14ac:dyDescent="0.2">
      <c r="B572" s="7"/>
      <c r="C572" s="102" t="s">
        <v>135</v>
      </c>
      <c r="D572" s="102" t="s">
        <v>550</v>
      </c>
      <c r="E572" s="104"/>
      <c r="F572" s="102">
        <v>430</v>
      </c>
      <c r="G572" s="102" t="s">
        <v>484</v>
      </c>
      <c r="H572" s="104" t="s">
        <v>184</v>
      </c>
      <c r="I572" s="103"/>
      <c r="J572" s="724" t="str">
        <f t="shared" si="469"/>
        <v>28071543021300240</v>
      </c>
      <c r="K572" s="109">
        <v>2022</v>
      </c>
      <c r="L572" s="109" t="s">
        <v>348</v>
      </c>
      <c r="M572" s="109" t="s">
        <v>349</v>
      </c>
      <c r="N572" s="109" t="s">
        <v>350</v>
      </c>
      <c r="O572" s="395">
        <v>0</v>
      </c>
      <c r="P572" s="395">
        <v>29.2</v>
      </c>
      <c r="Q572" s="395">
        <v>24.47</v>
      </c>
      <c r="R572" s="395">
        <v>25.77</v>
      </c>
      <c r="S572" s="395">
        <v>49.1</v>
      </c>
      <c r="T572" s="7"/>
      <c r="U572" s="7"/>
      <c r="V572" s="7"/>
      <c r="W572" s="7"/>
      <c r="X572" s="7"/>
      <c r="Y572" s="7"/>
      <c r="Z572" s="7"/>
      <c r="AA572" s="7"/>
      <c r="AB572" s="7"/>
      <c r="AC572" s="121">
        <f t="shared" si="470"/>
        <v>128.54</v>
      </c>
      <c r="AD572" s="115">
        <f>ROUND(SUMIFS('Employee Detail FY22'!$AF$6:$AF$132,'Employee Detail FY22'!$B$6:$B$132,C572,'Employee Detail FY22'!$C$6:$C$132,D572,'Employee Detail FY22'!$E$6:$E$132,F572,'Employee Detail FY22'!$F$6:$F$132,G572),0)</f>
        <v>169</v>
      </c>
      <c r="AE572" s="117">
        <f t="shared" si="473"/>
        <v>40.460000000000008</v>
      </c>
      <c r="AF572" s="117">
        <f t="shared" si="474"/>
        <v>3.3716666666666675</v>
      </c>
    </row>
    <row r="573" spans="2:32" hidden="1" outlineLevel="1" x14ac:dyDescent="0.2">
      <c r="B573" s="7"/>
      <c r="C573" s="102" t="s">
        <v>135</v>
      </c>
      <c r="D573" s="102" t="s">
        <v>242</v>
      </c>
      <c r="E573" s="104"/>
      <c r="F573" s="102" t="s">
        <v>532</v>
      </c>
      <c r="G573" s="102" t="s">
        <v>485</v>
      </c>
      <c r="H573" s="104" t="s">
        <v>184</v>
      </c>
      <c r="I573" s="103"/>
      <c r="J573" s="724" t="str">
        <f t="shared" si="469"/>
        <v>28062443021400240</v>
      </c>
      <c r="K573" s="109">
        <v>2022</v>
      </c>
      <c r="L573" s="109" t="s">
        <v>348</v>
      </c>
      <c r="M573" s="109" t="s">
        <v>349</v>
      </c>
      <c r="N573" s="109" t="s">
        <v>350</v>
      </c>
      <c r="O573" s="715">
        <v>0</v>
      </c>
      <c r="P573" s="715">
        <v>0</v>
      </c>
      <c r="Q573" s="715">
        <v>0</v>
      </c>
      <c r="R573" s="715">
        <v>0</v>
      </c>
      <c r="S573" s="715">
        <v>0</v>
      </c>
      <c r="T573" s="7"/>
      <c r="U573" s="7"/>
      <c r="V573" s="7"/>
      <c r="W573" s="7"/>
      <c r="X573" s="7"/>
      <c r="Y573" s="7"/>
      <c r="Z573" s="7"/>
      <c r="AA573" s="7"/>
      <c r="AB573" s="7"/>
      <c r="AC573" s="121">
        <f t="shared" si="470"/>
        <v>0</v>
      </c>
      <c r="AD573" s="115">
        <f>ROUND(SUMIFS('Employee Detail FY22'!$AF$6:$AF$132,'Employee Detail FY22'!$B$6:$B$132,C573,'Employee Detail FY22'!$C$6:$C$132,D573,'Employee Detail FY22'!$E$6:$E$132,F573,'Employee Detail FY22'!$F$6:$F$132,G573),0)</f>
        <v>0</v>
      </c>
      <c r="AE573" s="117">
        <f t="shared" si="473"/>
        <v>0</v>
      </c>
      <c r="AF573" s="117">
        <f t="shared" si="474"/>
        <v>0</v>
      </c>
    </row>
    <row r="574" spans="2:32" hidden="1" outlineLevel="1" x14ac:dyDescent="0.2">
      <c r="B574" s="7"/>
      <c r="C574" s="102" t="s">
        <v>135</v>
      </c>
      <c r="D574" s="104" t="s">
        <v>242</v>
      </c>
      <c r="E574" s="104"/>
      <c r="F574" s="102" t="s">
        <v>532</v>
      </c>
      <c r="G574" s="102" t="s">
        <v>534</v>
      </c>
      <c r="H574" s="104" t="s">
        <v>184</v>
      </c>
      <c r="I574" s="103"/>
      <c r="J574" s="724" t="str">
        <f t="shared" si="469"/>
        <v>28062443022100240</v>
      </c>
      <c r="K574" s="109">
        <v>2022</v>
      </c>
      <c r="L574" s="109" t="s">
        <v>348</v>
      </c>
      <c r="M574" s="109" t="s">
        <v>349</v>
      </c>
      <c r="N574" s="109" t="s">
        <v>350</v>
      </c>
      <c r="O574" s="395">
        <v>0</v>
      </c>
      <c r="P574" s="395">
        <v>71.14</v>
      </c>
      <c r="Q574" s="395">
        <v>106.71</v>
      </c>
      <c r="R574" s="395">
        <v>76.58</v>
      </c>
      <c r="S574" s="395">
        <v>71.14</v>
      </c>
      <c r="T574" s="7"/>
      <c r="U574" s="7"/>
      <c r="V574" s="7"/>
      <c r="W574" s="7"/>
      <c r="X574" s="7"/>
      <c r="Y574" s="7"/>
      <c r="Z574" s="7"/>
      <c r="AA574" s="7"/>
      <c r="AB574" s="7"/>
      <c r="AC574" s="121">
        <f t="shared" si="470"/>
        <v>325.57</v>
      </c>
      <c r="AD574" s="115">
        <f>ROUND(SUMIFS('Employee Detail FY22'!$AF$6:$AF$132,'Employee Detail FY22'!$B$6:$B$132,C574,'Employee Detail FY22'!$C$6:$C$132,D574,'Employee Detail FY22'!$E$6:$E$132,F574,'Employee Detail FY22'!$F$6:$F$132,G574),0)</f>
        <v>934</v>
      </c>
      <c r="AE574" s="117">
        <f t="shared" si="473"/>
        <v>608.43000000000006</v>
      </c>
      <c r="AF574" s="117">
        <f t="shared" si="474"/>
        <v>50.702500000000008</v>
      </c>
    </row>
    <row r="575" spans="2:32" hidden="1" outlineLevel="1" x14ac:dyDescent="0.2">
      <c r="B575" s="7"/>
      <c r="C575" s="102" t="s">
        <v>135</v>
      </c>
      <c r="D575" s="104" t="s">
        <v>245</v>
      </c>
      <c r="E575" s="104"/>
      <c r="F575" s="102">
        <v>430</v>
      </c>
      <c r="G575" s="102" t="s">
        <v>534</v>
      </c>
      <c r="H575" s="104" t="s">
        <v>184</v>
      </c>
      <c r="I575" s="103"/>
      <c r="J575" s="724" t="str">
        <f t="shared" si="469"/>
        <v>28063343022100240</v>
      </c>
      <c r="K575" s="109">
        <v>2022</v>
      </c>
      <c r="L575" s="109" t="s">
        <v>348</v>
      </c>
      <c r="M575" s="109" t="s">
        <v>349</v>
      </c>
      <c r="N575" s="109" t="s">
        <v>350</v>
      </c>
      <c r="O575" s="395">
        <v>0</v>
      </c>
      <c r="P575" s="395">
        <v>84.54</v>
      </c>
      <c r="Q575" s="395">
        <v>126.6</v>
      </c>
      <c r="R575" s="395">
        <v>84.52</v>
      </c>
      <c r="S575" s="395">
        <v>84.54</v>
      </c>
      <c r="T575" s="7"/>
      <c r="U575" s="7"/>
      <c r="V575" s="7"/>
      <c r="W575" s="7"/>
      <c r="X575" s="7"/>
      <c r="Y575" s="7"/>
      <c r="Z575" s="7"/>
      <c r="AA575" s="7"/>
      <c r="AB575" s="7"/>
      <c r="AC575" s="121">
        <f t="shared" si="470"/>
        <v>380.2</v>
      </c>
      <c r="AD575" s="115">
        <f>ROUND(SUMIFS('Employee Detail FY22'!$AF$6:$AF$132,'Employee Detail FY22'!$B$6:$B$132,C575,'Employee Detail FY22'!$C$6:$C$132,D575,'Employee Detail FY22'!$E$6:$E$132,F575,'Employee Detail FY22'!$F$6:$F$132,G575),0)</f>
        <v>1099</v>
      </c>
      <c r="AE575" s="117">
        <f t="shared" si="473"/>
        <v>718.8</v>
      </c>
      <c r="AF575" s="117">
        <f t="shared" si="474"/>
        <v>59.9</v>
      </c>
    </row>
    <row r="576" spans="2:32" hidden="1" outlineLevel="1" x14ac:dyDescent="0.2">
      <c r="B576" s="7"/>
      <c r="C576" s="102" t="s">
        <v>135</v>
      </c>
      <c r="D576" s="104" t="s">
        <v>242</v>
      </c>
      <c r="E576" s="104"/>
      <c r="F576" s="102" t="s">
        <v>532</v>
      </c>
      <c r="G576" s="102" t="s">
        <v>558</v>
      </c>
      <c r="H576" s="104" t="s">
        <v>184</v>
      </c>
      <c r="I576" s="182"/>
      <c r="J576" s="724" t="str">
        <f t="shared" si="469"/>
        <v>28062443022120240</v>
      </c>
      <c r="K576" s="420">
        <v>2022</v>
      </c>
      <c r="L576" s="420" t="s">
        <v>348</v>
      </c>
      <c r="M576" s="420" t="s">
        <v>349</v>
      </c>
      <c r="N576" s="420" t="s">
        <v>350</v>
      </c>
      <c r="O576" s="395">
        <v>0</v>
      </c>
      <c r="P576" s="395">
        <v>0</v>
      </c>
      <c r="Q576" s="395">
        <v>0</v>
      </c>
      <c r="R576" s="395">
        <v>3.26</v>
      </c>
      <c r="S576" s="395">
        <v>0</v>
      </c>
      <c r="T576" s="7"/>
      <c r="U576" s="7"/>
      <c r="V576" s="7"/>
      <c r="W576" s="7"/>
      <c r="X576" s="7"/>
      <c r="Y576" s="7"/>
      <c r="Z576" s="7"/>
      <c r="AA576" s="7"/>
      <c r="AB576" s="7"/>
      <c r="AC576" s="121">
        <f t="shared" si="470"/>
        <v>3.26</v>
      </c>
      <c r="AD576" s="115">
        <f>ROUND(SUMIFS('Employee Detail FY22'!$AF$6:$AF$132,'Employee Detail FY22'!$B$6:$B$132,C576,'Employee Detail FY22'!$C$6:$C$132,D576,'Employee Detail FY22'!$E$6:$E$132,F576,'Employee Detail FY22'!$F$6:$F$132,G576),0)</f>
        <v>0</v>
      </c>
      <c r="AE576" s="117">
        <f t="shared" si="473"/>
        <v>-3.26</v>
      </c>
      <c r="AF576" s="117">
        <f t="shared" si="474"/>
        <v>-0.27166666666666667</v>
      </c>
    </row>
    <row r="577" spans="2:36" hidden="1" outlineLevel="1" x14ac:dyDescent="0.2">
      <c r="B577" s="7"/>
      <c r="C577" s="102" t="s">
        <v>135</v>
      </c>
      <c r="D577" s="104" t="s">
        <v>242</v>
      </c>
      <c r="E577" s="104"/>
      <c r="F577" s="102">
        <v>430</v>
      </c>
      <c r="G577" s="102" t="s">
        <v>460</v>
      </c>
      <c r="H577" s="104" t="s">
        <v>184</v>
      </c>
      <c r="I577" s="104"/>
      <c r="J577" s="724" t="str">
        <f t="shared" si="469"/>
        <v>28062443024100240</v>
      </c>
      <c r="K577" s="109">
        <v>2022</v>
      </c>
      <c r="L577" s="109" t="s">
        <v>348</v>
      </c>
      <c r="M577" s="109" t="s">
        <v>349</v>
      </c>
      <c r="N577" s="109" t="s">
        <v>350</v>
      </c>
      <c r="O577" s="395">
        <v>0</v>
      </c>
      <c r="P577" s="395">
        <v>0</v>
      </c>
      <c r="Q577" s="395">
        <v>354.54</v>
      </c>
      <c r="R577" s="395">
        <v>100.4</v>
      </c>
      <c r="S577" s="395">
        <v>89.55</v>
      </c>
      <c r="T577" s="7"/>
      <c r="U577" s="7"/>
      <c r="V577" s="7"/>
      <c r="W577" s="7"/>
      <c r="X577" s="7"/>
      <c r="Y577" s="7"/>
      <c r="Z577" s="7"/>
      <c r="AA577" s="7"/>
      <c r="AB577" s="7"/>
      <c r="AC577" s="121">
        <f t="shared" si="470"/>
        <v>544.49</v>
      </c>
      <c r="AD577" s="115">
        <f>ROUND(SUMIFS('Employee Detail FY22'!$AF$6:$AF$132,'Employee Detail FY22'!$B$6:$B$132,C577,'Employee Detail FY22'!$C$6:$C$132,D577,'Employee Detail FY22'!$E$6:$E$132,F577,'Employee Detail FY22'!$F$6:$F$132,G577),0)</f>
        <v>1250</v>
      </c>
      <c r="AE577" s="117">
        <f t="shared" si="473"/>
        <v>705.51</v>
      </c>
      <c r="AF577" s="117">
        <f t="shared" si="474"/>
        <v>58.792499999999997</v>
      </c>
    </row>
    <row r="578" spans="2:36" hidden="1" outlineLevel="1" x14ac:dyDescent="0.2">
      <c r="B578" s="7"/>
      <c r="C578" s="102" t="s">
        <v>135</v>
      </c>
      <c r="D578" s="102" t="s">
        <v>242</v>
      </c>
      <c r="E578" s="104"/>
      <c r="F578" s="102" t="s">
        <v>532</v>
      </c>
      <c r="G578" s="102" t="s">
        <v>464</v>
      </c>
      <c r="H578" s="104" t="s">
        <v>184</v>
      </c>
      <c r="I578" s="103"/>
      <c r="J578" s="419" t="str">
        <f t="shared" ref="J578" si="475">CONCATENATE(C578,D578,F578,G578,H578,I578)</f>
        <v>28062443023200240</v>
      </c>
      <c r="K578" s="109">
        <v>2022</v>
      </c>
      <c r="L578" s="109" t="s">
        <v>348</v>
      </c>
      <c r="M578" s="109" t="s">
        <v>349</v>
      </c>
      <c r="N578" s="109" t="s">
        <v>350</v>
      </c>
      <c r="O578" s="395">
        <v>0</v>
      </c>
      <c r="P578" s="395">
        <v>0</v>
      </c>
      <c r="Q578" s="395">
        <v>0</v>
      </c>
      <c r="R578" s="395">
        <v>6.18</v>
      </c>
      <c r="S578" s="395">
        <v>0</v>
      </c>
      <c r="T578" s="7"/>
      <c r="U578" s="7"/>
      <c r="V578" s="7"/>
      <c r="W578" s="7"/>
      <c r="X578" s="7"/>
      <c r="Y578" s="7"/>
      <c r="Z578" s="7"/>
      <c r="AA578" s="7"/>
      <c r="AB578" s="7"/>
      <c r="AC578" s="121">
        <f t="shared" si="470"/>
        <v>6.18</v>
      </c>
      <c r="AD578" s="115">
        <f>ROUND(SUMIFS('Employee Detail FY22'!$AF$6:$AF$132,'Employee Detail FY22'!$B$6:$B$132,C578,'Employee Detail FY22'!$C$6:$C$132,D578,'Employee Detail FY22'!$E$6:$E$132,F578,'Employee Detail FY22'!$F$6:$F$132,G578),0)</f>
        <v>0</v>
      </c>
      <c r="AE578" s="117"/>
      <c r="AF578" s="117"/>
    </row>
    <row r="579" spans="2:36" hidden="1" outlineLevel="1" x14ac:dyDescent="0.2">
      <c r="B579" s="7"/>
      <c r="C579" s="102" t="s">
        <v>462</v>
      </c>
      <c r="D579" s="102" t="s">
        <v>132</v>
      </c>
      <c r="E579" s="104"/>
      <c r="F579" s="102" t="s">
        <v>463</v>
      </c>
      <c r="G579" s="102" t="s">
        <v>461</v>
      </c>
      <c r="H579" s="104" t="s">
        <v>184</v>
      </c>
      <c r="I579" s="103"/>
      <c r="J579" s="419" t="str">
        <f t="shared" ref="J579:J582" si="476">CONCATENATE(C579,D579,F579,G579,H579,I579)</f>
        <v>25020520010000240</v>
      </c>
      <c r="K579" s="109">
        <v>2022</v>
      </c>
      <c r="L579" s="109" t="s">
        <v>348</v>
      </c>
      <c r="M579" s="109" t="s">
        <v>349</v>
      </c>
      <c r="N579" s="109" t="s">
        <v>350</v>
      </c>
      <c r="O579" s="715">
        <v>178.07</v>
      </c>
      <c r="P579" s="715">
        <v>0</v>
      </c>
      <c r="Q579" s="715">
        <v>0</v>
      </c>
      <c r="R579" s="715">
        <v>0</v>
      </c>
      <c r="S579" s="715">
        <v>0</v>
      </c>
      <c r="T579" s="7"/>
      <c r="U579" s="7"/>
      <c r="V579" s="7"/>
      <c r="W579" s="7"/>
      <c r="X579" s="7"/>
      <c r="Y579" s="7"/>
      <c r="Z579" s="7"/>
      <c r="AA579" s="7"/>
      <c r="AB579" s="7"/>
      <c r="AC579" s="121">
        <f t="shared" si="470"/>
        <v>178.07</v>
      </c>
      <c r="AD579" s="115">
        <f>ROUND(SUMIFS('Employee Detail FY22'!$AF$6:$AF$132,'Employee Detail FY22'!$B$6:$B$132,C579,'Employee Detail FY22'!$C$6:$C$132,D579,'Employee Detail FY22'!$E$6:$E$132,F579,'Employee Detail FY22'!$F$6:$F$132,G579),0)</f>
        <v>0</v>
      </c>
      <c r="AE579" s="117"/>
      <c r="AF579" s="117"/>
    </row>
    <row r="580" spans="2:36" hidden="1" outlineLevel="1" x14ac:dyDescent="0.2">
      <c r="B580" s="7"/>
      <c r="C580" s="102" t="s">
        <v>135</v>
      </c>
      <c r="D580" s="102" t="s">
        <v>923</v>
      </c>
      <c r="E580" s="104"/>
      <c r="F580" s="102" t="s">
        <v>468</v>
      </c>
      <c r="G580" s="102" t="s">
        <v>534</v>
      </c>
      <c r="H580" s="104" t="s">
        <v>184</v>
      </c>
      <c r="I580" s="103"/>
      <c r="J580" s="419" t="str">
        <f t="shared" si="476"/>
        <v>28066110022100240</v>
      </c>
      <c r="K580" s="109">
        <v>2022</v>
      </c>
      <c r="L580" s="109" t="s">
        <v>348</v>
      </c>
      <c r="M580" s="109" t="s">
        <v>349</v>
      </c>
      <c r="N580" s="109" t="s">
        <v>350</v>
      </c>
      <c r="O580" s="715">
        <v>0</v>
      </c>
      <c r="P580" s="715">
        <v>101.5</v>
      </c>
      <c r="Q580" s="715">
        <v>0</v>
      </c>
      <c r="R580" s="715">
        <v>0</v>
      </c>
      <c r="S580" s="715">
        <v>0</v>
      </c>
      <c r="T580" s="7"/>
      <c r="U580" s="7"/>
      <c r="V580" s="7"/>
      <c r="W580" s="7"/>
      <c r="X580" s="7"/>
      <c r="Y580" s="7"/>
      <c r="Z580" s="7"/>
      <c r="AA580" s="7"/>
      <c r="AB580" s="7"/>
      <c r="AC580" s="121">
        <f t="shared" si="470"/>
        <v>101.5</v>
      </c>
      <c r="AD580" s="115">
        <f>ROUND(SUMIFS('Employee Detail FY22'!$AF$6:$AF$132,'Employee Detail FY22'!$B$6:$B$132,C580,'Employee Detail FY22'!$C$6:$C$132,D580,'Employee Detail FY22'!$E$6:$E$132,F580,'Employee Detail FY22'!$F$6:$F$132,G580),0)</f>
        <v>0</v>
      </c>
      <c r="AE580" s="117"/>
      <c r="AF580" s="117"/>
    </row>
    <row r="581" spans="2:36" hidden="1" outlineLevel="1" x14ac:dyDescent="0.2">
      <c r="B581" s="7"/>
      <c r="C581" s="102" t="s">
        <v>135</v>
      </c>
      <c r="D581" s="102" t="s">
        <v>923</v>
      </c>
      <c r="E581" s="104"/>
      <c r="F581" s="102" t="s">
        <v>532</v>
      </c>
      <c r="G581" s="102" t="s">
        <v>461</v>
      </c>
      <c r="H581" s="104" t="s">
        <v>184</v>
      </c>
      <c r="I581" s="103"/>
      <c r="J581" s="419" t="str">
        <f t="shared" si="476"/>
        <v>28066143010000240</v>
      </c>
      <c r="K581" s="109">
        <v>2022</v>
      </c>
      <c r="L581" s="109" t="s">
        <v>348</v>
      </c>
      <c r="M581" s="109" t="s">
        <v>349</v>
      </c>
      <c r="N581" s="109" t="s">
        <v>350</v>
      </c>
      <c r="O581" s="715">
        <v>0</v>
      </c>
      <c r="P581" s="715">
        <v>34.67</v>
      </c>
      <c r="Q581" s="715">
        <v>0</v>
      </c>
      <c r="R581" s="715">
        <v>0</v>
      </c>
      <c r="S581" s="715">
        <v>0</v>
      </c>
      <c r="T581" s="7"/>
      <c r="U581" s="7"/>
      <c r="V581" s="7"/>
      <c r="W581" s="7"/>
      <c r="X581" s="7"/>
      <c r="Y581" s="7"/>
      <c r="Z581" s="7"/>
      <c r="AA581" s="7"/>
      <c r="AB581" s="7"/>
      <c r="AC581" s="121">
        <f t="shared" si="470"/>
        <v>34.67</v>
      </c>
      <c r="AD581" s="115">
        <f>ROUND(SUMIFS('Employee Detail FY22'!$AF$6:$AF$132,'Employee Detail FY22'!$B$6:$B$132,C581,'Employee Detail FY22'!$C$6:$C$132,D581,'Employee Detail FY22'!$E$6:$E$132,F581,'Employee Detail FY22'!$F$6:$F$132,G581),0)</f>
        <v>0</v>
      </c>
      <c r="AE581" s="117"/>
      <c r="AF581" s="117"/>
    </row>
    <row r="582" spans="2:36" hidden="1" outlineLevel="1" x14ac:dyDescent="0.2">
      <c r="B582" s="7"/>
      <c r="C582" s="102" t="s">
        <v>135</v>
      </c>
      <c r="D582" s="102" t="s">
        <v>1030</v>
      </c>
      <c r="E582" s="104"/>
      <c r="F582" s="102" t="s">
        <v>468</v>
      </c>
      <c r="G582" s="102" t="s">
        <v>460</v>
      </c>
      <c r="H582" s="104" t="s">
        <v>184</v>
      </c>
      <c r="I582" s="103"/>
      <c r="J582" s="419" t="str">
        <f t="shared" si="476"/>
        <v>28074110024100240</v>
      </c>
      <c r="K582" s="109">
        <v>2022</v>
      </c>
      <c r="L582" s="109" t="s">
        <v>348</v>
      </c>
      <c r="M582" s="109" t="s">
        <v>349</v>
      </c>
      <c r="N582" s="109" t="s">
        <v>350</v>
      </c>
      <c r="O582" s="715">
        <v>0</v>
      </c>
      <c r="P582" s="715">
        <v>39.78</v>
      </c>
      <c r="Q582" s="715">
        <v>0</v>
      </c>
      <c r="R582" s="715">
        <v>0</v>
      </c>
      <c r="S582" s="715">
        <v>0</v>
      </c>
      <c r="T582" s="7"/>
      <c r="U582" s="7"/>
      <c r="V582" s="7"/>
      <c r="W582" s="7"/>
      <c r="X582" s="7"/>
      <c r="Y582" s="7"/>
      <c r="Z582" s="7"/>
      <c r="AA582" s="7"/>
      <c r="AB582" s="7"/>
      <c r="AC582" s="121">
        <f t="shared" si="470"/>
        <v>39.78</v>
      </c>
      <c r="AD582" s="115">
        <f>ROUND(SUMIFS('Employee Detail FY22'!$AF$6:$AF$132,'Employee Detail FY22'!$B$6:$B$132,C582,'Employee Detail FY22'!$C$6:$C$132,D582,'Employee Detail FY22'!$E$6:$E$132,F582,'Employee Detail FY22'!$F$6:$F$132,G582),0)</f>
        <v>0</v>
      </c>
      <c r="AE582" s="117"/>
      <c r="AF582" s="117"/>
    </row>
    <row r="583" spans="2:36" hidden="1" outlineLevel="1" x14ac:dyDescent="0.2">
      <c r="B583" s="7"/>
      <c r="C583" s="102"/>
      <c r="D583" s="102"/>
      <c r="E583" s="104"/>
      <c r="F583" s="102"/>
      <c r="G583" s="102"/>
      <c r="H583" s="104"/>
      <c r="I583" s="103"/>
      <c r="J583" s="342"/>
      <c r="K583" s="109"/>
      <c r="L583" s="109"/>
      <c r="M583" s="109"/>
      <c r="N583" s="109"/>
      <c r="O583" s="715"/>
      <c r="P583" s="715"/>
      <c r="Q583" s="715"/>
      <c r="R583" s="715"/>
      <c r="S583" s="715"/>
      <c r="T583" s="7"/>
      <c r="U583" s="7"/>
      <c r="V583" s="7"/>
      <c r="W583" s="7"/>
      <c r="X583" s="7"/>
      <c r="Y583" s="7"/>
      <c r="Z583" s="7"/>
      <c r="AA583" s="7"/>
      <c r="AB583" s="7"/>
      <c r="AC583" s="121"/>
      <c r="AD583" s="115"/>
      <c r="AE583" s="117"/>
      <c r="AF583" s="117"/>
    </row>
    <row r="584" spans="2:36" s="2" customFormat="1" ht="13.5" collapsed="1" thickBot="1" x14ac:dyDescent="0.25">
      <c r="B584" s="564"/>
      <c r="C584" s="6"/>
      <c r="D584" s="6"/>
      <c r="E584" s="6"/>
      <c r="F584" s="6"/>
      <c r="G584" s="6"/>
      <c r="H584" s="6"/>
      <c r="I584" s="6"/>
      <c r="J584" s="582"/>
      <c r="K584" s="6"/>
      <c r="L584" s="6"/>
      <c r="M584" s="6"/>
      <c r="N584" s="6"/>
      <c r="O584" s="566">
        <f t="shared" ref="O584:AD584" si="477">SUM(O544:O583)</f>
        <v>1502.25</v>
      </c>
      <c r="P584" s="566">
        <f t="shared" si="477"/>
        <v>3257.53</v>
      </c>
      <c r="Q584" s="566">
        <f t="shared" si="477"/>
        <v>4098.4299999999994</v>
      </c>
      <c r="R584" s="566">
        <f t="shared" si="477"/>
        <v>3153.5099999999998</v>
      </c>
      <c r="S584" s="566">
        <f t="shared" si="477"/>
        <v>2893.9700000000003</v>
      </c>
      <c r="T584" s="566">
        <f t="shared" si="477"/>
        <v>0</v>
      </c>
      <c r="U584" s="566">
        <f t="shared" si="477"/>
        <v>0</v>
      </c>
      <c r="V584" s="566">
        <f t="shared" si="477"/>
        <v>0</v>
      </c>
      <c r="W584" s="566">
        <f t="shared" si="477"/>
        <v>0</v>
      </c>
      <c r="X584" s="566">
        <f t="shared" si="477"/>
        <v>0</v>
      </c>
      <c r="Y584" s="566">
        <f t="shared" si="477"/>
        <v>0</v>
      </c>
      <c r="Z584" s="566">
        <f t="shared" si="477"/>
        <v>0</v>
      </c>
      <c r="AA584" s="566">
        <f t="shared" si="477"/>
        <v>0</v>
      </c>
      <c r="AB584" s="566">
        <f t="shared" si="477"/>
        <v>0</v>
      </c>
      <c r="AC584" s="584">
        <f t="shared" si="477"/>
        <v>14905.690000000006</v>
      </c>
      <c r="AD584" s="584">
        <f t="shared" si="477"/>
        <v>37543</v>
      </c>
      <c r="AE584" s="584">
        <f>AD584-AC584</f>
        <v>22637.309999999994</v>
      </c>
      <c r="AF584" s="584">
        <f>AE584/$AF$6</f>
        <v>1886.4424999999994</v>
      </c>
      <c r="AG584" s="553"/>
      <c r="AH584" s="553"/>
      <c r="AI584" s="553"/>
      <c r="AJ584" s="553"/>
    </row>
    <row r="585" spans="2:36" ht="13.5" thickTop="1" x14ac:dyDescent="0.2">
      <c r="AC585" s="62"/>
      <c r="AD585" s="62">
        <f>AD165-AD584</f>
        <v>1957</v>
      </c>
      <c r="AE585" s="62"/>
      <c r="AF585" s="62"/>
    </row>
    <row r="586" spans="2:36" x14ac:dyDescent="0.2">
      <c r="B586" s="579" t="s">
        <v>1131</v>
      </c>
      <c r="C586" s="579"/>
      <c r="D586" s="579"/>
      <c r="E586" s="579"/>
      <c r="F586" s="579"/>
      <c r="G586" s="579"/>
      <c r="H586" s="579"/>
      <c r="I586" s="579"/>
      <c r="J586" s="580"/>
      <c r="K586" s="579"/>
      <c r="L586" s="579"/>
      <c r="M586" s="579"/>
      <c r="N586" s="579"/>
      <c r="O586" s="579"/>
      <c r="P586" s="579"/>
      <c r="Q586" s="579"/>
      <c r="R586" s="579"/>
      <c r="S586" s="579"/>
      <c r="T586" s="579"/>
      <c r="U586" s="579"/>
      <c r="V586" s="579"/>
      <c r="W586" s="579"/>
      <c r="X586" s="579"/>
      <c r="Y586" s="579"/>
      <c r="Z586" s="579"/>
      <c r="AA586" s="579"/>
      <c r="AB586" s="579"/>
      <c r="AC586" s="583"/>
      <c r="AD586" s="583"/>
      <c r="AE586" s="583"/>
      <c r="AF586" s="583"/>
    </row>
    <row r="587" spans="2:36" hidden="1" outlineLevel="1" x14ac:dyDescent="0.2">
      <c r="B587" s="7"/>
      <c r="C587" s="102" t="s">
        <v>468</v>
      </c>
      <c r="D587" s="102" t="s">
        <v>145</v>
      </c>
      <c r="E587" s="102"/>
      <c r="F587" s="102" t="s">
        <v>468</v>
      </c>
      <c r="G587" s="102">
        <v>1000</v>
      </c>
      <c r="H587" s="104" t="s">
        <v>188</v>
      </c>
      <c r="I587" s="104"/>
      <c r="J587" s="724" t="str">
        <f t="shared" ref="J587:J620" si="478">CONCATENATE(C587,D587,F587,G587,H587,I587)</f>
        <v>10000010010000260</v>
      </c>
      <c r="K587" s="109">
        <v>2022</v>
      </c>
      <c r="L587" s="109" t="s">
        <v>348</v>
      </c>
      <c r="M587" s="109" t="s">
        <v>349</v>
      </c>
      <c r="N587" s="109" t="s">
        <v>350</v>
      </c>
      <c r="O587" s="715">
        <v>0</v>
      </c>
      <c r="P587" s="715">
        <v>459.1</v>
      </c>
      <c r="Q587" s="715">
        <v>779.1</v>
      </c>
      <c r="R587" s="715">
        <v>431.93</v>
      </c>
      <c r="S587" s="715">
        <v>339.99</v>
      </c>
      <c r="T587" s="7"/>
      <c r="U587" s="7"/>
      <c r="V587" s="7"/>
      <c r="W587" s="7"/>
      <c r="X587" s="7"/>
      <c r="Y587" s="7"/>
      <c r="Z587" s="7"/>
      <c r="AA587" s="7"/>
      <c r="AB587" s="7"/>
      <c r="AC587" s="121">
        <f t="shared" ref="AC587:AC595" si="479">SUM(O587:AA587)</f>
        <v>2010.1200000000001</v>
      </c>
      <c r="AD587" s="115">
        <f>ROUND(SUMIFS('Employee Detail FY22'!$AH$6:$AH$132,'Employee Detail FY22'!$B$6:$B$132,C587,'Employee Detail FY22'!$C$6:$C$132,D587,'Employee Detail FY22'!$E$6:$E$132,+F587,'Employee Detail FY22'!$F$6:$F$132,G587),0)-3</f>
        <v>4718</v>
      </c>
      <c r="AE587" s="117">
        <f t="shared" ref="AE587" si="480">AD587-AC587</f>
        <v>2707.88</v>
      </c>
      <c r="AF587" s="117">
        <f t="shared" ref="AF587" si="481">AE587/$AF$6</f>
        <v>225.65666666666667</v>
      </c>
    </row>
    <row r="588" spans="2:36" hidden="1" outlineLevel="1" x14ac:dyDescent="0.2">
      <c r="B588" s="7"/>
      <c r="C588" s="102" t="s">
        <v>135</v>
      </c>
      <c r="D588" s="102" t="s">
        <v>923</v>
      </c>
      <c r="E588" s="102"/>
      <c r="F588" s="102">
        <v>100</v>
      </c>
      <c r="G588" s="102">
        <v>1000</v>
      </c>
      <c r="H588" s="104" t="s">
        <v>188</v>
      </c>
      <c r="I588" s="104"/>
      <c r="J588" s="724" t="str">
        <f t="shared" si="478"/>
        <v>28066110010000260</v>
      </c>
      <c r="K588" s="109">
        <v>2022</v>
      </c>
      <c r="L588" s="109" t="s">
        <v>348</v>
      </c>
      <c r="M588" s="109" t="s">
        <v>349</v>
      </c>
      <c r="N588" s="109" t="s">
        <v>350</v>
      </c>
      <c r="O588" s="715">
        <v>0</v>
      </c>
      <c r="P588" s="715">
        <v>0</v>
      </c>
      <c r="Q588" s="715">
        <v>0</v>
      </c>
      <c r="R588" s="715">
        <v>0</v>
      </c>
      <c r="S588" s="715">
        <v>0</v>
      </c>
      <c r="T588" s="7"/>
      <c r="U588" s="7"/>
      <c r="V588" s="7"/>
      <c r="W588" s="7"/>
      <c r="X588" s="7"/>
      <c r="Y588" s="7"/>
      <c r="Z588" s="7"/>
      <c r="AA588" s="7"/>
      <c r="AB588" s="7"/>
      <c r="AC588" s="121">
        <f t="shared" si="479"/>
        <v>0</v>
      </c>
      <c r="AD588" s="115">
        <f>ROUND(SUMIFS('Employee Detail FY22'!$AH$6:$AH$132,'Employee Detail FY22'!$B$6:$B$132,C588,'Employee Detail FY22'!$C$6:$C$132,D588,'Employee Detail FY22'!$E$6:$E$132,+F588,'Employee Detail FY22'!$F$6:$F$132,G588),0)</f>
        <v>1175</v>
      </c>
      <c r="AE588" s="117">
        <f t="shared" ref="AE588:AE622" si="482">AD588-AC588</f>
        <v>1175</v>
      </c>
      <c r="AF588" s="117">
        <f t="shared" ref="AF588:AF622" si="483">AE588/$AF$6</f>
        <v>97.916666666666671</v>
      </c>
    </row>
    <row r="589" spans="2:36" hidden="1" outlineLevel="1" x14ac:dyDescent="0.2">
      <c r="B589" s="7"/>
      <c r="C589" s="102" t="s">
        <v>135</v>
      </c>
      <c r="D589" s="104" t="s">
        <v>249</v>
      </c>
      <c r="E589" s="104"/>
      <c r="F589" s="102" t="s">
        <v>468</v>
      </c>
      <c r="G589" s="102" t="s">
        <v>461</v>
      </c>
      <c r="H589" s="104" t="s">
        <v>188</v>
      </c>
      <c r="I589" s="103"/>
      <c r="J589" s="724" t="str">
        <f t="shared" si="478"/>
        <v>28070910010000260</v>
      </c>
      <c r="K589" s="109">
        <v>2022</v>
      </c>
      <c r="L589" s="109" t="s">
        <v>348</v>
      </c>
      <c r="M589" s="109" t="s">
        <v>349</v>
      </c>
      <c r="N589" s="109" t="s">
        <v>350</v>
      </c>
      <c r="O589" s="715">
        <v>0</v>
      </c>
      <c r="P589" s="715">
        <v>0</v>
      </c>
      <c r="Q589" s="715">
        <v>0</v>
      </c>
      <c r="R589" s="715">
        <v>0</v>
      </c>
      <c r="S589" s="715">
        <v>0</v>
      </c>
      <c r="T589" s="7"/>
      <c r="U589" s="7"/>
      <c r="V589" s="7"/>
      <c r="W589" s="7"/>
      <c r="X589" s="7"/>
      <c r="Y589" s="7"/>
      <c r="Z589" s="7"/>
      <c r="AA589" s="7"/>
      <c r="AB589" s="7"/>
      <c r="AC589" s="121">
        <f t="shared" si="479"/>
        <v>0</v>
      </c>
      <c r="AD589" s="115">
        <f>ROUND(SUMIFS('Employee Detail FY22'!$AH$6:$AH$132,'Employee Detail FY22'!$B$6:$B$132,C589,'Employee Detail FY22'!$C$6:$C$132,D589,'Employee Detail FY22'!$E$6:$E$132,+F589,'Employee Detail FY22'!$F$6:$F$132,G589),0)</f>
        <v>219</v>
      </c>
      <c r="AE589" s="117">
        <f t="shared" si="482"/>
        <v>219</v>
      </c>
      <c r="AF589" s="117">
        <f t="shared" si="483"/>
        <v>18.25</v>
      </c>
    </row>
    <row r="590" spans="2:36" hidden="1" outlineLevel="1" x14ac:dyDescent="0.2">
      <c r="B590" s="7"/>
      <c r="C590" s="102" t="s">
        <v>468</v>
      </c>
      <c r="D590" s="104" t="s">
        <v>145</v>
      </c>
      <c r="E590" s="104"/>
      <c r="F590" s="102" t="s">
        <v>689</v>
      </c>
      <c r="G590" s="102" t="s">
        <v>461</v>
      </c>
      <c r="H590" s="104" t="s">
        <v>188</v>
      </c>
      <c r="I590" s="103"/>
      <c r="J590" s="724" t="str">
        <f t="shared" si="478"/>
        <v>10000014010000260</v>
      </c>
      <c r="K590" s="109">
        <v>2022</v>
      </c>
      <c r="L590" s="109" t="s">
        <v>348</v>
      </c>
      <c r="M590" s="109" t="s">
        <v>349</v>
      </c>
      <c r="N590" s="109" t="s">
        <v>350</v>
      </c>
      <c r="O590" s="715">
        <v>0</v>
      </c>
      <c r="P590" s="715">
        <v>0</v>
      </c>
      <c r="Q590" s="715">
        <v>0</v>
      </c>
      <c r="R590" s="715">
        <v>0</v>
      </c>
      <c r="S590" s="715">
        <v>0</v>
      </c>
      <c r="T590" s="7"/>
      <c r="U590" s="7"/>
      <c r="V590" s="7"/>
      <c r="W590" s="7"/>
      <c r="X590" s="7"/>
      <c r="Y590" s="7"/>
      <c r="Z590" s="7"/>
      <c r="AA590" s="7"/>
      <c r="AB590" s="7"/>
      <c r="AC590" s="121">
        <f t="shared" si="479"/>
        <v>0</v>
      </c>
      <c r="AD590" s="115">
        <f>ROUND(SUMIFS('Employee Detail FY22'!$AH$6:$AH$132,'Employee Detail FY22'!$B$6:$B$132,C590,'Employee Detail FY22'!$C$6:$C$132,D590,'Employee Detail FY22'!$E$6:$E$132,+F590,'Employee Detail FY22'!$F$6:$F$132,G590),0)</f>
        <v>0</v>
      </c>
      <c r="AE590" s="117">
        <f t="shared" si="482"/>
        <v>0</v>
      </c>
      <c r="AF590" s="117">
        <f t="shared" si="483"/>
        <v>0</v>
      </c>
    </row>
    <row r="591" spans="2:36" hidden="1" outlineLevel="1" x14ac:dyDescent="0.2">
      <c r="B591" s="7"/>
      <c r="C591" s="102" t="s">
        <v>468</v>
      </c>
      <c r="D591" s="104" t="s">
        <v>145</v>
      </c>
      <c r="E591" s="104"/>
      <c r="F591" s="102" t="s">
        <v>468</v>
      </c>
      <c r="G591" s="102" t="s">
        <v>465</v>
      </c>
      <c r="H591" s="104" t="s">
        <v>188</v>
      </c>
      <c r="I591" s="103"/>
      <c r="J591" s="724" t="str">
        <f t="shared" si="478"/>
        <v>10000010021100260</v>
      </c>
      <c r="K591" s="109">
        <v>2022</v>
      </c>
      <c r="L591" s="109" t="s">
        <v>348</v>
      </c>
      <c r="M591" s="109" t="s">
        <v>349</v>
      </c>
      <c r="N591" s="109" t="s">
        <v>350</v>
      </c>
      <c r="O591" s="715">
        <v>126.69</v>
      </c>
      <c r="P591" s="715">
        <v>14.23</v>
      </c>
      <c r="Q591" s="715">
        <v>82.71</v>
      </c>
      <c r="R591" s="715">
        <v>55.15</v>
      </c>
      <c r="S591" s="715">
        <v>55.16</v>
      </c>
      <c r="T591" s="7"/>
      <c r="U591" s="7"/>
      <c r="V591" s="7"/>
      <c r="W591" s="7"/>
      <c r="X591" s="7"/>
      <c r="Y591" s="7"/>
      <c r="Z591" s="7"/>
      <c r="AA591" s="7"/>
      <c r="AB591" s="7"/>
      <c r="AC591" s="121">
        <f t="shared" si="479"/>
        <v>333.93999999999994</v>
      </c>
      <c r="AD591" s="115">
        <f>ROUND(SUMIFS('Employee Detail FY22'!$AH$6:$AH$132,'Employee Detail FY22'!$B$6:$B$132,C591,'Employee Detail FY22'!$C$6:$C$132,D591,'Employee Detail FY22'!$E$6:$E$132,+F591,'Employee Detail FY22'!$F$6:$F$132,G591),0)</f>
        <v>911</v>
      </c>
      <c r="AE591" s="117">
        <f t="shared" si="482"/>
        <v>577.06000000000006</v>
      </c>
      <c r="AF591" s="117">
        <f t="shared" si="483"/>
        <v>48.088333333333338</v>
      </c>
    </row>
    <row r="592" spans="2:36" hidden="1" outlineLevel="1" x14ac:dyDescent="0.2">
      <c r="B592" s="7"/>
      <c r="C592" s="102" t="s">
        <v>135</v>
      </c>
      <c r="D592" s="102" t="s">
        <v>923</v>
      </c>
      <c r="E592" s="102"/>
      <c r="F592" s="102" t="s">
        <v>468</v>
      </c>
      <c r="G592" s="102" t="s">
        <v>465</v>
      </c>
      <c r="H592" s="104" t="s">
        <v>188</v>
      </c>
      <c r="I592" s="104"/>
      <c r="J592" s="724" t="str">
        <f t="shared" si="478"/>
        <v>28066110021100260</v>
      </c>
      <c r="K592" s="109">
        <v>2022</v>
      </c>
      <c r="L592" s="109" t="s">
        <v>348</v>
      </c>
      <c r="M592" s="109" t="s">
        <v>349</v>
      </c>
      <c r="N592" s="109" t="s">
        <v>350</v>
      </c>
      <c r="O592" s="715">
        <v>43.66</v>
      </c>
      <c r="P592" s="715">
        <v>79</v>
      </c>
      <c r="Q592" s="715">
        <v>33.47</v>
      </c>
      <c r="R592" s="715">
        <v>35.26</v>
      </c>
      <c r="S592" s="715">
        <v>46.66</v>
      </c>
      <c r="T592" s="7"/>
      <c r="U592" s="7"/>
      <c r="V592" s="7"/>
      <c r="W592" s="7"/>
      <c r="X592" s="7"/>
      <c r="Y592" s="7"/>
      <c r="Z592" s="7"/>
      <c r="AA592" s="7"/>
      <c r="AB592" s="7"/>
      <c r="AC592" s="121">
        <f t="shared" si="479"/>
        <v>238.04999999999998</v>
      </c>
      <c r="AD592" s="115">
        <f>ROUND(SUMIFS('Employee Detail FY22'!$AH$6:$AH$132,'Employee Detail FY22'!$B$6:$B$132,C592,'Employee Detail FY22'!$C$6:$C$132,D592,'Employee Detail FY22'!$E$6:$E$132,+F592,'Employee Detail FY22'!$F$6:$F$132,G592),0)</f>
        <v>906</v>
      </c>
      <c r="AE592" s="117">
        <f t="shared" si="482"/>
        <v>667.95</v>
      </c>
      <c r="AF592" s="117">
        <f t="shared" si="483"/>
        <v>55.662500000000001</v>
      </c>
    </row>
    <row r="593" spans="2:32" hidden="1" outlineLevel="1" x14ac:dyDescent="0.2">
      <c r="B593" s="7"/>
      <c r="C593" s="102" t="s">
        <v>135</v>
      </c>
      <c r="D593" s="104" t="s">
        <v>1030</v>
      </c>
      <c r="E593" s="104"/>
      <c r="F593" s="102" t="s">
        <v>468</v>
      </c>
      <c r="G593" s="102" t="s">
        <v>465</v>
      </c>
      <c r="H593" s="104" t="s">
        <v>188</v>
      </c>
      <c r="I593" s="103"/>
      <c r="J593" s="724" t="str">
        <f t="shared" si="478"/>
        <v>28074110021100260</v>
      </c>
      <c r="K593" s="109">
        <v>2022</v>
      </c>
      <c r="L593" s="109" t="s">
        <v>348</v>
      </c>
      <c r="M593" s="109" t="s">
        <v>349</v>
      </c>
      <c r="N593" s="109" t="s">
        <v>350</v>
      </c>
      <c r="O593" s="715">
        <v>0</v>
      </c>
      <c r="P593" s="715">
        <v>74.08</v>
      </c>
      <c r="Q593" s="715">
        <v>123.24</v>
      </c>
      <c r="R593" s="715">
        <v>82.3</v>
      </c>
      <c r="S593" s="715">
        <v>11.98</v>
      </c>
      <c r="T593" s="7"/>
      <c r="U593" s="7"/>
      <c r="V593" s="7"/>
      <c r="W593" s="7"/>
      <c r="X593" s="7"/>
      <c r="Y593" s="7"/>
      <c r="Z593" s="7"/>
      <c r="AA593" s="7"/>
      <c r="AB593" s="7"/>
      <c r="AC593" s="121">
        <f t="shared" si="479"/>
        <v>291.60000000000002</v>
      </c>
      <c r="AD593" s="115">
        <f>ROUND(SUMIFS('Employee Detail FY22'!$AH$6:$AH$132,'Employee Detail FY22'!$B$6:$B$132,C593,'Employee Detail FY22'!$C$6:$C$132,D593,'Employee Detail FY22'!$E$6:$E$132,+F593,'Employee Detail FY22'!$F$6:$F$132,G593),0)</f>
        <v>1262</v>
      </c>
      <c r="AE593" s="117">
        <f t="shared" si="482"/>
        <v>970.4</v>
      </c>
      <c r="AF593" s="117">
        <f t="shared" si="483"/>
        <v>80.86666666666666</v>
      </c>
    </row>
    <row r="594" spans="2:32" hidden="1" outlineLevel="1" x14ac:dyDescent="0.2">
      <c r="B594" s="7"/>
      <c r="C594" s="102" t="s">
        <v>468</v>
      </c>
      <c r="D594" s="104" t="s">
        <v>145</v>
      </c>
      <c r="E594" s="104"/>
      <c r="F594" s="102" t="s">
        <v>468</v>
      </c>
      <c r="G594" s="102" t="s">
        <v>556</v>
      </c>
      <c r="H594" s="104" t="s">
        <v>188</v>
      </c>
      <c r="I594" s="103"/>
      <c r="J594" s="724" t="str">
        <f t="shared" si="478"/>
        <v>10000010021200260</v>
      </c>
      <c r="K594" s="109">
        <v>2022</v>
      </c>
      <c r="L594" s="109" t="s">
        <v>348</v>
      </c>
      <c r="M594" s="109" t="s">
        <v>349</v>
      </c>
      <c r="N594" s="109" t="s">
        <v>350</v>
      </c>
      <c r="O594" s="715">
        <v>0</v>
      </c>
      <c r="P594" s="715">
        <v>0</v>
      </c>
      <c r="Q594" s="715">
        <v>0</v>
      </c>
      <c r="R594" s="715">
        <v>0</v>
      </c>
      <c r="S594" s="715">
        <v>0</v>
      </c>
      <c r="T594" s="7"/>
      <c r="U594" s="7"/>
      <c r="V594" s="7"/>
      <c r="W594" s="7"/>
      <c r="X594" s="7"/>
      <c r="Y594" s="7"/>
      <c r="Z594" s="7"/>
      <c r="AA594" s="7"/>
      <c r="AB594" s="7"/>
      <c r="AC594" s="121">
        <f t="shared" si="479"/>
        <v>0</v>
      </c>
      <c r="AD594" s="115">
        <f>ROUND(SUMIFS('Employee Detail FY22'!$AH$6:$AH$132,'Employee Detail FY22'!$B$6:$B$132,C594,'Employee Detail FY22'!$C$6:$C$132,D594,'Employee Detail FY22'!$E$6:$E$132,+F594,'Employee Detail FY22'!$F$6:$F$132,G594),0)</f>
        <v>667</v>
      </c>
      <c r="AE594" s="117">
        <f t="shared" si="482"/>
        <v>667</v>
      </c>
      <c r="AF594" s="117">
        <f t="shared" si="483"/>
        <v>55.583333333333336</v>
      </c>
    </row>
    <row r="595" spans="2:32" hidden="1" outlineLevel="1" x14ac:dyDescent="0.2">
      <c r="B595" s="7"/>
      <c r="C595" s="102" t="s">
        <v>468</v>
      </c>
      <c r="D595" s="104" t="s">
        <v>145</v>
      </c>
      <c r="E595" s="104"/>
      <c r="F595" s="102" t="s">
        <v>468</v>
      </c>
      <c r="G595" s="102" t="s">
        <v>558</v>
      </c>
      <c r="H595" s="104" t="s">
        <v>188</v>
      </c>
      <c r="I595" s="103"/>
      <c r="J595" s="724" t="str">
        <f t="shared" si="478"/>
        <v>10000010022120260</v>
      </c>
      <c r="K595" s="109">
        <v>2022</v>
      </c>
      <c r="L595" s="109" t="s">
        <v>348</v>
      </c>
      <c r="M595" s="109" t="s">
        <v>349</v>
      </c>
      <c r="N595" s="109" t="s">
        <v>350</v>
      </c>
      <c r="O595" s="715">
        <v>79.489999999999995</v>
      </c>
      <c r="P595" s="715">
        <v>17.95</v>
      </c>
      <c r="Q595" s="715">
        <v>0</v>
      </c>
      <c r="R595" s="715">
        <v>0</v>
      </c>
      <c r="S595" s="715">
        <v>0</v>
      </c>
      <c r="T595" s="7"/>
      <c r="U595" s="7"/>
      <c r="V595" s="7"/>
      <c r="W595" s="7"/>
      <c r="X595" s="7"/>
      <c r="Y595" s="7"/>
      <c r="Z595" s="7"/>
      <c r="AA595" s="7"/>
      <c r="AB595" s="7"/>
      <c r="AC595" s="121">
        <f t="shared" si="479"/>
        <v>97.44</v>
      </c>
      <c r="AD595" s="115">
        <f>ROUND(SUMIFS('Employee Detail FY22'!$AH$6:$AH$132,'Employee Detail FY22'!$B$6:$B$132,C595,'Employee Detail FY22'!$C$6:$C$132,D595,'Employee Detail FY22'!$E$6:$E$132,+F595,'Employee Detail FY22'!$F$6:$F$132,G595),0)</f>
        <v>462</v>
      </c>
      <c r="AE595" s="117">
        <f t="shared" si="482"/>
        <v>364.56</v>
      </c>
      <c r="AF595" s="117">
        <f t="shared" si="483"/>
        <v>30.38</v>
      </c>
    </row>
    <row r="596" spans="2:32" hidden="1" outlineLevel="1" x14ac:dyDescent="0.2">
      <c r="B596" s="7"/>
      <c r="C596" s="102" t="s">
        <v>468</v>
      </c>
      <c r="D596" s="104" t="s">
        <v>145</v>
      </c>
      <c r="E596" s="104"/>
      <c r="F596" s="102" t="s">
        <v>468</v>
      </c>
      <c r="G596" s="102" t="s">
        <v>464</v>
      </c>
      <c r="H596" s="104" t="s">
        <v>188</v>
      </c>
      <c r="I596" s="103"/>
      <c r="J596" s="724" t="str">
        <f t="shared" si="478"/>
        <v>10000010023200260</v>
      </c>
      <c r="K596" s="109">
        <v>2022</v>
      </c>
      <c r="L596" s="109" t="s">
        <v>348</v>
      </c>
      <c r="M596" s="109" t="s">
        <v>349</v>
      </c>
      <c r="N596" s="109" t="s">
        <v>350</v>
      </c>
      <c r="O596" s="715">
        <v>0</v>
      </c>
      <c r="P596" s="715">
        <v>0</v>
      </c>
      <c r="Q596" s="715">
        <v>0</v>
      </c>
      <c r="R596" s="715">
        <v>0</v>
      </c>
      <c r="S596" s="715">
        <v>0</v>
      </c>
      <c r="T596" s="7"/>
      <c r="U596" s="7"/>
      <c r="V596" s="7"/>
      <c r="W596" s="7"/>
      <c r="X596" s="7"/>
      <c r="Y596" s="7"/>
      <c r="Z596" s="7"/>
      <c r="AA596" s="7"/>
      <c r="AB596" s="7"/>
      <c r="AC596" s="121"/>
      <c r="AD596" s="115">
        <f>ROUND(SUMIFS('Employee Detail FY22'!$AH$6:$AH$132,'Employee Detail FY22'!$B$6:$B$132,C596,'Employee Detail FY22'!$C$6:$C$132,D596,'Employee Detail FY22'!$E$6:$E$132,+F596,'Employee Detail FY22'!$F$6:$F$132,G596),0)</f>
        <v>2419</v>
      </c>
      <c r="AE596" s="117">
        <f t="shared" si="482"/>
        <v>2419</v>
      </c>
      <c r="AF596" s="117">
        <f t="shared" si="483"/>
        <v>201.58333333333334</v>
      </c>
    </row>
    <row r="597" spans="2:32" hidden="1" outlineLevel="1" x14ac:dyDescent="0.2">
      <c r="B597" s="7"/>
      <c r="C597" s="102" t="s">
        <v>468</v>
      </c>
      <c r="D597" s="104" t="s">
        <v>145</v>
      </c>
      <c r="E597" s="104"/>
      <c r="F597" s="102" t="s">
        <v>468</v>
      </c>
      <c r="G597" s="102" t="s">
        <v>460</v>
      </c>
      <c r="H597" s="104" t="s">
        <v>188</v>
      </c>
      <c r="I597" s="103"/>
      <c r="J597" s="724" t="str">
        <f t="shared" si="478"/>
        <v>10000010024100260</v>
      </c>
      <c r="K597" s="109">
        <v>2022</v>
      </c>
      <c r="L597" s="109" t="s">
        <v>348</v>
      </c>
      <c r="M597" s="109" t="s">
        <v>349</v>
      </c>
      <c r="N597" s="109" t="s">
        <v>350</v>
      </c>
      <c r="O597" s="715">
        <v>306.62</v>
      </c>
      <c r="P597" s="715">
        <v>241.72</v>
      </c>
      <c r="Q597" s="715">
        <v>-10.72</v>
      </c>
      <c r="R597" s="715">
        <v>102.3</v>
      </c>
      <c r="S597" s="715">
        <v>156.38</v>
      </c>
      <c r="T597" s="7"/>
      <c r="U597" s="7"/>
      <c r="V597" s="7"/>
      <c r="W597" s="7"/>
      <c r="X597" s="7"/>
      <c r="Y597" s="7"/>
      <c r="Z597" s="7"/>
      <c r="AA597" s="7"/>
      <c r="AB597" s="7"/>
      <c r="AC597" s="121">
        <f>SUM(O597:AA597)</f>
        <v>796.3</v>
      </c>
      <c r="AD597" s="115">
        <f>ROUND(SUMIFS('Employee Detail FY22'!$AH$6:$AH$132,'Employee Detail FY22'!$B$6:$B$132,C597,'Employee Detail FY22'!$C$6:$C$132,D597,'Employee Detail FY22'!$E$6:$E$132,+F597,'Employee Detail FY22'!$F$6:$F$132,G597),0)</f>
        <v>1293</v>
      </c>
      <c r="AE597" s="117">
        <f t="shared" si="482"/>
        <v>496.70000000000005</v>
      </c>
      <c r="AF597" s="117">
        <f t="shared" si="483"/>
        <v>41.391666666666673</v>
      </c>
    </row>
    <row r="598" spans="2:32" hidden="1" outlineLevel="1" x14ac:dyDescent="0.2">
      <c r="B598" s="7"/>
      <c r="C598" s="102" t="s">
        <v>135</v>
      </c>
      <c r="D598" s="104" t="s">
        <v>923</v>
      </c>
      <c r="E598" s="104"/>
      <c r="F598" s="102">
        <v>100</v>
      </c>
      <c r="G598" s="102" t="s">
        <v>460</v>
      </c>
      <c r="H598" s="104" t="s">
        <v>188</v>
      </c>
      <c r="I598" s="103"/>
      <c r="J598" s="724" t="str">
        <f t="shared" si="478"/>
        <v>28066110024100260</v>
      </c>
      <c r="K598" s="109">
        <v>2022</v>
      </c>
      <c r="L598" s="109" t="s">
        <v>348</v>
      </c>
      <c r="M598" s="109" t="s">
        <v>349</v>
      </c>
      <c r="N598" s="109" t="s">
        <v>350</v>
      </c>
      <c r="O598" s="715">
        <v>0</v>
      </c>
      <c r="P598" s="715">
        <v>32.33</v>
      </c>
      <c r="Q598" s="715">
        <v>0</v>
      </c>
      <c r="R598" s="715">
        <v>0</v>
      </c>
      <c r="S598" s="715">
        <v>0</v>
      </c>
      <c r="T598" s="7"/>
      <c r="U598" s="7"/>
      <c r="V598" s="7"/>
      <c r="W598" s="7"/>
      <c r="X598" s="7"/>
      <c r="Y598" s="7"/>
      <c r="Z598" s="7"/>
      <c r="AA598" s="7"/>
      <c r="AB598" s="7"/>
      <c r="AC598" s="121">
        <f>SUM(O598:AA598)</f>
        <v>32.33</v>
      </c>
      <c r="AD598" s="115">
        <f>ROUND(SUMIFS('Employee Detail FY22'!$AH$6:$AH$132,'Employee Detail FY22'!$B$6:$B$132,C598,'Employee Detail FY22'!$C$6:$C$132,D598,'Employee Detail FY22'!$E$6:$E$132,+F598,'Employee Detail FY22'!$F$6:$F$132,G598),0)</f>
        <v>536</v>
      </c>
      <c r="AE598" s="117">
        <f t="shared" si="482"/>
        <v>503.67</v>
      </c>
      <c r="AF598" s="117">
        <f t="shared" si="483"/>
        <v>41.972500000000004</v>
      </c>
    </row>
    <row r="599" spans="2:32" hidden="1" outlineLevel="1" x14ac:dyDescent="0.2">
      <c r="B599" s="7"/>
      <c r="C599" s="102" t="s">
        <v>468</v>
      </c>
      <c r="D599" s="104" t="s">
        <v>145</v>
      </c>
      <c r="E599" s="104"/>
      <c r="F599" s="102" t="s">
        <v>468</v>
      </c>
      <c r="G599" s="102" t="s">
        <v>458</v>
      </c>
      <c r="H599" s="104" t="s">
        <v>188</v>
      </c>
      <c r="I599" s="103"/>
      <c r="J599" s="724" t="str">
        <f t="shared" si="478"/>
        <v>10000010025100260</v>
      </c>
      <c r="K599" s="109">
        <v>2022</v>
      </c>
      <c r="L599" s="109" t="s">
        <v>348</v>
      </c>
      <c r="M599" s="109" t="s">
        <v>349</v>
      </c>
      <c r="N599" s="109" t="s">
        <v>350</v>
      </c>
      <c r="O599" s="715">
        <v>0</v>
      </c>
      <c r="P599" s="715">
        <v>0</v>
      </c>
      <c r="Q599" s="715">
        <v>0</v>
      </c>
      <c r="R599" s="715">
        <v>0</v>
      </c>
      <c r="S599" s="715">
        <v>0</v>
      </c>
      <c r="T599" s="7"/>
      <c r="U599" s="7"/>
      <c r="V599" s="7"/>
      <c r="W599" s="7"/>
      <c r="X599" s="7"/>
      <c r="Y599" s="7"/>
      <c r="Z599" s="7"/>
      <c r="AA599" s="7"/>
      <c r="AB599" s="7"/>
      <c r="AC599" s="121">
        <f>SUM(O599:AA599)</f>
        <v>0</v>
      </c>
      <c r="AD599" s="115">
        <f>ROUND(SUMIFS('Employee Detail FY22'!$AH$6:$AH$132,'Employee Detail FY22'!$B$6:$B$132,C599,'Employee Detail FY22'!$C$6:$C$132,D599,'Employee Detail FY22'!$E$6:$E$132,+F599,'Employee Detail FY22'!$F$6:$F$132,G599),0)</f>
        <v>897</v>
      </c>
      <c r="AE599" s="117">
        <f t="shared" si="482"/>
        <v>897</v>
      </c>
      <c r="AF599" s="117">
        <f t="shared" si="483"/>
        <v>74.75</v>
      </c>
    </row>
    <row r="600" spans="2:32" hidden="1" outlineLevel="1" x14ac:dyDescent="0.2">
      <c r="B600" s="7"/>
      <c r="C600" s="102" t="s">
        <v>468</v>
      </c>
      <c r="D600" s="104" t="s">
        <v>145</v>
      </c>
      <c r="E600" s="104"/>
      <c r="F600" s="102" t="s">
        <v>468</v>
      </c>
      <c r="G600" s="102" t="s">
        <v>479</v>
      </c>
      <c r="H600" s="104" t="s">
        <v>188</v>
      </c>
      <c r="I600" s="104"/>
      <c r="J600" s="724" t="str">
        <f t="shared" si="478"/>
        <v>10000010025800260</v>
      </c>
      <c r="K600" s="109">
        <v>2022</v>
      </c>
      <c r="L600" s="109" t="s">
        <v>348</v>
      </c>
      <c r="M600" s="109" t="s">
        <v>349</v>
      </c>
      <c r="N600" s="109" t="s">
        <v>350</v>
      </c>
      <c r="O600" s="715">
        <v>80.099999999999994</v>
      </c>
      <c r="P600" s="715">
        <v>57.68</v>
      </c>
      <c r="Q600" s="715">
        <v>4.6100000000000003</v>
      </c>
      <c r="R600" s="715">
        <v>0</v>
      </c>
      <c r="S600" s="715">
        <v>0</v>
      </c>
      <c r="T600" s="7"/>
      <c r="U600" s="7"/>
      <c r="V600" s="7"/>
      <c r="W600" s="7"/>
      <c r="X600" s="7"/>
      <c r="Y600" s="7"/>
      <c r="Z600" s="7"/>
      <c r="AA600" s="7"/>
      <c r="AB600" s="7"/>
      <c r="AC600" s="121"/>
      <c r="AD600" s="115">
        <f>ROUND(SUMIFS('Employee Detail FY22'!$AH$6:$AH$132,'Employee Detail FY22'!$B$6:$B$132,C600,'Employee Detail FY22'!$C$6:$C$132,D600,'Employee Detail FY22'!$E$6:$E$132,+F600,'Employee Detail FY22'!$F$6:$F$132,G600),0)</f>
        <v>455</v>
      </c>
      <c r="AE600" s="117">
        <f t="shared" si="482"/>
        <v>455</v>
      </c>
      <c r="AF600" s="117">
        <f t="shared" si="483"/>
        <v>37.916666666666664</v>
      </c>
    </row>
    <row r="601" spans="2:32" hidden="1" outlineLevel="1" x14ac:dyDescent="0.2">
      <c r="B601" s="7"/>
      <c r="C601" s="102" t="s">
        <v>468</v>
      </c>
      <c r="D601" s="104" t="s">
        <v>145</v>
      </c>
      <c r="E601" s="104"/>
      <c r="F601" s="102" t="s">
        <v>468</v>
      </c>
      <c r="G601" s="102" t="s">
        <v>459</v>
      </c>
      <c r="H601" s="104" t="s">
        <v>188</v>
      </c>
      <c r="I601" s="104"/>
      <c r="J601" s="724" t="str">
        <f t="shared" si="478"/>
        <v>10000010025820260</v>
      </c>
      <c r="K601" s="109">
        <v>2022</v>
      </c>
      <c r="L601" s="109" t="s">
        <v>348</v>
      </c>
      <c r="M601" s="109" t="s">
        <v>349</v>
      </c>
      <c r="N601" s="109" t="s">
        <v>350</v>
      </c>
      <c r="O601" s="715">
        <v>0</v>
      </c>
      <c r="P601" s="715">
        <v>0</v>
      </c>
      <c r="Q601" s="715">
        <v>0</v>
      </c>
      <c r="R601" s="715">
        <v>0</v>
      </c>
      <c r="S601" s="715">
        <v>0</v>
      </c>
      <c r="T601" s="7"/>
      <c r="U601" s="7"/>
      <c r="V601" s="7"/>
      <c r="W601" s="7"/>
      <c r="X601" s="7"/>
      <c r="Y601" s="7"/>
      <c r="Z601" s="7"/>
      <c r="AA601" s="7"/>
      <c r="AB601" s="7"/>
      <c r="AC601" s="121">
        <f t="shared" ref="AC601:AC604" si="484">SUM(O601:AA601)</f>
        <v>0</v>
      </c>
      <c r="AD601" s="115">
        <f>ROUND(SUMIFS('Employee Detail FY22'!$AH$6:$AH$132,'Employee Detail FY22'!$B$6:$B$132,C601,'Employee Detail FY22'!$C$6:$C$132,D601,'Employee Detail FY22'!$E$6:$E$132,+F601,'Employee Detail FY22'!$F$6:$F$132,G601),0)</f>
        <v>935</v>
      </c>
      <c r="AE601" s="117">
        <f t="shared" si="482"/>
        <v>935</v>
      </c>
      <c r="AF601" s="117">
        <f t="shared" si="483"/>
        <v>77.916666666666671</v>
      </c>
    </row>
    <row r="602" spans="2:32" hidden="1" outlineLevel="1" x14ac:dyDescent="0.2">
      <c r="B602" s="7"/>
      <c r="C602" s="102" t="s">
        <v>462</v>
      </c>
      <c r="D602" s="581" t="s">
        <v>145</v>
      </c>
      <c r="E602" s="104"/>
      <c r="F602" s="102" t="s">
        <v>463</v>
      </c>
      <c r="G602" s="102">
        <v>1000</v>
      </c>
      <c r="H602" s="104" t="s">
        <v>188</v>
      </c>
      <c r="I602" s="103"/>
      <c r="J602" s="724" t="str">
        <f t="shared" si="478"/>
        <v>25000020010000260</v>
      </c>
      <c r="K602" s="109">
        <v>2022</v>
      </c>
      <c r="L602" s="109" t="s">
        <v>348</v>
      </c>
      <c r="M602" s="109" t="s">
        <v>349</v>
      </c>
      <c r="N602" s="109" t="s">
        <v>350</v>
      </c>
      <c r="O602" s="715">
        <v>0</v>
      </c>
      <c r="P602" s="715">
        <v>145.72</v>
      </c>
      <c r="Q602" s="715">
        <v>188.37</v>
      </c>
      <c r="R602" s="715">
        <v>190.17</v>
      </c>
      <c r="S602" s="715">
        <v>196.07</v>
      </c>
      <c r="T602" s="7"/>
      <c r="U602" s="7"/>
      <c r="V602" s="7"/>
      <c r="W602" s="7"/>
      <c r="X602" s="7"/>
      <c r="Y602" s="7"/>
      <c r="Z602" s="7"/>
      <c r="AA602" s="7"/>
      <c r="AB602" s="7"/>
      <c r="AC602" s="121">
        <f t="shared" si="484"/>
        <v>720.32999999999993</v>
      </c>
      <c r="AD602" s="115">
        <f>ROUND(SUMIFS('Employee Detail FY22'!$AH$6:$AH$132,'Employee Detail FY22'!$B$6:$B$132,C602,'Employee Detail FY22'!$C$6:$C$132,D602,'Employee Detail FY22'!$E$6:$E$132,+F602,'Employee Detail FY22'!$F$6:$F$132,G602),0)</f>
        <v>1710</v>
      </c>
      <c r="AE602" s="117">
        <f t="shared" si="482"/>
        <v>989.67000000000007</v>
      </c>
      <c r="AF602" s="117">
        <f t="shared" si="483"/>
        <v>82.472500000000011</v>
      </c>
    </row>
    <row r="603" spans="2:32" hidden="1" outlineLevel="1" x14ac:dyDescent="0.2">
      <c r="B603" s="7"/>
      <c r="C603" s="102" t="s">
        <v>135</v>
      </c>
      <c r="D603" s="581" t="s">
        <v>247</v>
      </c>
      <c r="E603" s="104"/>
      <c r="F603" s="102">
        <v>200</v>
      </c>
      <c r="G603" s="102">
        <v>1000</v>
      </c>
      <c r="H603" s="104" t="s">
        <v>188</v>
      </c>
      <c r="I603" s="103"/>
      <c r="J603" s="724" t="str">
        <f t="shared" si="478"/>
        <v>28063920010000260</v>
      </c>
      <c r="K603" s="109">
        <v>2022</v>
      </c>
      <c r="L603" s="109" t="s">
        <v>348</v>
      </c>
      <c r="M603" s="109" t="s">
        <v>349</v>
      </c>
      <c r="N603" s="109" t="s">
        <v>350</v>
      </c>
      <c r="O603" s="715">
        <v>0</v>
      </c>
      <c r="P603" s="715">
        <v>0</v>
      </c>
      <c r="Q603" s="715">
        <v>0</v>
      </c>
      <c r="R603" s="715">
        <v>0</v>
      </c>
      <c r="S603" s="715">
        <v>0</v>
      </c>
      <c r="T603" s="7"/>
      <c r="U603" s="7"/>
      <c r="V603" s="7"/>
      <c r="W603" s="7"/>
      <c r="X603" s="7"/>
      <c r="Y603" s="7"/>
      <c r="Z603" s="7"/>
      <c r="AA603" s="7"/>
      <c r="AB603" s="7"/>
      <c r="AC603" s="121">
        <f t="shared" si="484"/>
        <v>0</v>
      </c>
      <c r="AD603" s="115">
        <f>ROUND(SUMIFS('Employee Detail FY22'!$AH$6:$AH$132,'Employee Detail FY22'!$B$6:$B$132,C603,'Employee Detail FY22'!$C$6:$C$132,D603,'Employee Detail FY22'!$E$6:$E$132,+F603,'Employee Detail FY22'!$F$6:$F$132,G603),0)</f>
        <v>1004</v>
      </c>
      <c r="AE603" s="117">
        <f t="shared" si="482"/>
        <v>1004</v>
      </c>
      <c r="AF603" s="117">
        <f t="shared" si="483"/>
        <v>83.666666666666671</v>
      </c>
    </row>
    <row r="604" spans="2:32" hidden="1" outlineLevel="1" x14ac:dyDescent="0.2">
      <c r="B604" s="7"/>
      <c r="C604" s="102" t="s">
        <v>462</v>
      </c>
      <c r="D604" s="102" t="s">
        <v>132</v>
      </c>
      <c r="E604" s="102"/>
      <c r="F604" s="102" t="s">
        <v>463</v>
      </c>
      <c r="G604" s="102">
        <v>2130</v>
      </c>
      <c r="H604" s="104" t="s">
        <v>188</v>
      </c>
      <c r="I604" s="104"/>
      <c r="J604" s="724" t="str">
        <f t="shared" si="478"/>
        <v>25020520021300260</v>
      </c>
      <c r="K604" s="109">
        <v>2022</v>
      </c>
      <c r="L604" s="109" t="s">
        <v>348</v>
      </c>
      <c r="M604" s="109" t="s">
        <v>349</v>
      </c>
      <c r="N604" s="109" t="s">
        <v>350</v>
      </c>
      <c r="O604" s="715">
        <v>18.059999999999999</v>
      </c>
      <c r="P604" s="715">
        <v>0</v>
      </c>
      <c r="Q604" s="715">
        <v>48.44</v>
      </c>
      <c r="R604" s="715">
        <v>48.05</v>
      </c>
      <c r="S604" s="715">
        <v>0</v>
      </c>
      <c r="T604" s="7"/>
      <c r="U604" s="7"/>
      <c r="V604" s="7"/>
      <c r="W604" s="7"/>
      <c r="X604" s="7"/>
      <c r="Y604" s="7"/>
      <c r="Z604" s="7"/>
      <c r="AA604" s="7"/>
      <c r="AB604" s="7"/>
      <c r="AC604" s="121">
        <f t="shared" si="484"/>
        <v>114.55</v>
      </c>
      <c r="AD604" s="115">
        <f>ROUND(SUMIFS('Employee Detail FY22'!$AH$6:$AH$132,'Employee Detail FY22'!$B$6:$B$132,C604,'Employee Detail FY22'!$C$6:$C$132,D604,'Employee Detail FY22'!$E$6:$E$132,+F604,'Employee Detail FY22'!$F$6:$F$132,G604),0)</f>
        <v>215</v>
      </c>
      <c r="AE604" s="117">
        <f t="shared" si="482"/>
        <v>100.45</v>
      </c>
      <c r="AF604" s="117">
        <f t="shared" si="483"/>
        <v>8.3708333333333336</v>
      </c>
    </row>
    <row r="605" spans="2:32" hidden="1" outlineLevel="1" x14ac:dyDescent="0.2">
      <c r="B605" s="7"/>
      <c r="C605" s="102" t="s">
        <v>462</v>
      </c>
      <c r="D605" s="102" t="s">
        <v>132</v>
      </c>
      <c r="E605" s="102"/>
      <c r="F605" s="102" t="s">
        <v>463</v>
      </c>
      <c r="G605" s="102">
        <v>2140</v>
      </c>
      <c r="H605" s="104" t="s">
        <v>188</v>
      </c>
      <c r="I605" s="104"/>
      <c r="J605" s="724" t="str">
        <f t="shared" si="478"/>
        <v>25020520021400260</v>
      </c>
      <c r="K605" s="109">
        <v>2022</v>
      </c>
      <c r="L605" s="109" t="s">
        <v>348</v>
      </c>
      <c r="M605" s="109" t="s">
        <v>349</v>
      </c>
      <c r="N605" s="109" t="s">
        <v>350</v>
      </c>
      <c r="O605" s="715">
        <v>0</v>
      </c>
      <c r="P605" s="715">
        <v>0</v>
      </c>
      <c r="Q605" s="715">
        <v>0</v>
      </c>
      <c r="R605" s="715">
        <v>0</v>
      </c>
      <c r="S605" s="715">
        <v>0</v>
      </c>
      <c r="T605" s="7"/>
      <c r="U605" s="7"/>
      <c r="V605" s="7"/>
      <c r="W605" s="7"/>
      <c r="X605" s="7"/>
      <c r="Y605" s="7"/>
      <c r="Z605" s="7"/>
      <c r="AA605" s="7"/>
      <c r="AB605" s="7"/>
      <c r="AC605" s="121"/>
      <c r="AD605" s="115">
        <f>ROUND(SUMIFS('Employee Detail FY22'!$AH$6:$AH$132,'Employee Detail FY22'!$B$6:$B$132,C605,'Employee Detail FY22'!$C$6:$C$132,D605,'Employee Detail FY22'!$E$6:$E$132,+F605,'Employee Detail FY22'!$F$6:$F$132,G605),0)</f>
        <v>747</v>
      </c>
      <c r="AE605" s="117">
        <f t="shared" si="482"/>
        <v>747</v>
      </c>
      <c r="AF605" s="117">
        <f t="shared" si="483"/>
        <v>62.25</v>
      </c>
    </row>
    <row r="606" spans="2:32" hidden="1" outlineLevel="1" x14ac:dyDescent="0.2">
      <c r="B606" s="7"/>
      <c r="C606" s="102" t="s">
        <v>462</v>
      </c>
      <c r="D606" s="104">
        <v>205</v>
      </c>
      <c r="E606" s="104"/>
      <c r="F606" s="102" t="s">
        <v>463</v>
      </c>
      <c r="G606" s="102">
        <v>2410</v>
      </c>
      <c r="H606" s="104" t="s">
        <v>188</v>
      </c>
      <c r="I606" s="104"/>
      <c r="J606" s="724" t="str">
        <f t="shared" si="478"/>
        <v>25020520024100260</v>
      </c>
      <c r="K606" s="109">
        <v>2022</v>
      </c>
      <c r="L606" s="109" t="s">
        <v>348</v>
      </c>
      <c r="M606" s="109" t="s">
        <v>349</v>
      </c>
      <c r="N606" s="109" t="s">
        <v>350</v>
      </c>
      <c r="O606" s="715">
        <v>0</v>
      </c>
      <c r="P606" s="715">
        <v>0</v>
      </c>
      <c r="Q606" s="715">
        <v>34.94</v>
      </c>
      <c r="R606" s="715">
        <v>26.79</v>
      </c>
      <c r="S606" s="715">
        <v>53.56</v>
      </c>
      <c r="T606" s="7"/>
      <c r="U606" s="7"/>
      <c r="V606" s="7"/>
      <c r="W606" s="7"/>
      <c r="X606" s="7"/>
      <c r="Y606" s="7"/>
      <c r="Z606" s="7"/>
      <c r="AA606" s="7"/>
      <c r="AB606" s="7"/>
      <c r="AC606" s="121">
        <f>SUM(O606:AA606)</f>
        <v>115.28999999999999</v>
      </c>
      <c r="AD606" s="115">
        <f>ROUND(SUMIFS('Employee Detail FY22'!$AH$6:$AH$132,'Employee Detail FY22'!$B$6:$B$132,C606,'Employee Detail FY22'!$C$6:$C$132,D606,'Employee Detail FY22'!$E$6:$E$132,+F606,'Employee Detail FY22'!$F$6:$F$132,G606),0)</f>
        <v>423</v>
      </c>
      <c r="AE606" s="117">
        <f t="shared" si="482"/>
        <v>307.71000000000004</v>
      </c>
      <c r="AF606" s="117">
        <f t="shared" si="483"/>
        <v>25.642500000000002</v>
      </c>
    </row>
    <row r="607" spans="2:32" hidden="1" outlineLevel="1" x14ac:dyDescent="0.2">
      <c r="B607" s="7"/>
      <c r="C607" s="102" t="s">
        <v>135</v>
      </c>
      <c r="D607" s="104" t="s">
        <v>247</v>
      </c>
      <c r="E607" s="104"/>
      <c r="F607" s="102" t="s">
        <v>473</v>
      </c>
      <c r="G607" s="102" t="s">
        <v>461</v>
      </c>
      <c r="H607" s="104" t="s">
        <v>188</v>
      </c>
      <c r="I607" s="103"/>
      <c r="J607" s="724" t="str">
        <f t="shared" si="478"/>
        <v>28063924010000260</v>
      </c>
      <c r="K607" s="109">
        <v>2022</v>
      </c>
      <c r="L607" s="109" t="s">
        <v>348</v>
      </c>
      <c r="M607" s="109" t="s">
        <v>349</v>
      </c>
      <c r="N607" s="109" t="s">
        <v>350</v>
      </c>
      <c r="O607" s="715">
        <v>0</v>
      </c>
      <c r="P607" s="715">
        <v>18</v>
      </c>
      <c r="Q607" s="715">
        <v>0</v>
      </c>
      <c r="R607" s="715">
        <v>0</v>
      </c>
      <c r="S607" s="715">
        <v>0</v>
      </c>
      <c r="T607" s="7"/>
      <c r="U607" s="7"/>
      <c r="V607" s="7"/>
      <c r="W607" s="7"/>
      <c r="X607" s="7"/>
      <c r="Y607" s="7"/>
      <c r="Z607" s="7"/>
      <c r="AA607" s="7"/>
      <c r="AB607" s="7"/>
      <c r="AC607" s="121">
        <f>SUM(O607:AA607)</f>
        <v>18</v>
      </c>
      <c r="AD607" s="115">
        <f>ROUND(SUMIFS('Employee Detail FY22'!$AH$6:$AH$132,'Employee Detail FY22'!$B$6:$B$132,C607,'Employee Detail FY22'!$C$6:$C$132,D607,'Employee Detail FY22'!$E$6:$E$132,+F607,'Employee Detail FY22'!$F$6:$F$132,G607),0)</f>
        <v>0</v>
      </c>
      <c r="AE607" s="117">
        <f t="shared" si="482"/>
        <v>-18</v>
      </c>
      <c r="AF607" s="117">
        <f t="shared" si="483"/>
        <v>-1.5</v>
      </c>
    </row>
    <row r="608" spans="2:32" hidden="1" outlineLevel="1" x14ac:dyDescent="0.2">
      <c r="B608" s="7"/>
      <c r="C608" s="102" t="s">
        <v>135</v>
      </c>
      <c r="D608" s="104" t="s">
        <v>864</v>
      </c>
      <c r="E608" s="104"/>
      <c r="F608" s="102" t="s">
        <v>557</v>
      </c>
      <c r="G608" s="102" t="s">
        <v>465</v>
      </c>
      <c r="H608" s="104" t="s">
        <v>188</v>
      </c>
      <c r="I608" s="103"/>
      <c r="J608" s="724" t="str">
        <f t="shared" si="478"/>
        <v>28065842021100260</v>
      </c>
      <c r="K608" s="109">
        <v>2022</v>
      </c>
      <c r="L608" s="109" t="s">
        <v>348</v>
      </c>
      <c r="M608" s="109" t="s">
        <v>349</v>
      </c>
      <c r="N608" s="109" t="s">
        <v>350</v>
      </c>
      <c r="O608" s="715">
        <v>0</v>
      </c>
      <c r="P608" s="715">
        <v>0</v>
      </c>
      <c r="Q608" s="715">
        <v>0</v>
      </c>
      <c r="R608" s="715">
        <v>0</v>
      </c>
      <c r="S608" s="715">
        <v>0</v>
      </c>
      <c r="T608" s="7"/>
      <c r="U608" s="7"/>
      <c r="V608" s="7"/>
      <c r="W608" s="7"/>
      <c r="X608" s="7"/>
      <c r="Y608" s="7"/>
      <c r="Z608" s="7"/>
      <c r="AA608" s="7"/>
      <c r="AB608" s="7"/>
      <c r="AC608" s="121"/>
      <c r="AD608" s="115">
        <f>ROUND(SUMIFS('Employee Detail FY22'!$AH$6:$AH$132,'Employee Detail FY22'!$B$6:$B$132,C608,'Employee Detail FY22'!$C$6:$C$132,D608,'Employee Detail FY22'!$E$6:$E$132,+F608,'Employee Detail FY22'!$F$6:$F$132,G608),0)</f>
        <v>0</v>
      </c>
      <c r="AE608" s="117">
        <f t="shared" si="482"/>
        <v>0</v>
      </c>
      <c r="AF608" s="117">
        <f t="shared" si="483"/>
        <v>0</v>
      </c>
    </row>
    <row r="609" spans="2:36" hidden="1" outlineLevel="1" x14ac:dyDescent="0.2">
      <c r="B609" s="7"/>
      <c r="C609" s="102" t="s">
        <v>135</v>
      </c>
      <c r="D609" s="102" t="s">
        <v>864</v>
      </c>
      <c r="E609" s="102"/>
      <c r="F609" s="102">
        <v>420</v>
      </c>
      <c r="G609" s="102">
        <v>2120</v>
      </c>
      <c r="H609" s="104" t="s">
        <v>188</v>
      </c>
      <c r="I609" s="103"/>
      <c r="J609" s="724" t="str">
        <f t="shared" si="478"/>
        <v>28065842021200260</v>
      </c>
      <c r="K609" s="109">
        <v>2022</v>
      </c>
      <c r="L609" s="109" t="s">
        <v>348</v>
      </c>
      <c r="M609" s="109" t="s">
        <v>349</v>
      </c>
      <c r="N609" s="109" t="s">
        <v>350</v>
      </c>
      <c r="O609" s="715">
        <v>0</v>
      </c>
      <c r="P609" s="715">
        <v>0</v>
      </c>
      <c r="Q609" s="715">
        <v>0</v>
      </c>
      <c r="R609" s="715">
        <v>11.7</v>
      </c>
      <c r="S609" s="715">
        <v>7.2</v>
      </c>
      <c r="T609" s="7"/>
      <c r="U609" s="7"/>
      <c r="V609" s="7"/>
      <c r="W609" s="7"/>
      <c r="X609" s="7"/>
      <c r="Y609" s="7"/>
      <c r="Z609" s="7"/>
      <c r="AA609" s="7"/>
      <c r="AB609" s="7"/>
      <c r="AC609" s="121">
        <f>SUM(O609:AA609)</f>
        <v>18.899999999999999</v>
      </c>
      <c r="AD609" s="115">
        <f>ROUND(SUMIFS('Employee Detail FY22'!$AH$6:$AH$132,'Employee Detail FY22'!$B$6:$B$132,C609,'Employee Detail FY22'!$C$6:$C$132,D609,'Employee Detail FY22'!$E$6:$E$132,+F609,'Employee Detail FY22'!$F$6:$F$132,G609),0)</f>
        <v>61</v>
      </c>
      <c r="AE609" s="117">
        <f t="shared" si="482"/>
        <v>42.1</v>
      </c>
      <c r="AF609" s="117">
        <f t="shared" si="483"/>
        <v>3.5083333333333333</v>
      </c>
    </row>
    <row r="610" spans="2:36" hidden="1" outlineLevel="1" x14ac:dyDescent="0.2">
      <c r="B610" s="7"/>
      <c r="C610" s="102" t="s">
        <v>135</v>
      </c>
      <c r="D610" s="102" t="s">
        <v>864</v>
      </c>
      <c r="E610" s="102"/>
      <c r="F610" s="102" t="s">
        <v>557</v>
      </c>
      <c r="G610" s="102" t="s">
        <v>558</v>
      </c>
      <c r="H610" s="104" t="s">
        <v>188</v>
      </c>
      <c r="I610" s="104"/>
      <c r="J610" s="724" t="str">
        <f t="shared" si="478"/>
        <v>28065842022120260</v>
      </c>
      <c r="K610" s="109">
        <v>2022</v>
      </c>
      <c r="L610" s="109" t="s">
        <v>348</v>
      </c>
      <c r="M610" s="109" t="s">
        <v>349</v>
      </c>
      <c r="N610" s="109" t="s">
        <v>350</v>
      </c>
      <c r="O610" s="715">
        <v>0</v>
      </c>
      <c r="P610" s="715">
        <v>0</v>
      </c>
      <c r="Q610" s="715">
        <v>0</v>
      </c>
      <c r="R610" s="715">
        <v>0</v>
      </c>
      <c r="S610" s="715">
        <v>0</v>
      </c>
      <c r="T610" s="7"/>
      <c r="U610" s="7"/>
      <c r="V610" s="7"/>
      <c r="W610" s="7"/>
      <c r="X610" s="7"/>
      <c r="Y610" s="7"/>
      <c r="Z610" s="7"/>
      <c r="AA610" s="7"/>
      <c r="AB610" s="7"/>
      <c r="AC610" s="121">
        <f>SUM(O610:AA610)</f>
        <v>0</v>
      </c>
      <c r="AD610" s="115">
        <f>ROUND(SUMIFS('Employee Detail FY22'!$AH$6:$AH$132,'Employee Detail FY22'!$B$6:$B$132,C610,'Employee Detail FY22'!$C$6:$C$132,D610,'Employee Detail FY22'!$E$6:$E$132,+F610,'Employee Detail FY22'!$F$6:$F$132,G610),0)</f>
        <v>0</v>
      </c>
      <c r="AE610" s="117">
        <f t="shared" si="482"/>
        <v>0</v>
      </c>
      <c r="AF610" s="117">
        <f t="shared" si="483"/>
        <v>0</v>
      </c>
    </row>
    <row r="611" spans="2:36" hidden="1" outlineLevel="1" x14ac:dyDescent="0.2">
      <c r="B611" s="7"/>
      <c r="C611" s="102" t="s">
        <v>135</v>
      </c>
      <c r="D611" s="102" t="s">
        <v>245</v>
      </c>
      <c r="E611" s="102"/>
      <c r="F611" s="102">
        <v>430</v>
      </c>
      <c r="G611" s="102" t="s">
        <v>461</v>
      </c>
      <c r="H611" s="104" t="s">
        <v>188</v>
      </c>
      <c r="I611" s="104"/>
      <c r="J611" s="724" t="str">
        <f t="shared" si="478"/>
        <v>28063343010000260</v>
      </c>
      <c r="K611" s="109">
        <v>2022</v>
      </c>
      <c r="L611" s="109" t="s">
        <v>348</v>
      </c>
      <c r="M611" s="109" t="s">
        <v>349</v>
      </c>
      <c r="N611" s="109" t="s">
        <v>350</v>
      </c>
      <c r="O611" s="715">
        <v>0</v>
      </c>
      <c r="P611" s="715">
        <v>33.96</v>
      </c>
      <c r="Q611" s="715">
        <v>0.37</v>
      </c>
      <c r="R611" s="715">
        <v>68.66</v>
      </c>
      <c r="S611" s="715">
        <v>68.66</v>
      </c>
      <c r="T611" s="7"/>
      <c r="U611" s="7"/>
      <c r="V611" s="7"/>
      <c r="W611" s="7"/>
      <c r="X611" s="7"/>
      <c r="Y611" s="7"/>
      <c r="Z611" s="7"/>
      <c r="AA611" s="7"/>
      <c r="AB611" s="7"/>
      <c r="AC611" s="121"/>
      <c r="AD611" s="115">
        <f>ROUND(SUMIFS('Employee Detail FY22'!$AH$6:$AH$132,'Employee Detail FY22'!$B$6:$B$132,C611,'Employee Detail FY22'!$C$6:$C$132,D611,'Employee Detail FY22'!$E$6:$E$132,+F611,'Employee Detail FY22'!$F$6:$F$132,G611),0)</f>
        <v>331</v>
      </c>
      <c r="AE611" s="117">
        <f t="shared" si="482"/>
        <v>331</v>
      </c>
      <c r="AF611" s="117">
        <f t="shared" si="483"/>
        <v>27.583333333333332</v>
      </c>
    </row>
    <row r="612" spans="2:36" hidden="1" outlineLevel="1" x14ac:dyDescent="0.2">
      <c r="B612" s="7"/>
      <c r="C612" s="102" t="s">
        <v>135</v>
      </c>
      <c r="D612" s="102" t="s">
        <v>242</v>
      </c>
      <c r="E612" s="102"/>
      <c r="F612" s="102" t="s">
        <v>532</v>
      </c>
      <c r="G612" s="102" t="s">
        <v>461</v>
      </c>
      <c r="H612" s="104" t="s">
        <v>188</v>
      </c>
      <c r="I612" s="515"/>
      <c r="J612" s="724" t="str">
        <f t="shared" si="478"/>
        <v>28062443010000260</v>
      </c>
      <c r="K612" s="102">
        <v>2022</v>
      </c>
      <c r="L612" s="102" t="s">
        <v>348</v>
      </c>
      <c r="M612" s="102" t="s">
        <v>349</v>
      </c>
      <c r="N612" s="102" t="s">
        <v>350</v>
      </c>
      <c r="O612" s="715">
        <v>0</v>
      </c>
      <c r="P612" s="715">
        <v>0</v>
      </c>
      <c r="Q612" s="715">
        <v>34.33</v>
      </c>
      <c r="R612" s="715">
        <v>99.09</v>
      </c>
      <c r="S612" s="715">
        <v>68.56</v>
      </c>
      <c r="T612" s="7"/>
      <c r="U612" s="7"/>
      <c r="V612" s="7"/>
      <c r="W612" s="7"/>
      <c r="X612" s="7"/>
      <c r="Y612" s="7"/>
      <c r="Z612" s="7"/>
      <c r="AA612" s="7"/>
      <c r="AB612" s="7"/>
      <c r="AC612" s="121"/>
      <c r="AD612" s="115">
        <f>ROUND(SUMIFS('Employee Detail FY22'!$AH$6:$AH$132,'Employee Detail FY22'!$B$6:$B$132,C612,'Employee Detail FY22'!$C$6:$C$132,D612,'Employee Detail FY22'!$E$6:$E$132,+F612,'Employee Detail FY22'!$F$6:$F$132,G612),0)</f>
        <v>55</v>
      </c>
      <c r="AE612" s="117">
        <f t="shared" si="482"/>
        <v>55</v>
      </c>
      <c r="AF612" s="117">
        <f t="shared" si="483"/>
        <v>4.583333333333333</v>
      </c>
    </row>
    <row r="613" spans="2:36" hidden="1" outlineLevel="1" x14ac:dyDescent="0.2">
      <c r="B613" s="7"/>
      <c r="C613" s="102" t="s">
        <v>135</v>
      </c>
      <c r="D613" s="102" t="s">
        <v>242</v>
      </c>
      <c r="E613" s="104"/>
      <c r="F613" s="102" t="s">
        <v>532</v>
      </c>
      <c r="G613" s="102" t="s">
        <v>465</v>
      </c>
      <c r="H613" s="104" t="s">
        <v>188</v>
      </c>
      <c r="I613" s="103"/>
      <c r="J613" s="724" t="str">
        <f t="shared" si="478"/>
        <v>28062443021100260</v>
      </c>
      <c r="K613" s="109">
        <v>2022</v>
      </c>
      <c r="L613" s="109" t="s">
        <v>348</v>
      </c>
      <c r="M613" s="109" t="s">
        <v>349</v>
      </c>
      <c r="N613" s="109" t="s">
        <v>350</v>
      </c>
      <c r="O613" s="715">
        <v>0</v>
      </c>
      <c r="P613" s="715">
        <v>0</v>
      </c>
      <c r="Q613" s="715">
        <v>0</v>
      </c>
      <c r="R613" s="715">
        <v>0</v>
      </c>
      <c r="S613" s="715">
        <v>0</v>
      </c>
      <c r="T613" s="7"/>
      <c r="U613" s="7"/>
      <c r="V613" s="7"/>
      <c r="W613" s="7"/>
      <c r="X613" s="7"/>
      <c r="Y613" s="7"/>
      <c r="Z613" s="7"/>
      <c r="AA613" s="7"/>
      <c r="AB613" s="7"/>
      <c r="AC613" s="121"/>
      <c r="AD613" s="115">
        <f>ROUND(SUMIFS('Employee Detail FY22'!$AH$6:$AH$132,'Employee Detail FY22'!$B$6:$B$132,C613,'Employee Detail FY22'!$C$6:$C$132,D613,'Employee Detail FY22'!$E$6:$E$132,+F613,'Employee Detail FY22'!$F$6:$F$132,G613),0)</f>
        <v>0</v>
      </c>
      <c r="AE613" s="117">
        <f t="shared" si="482"/>
        <v>0</v>
      </c>
      <c r="AF613" s="117">
        <f t="shared" si="483"/>
        <v>0</v>
      </c>
    </row>
    <row r="614" spans="2:36" hidden="1" outlineLevel="1" x14ac:dyDescent="0.2">
      <c r="B614" s="7"/>
      <c r="C614" s="102" t="s">
        <v>135</v>
      </c>
      <c r="D614" s="102" t="s">
        <v>242</v>
      </c>
      <c r="E614" s="102"/>
      <c r="F614" s="102" t="s">
        <v>532</v>
      </c>
      <c r="G614" s="102" t="s">
        <v>556</v>
      </c>
      <c r="H614" s="104" t="s">
        <v>188</v>
      </c>
      <c r="I614" s="103"/>
      <c r="J614" s="724" t="str">
        <f t="shared" si="478"/>
        <v>28062443021200260</v>
      </c>
      <c r="K614" s="109">
        <v>2022</v>
      </c>
      <c r="L614" s="109" t="s">
        <v>348</v>
      </c>
      <c r="M614" s="109" t="s">
        <v>349</v>
      </c>
      <c r="N614" s="109" t="s">
        <v>350</v>
      </c>
      <c r="O614" s="715">
        <v>0</v>
      </c>
      <c r="P614" s="715">
        <v>0</v>
      </c>
      <c r="Q614" s="715">
        <v>0</v>
      </c>
      <c r="R614" s="715">
        <v>0</v>
      </c>
      <c r="S614" s="715">
        <v>0</v>
      </c>
      <c r="T614" s="7"/>
      <c r="U614" s="7"/>
      <c r="V614" s="7"/>
      <c r="W614" s="7"/>
      <c r="X614" s="7"/>
      <c r="Y614" s="7"/>
      <c r="Z614" s="7"/>
      <c r="AA614" s="7"/>
      <c r="AB614" s="7"/>
      <c r="AC614" s="121"/>
      <c r="AD614" s="115">
        <f>ROUND(SUMIFS('Employee Detail FY22'!$AH$6:$AH$132,'Employee Detail FY22'!$B$6:$B$132,C614,'Employee Detail FY22'!$C$6:$C$132,D614,'Employee Detail FY22'!$E$6:$E$132,+F614,'Employee Detail FY22'!$F$6:$F$132,G614),0)</f>
        <v>0</v>
      </c>
      <c r="AE614" s="117">
        <f t="shared" si="482"/>
        <v>0</v>
      </c>
      <c r="AF614" s="117">
        <f t="shared" si="483"/>
        <v>0</v>
      </c>
    </row>
    <row r="615" spans="2:36" hidden="1" outlineLevel="1" x14ac:dyDescent="0.2">
      <c r="B615" s="7"/>
      <c r="C615" s="102" t="s">
        <v>135</v>
      </c>
      <c r="D615" s="102" t="s">
        <v>550</v>
      </c>
      <c r="E615" s="104"/>
      <c r="F615" s="102">
        <v>430</v>
      </c>
      <c r="G615" s="102" t="s">
        <v>484</v>
      </c>
      <c r="H615" s="104" t="s">
        <v>188</v>
      </c>
      <c r="I615" s="103"/>
      <c r="J615" s="724" t="str">
        <f t="shared" si="478"/>
        <v>28071543021300260</v>
      </c>
      <c r="K615" s="109">
        <v>2022</v>
      </c>
      <c r="L615" s="109" t="s">
        <v>348</v>
      </c>
      <c r="M615" s="109" t="s">
        <v>349</v>
      </c>
      <c r="N615" s="109" t="s">
        <v>350</v>
      </c>
      <c r="O615" s="715">
        <v>0</v>
      </c>
      <c r="P615" s="715">
        <v>30.21</v>
      </c>
      <c r="Q615" s="715">
        <v>25.31</v>
      </c>
      <c r="R615" s="715">
        <v>26.66</v>
      </c>
      <c r="S615" s="715">
        <v>50.79</v>
      </c>
      <c r="T615" s="7"/>
      <c r="U615" s="7"/>
      <c r="V615" s="7"/>
      <c r="W615" s="7"/>
      <c r="X615" s="7"/>
      <c r="Y615" s="7"/>
      <c r="Z615" s="7"/>
      <c r="AA615" s="7"/>
      <c r="AB615" s="7"/>
      <c r="AC615" s="121"/>
      <c r="AD615" s="115">
        <f>ROUND(SUMIFS('Employee Detail FY22'!$AH$6:$AH$132,'Employee Detail FY22'!$B$6:$B$132,C615,'Employee Detail FY22'!$C$6:$C$132,D615,'Employee Detail FY22'!$E$6:$E$132,+F615,'Employee Detail FY22'!$F$6:$F$132,G615),0)</f>
        <v>106</v>
      </c>
      <c r="AE615" s="117">
        <f t="shared" si="482"/>
        <v>106</v>
      </c>
      <c r="AF615" s="117">
        <f t="shared" si="483"/>
        <v>8.8333333333333339</v>
      </c>
    </row>
    <row r="616" spans="2:36" hidden="1" outlineLevel="1" x14ac:dyDescent="0.2">
      <c r="B616" s="7"/>
      <c r="C616" s="102" t="s">
        <v>135</v>
      </c>
      <c r="D616" s="102" t="s">
        <v>242</v>
      </c>
      <c r="E616" s="104"/>
      <c r="F616" s="102" t="s">
        <v>532</v>
      </c>
      <c r="G616" s="102" t="s">
        <v>485</v>
      </c>
      <c r="H616" s="104" t="s">
        <v>188</v>
      </c>
      <c r="I616" s="103"/>
      <c r="J616" s="724" t="str">
        <f t="shared" si="478"/>
        <v>28062443021400260</v>
      </c>
      <c r="K616" s="109">
        <v>2022</v>
      </c>
      <c r="L616" s="109" t="s">
        <v>348</v>
      </c>
      <c r="M616" s="109" t="s">
        <v>349</v>
      </c>
      <c r="N616" s="109" t="s">
        <v>350</v>
      </c>
      <c r="O616" s="715">
        <v>0</v>
      </c>
      <c r="P616" s="715">
        <v>0</v>
      </c>
      <c r="Q616" s="715">
        <v>0</v>
      </c>
      <c r="R616" s="715">
        <v>0</v>
      </c>
      <c r="S616" s="715">
        <v>0</v>
      </c>
      <c r="T616" s="7"/>
      <c r="U616" s="7"/>
      <c r="V616" s="7"/>
      <c r="W616" s="7"/>
      <c r="X616" s="7"/>
      <c r="Y616" s="7"/>
      <c r="Z616" s="7"/>
      <c r="AA616" s="7"/>
      <c r="AB616" s="7"/>
      <c r="AC616" s="121"/>
      <c r="AD616" s="115">
        <f>ROUND(SUMIFS('Employee Detail FY22'!$AH$6:$AH$132,'Employee Detail FY22'!$B$6:$B$132,C616,'Employee Detail FY22'!$C$6:$C$132,D616,'Employee Detail FY22'!$E$6:$E$132,+F616,'Employee Detail FY22'!$F$6:$F$132,G616),0)</f>
        <v>0</v>
      </c>
      <c r="AE616" s="117">
        <f t="shared" si="482"/>
        <v>0</v>
      </c>
      <c r="AF616" s="117">
        <f t="shared" si="483"/>
        <v>0</v>
      </c>
    </row>
    <row r="617" spans="2:36" hidden="1" outlineLevel="1" x14ac:dyDescent="0.2">
      <c r="B617" s="7"/>
      <c r="C617" s="102" t="s">
        <v>135</v>
      </c>
      <c r="D617" s="104" t="s">
        <v>242</v>
      </c>
      <c r="E617" s="104"/>
      <c r="F617" s="102" t="s">
        <v>532</v>
      </c>
      <c r="G617" s="102" t="s">
        <v>534</v>
      </c>
      <c r="H617" s="104" t="s">
        <v>188</v>
      </c>
      <c r="I617" s="103"/>
      <c r="J617" s="724" t="str">
        <f t="shared" si="478"/>
        <v>28062443022100260</v>
      </c>
      <c r="K617" s="109">
        <v>2022</v>
      </c>
      <c r="L617" s="109" t="s">
        <v>348</v>
      </c>
      <c r="M617" s="109" t="s">
        <v>349</v>
      </c>
      <c r="N617" s="109" t="s">
        <v>350</v>
      </c>
      <c r="O617" s="715">
        <v>0</v>
      </c>
      <c r="P617" s="715">
        <v>0</v>
      </c>
      <c r="Q617" s="715">
        <v>0</v>
      </c>
      <c r="R617" s="715">
        <v>0</v>
      </c>
      <c r="S617" s="715">
        <v>0</v>
      </c>
      <c r="T617" s="7"/>
      <c r="U617" s="7"/>
      <c r="V617" s="7"/>
      <c r="W617" s="7"/>
      <c r="X617" s="7"/>
      <c r="Y617" s="7"/>
      <c r="Z617" s="7"/>
      <c r="AA617" s="7"/>
      <c r="AB617" s="7"/>
      <c r="AC617" s="121"/>
      <c r="AD617" s="115">
        <f>ROUND(SUMIFS('Employee Detail FY22'!$AH$6:$AH$132,'Employee Detail FY22'!$B$6:$B$132,C617,'Employee Detail FY22'!$C$6:$C$132,D617,'Employee Detail FY22'!$E$6:$E$132,+F617,'Employee Detail FY22'!$F$6:$F$132,G617),0)</f>
        <v>586</v>
      </c>
      <c r="AE617" s="117">
        <f t="shared" si="482"/>
        <v>586</v>
      </c>
      <c r="AF617" s="117">
        <f t="shared" si="483"/>
        <v>48.833333333333336</v>
      </c>
    </row>
    <row r="618" spans="2:36" hidden="1" outlineLevel="1" x14ac:dyDescent="0.2">
      <c r="B618" s="7"/>
      <c r="C618" s="102" t="s">
        <v>135</v>
      </c>
      <c r="D618" s="104" t="s">
        <v>245</v>
      </c>
      <c r="E618" s="104"/>
      <c r="F618" s="102">
        <v>430</v>
      </c>
      <c r="G618" s="102" t="s">
        <v>534</v>
      </c>
      <c r="H618" s="104" t="s">
        <v>188</v>
      </c>
      <c r="I618" s="103"/>
      <c r="J618" s="724" t="str">
        <f t="shared" si="478"/>
        <v>28063343022100260</v>
      </c>
      <c r="K618" s="109">
        <v>2022</v>
      </c>
      <c r="L618" s="109" t="s">
        <v>348</v>
      </c>
      <c r="M618" s="109" t="s">
        <v>349</v>
      </c>
      <c r="N618" s="109" t="s">
        <v>350</v>
      </c>
      <c r="O618" s="715">
        <v>0</v>
      </c>
      <c r="P618" s="715">
        <v>0</v>
      </c>
      <c r="Q618" s="715">
        <v>0</v>
      </c>
      <c r="R618" s="715">
        <v>0</v>
      </c>
      <c r="S618" s="715">
        <v>0</v>
      </c>
      <c r="T618" s="7"/>
      <c r="U618" s="7"/>
      <c r="V618" s="7"/>
      <c r="W618" s="7"/>
      <c r="X618" s="7"/>
      <c r="Y618" s="7"/>
      <c r="Z618" s="7"/>
      <c r="AA618" s="7"/>
      <c r="AB618" s="7"/>
      <c r="AC618" s="121"/>
      <c r="AD618" s="115">
        <f>ROUND(SUMIFS('Employee Detail FY22'!$AH$6:$AH$132,'Employee Detail FY22'!$B$6:$B$132,C618,'Employee Detail FY22'!$C$6:$C$132,D618,'Employee Detail FY22'!$E$6:$E$132,+F618,'Employee Detail FY22'!$F$6:$F$132,G618),0)</f>
        <v>690</v>
      </c>
      <c r="AE618" s="117">
        <f t="shared" si="482"/>
        <v>690</v>
      </c>
      <c r="AF618" s="117">
        <f t="shared" si="483"/>
        <v>57.5</v>
      </c>
    </row>
    <row r="619" spans="2:36" hidden="1" outlineLevel="1" x14ac:dyDescent="0.2">
      <c r="B619" s="7"/>
      <c r="C619" s="102" t="s">
        <v>135</v>
      </c>
      <c r="D619" s="104" t="s">
        <v>242</v>
      </c>
      <c r="E619" s="104"/>
      <c r="F619" s="102" t="s">
        <v>532</v>
      </c>
      <c r="G619" s="102" t="s">
        <v>558</v>
      </c>
      <c r="H619" s="104" t="s">
        <v>188</v>
      </c>
      <c r="I619" s="182"/>
      <c r="J619" s="419" t="str">
        <f t="shared" si="478"/>
        <v>28062443022120260</v>
      </c>
      <c r="K619" s="420">
        <v>2022</v>
      </c>
      <c r="L619" s="420" t="s">
        <v>348</v>
      </c>
      <c r="M619" s="420" t="s">
        <v>349</v>
      </c>
      <c r="N619" s="420" t="s">
        <v>350</v>
      </c>
      <c r="O619" s="715">
        <v>0</v>
      </c>
      <c r="P619" s="715">
        <v>0</v>
      </c>
      <c r="Q619" s="715">
        <v>0</v>
      </c>
      <c r="R619" s="715">
        <v>0</v>
      </c>
      <c r="S619" s="715">
        <v>0</v>
      </c>
      <c r="T619" s="7"/>
      <c r="U619" s="7"/>
      <c r="V619" s="7"/>
      <c r="W619" s="7"/>
      <c r="X619" s="7"/>
      <c r="Y619" s="7"/>
      <c r="Z619" s="7"/>
      <c r="AA619" s="7"/>
      <c r="AB619" s="7"/>
      <c r="AC619" s="121"/>
      <c r="AD619" s="115">
        <f>ROUND(SUMIFS('Employee Detail FY22'!$AH$6:$AH$132,'Employee Detail FY22'!$B$6:$B$132,C619,'Employee Detail FY22'!$C$6:$C$132,D619,'Employee Detail FY22'!$E$6:$E$132,+F619,'Employee Detail FY22'!$F$6:$F$132,G619),0)</f>
        <v>0</v>
      </c>
      <c r="AE619" s="117">
        <f t="shared" si="482"/>
        <v>0</v>
      </c>
      <c r="AF619" s="117">
        <f t="shared" si="483"/>
        <v>0</v>
      </c>
    </row>
    <row r="620" spans="2:36" hidden="1" outlineLevel="1" x14ac:dyDescent="0.2">
      <c r="B620" s="7"/>
      <c r="C620" s="102" t="s">
        <v>135</v>
      </c>
      <c r="D620" s="104" t="s">
        <v>242</v>
      </c>
      <c r="E620" s="104"/>
      <c r="F620" s="102">
        <v>430</v>
      </c>
      <c r="G620" s="102" t="s">
        <v>460</v>
      </c>
      <c r="H620" s="104" t="s">
        <v>188</v>
      </c>
      <c r="I620" s="104"/>
      <c r="J620" s="342" t="str">
        <f t="shared" si="478"/>
        <v>28062443024100260</v>
      </c>
      <c r="K620" s="109">
        <v>2022</v>
      </c>
      <c r="L620" s="109" t="s">
        <v>348</v>
      </c>
      <c r="M620" s="109" t="s">
        <v>349</v>
      </c>
      <c r="N620" s="109" t="s">
        <v>350</v>
      </c>
      <c r="O620" s="715">
        <v>0</v>
      </c>
      <c r="P620" s="715">
        <v>0</v>
      </c>
      <c r="Q620" s="715">
        <v>366.75</v>
      </c>
      <c r="R620" s="715">
        <v>51.73</v>
      </c>
      <c r="S620" s="715">
        <v>0</v>
      </c>
      <c r="T620" s="715" t="e">
        <v>#VALUE!</v>
      </c>
      <c r="U620" s="7"/>
      <c r="V620" s="7"/>
      <c r="W620" s="7"/>
      <c r="X620" s="7"/>
      <c r="Y620" s="7"/>
      <c r="Z620" s="7"/>
      <c r="AA620" s="7"/>
      <c r="AB620" s="7"/>
      <c r="AC620" s="121"/>
      <c r="AD620" s="115">
        <f>ROUND(SUMIFS('Employee Detail FY22'!$AH$6:$AH$132,'Employee Detail FY22'!$B$6:$B$132,C620,'Employee Detail FY22'!$C$6:$C$132,D620,'Employee Detail FY22'!$E$6:$E$132,+F620,'Employee Detail FY22'!$F$6:$F$132,G620),0)</f>
        <v>785</v>
      </c>
      <c r="AE620" s="117">
        <f t="shared" si="482"/>
        <v>785</v>
      </c>
      <c r="AF620" s="117">
        <f t="shared" si="483"/>
        <v>65.416666666666671</v>
      </c>
    </row>
    <row r="621" spans="2:36" hidden="1" outlineLevel="1" x14ac:dyDescent="0.2">
      <c r="B621" s="7"/>
      <c r="C621" s="102" t="s">
        <v>135</v>
      </c>
      <c r="D621" s="102" t="s">
        <v>1030</v>
      </c>
      <c r="E621" s="104"/>
      <c r="F621" s="102" t="s">
        <v>468</v>
      </c>
      <c r="G621" s="102" t="s">
        <v>460</v>
      </c>
      <c r="H621" s="104" t="s">
        <v>188</v>
      </c>
      <c r="I621" s="103"/>
      <c r="J621" s="342" t="str">
        <f t="shared" ref="J621" si="485">CONCATENATE(C621,D621,F621,G621,H621,I621)</f>
        <v>28074110024100260</v>
      </c>
      <c r="K621" s="109">
        <v>2022</v>
      </c>
      <c r="L621" s="109" t="s">
        <v>348</v>
      </c>
      <c r="M621" s="109" t="s">
        <v>349</v>
      </c>
      <c r="N621" s="109" t="s">
        <v>350</v>
      </c>
      <c r="O621" s="715">
        <v>0</v>
      </c>
      <c r="P621" s="715">
        <v>41.15</v>
      </c>
      <c r="Q621" s="715">
        <v>0</v>
      </c>
      <c r="R621" s="715">
        <v>0</v>
      </c>
      <c r="S621" s="715">
        <v>0</v>
      </c>
      <c r="T621" s="715" t="e">
        <v>#VALUE!</v>
      </c>
      <c r="U621" s="7"/>
      <c r="V621" s="7"/>
      <c r="W621" s="7"/>
      <c r="X621" s="7"/>
      <c r="Y621" s="7"/>
      <c r="Z621" s="7"/>
      <c r="AA621" s="7"/>
      <c r="AB621" s="7"/>
      <c r="AC621" s="121"/>
      <c r="AD621" s="115">
        <f>ROUND(SUMIFS('Employee Detail FY22'!$AH$6:$AH$132,'Employee Detail FY22'!$B$6:$B$132,C621,'Employee Detail FY22'!$C$6:$C$132,D621,'Employee Detail FY22'!$E$6:$E$132,+F621,'Employee Detail FY22'!$F$6:$F$132,G621),0)</f>
        <v>0</v>
      </c>
      <c r="AE621" s="117">
        <f t="shared" ref="AE621" si="486">AD621-AC621</f>
        <v>0</v>
      </c>
      <c r="AF621" s="117">
        <f t="shared" ref="AF621" si="487">AE621/$AF$6</f>
        <v>0</v>
      </c>
    </row>
    <row r="622" spans="2:36" hidden="1" outlineLevel="1" x14ac:dyDescent="0.2">
      <c r="B622" s="7"/>
      <c r="C622" s="102"/>
      <c r="D622" s="102"/>
      <c r="E622" s="104"/>
      <c r="F622" s="102"/>
      <c r="G622" s="102"/>
      <c r="H622" s="104"/>
      <c r="I622" s="103"/>
      <c r="J622" s="342"/>
      <c r="K622" s="109"/>
      <c r="L622" s="109"/>
      <c r="M622" s="109"/>
      <c r="N622" s="109"/>
      <c r="O622" s="715"/>
      <c r="P622" s="715"/>
      <c r="Q622" s="715"/>
      <c r="R622" s="715"/>
      <c r="S622" s="715"/>
      <c r="T622" s="715" t="e">
        <v>#VALUE!</v>
      </c>
      <c r="U622" s="7"/>
      <c r="V622" s="7"/>
      <c r="W622" s="7"/>
      <c r="X622" s="7"/>
      <c r="Y622" s="7"/>
      <c r="Z622" s="7"/>
      <c r="AA622" s="7"/>
      <c r="AB622" s="7"/>
      <c r="AC622" s="121"/>
      <c r="AD622" s="115">
        <f>ROUND(SUMIFS('Employee Detail FY22'!$AH$6:$AH$132,'Employee Detail FY22'!$B$6:$B$132,C622,'Employee Detail FY22'!$C$6:$C$132,D622,'Employee Detail FY22'!$E$6:$E$132,+F622,'Employee Detail FY22'!$F$6:$F$132,G622),0)</f>
        <v>0</v>
      </c>
      <c r="AE622" s="117">
        <f t="shared" si="482"/>
        <v>0</v>
      </c>
      <c r="AF622" s="117">
        <f t="shared" si="483"/>
        <v>0</v>
      </c>
    </row>
    <row r="623" spans="2:36" s="2" customFormat="1" ht="13.5" collapsed="1" thickBot="1" x14ac:dyDescent="0.25">
      <c r="B623" s="564"/>
      <c r="C623" s="6"/>
      <c r="D623" s="6"/>
      <c r="E623" s="6"/>
      <c r="F623" s="6"/>
      <c r="G623" s="6"/>
      <c r="H623" s="6"/>
      <c r="I623" s="6"/>
      <c r="J623" s="582"/>
      <c r="K623" s="6"/>
      <c r="L623" s="6"/>
      <c r="M623" s="6"/>
      <c r="N623" s="6"/>
      <c r="O623" s="566">
        <f t="shared" ref="O623:AD623" si="488">SUM(O587:O622)</f>
        <v>654.62</v>
      </c>
      <c r="P623" s="566">
        <f t="shared" si="488"/>
        <v>1245.1300000000003</v>
      </c>
      <c r="Q623" s="566">
        <f t="shared" si="488"/>
        <v>1710.92</v>
      </c>
      <c r="R623" s="566">
        <f t="shared" si="488"/>
        <v>1229.79</v>
      </c>
      <c r="S623" s="566">
        <f t="shared" si="488"/>
        <v>1055.01</v>
      </c>
      <c r="T623" s="566" t="e">
        <f t="shared" si="488"/>
        <v>#VALUE!</v>
      </c>
      <c r="U623" s="566">
        <f t="shared" si="488"/>
        <v>0</v>
      </c>
      <c r="V623" s="566">
        <f t="shared" si="488"/>
        <v>0</v>
      </c>
      <c r="W623" s="566">
        <f t="shared" si="488"/>
        <v>0</v>
      </c>
      <c r="X623" s="566">
        <f t="shared" si="488"/>
        <v>0</v>
      </c>
      <c r="Y623" s="566">
        <f t="shared" si="488"/>
        <v>0</v>
      </c>
      <c r="Z623" s="566">
        <f t="shared" si="488"/>
        <v>0</v>
      </c>
      <c r="AA623" s="566">
        <f t="shared" si="488"/>
        <v>0</v>
      </c>
      <c r="AB623" s="566">
        <f t="shared" si="488"/>
        <v>0</v>
      </c>
      <c r="AC623" s="584">
        <f t="shared" si="488"/>
        <v>4786.8499999999995</v>
      </c>
      <c r="AD623" s="584">
        <f t="shared" si="488"/>
        <v>23568</v>
      </c>
      <c r="AE623" s="584">
        <f>AD623-AC623</f>
        <v>18781.150000000001</v>
      </c>
      <c r="AF623" s="584">
        <f>AE623/$AF$6</f>
        <v>1565.0958333333335</v>
      </c>
      <c r="AG623" s="553"/>
      <c r="AH623" s="553"/>
      <c r="AI623" s="553"/>
      <c r="AJ623" s="553"/>
    </row>
    <row r="624" spans="2:36" ht="13.5" thickTop="1" x14ac:dyDescent="0.2">
      <c r="AC624" s="62"/>
      <c r="AD624" s="62">
        <f>AD167-AD623</f>
        <v>1228</v>
      </c>
      <c r="AE624" s="62"/>
      <c r="AF624" s="62"/>
    </row>
    <row r="625" spans="2:32" x14ac:dyDescent="0.2">
      <c r="B625" s="579" t="s">
        <v>1132</v>
      </c>
      <c r="C625" s="579"/>
      <c r="D625" s="579"/>
      <c r="E625" s="579"/>
      <c r="F625" s="579"/>
      <c r="G625" s="579"/>
      <c r="H625" s="579"/>
      <c r="I625" s="579"/>
      <c r="J625" s="580"/>
      <c r="K625" s="579"/>
      <c r="L625" s="579"/>
      <c r="M625" s="579"/>
      <c r="N625" s="579"/>
      <c r="O625" s="579"/>
      <c r="P625" s="579"/>
      <c r="Q625" s="579"/>
      <c r="R625" s="579"/>
      <c r="S625" s="579"/>
      <c r="T625" s="579"/>
      <c r="U625" s="579"/>
      <c r="V625" s="579"/>
      <c r="W625" s="579"/>
      <c r="X625" s="579"/>
      <c r="Y625" s="579"/>
      <c r="Z625" s="579"/>
      <c r="AA625" s="579"/>
      <c r="AB625" s="579"/>
      <c r="AC625" s="583"/>
      <c r="AD625" s="583"/>
      <c r="AE625" s="583"/>
      <c r="AF625" s="583"/>
    </row>
    <row r="626" spans="2:32" hidden="1" outlineLevel="1" x14ac:dyDescent="0.2">
      <c r="B626" s="7"/>
      <c r="C626" s="102" t="s">
        <v>468</v>
      </c>
      <c r="D626" s="102" t="s">
        <v>145</v>
      </c>
      <c r="E626" s="102"/>
      <c r="F626" s="102" t="s">
        <v>468</v>
      </c>
      <c r="G626" s="102">
        <v>1000</v>
      </c>
      <c r="H626" s="104" t="s">
        <v>190</v>
      </c>
      <c r="I626" s="104"/>
      <c r="J626" s="724" t="str">
        <f t="shared" ref="J626:J659" si="489">CONCATENATE(C626,D626,F626,G626,H626,I626)</f>
        <v>10000010010000270</v>
      </c>
      <c r="K626" s="109">
        <v>2022</v>
      </c>
      <c r="L626" s="109" t="s">
        <v>348</v>
      </c>
      <c r="M626" s="109" t="s">
        <v>349</v>
      </c>
      <c r="N626" s="109" t="s">
        <v>350</v>
      </c>
      <c r="O626" s="715">
        <v>0</v>
      </c>
      <c r="P626" s="715">
        <v>0</v>
      </c>
      <c r="Q626" s="715">
        <v>2039.82</v>
      </c>
      <c r="R626" s="715">
        <v>0</v>
      </c>
      <c r="S626" s="715">
        <v>690.35</v>
      </c>
      <c r="T626" s="715"/>
      <c r="U626" s="7"/>
      <c r="V626" s="7"/>
      <c r="W626" s="7"/>
      <c r="X626" s="7"/>
      <c r="Y626" s="7"/>
      <c r="Z626" s="7"/>
      <c r="AA626" s="7"/>
      <c r="AB626" s="7"/>
      <c r="AC626" s="121">
        <f t="shared" ref="AC626:AC659" si="490">SUM(O626:AA626)</f>
        <v>2730.17</v>
      </c>
      <c r="AD626" s="115">
        <f>ROUND(SUMIFS('Employee Detail FY22'!$AI$6:$AI$132,'Employee Detail FY22'!$B$6:$B$132,C626,'Employee Detail FY22'!$C$6:$C$132,D626,'Employee Detail FY22'!$E$6:$E$132,+F626,'Employee Detail FY22'!$F$6:$F$132,G626),0)</f>
        <v>1048</v>
      </c>
      <c r="AE626" s="117">
        <f t="shared" ref="AE626" si="491">AD626-AC626</f>
        <v>-1682.17</v>
      </c>
      <c r="AF626" s="117">
        <f t="shared" ref="AF626" si="492">AE626/$AF$6</f>
        <v>-140.18083333333334</v>
      </c>
    </row>
    <row r="627" spans="2:32" hidden="1" outlineLevel="1" x14ac:dyDescent="0.2">
      <c r="B627" s="772"/>
      <c r="C627" s="773" t="s">
        <v>135</v>
      </c>
      <c r="D627" s="773" t="s">
        <v>923</v>
      </c>
      <c r="E627" s="773"/>
      <c r="F627" s="773">
        <v>100</v>
      </c>
      <c r="G627" s="773">
        <v>1000</v>
      </c>
      <c r="H627" s="774" t="s">
        <v>190</v>
      </c>
      <c r="I627" s="774"/>
      <c r="J627" s="775" t="str">
        <f t="shared" si="489"/>
        <v>28066110010000270</v>
      </c>
      <c r="K627" s="748">
        <v>2022</v>
      </c>
      <c r="L627" s="748" t="s">
        <v>348</v>
      </c>
      <c r="M627" s="748" t="s">
        <v>349</v>
      </c>
      <c r="N627" s="748" t="s">
        <v>350</v>
      </c>
      <c r="O627" s="715">
        <v>0</v>
      </c>
      <c r="P627" s="715">
        <v>0</v>
      </c>
      <c r="Q627" s="715">
        <v>0</v>
      </c>
      <c r="R627" s="715">
        <v>0</v>
      </c>
      <c r="S627" s="715">
        <v>0</v>
      </c>
      <c r="T627" s="715"/>
      <c r="U627" s="7"/>
      <c r="V627" s="7"/>
      <c r="W627" s="7"/>
      <c r="X627" s="7"/>
      <c r="Y627" s="7"/>
      <c r="Z627" s="7"/>
      <c r="AA627" s="7"/>
      <c r="AB627" s="7"/>
      <c r="AC627" s="121">
        <f t="shared" si="490"/>
        <v>0</v>
      </c>
      <c r="AD627" s="115">
        <f>ROUND(SUMIFS('Employee Detail FY22'!$AI$6:$AI$132,'Employee Detail FY22'!$B$6:$B$132,C627,'Employee Detail FY22'!$C$6:$C$132,D627,'Employee Detail FY22'!$E$6:$E$132,+F627,'Employee Detail FY22'!$F$6:$F$132,G627),0)</f>
        <v>261</v>
      </c>
      <c r="AE627" s="117">
        <f t="shared" ref="AE627:AE659" si="493">AD627-AC627</f>
        <v>261</v>
      </c>
      <c r="AF627" s="117">
        <f t="shared" ref="AF627:AF659" si="494">AE627/$AF$6</f>
        <v>21.75</v>
      </c>
    </row>
    <row r="628" spans="2:32" hidden="1" outlineLevel="1" x14ac:dyDescent="0.2">
      <c r="B628" s="772"/>
      <c r="C628" s="773" t="s">
        <v>135</v>
      </c>
      <c r="D628" s="774" t="s">
        <v>249</v>
      </c>
      <c r="E628" s="774"/>
      <c r="F628" s="773" t="s">
        <v>468</v>
      </c>
      <c r="G628" s="773" t="s">
        <v>461</v>
      </c>
      <c r="H628" s="774" t="s">
        <v>190</v>
      </c>
      <c r="I628" s="776"/>
      <c r="J628" s="775" t="str">
        <f t="shared" si="489"/>
        <v>28070910010000270</v>
      </c>
      <c r="K628" s="748">
        <v>2022</v>
      </c>
      <c r="L628" s="748" t="s">
        <v>348</v>
      </c>
      <c r="M628" s="748" t="s">
        <v>349</v>
      </c>
      <c r="N628" s="748" t="s">
        <v>350</v>
      </c>
      <c r="O628" s="715">
        <v>0</v>
      </c>
      <c r="P628" s="715">
        <v>0</v>
      </c>
      <c r="Q628" s="715">
        <v>0</v>
      </c>
      <c r="R628" s="715">
        <v>0</v>
      </c>
      <c r="S628" s="715">
        <v>0</v>
      </c>
      <c r="T628" s="715"/>
      <c r="U628" s="7"/>
      <c r="V628" s="7"/>
      <c r="W628" s="7"/>
      <c r="X628" s="7"/>
      <c r="Y628" s="7"/>
      <c r="Z628" s="7"/>
      <c r="AA628" s="7"/>
      <c r="AB628" s="7"/>
      <c r="AC628" s="121">
        <f t="shared" si="490"/>
        <v>0</v>
      </c>
      <c r="AD628" s="115">
        <f>ROUND(SUMIFS('Employee Detail FY22'!$AI$6:$AI$132,'Employee Detail FY22'!$B$6:$B$132,C628,'Employee Detail FY22'!$C$6:$C$132,D628,'Employee Detail FY22'!$E$6:$E$132,+F628,'Employee Detail FY22'!$F$6:$F$132,G628),0)</f>
        <v>49</v>
      </c>
      <c r="AE628" s="117">
        <f t="shared" si="493"/>
        <v>49</v>
      </c>
      <c r="AF628" s="117">
        <f t="shared" si="494"/>
        <v>4.083333333333333</v>
      </c>
    </row>
    <row r="629" spans="2:32" hidden="1" outlineLevel="1" x14ac:dyDescent="0.2">
      <c r="B629" s="7"/>
      <c r="C629" s="102" t="s">
        <v>468</v>
      </c>
      <c r="D629" s="104" t="s">
        <v>145</v>
      </c>
      <c r="E629" s="104"/>
      <c r="F629" s="102" t="s">
        <v>689</v>
      </c>
      <c r="G629" s="102" t="s">
        <v>461</v>
      </c>
      <c r="H629" s="104" t="s">
        <v>190</v>
      </c>
      <c r="I629" s="103"/>
      <c r="J629" s="724" t="str">
        <f t="shared" si="489"/>
        <v>10000014010000270</v>
      </c>
      <c r="K629" s="109">
        <v>2022</v>
      </c>
      <c r="L629" s="109" t="s">
        <v>348</v>
      </c>
      <c r="M629" s="109" t="s">
        <v>349</v>
      </c>
      <c r="N629" s="109" t="s">
        <v>350</v>
      </c>
      <c r="O629" s="715">
        <v>0</v>
      </c>
      <c r="P629" s="715">
        <v>0</v>
      </c>
      <c r="Q629" s="715">
        <v>0</v>
      </c>
      <c r="R629" s="715">
        <v>0</v>
      </c>
      <c r="S629" s="715">
        <v>0</v>
      </c>
      <c r="T629" s="715"/>
      <c r="U629" s="7"/>
      <c r="V629" s="7"/>
      <c r="W629" s="7"/>
      <c r="X629" s="7"/>
      <c r="Y629" s="7"/>
      <c r="Z629" s="7"/>
      <c r="AA629" s="7"/>
      <c r="AB629" s="7"/>
      <c r="AC629" s="121">
        <f t="shared" si="490"/>
        <v>0</v>
      </c>
      <c r="AD629" s="115">
        <f>ROUND(SUMIFS('Employee Detail FY22'!$AI$6:$AI$132,'Employee Detail FY22'!$B$6:$B$132,C629,'Employee Detail FY22'!$C$6:$C$132,D629,'Employee Detail FY22'!$E$6:$E$132,+F629,'Employee Detail FY22'!$F$6:$F$132,G629),0)</f>
        <v>0</v>
      </c>
      <c r="AE629" s="117">
        <f t="shared" si="493"/>
        <v>0</v>
      </c>
      <c r="AF629" s="117">
        <f t="shared" si="494"/>
        <v>0</v>
      </c>
    </row>
    <row r="630" spans="2:32" hidden="1" outlineLevel="1" x14ac:dyDescent="0.2">
      <c r="B630" s="7"/>
      <c r="C630" s="102" t="s">
        <v>468</v>
      </c>
      <c r="D630" s="104" t="s">
        <v>145</v>
      </c>
      <c r="E630" s="104"/>
      <c r="F630" s="102" t="s">
        <v>468</v>
      </c>
      <c r="G630" s="102" t="s">
        <v>465</v>
      </c>
      <c r="H630" s="104" t="s">
        <v>190</v>
      </c>
      <c r="I630" s="103"/>
      <c r="J630" s="724" t="str">
        <f t="shared" si="489"/>
        <v>10000010021100270</v>
      </c>
      <c r="K630" s="109">
        <v>2022</v>
      </c>
      <c r="L630" s="109" t="s">
        <v>348</v>
      </c>
      <c r="M630" s="109" t="s">
        <v>349</v>
      </c>
      <c r="N630" s="109" t="s">
        <v>350</v>
      </c>
      <c r="O630" s="715">
        <v>0</v>
      </c>
      <c r="P630" s="715">
        <v>0</v>
      </c>
      <c r="Q630" s="715">
        <v>590.59</v>
      </c>
      <c r="R630" s="715">
        <v>0</v>
      </c>
      <c r="S630" s="715">
        <v>297.98</v>
      </c>
      <c r="T630" s="715"/>
      <c r="U630" s="7"/>
      <c r="V630" s="7"/>
      <c r="W630" s="7"/>
      <c r="X630" s="7"/>
      <c r="Y630" s="7"/>
      <c r="Z630" s="7"/>
      <c r="AA630" s="7"/>
      <c r="AB630" s="7"/>
      <c r="AC630" s="121">
        <f t="shared" si="490"/>
        <v>888.57</v>
      </c>
      <c r="AD630" s="115">
        <f>ROUND(SUMIFS('Employee Detail FY22'!$AI$6:$AI$132,'Employee Detail FY22'!$B$6:$B$132,C630,'Employee Detail FY22'!$C$6:$C$132,D630,'Employee Detail FY22'!$E$6:$E$132,+F630,'Employee Detail FY22'!$F$6:$F$132,G630),0)</f>
        <v>202</v>
      </c>
      <c r="AE630" s="117">
        <f t="shared" si="493"/>
        <v>-686.57</v>
      </c>
      <c r="AF630" s="117">
        <f t="shared" si="494"/>
        <v>-57.214166666666671</v>
      </c>
    </row>
    <row r="631" spans="2:32" hidden="1" outlineLevel="1" x14ac:dyDescent="0.2">
      <c r="B631" s="772"/>
      <c r="C631" s="773" t="s">
        <v>135</v>
      </c>
      <c r="D631" s="773" t="s">
        <v>923</v>
      </c>
      <c r="E631" s="773"/>
      <c r="F631" s="773" t="s">
        <v>468</v>
      </c>
      <c r="G631" s="773" t="s">
        <v>465</v>
      </c>
      <c r="H631" s="774" t="s">
        <v>190</v>
      </c>
      <c r="I631" s="774"/>
      <c r="J631" s="775" t="str">
        <f t="shared" si="489"/>
        <v>28066110021100270</v>
      </c>
      <c r="K631" s="748">
        <v>2022</v>
      </c>
      <c r="L631" s="748" t="s">
        <v>348</v>
      </c>
      <c r="M631" s="748" t="s">
        <v>349</v>
      </c>
      <c r="N631" s="748" t="s">
        <v>350</v>
      </c>
      <c r="O631" s="715">
        <v>0</v>
      </c>
      <c r="P631" s="715">
        <v>0</v>
      </c>
      <c r="Q631" s="715">
        <v>0</v>
      </c>
      <c r="R631" s="715">
        <v>0</v>
      </c>
      <c r="S631" s="715">
        <v>0</v>
      </c>
      <c r="T631" s="715"/>
      <c r="U631" s="7"/>
      <c r="V631" s="7"/>
      <c r="W631" s="7"/>
      <c r="X631" s="7"/>
      <c r="Y631" s="7"/>
      <c r="Z631" s="7"/>
      <c r="AA631" s="7"/>
      <c r="AB631" s="7"/>
      <c r="AC631" s="121">
        <f t="shared" si="490"/>
        <v>0</v>
      </c>
      <c r="AD631" s="115">
        <f>ROUND(SUMIFS('Employee Detail FY22'!$AI$6:$AI$132,'Employee Detail FY22'!$B$6:$B$132,C631,'Employee Detail FY22'!$C$6:$C$132,D631,'Employee Detail FY22'!$E$6:$E$132,+F631,'Employee Detail FY22'!$F$6:$F$132,G631),0)</f>
        <v>201</v>
      </c>
      <c r="AE631" s="117">
        <f t="shared" si="493"/>
        <v>201</v>
      </c>
      <c r="AF631" s="117">
        <f t="shared" si="494"/>
        <v>16.75</v>
      </c>
    </row>
    <row r="632" spans="2:32" hidden="1" outlineLevel="1" x14ac:dyDescent="0.2">
      <c r="B632" s="772"/>
      <c r="C632" s="773" t="s">
        <v>135</v>
      </c>
      <c r="D632" s="774" t="s">
        <v>1030</v>
      </c>
      <c r="E632" s="774"/>
      <c r="F632" s="773" t="s">
        <v>468</v>
      </c>
      <c r="G632" s="773" t="s">
        <v>465</v>
      </c>
      <c r="H632" s="774" t="s">
        <v>190</v>
      </c>
      <c r="I632" s="776"/>
      <c r="J632" s="775" t="str">
        <f t="shared" si="489"/>
        <v>28074110021100270</v>
      </c>
      <c r="K632" s="748">
        <v>2022</v>
      </c>
      <c r="L632" s="748" t="s">
        <v>348</v>
      </c>
      <c r="M632" s="748" t="s">
        <v>349</v>
      </c>
      <c r="N632" s="748" t="s">
        <v>350</v>
      </c>
      <c r="O632" s="715">
        <v>0</v>
      </c>
      <c r="P632" s="715">
        <v>0</v>
      </c>
      <c r="Q632" s="715">
        <v>0</v>
      </c>
      <c r="R632" s="715">
        <v>0</v>
      </c>
      <c r="S632" s="715">
        <v>0</v>
      </c>
      <c r="T632" s="715"/>
      <c r="U632" s="7"/>
      <c r="V632" s="7"/>
      <c r="W632" s="7"/>
      <c r="X632" s="7"/>
      <c r="Y632" s="7"/>
      <c r="Z632" s="7"/>
      <c r="AA632" s="7"/>
      <c r="AB632" s="7"/>
      <c r="AC632" s="121">
        <f t="shared" si="490"/>
        <v>0</v>
      </c>
      <c r="AD632" s="115">
        <f>ROUND(SUMIFS('Employee Detail FY22'!$AI$6:$AI$132,'Employee Detail FY22'!$B$6:$B$132,C632,'Employee Detail FY22'!$C$6:$C$132,D632,'Employee Detail FY22'!$E$6:$E$132,+F632,'Employee Detail FY22'!$F$6:$F$132,G632),0)</f>
        <v>280</v>
      </c>
      <c r="AE632" s="117">
        <f t="shared" si="493"/>
        <v>280</v>
      </c>
      <c r="AF632" s="117">
        <f t="shared" si="494"/>
        <v>23.333333333333332</v>
      </c>
    </row>
    <row r="633" spans="2:32" hidden="1" outlineLevel="1" x14ac:dyDescent="0.2">
      <c r="B633" s="7"/>
      <c r="C633" s="102" t="s">
        <v>468</v>
      </c>
      <c r="D633" s="104" t="s">
        <v>145</v>
      </c>
      <c r="E633" s="104"/>
      <c r="F633" s="102" t="s">
        <v>468</v>
      </c>
      <c r="G633" s="102" t="s">
        <v>556</v>
      </c>
      <c r="H633" s="104" t="s">
        <v>190</v>
      </c>
      <c r="I633" s="103"/>
      <c r="J633" s="724" t="str">
        <f t="shared" si="489"/>
        <v>10000010021200270</v>
      </c>
      <c r="K633" s="109">
        <v>2022</v>
      </c>
      <c r="L633" s="109" t="s">
        <v>348</v>
      </c>
      <c r="M633" s="109" t="s">
        <v>349</v>
      </c>
      <c r="N633" s="109" t="s">
        <v>350</v>
      </c>
      <c r="O633" s="715">
        <v>0</v>
      </c>
      <c r="P633" s="715">
        <v>0</v>
      </c>
      <c r="Q633" s="715">
        <v>0</v>
      </c>
      <c r="R633" s="715">
        <v>0</v>
      </c>
      <c r="S633" s="715">
        <v>70.48</v>
      </c>
      <c r="T633" s="715"/>
      <c r="U633" s="7"/>
      <c r="V633" s="7"/>
      <c r="W633" s="7"/>
      <c r="X633" s="7"/>
      <c r="Y633" s="7"/>
      <c r="Z633" s="7"/>
      <c r="AA633" s="7"/>
      <c r="AB633" s="7"/>
      <c r="AC633" s="121">
        <f t="shared" si="490"/>
        <v>70.48</v>
      </c>
      <c r="AD633" s="115">
        <f>ROUND(SUMIFS('Employee Detail FY22'!$AI$6:$AI$132,'Employee Detail FY22'!$B$6:$B$132,C633,'Employee Detail FY22'!$C$6:$C$132,D633,'Employee Detail FY22'!$E$6:$E$132,+F633,'Employee Detail FY22'!$F$6:$F$132,G633),0)</f>
        <v>148</v>
      </c>
      <c r="AE633" s="117">
        <f t="shared" si="493"/>
        <v>77.52</v>
      </c>
      <c r="AF633" s="117">
        <f t="shared" si="494"/>
        <v>6.46</v>
      </c>
    </row>
    <row r="634" spans="2:32" hidden="1" outlineLevel="1" x14ac:dyDescent="0.2">
      <c r="B634" s="7"/>
      <c r="C634" s="102" t="s">
        <v>468</v>
      </c>
      <c r="D634" s="104" t="s">
        <v>145</v>
      </c>
      <c r="E634" s="104"/>
      <c r="F634" s="102" t="s">
        <v>468</v>
      </c>
      <c r="G634" s="102" t="s">
        <v>558</v>
      </c>
      <c r="H634" s="104" t="s">
        <v>190</v>
      </c>
      <c r="I634" s="103"/>
      <c r="J634" s="724" t="str">
        <f t="shared" si="489"/>
        <v>10000010022120270</v>
      </c>
      <c r="K634" s="109">
        <v>2022</v>
      </c>
      <c r="L634" s="109" t="s">
        <v>348</v>
      </c>
      <c r="M634" s="109" t="s">
        <v>349</v>
      </c>
      <c r="N634" s="109" t="s">
        <v>350</v>
      </c>
      <c r="O634" s="715">
        <v>0</v>
      </c>
      <c r="P634" s="715">
        <v>0</v>
      </c>
      <c r="Q634" s="715">
        <v>102.58</v>
      </c>
      <c r="R634" s="715">
        <v>0</v>
      </c>
      <c r="S634" s="715">
        <v>44.72</v>
      </c>
      <c r="T634" s="715"/>
      <c r="U634" s="7"/>
      <c r="V634" s="7"/>
      <c r="W634" s="7"/>
      <c r="X634" s="7"/>
      <c r="Y634" s="7"/>
      <c r="Z634" s="7"/>
      <c r="AA634" s="7"/>
      <c r="AB634" s="7"/>
      <c r="AC634" s="121">
        <f t="shared" si="490"/>
        <v>147.30000000000001</v>
      </c>
      <c r="AD634" s="115">
        <f>ROUND(SUMIFS('Employee Detail FY22'!$AI$6:$AI$132,'Employee Detail FY22'!$B$6:$B$132,C634,'Employee Detail FY22'!$C$6:$C$132,D634,'Employee Detail FY22'!$E$6:$E$132,+F634,'Employee Detail FY22'!$F$6:$F$132,G634),0)</f>
        <v>103</v>
      </c>
      <c r="AE634" s="117">
        <f t="shared" si="493"/>
        <v>-44.300000000000011</v>
      </c>
      <c r="AF634" s="117">
        <f t="shared" si="494"/>
        <v>-3.6916666666666678</v>
      </c>
    </row>
    <row r="635" spans="2:32" hidden="1" outlineLevel="1" x14ac:dyDescent="0.2">
      <c r="B635" s="7"/>
      <c r="C635" s="102" t="s">
        <v>468</v>
      </c>
      <c r="D635" s="104" t="s">
        <v>145</v>
      </c>
      <c r="E635" s="104"/>
      <c r="F635" s="102" t="s">
        <v>468</v>
      </c>
      <c r="G635" s="102" t="s">
        <v>464</v>
      </c>
      <c r="H635" s="104" t="s">
        <v>190</v>
      </c>
      <c r="I635" s="103"/>
      <c r="J635" s="724" t="str">
        <f t="shared" si="489"/>
        <v>10000010023200270</v>
      </c>
      <c r="K635" s="109">
        <v>2022</v>
      </c>
      <c r="L635" s="109" t="s">
        <v>348</v>
      </c>
      <c r="M635" s="109" t="s">
        <v>349</v>
      </c>
      <c r="N635" s="109" t="s">
        <v>350</v>
      </c>
      <c r="O635" s="715">
        <v>0</v>
      </c>
      <c r="P635" s="715">
        <v>0</v>
      </c>
      <c r="Q635" s="715">
        <v>540.47</v>
      </c>
      <c r="R635" s="715">
        <v>0</v>
      </c>
      <c r="S635" s="715">
        <v>234.12</v>
      </c>
      <c r="T635" s="715"/>
      <c r="U635" s="7"/>
      <c r="V635" s="7"/>
      <c r="W635" s="7"/>
      <c r="X635" s="7"/>
      <c r="Y635" s="7"/>
      <c r="Z635" s="7"/>
      <c r="AA635" s="7"/>
      <c r="AB635" s="7"/>
      <c r="AC635" s="121">
        <f t="shared" si="490"/>
        <v>774.59</v>
      </c>
      <c r="AD635" s="115">
        <f>ROUND(SUMIFS('Employee Detail FY22'!$AI$6:$AI$132,'Employee Detail FY22'!$B$6:$B$132,C635,'Employee Detail FY22'!$C$6:$C$132,D635,'Employee Detail FY22'!$E$6:$E$132,+F635,'Employee Detail FY22'!$F$6:$F$132,G635),0)</f>
        <v>537</v>
      </c>
      <c r="AE635" s="117">
        <f t="shared" si="493"/>
        <v>-237.59000000000003</v>
      </c>
      <c r="AF635" s="117">
        <f t="shared" si="494"/>
        <v>-19.799166666666668</v>
      </c>
    </row>
    <row r="636" spans="2:32" hidden="1" outlineLevel="1" x14ac:dyDescent="0.2">
      <c r="B636" s="7"/>
      <c r="C636" s="102" t="s">
        <v>468</v>
      </c>
      <c r="D636" s="104" t="s">
        <v>145</v>
      </c>
      <c r="E636" s="104"/>
      <c r="F636" s="102" t="s">
        <v>468</v>
      </c>
      <c r="G636" s="102" t="s">
        <v>460</v>
      </c>
      <c r="H636" s="104" t="s">
        <v>190</v>
      </c>
      <c r="I636" s="103"/>
      <c r="J636" s="724" t="str">
        <f t="shared" si="489"/>
        <v>10000010024100270</v>
      </c>
      <c r="K636" s="109">
        <v>2022</v>
      </c>
      <c r="L636" s="109" t="s">
        <v>348</v>
      </c>
      <c r="M636" s="109" t="s">
        <v>349</v>
      </c>
      <c r="N636" s="109" t="s">
        <v>350</v>
      </c>
      <c r="O636" s="715">
        <v>0</v>
      </c>
      <c r="P636" s="715">
        <v>0</v>
      </c>
      <c r="Q636" s="715">
        <v>692.06</v>
      </c>
      <c r="R636" s="715">
        <v>0</v>
      </c>
      <c r="S636" s="715">
        <v>270.56</v>
      </c>
      <c r="T636" s="715"/>
      <c r="U636" s="7"/>
      <c r="V636" s="7"/>
      <c r="W636" s="7"/>
      <c r="X636" s="7"/>
      <c r="Y636" s="7"/>
      <c r="Z636" s="7"/>
      <c r="AA636" s="7"/>
      <c r="AB636" s="7"/>
      <c r="AC636" s="121">
        <f t="shared" si="490"/>
        <v>962.61999999999989</v>
      </c>
      <c r="AD636" s="115">
        <f>ROUND(SUMIFS('Employee Detail FY22'!$AI$6:$AI$132,'Employee Detail FY22'!$B$6:$B$132,C636,'Employee Detail FY22'!$C$6:$C$132,D636,'Employee Detail FY22'!$E$6:$E$132,+F636,'Employee Detail FY22'!$F$6:$F$132,G636),0)</f>
        <v>287</v>
      </c>
      <c r="AE636" s="117">
        <f t="shared" si="493"/>
        <v>-675.61999999999989</v>
      </c>
      <c r="AF636" s="117">
        <f t="shared" si="494"/>
        <v>-56.301666666666655</v>
      </c>
    </row>
    <row r="637" spans="2:32" hidden="1" outlineLevel="1" x14ac:dyDescent="0.2">
      <c r="B637" s="772"/>
      <c r="C637" s="773" t="s">
        <v>135</v>
      </c>
      <c r="D637" s="774" t="s">
        <v>923</v>
      </c>
      <c r="E637" s="774"/>
      <c r="F637" s="773">
        <v>100</v>
      </c>
      <c r="G637" s="773" t="s">
        <v>460</v>
      </c>
      <c r="H637" s="774" t="s">
        <v>190</v>
      </c>
      <c r="I637" s="776"/>
      <c r="J637" s="775" t="str">
        <f t="shared" si="489"/>
        <v>28066110024100270</v>
      </c>
      <c r="K637" s="748">
        <v>2022</v>
      </c>
      <c r="L637" s="748" t="s">
        <v>348</v>
      </c>
      <c r="M637" s="748" t="s">
        <v>349</v>
      </c>
      <c r="N637" s="748" t="s">
        <v>350</v>
      </c>
      <c r="O637" s="715">
        <v>0</v>
      </c>
      <c r="P637" s="715">
        <v>0</v>
      </c>
      <c r="Q637" s="715">
        <v>0</v>
      </c>
      <c r="R637" s="715">
        <v>0</v>
      </c>
      <c r="S637" s="715">
        <v>0</v>
      </c>
      <c r="T637" s="715"/>
      <c r="U637" s="7"/>
      <c r="V637" s="7"/>
      <c r="W637" s="7"/>
      <c r="X637" s="7"/>
      <c r="Y637" s="7"/>
      <c r="Z637" s="7"/>
      <c r="AA637" s="7"/>
      <c r="AB637" s="7"/>
      <c r="AC637" s="121">
        <f t="shared" si="490"/>
        <v>0</v>
      </c>
      <c r="AD637" s="115">
        <f>ROUND(SUMIFS('Employee Detail FY22'!$AI$6:$AI$132,'Employee Detail FY22'!$B$6:$B$132,C637,'Employee Detail FY22'!$C$6:$C$132,D637,'Employee Detail FY22'!$E$6:$E$132,+F637,'Employee Detail FY22'!$F$6:$F$132,G637),0)</f>
        <v>119</v>
      </c>
      <c r="AE637" s="117">
        <f t="shared" si="493"/>
        <v>119</v>
      </c>
      <c r="AF637" s="117">
        <f t="shared" si="494"/>
        <v>9.9166666666666661</v>
      </c>
    </row>
    <row r="638" spans="2:32" hidden="1" outlineLevel="1" x14ac:dyDescent="0.2">
      <c r="B638" s="7"/>
      <c r="C638" s="102" t="s">
        <v>468</v>
      </c>
      <c r="D638" s="104" t="s">
        <v>145</v>
      </c>
      <c r="E638" s="104"/>
      <c r="F638" s="102" t="s">
        <v>468</v>
      </c>
      <c r="G638" s="102" t="s">
        <v>458</v>
      </c>
      <c r="H638" s="104" t="s">
        <v>190</v>
      </c>
      <c r="I638" s="103"/>
      <c r="J638" s="724" t="str">
        <f t="shared" si="489"/>
        <v>10000010025100270</v>
      </c>
      <c r="K638" s="109">
        <v>2022</v>
      </c>
      <c r="L638" s="109" t="s">
        <v>348</v>
      </c>
      <c r="M638" s="109" t="s">
        <v>349</v>
      </c>
      <c r="N638" s="109" t="s">
        <v>350</v>
      </c>
      <c r="O638" s="715">
        <v>0</v>
      </c>
      <c r="P638" s="715">
        <v>0</v>
      </c>
      <c r="Q638" s="715">
        <v>199.06</v>
      </c>
      <c r="R638" s="715">
        <v>0</v>
      </c>
      <c r="S638" s="715">
        <v>86.78</v>
      </c>
      <c r="T638" s="715"/>
      <c r="U638" s="7"/>
      <c r="V638" s="7"/>
      <c r="W638" s="7"/>
      <c r="X638" s="7"/>
      <c r="Y638" s="7"/>
      <c r="Z638" s="7"/>
      <c r="AA638" s="7"/>
      <c r="AB638" s="7"/>
      <c r="AC638" s="121">
        <f t="shared" si="490"/>
        <v>285.84000000000003</v>
      </c>
      <c r="AD638" s="115">
        <f>ROUND(SUMIFS('Employee Detail FY22'!$AI$6:$AI$132,'Employee Detail FY22'!$B$6:$B$132,C638,'Employee Detail FY22'!$C$6:$C$132,D638,'Employee Detail FY22'!$E$6:$E$132,+F638,'Employee Detail FY22'!$F$6:$F$132,G638),0)</f>
        <v>199</v>
      </c>
      <c r="AE638" s="117">
        <f t="shared" si="493"/>
        <v>-86.840000000000032</v>
      </c>
      <c r="AF638" s="117">
        <f t="shared" si="494"/>
        <v>-7.236666666666669</v>
      </c>
    </row>
    <row r="639" spans="2:32" hidden="1" outlineLevel="1" x14ac:dyDescent="0.2">
      <c r="B639" s="7"/>
      <c r="C639" s="102" t="s">
        <v>468</v>
      </c>
      <c r="D639" s="104" t="s">
        <v>145</v>
      </c>
      <c r="E639" s="104"/>
      <c r="F639" s="102" t="s">
        <v>468</v>
      </c>
      <c r="G639" s="102" t="s">
        <v>479</v>
      </c>
      <c r="H639" s="104" t="s">
        <v>190</v>
      </c>
      <c r="I639" s="104"/>
      <c r="J639" s="724" t="str">
        <f t="shared" si="489"/>
        <v>10000010025800270</v>
      </c>
      <c r="K639" s="109">
        <v>2022</v>
      </c>
      <c r="L639" s="109" t="s">
        <v>348</v>
      </c>
      <c r="M639" s="109" t="s">
        <v>349</v>
      </c>
      <c r="N639" s="109" t="s">
        <v>350</v>
      </c>
      <c r="O639" s="715">
        <v>0</v>
      </c>
      <c r="P639" s="715">
        <v>0</v>
      </c>
      <c r="Q639" s="715">
        <v>101.05</v>
      </c>
      <c r="R639" s="715">
        <v>0</v>
      </c>
      <c r="S639" s="715">
        <v>44.05</v>
      </c>
      <c r="T639" s="715"/>
      <c r="U639" s="7"/>
      <c r="V639" s="7"/>
      <c r="W639" s="7"/>
      <c r="X639" s="7"/>
      <c r="Y639" s="7"/>
      <c r="Z639" s="7"/>
      <c r="AA639" s="7"/>
      <c r="AB639" s="7"/>
      <c r="AC639" s="121">
        <f t="shared" si="490"/>
        <v>145.1</v>
      </c>
      <c r="AD639" s="115">
        <f>ROUND(SUMIFS('Employee Detail FY22'!$AI$6:$AI$132,'Employee Detail FY22'!$B$6:$B$132,C639,'Employee Detail FY22'!$C$6:$C$132,D639,'Employee Detail FY22'!$E$6:$E$132,+F639,'Employee Detail FY22'!$F$6:$F$132,G639),0)</f>
        <v>101</v>
      </c>
      <c r="AE639" s="117">
        <f t="shared" si="493"/>
        <v>-44.099999999999994</v>
      </c>
      <c r="AF639" s="117">
        <f t="shared" si="494"/>
        <v>-3.6749999999999994</v>
      </c>
    </row>
    <row r="640" spans="2:32" hidden="1" outlineLevel="1" x14ac:dyDescent="0.2">
      <c r="B640" s="7"/>
      <c r="C640" s="102" t="s">
        <v>468</v>
      </c>
      <c r="D640" s="104" t="s">
        <v>145</v>
      </c>
      <c r="E640" s="104"/>
      <c r="F640" s="102" t="s">
        <v>468</v>
      </c>
      <c r="G640" s="102" t="s">
        <v>459</v>
      </c>
      <c r="H640" s="104" t="s">
        <v>190</v>
      </c>
      <c r="I640" s="104"/>
      <c r="J640" s="724" t="str">
        <f t="shared" si="489"/>
        <v>10000010025820270</v>
      </c>
      <c r="K640" s="109">
        <v>2022</v>
      </c>
      <c r="L640" s="109" t="s">
        <v>348</v>
      </c>
      <c r="M640" s="109" t="s">
        <v>349</v>
      </c>
      <c r="N640" s="109" t="s">
        <v>350</v>
      </c>
      <c r="O640" s="715">
        <v>0</v>
      </c>
      <c r="P640" s="715">
        <v>0</v>
      </c>
      <c r="Q640" s="715">
        <v>207.49</v>
      </c>
      <c r="R640" s="715">
        <v>0</v>
      </c>
      <c r="S640" s="715">
        <v>90.45</v>
      </c>
      <c r="T640" s="715"/>
      <c r="U640" s="7"/>
      <c r="V640" s="7"/>
      <c r="W640" s="7"/>
      <c r="X640" s="7"/>
      <c r="Y640" s="7"/>
      <c r="Z640" s="7"/>
      <c r="AA640" s="7"/>
      <c r="AB640" s="7"/>
      <c r="AC640" s="121">
        <f t="shared" si="490"/>
        <v>297.94</v>
      </c>
      <c r="AD640" s="115">
        <f>ROUND(SUMIFS('Employee Detail FY22'!$AI$6:$AI$132,'Employee Detail FY22'!$B$6:$B$132,C640,'Employee Detail FY22'!$C$6:$C$132,D640,'Employee Detail FY22'!$E$6:$E$132,+F640,'Employee Detail FY22'!$F$6:$F$132,G640),0)</f>
        <v>207</v>
      </c>
      <c r="AE640" s="117">
        <f t="shared" si="493"/>
        <v>-90.94</v>
      </c>
      <c r="AF640" s="117">
        <f t="shared" si="494"/>
        <v>-7.5783333333333331</v>
      </c>
    </row>
    <row r="641" spans="2:32" hidden="1" outlineLevel="1" x14ac:dyDescent="0.2">
      <c r="B641" s="7"/>
      <c r="C641" s="102" t="s">
        <v>462</v>
      </c>
      <c r="D641" s="581" t="s">
        <v>145</v>
      </c>
      <c r="E641" s="104"/>
      <c r="F641" s="102" t="s">
        <v>463</v>
      </c>
      <c r="G641" s="102">
        <v>1000</v>
      </c>
      <c r="H641" s="104" t="s">
        <v>190</v>
      </c>
      <c r="I641" s="103"/>
      <c r="J641" s="724" t="str">
        <f t="shared" si="489"/>
        <v>25000020010000270</v>
      </c>
      <c r="K641" s="109">
        <v>2022</v>
      </c>
      <c r="L641" s="109" t="s">
        <v>348</v>
      </c>
      <c r="M641" s="109" t="s">
        <v>349</v>
      </c>
      <c r="N641" s="109" t="s">
        <v>350</v>
      </c>
      <c r="O641" s="715">
        <v>0</v>
      </c>
      <c r="P641" s="715">
        <v>0</v>
      </c>
      <c r="Q641" s="715">
        <v>537.07000000000005</v>
      </c>
      <c r="R641" s="715">
        <v>0</v>
      </c>
      <c r="S641" s="715">
        <v>302.77</v>
      </c>
      <c r="T641" s="715"/>
      <c r="U641" s="7"/>
      <c r="V641" s="7"/>
      <c r="W641" s="7"/>
      <c r="X641" s="7"/>
      <c r="Y641" s="7"/>
      <c r="Z641" s="7"/>
      <c r="AA641" s="7"/>
      <c r="AB641" s="7"/>
      <c r="AC641" s="121">
        <f t="shared" si="490"/>
        <v>839.84</v>
      </c>
      <c r="AD641" s="115">
        <f>ROUND(SUMIFS('Employee Detail FY22'!$AI$6:$AI$132,'Employee Detail FY22'!$B$6:$B$132,C641,'Employee Detail FY22'!$C$6:$C$132,D641,'Employee Detail FY22'!$E$6:$E$132,+F641,'Employee Detail FY22'!$F$6:$F$132,G641),0)</f>
        <v>380</v>
      </c>
      <c r="AE641" s="117">
        <f t="shared" si="493"/>
        <v>-459.84000000000003</v>
      </c>
      <c r="AF641" s="117">
        <f t="shared" si="494"/>
        <v>-38.32</v>
      </c>
    </row>
    <row r="642" spans="2:32" hidden="1" outlineLevel="1" x14ac:dyDescent="0.2">
      <c r="B642" s="772"/>
      <c r="C642" s="773" t="s">
        <v>135</v>
      </c>
      <c r="D642" s="777" t="s">
        <v>247</v>
      </c>
      <c r="E642" s="774"/>
      <c r="F642" s="773">
        <v>200</v>
      </c>
      <c r="G642" s="773">
        <v>1000</v>
      </c>
      <c r="H642" s="774" t="s">
        <v>190</v>
      </c>
      <c r="I642" s="776"/>
      <c r="J642" s="775" t="str">
        <f t="shared" si="489"/>
        <v>28063920010000270</v>
      </c>
      <c r="K642" s="748">
        <v>2022</v>
      </c>
      <c r="L642" s="748" t="s">
        <v>348</v>
      </c>
      <c r="M642" s="748" t="s">
        <v>349</v>
      </c>
      <c r="N642" s="748" t="s">
        <v>350</v>
      </c>
      <c r="O642" s="715">
        <v>0</v>
      </c>
      <c r="P642" s="715">
        <v>0</v>
      </c>
      <c r="Q642" s="715">
        <v>0</v>
      </c>
      <c r="R642" s="715">
        <v>0</v>
      </c>
      <c r="S642" s="715">
        <v>0</v>
      </c>
      <c r="T642" s="715"/>
      <c r="U642" s="7"/>
      <c r="V642" s="7"/>
      <c r="W642" s="7"/>
      <c r="X642" s="7"/>
      <c r="Y642" s="7"/>
      <c r="Z642" s="7"/>
      <c r="AA642" s="7"/>
      <c r="AB642" s="7"/>
      <c r="AC642" s="121">
        <f t="shared" si="490"/>
        <v>0</v>
      </c>
      <c r="AD642" s="115">
        <f>ROUND(SUMIFS('Employee Detail FY22'!$AI$6:$AI$132,'Employee Detail FY22'!$B$6:$B$132,C642,'Employee Detail FY22'!$C$6:$C$132,D642,'Employee Detail FY22'!$E$6:$E$132,+F642,'Employee Detail FY22'!$F$6:$F$132,G642),0)</f>
        <v>223</v>
      </c>
      <c r="AE642" s="117">
        <f t="shared" si="493"/>
        <v>223</v>
      </c>
      <c r="AF642" s="117">
        <f t="shared" si="494"/>
        <v>18.583333333333332</v>
      </c>
    </row>
    <row r="643" spans="2:32" hidden="1" outlineLevel="1" x14ac:dyDescent="0.2">
      <c r="B643" s="7"/>
      <c r="C643" s="102" t="s">
        <v>462</v>
      </c>
      <c r="D643" s="102" t="s">
        <v>132</v>
      </c>
      <c r="E643" s="102"/>
      <c r="F643" s="102" t="s">
        <v>463</v>
      </c>
      <c r="G643" s="102">
        <v>2130</v>
      </c>
      <c r="H643" s="104" t="s">
        <v>190</v>
      </c>
      <c r="I643" s="104"/>
      <c r="J643" s="724" t="str">
        <f t="shared" si="489"/>
        <v>25020520021300270</v>
      </c>
      <c r="K643" s="109">
        <v>2022</v>
      </c>
      <c r="L643" s="109" t="s">
        <v>348</v>
      </c>
      <c r="M643" s="109" t="s">
        <v>349</v>
      </c>
      <c r="N643" s="109" t="s">
        <v>350</v>
      </c>
      <c r="O643" s="715">
        <v>0</v>
      </c>
      <c r="P643" s="715">
        <v>0</v>
      </c>
      <c r="Q643" s="715">
        <v>0</v>
      </c>
      <c r="R643" s="715">
        <v>0</v>
      </c>
      <c r="S643" s="715">
        <v>31.03</v>
      </c>
      <c r="T643" s="715"/>
      <c r="U643" s="7"/>
      <c r="V643" s="7"/>
      <c r="W643" s="7"/>
      <c r="X643" s="7"/>
      <c r="Y643" s="7"/>
      <c r="Z643" s="7"/>
      <c r="AA643" s="7"/>
      <c r="AB643" s="7"/>
      <c r="AC643" s="121">
        <f t="shared" si="490"/>
        <v>31.03</v>
      </c>
      <c r="AD643" s="115">
        <f>ROUND(SUMIFS('Employee Detail FY22'!$AI$6:$AI$132,'Employee Detail FY22'!$B$6:$B$132,C643,'Employee Detail FY22'!$C$6:$C$132,D643,'Employee Detail FY22'!$E$6:$E$132,+F643,'Employee Detail FY22'!$F$6:$F$132,G643),0)</f>
        <v>48</v>
      </c>
      <c r="AE643" s="117">
        <f t="shared" si="493"/>
        <v>16.97</v>
      </c>
      <c r="AF643" s="117">
        <f t="shared" si="494"/>
        <v>1.4141666666666666</v>
      </c>
    </row>
    <row r="644" spans="2:32" hidden="1" outlineLevel="1" x14ac:dyDescent="0.2">
      <c r="B644" s="7"/>
      <c r="C644" s="102" t="s">
        <v>462</v>
      </c>
      <c r="D644" s="102" t="s">
        <v>132</v>
      </c>
      <c r="E644" s="102"/>
      <c r="F644" s="102" t="s">
        <v>463</v>
      </c>
      <c r="G644" s="102">
        <v>2140</v>
      </c>
      <c r="H644" s="104" t="s">
        <v>190</v>
      </c>
      <c r="I644" s="104"/>
      <c r="J644" s="724" t="str">
        <f t="shared" si="489"/>
        <v>25020520021400270</v>
      </c>
      <c r="K644" s="109">
        <v>2022</v>
      </c>
      <c r="L644" s="109" t="s">
        <v>348</v>
      </c>
      <c r="M644" s="109" t="s">
        <v>349</v>
      </c>
      <c r="N644" s="109" t="s">
        <v>350</v>
      </c>
      <c r="O644" s="715">
        <v>0</v>
      </c>
      <c r="P644" s="715">
        <v>0</v>
      </c>
      <c r="Q644" s="715">
        <v>143.72</v>
      </c>
      <c r="R644" s="715">
        <v>0</v>
      </c>
      <c r="S644" s="715">
        <v>72.28</v>
      </c>
      <c r="T644" s="715"/>
      <c r="U644" s="7"/>
      <c r="V644" s="7"/>
      <c r="W644" s="7"/>
      <c r="X644" s="7"/>
      <c r="Y644" s="7"/>
      <c r="Z644" s="7"/>
      <c r="AA644" s="7"/>
      <c r="AB644" s="7"/>
      <c r="AC644" s="121">
        <f t="shared" si="490"/>
        <v>216</v>
      </c>
      <c r="AD644" s="115">
        <f>ROUND(SUMIFS('Employee Detail FY22'!$AI$6:$AI$132,'Employee Detail FY22'!$B$6:$B$132,C644,'Employee Detail FY22'!$C$6:$C$132,D644,'Employee Detail FY22'!$E$6:$E$132,+F644,'Employee Detail FY22'!$F$6:$F$132,G644),0)</f>
        <v>166</v>
      </c>
      <c r="AE644" s="117">
        <f t="shared" si="493"/>
        <v>-50</v>
      </c>
      <c r="AF644" s="117">
        <f t="shared" si="494"/>
        <v>-4.166666666666667</v>
      </c>
    </row>
    <row r="645" spans="2:32" hidden="1" outlineLevel="1" x14ac:dyDescent="0.2">
      <c r="B645" s="7"/>
      <c r="C645" s="102" t="s">
        <v>462</v>
      </c>
      <c r="D645" s="104">
        <v>205</v>
      </c>
      <c r="E645" s="104"/>
      <c r="F645" s="102" t="s">
        <v>463</v>
      </c>
      <c r="G645" s="102">
        <v>2410</v>
      </c>
      <c r="H645" s="104" t="s">
        <v>190</v>
      </c>
      <c r="I645" s="104"/>
      <c r="J645" s="724" t="str">
        <f t="shared" si="489"/>
        <v>25020520024100270</v>
      </c>
      <c r="K645" s="109">
        <v>2022</v>
      </c>
      <c r="L645" s="109" t="s">
        <v>348</v>
      </c>
      <c r="M645" s="109" t="s">
        <v>349</v>
      </c>
      <c r="N645" s="109" t="s">
        <v>350</v>
      </c>
      <c r="O645" s="715">
        <v>0</v>
      </c>
      <c r="P645" s="715">
        <v>0</v>
      </c>
      <c r="Q645" s="715">
        <v>0</v>
      </c>
      <c r="R645" s="715">
        <v>0</v>
      </c>
      <c r="S645" s="715">
        <v>40.909999999999997</v>
      </c>
      <c r="T645" s="715"/>
      <c r="U645" s="7"/>
      <c r="V645" s="7"/>
      <c r="W645" s="7"/>
      <c r="X645" s="7"/>
      <c r="Y645" s="7"/>
      <c r="Z645" s="7"/>
      <c r="AA645" s="7"/>
      <c r="AB645" s="7"/>
      <c r="AC645" s="121">
        <f t="shared" si="490"/>
        <v>40.909999999999997</v>
      </c>
      <c r="AD645" s="115">
        <f>ROUND(SUMIFS('Employee Detail FY22'!$AI$6:$AI$132,'Employee Detail FY22'!$B$6:$B$132,C645,'Employee Detail FY22'!$C$6:$C$132,D645,'Employee Detail FY22'!$E$6:$E$132,+F645,'Employee Detail FY22'!$F$6:$F$132,G645),0)</f>
        <v>94</v>
      </c>
      <c r="AE645" s="117">
        <f t="shared" si="493"/>
        <v>53.09</v>
      </c>
      <c r="AF645" s="117">
        <f t="shared" si="494"/>
        <v>4.4241666666666672</v>
      </c>
    </row>
    <row r="646" spans="2:32" hidden="1" outlineLevel="1" x14ac:dyDescent="0.2">
      <c r="B646" s="772"/>
      <c r="C646" s="773" t="s">
        <v>135</v>
      </c>
      <c r="D646" s="774" t="s">
        <v>247</v>
      </c>
      <c r="E646" s="774"/>
      <c r="F646" s="773" t="s">
        <v>473</v>
      </c>
      <c r="G646" s="773" t="s">
        <v>461</v>
      </c>
      <c r="H646" s="774" t="s">
        <v>190</v>
      </c>
      <c r="I646" s="776"/>
      <c r="J646" s="775" t="str">
        <f t="shared" si="489"/>
        <v>28063924010000270</v>
      </c>
      <c r="K646" s="748">
        <v>2022</v>
      </c>
      <c r="L646" s="748" t="s">
        <v>348</v>
      </c>
      <c r="M646" s="748" t="s">
        <v>349</v>
      </c>
      <c r="N646" s="748" t="s">
        <v>350</v>
      </c>
      <c r="O646" s="715">
        <v>0</v>
      </c>
      <c r="P646" s="715">
        <v>0</v>
      </c>
      <c r="Q646" s="715">
        <v>0</v>
      </c>
      <c r="R646" s="715">
        <v>0</v>
      </c>
      <c r="S646" s="715">
        <v>0</v>
      </c>
      <c r="T646" s="715"/>
      <c r="U646" s="7"/>
      <c r="V646" s="7"/>
      <c r="W646" s="7"/>
      <c r="X646" s="7"/>
      <c r="Y646" s="7"/>
      <c r="Z646" s="7"/>
      <c r="AA646" s="7"/>
      <c r="AB646" s="7"/>
      <c r="AC646" s="121">
        <f t="shared" si="490"/>
        <v>0</v>
      </c>
      <c r="AD646" s="115">
        <f>ROUND(SUMIFS('Employee Detail FY22'!$AI$6:$AI$132,'Employee Detail FY22'!$B$6:$B$132,C646,'Employee Detail FY22'!$C$6:$C$132,D646,'Employee Detail FY22'!$E$6:$E$132,+F646,'Employee Detail FY22'!$F$6:$F$132,G646),0)</f>
        <v>0</v>
      </c>
      <c r="AE646" s="117">
        <f t="shared" si="493"/>
        <v>0</v>
      </c>
      <c r="AF646" s="117">
        <f t="shared" si="494"/>
        <v>0</v>
      </c>
    </row>
    <row r="647" spans="2:32" hidden="1" outlineLevel="1" x14ac:dyDescent="0.2">
      <c r="B647" s="772"/>
      <c r="C647" s="773" t="s">
        <v>135</v>
      </c>
      <c r="D647" s="774" t="s">
        <v>864</v>
      </c>
      <c r="E647" s="774"/>
      <c r="F647" s="773" t="s">
        <v>557</v>
      </c>
      <c r="G647" s="773" t="s">
        <v>465</v>
      </c>
      <c r="H647" s="774" t="s">
        <v>190</v>
      </c>
      <c r="I647" s="776"/>
      <c r="J647" s="775" t="str">
        <f t="shared" si="489"/>
        <v>28065842021100270</v>
      </c>
      <c r="K647" s="748">
        <v>2022</v>
      </c>
      <c r="L647" s="748" t="s">
        <v>348</v>
      </c>
      <c r="M647" s="748" t="s">
        <v>349</v>
      </c>
      <c r="N647" s="748" t="s">
        <v>350</v>
      </c>
      <c r="O647" s="715">
        <v>0</v>
      </c>
      <c r="P647" s="715">
        <v>0</v>
      </c>
      <c r="Q647" s="715">
        <v>0</v>
      </c>
      <c r="R647" s="715">
        <v>0</v>
      </c>
      <c r="S647" s="715">
        <v>0</v>
      </c>
      <c r="T647" s="715"/>
      <c r="U647" s="7"/>
      <c r="V647" s="7"/>
      <c r="W647" s="7"/>
      <c r="X647" s="7"/>
      <c r="Y647" s="7"/>
      <c r="Z647" s="7"/>
      <c r="AA647" s="7"/>
      <c r="AB647" s="7"/>
      <c r="AC647" s="121">
        <f t="shared" si="490"/>
        <v>0</v>
      </c>
      <c r="AD647" s="115">
        <f>ROUND(SUMIFS('Employee Detail FY22'!$AI$6:$AI$132,'Employee Detail FY22'!$B$6:$B$132,C647,'Employee Detail FY22'!$C$6:$C$132,D647,'Employee Detail FY22'!$E$6:$E$132,+F647,'Employee Detail FY22'!$F$6:$F$132,G647),0)</f>
        <v>0</v>
      </c>
      <c r="AE647" s="117">
        <f t="shared" si="493"/>
        <v>0</v>
      </c>
      <c r="AF647" s="117">
        <f t="shared" si="494"/>
        <v>0</v>
      </c>
    </row>
    <row r="648" spans="2:32" hidden="1" outlineLevel="1" x14ac:dyDescent="0.2">
      <c r="B648" s="772"/>
      <c r="C648" s="773" t="s">
        <v>135</v>
      </c>
      <c r="D648" s="773" t="s">
        <v>864</v>
      </c>
      <c r="E648" s="773"/>
      <c r="F648" s="773">
        <v>420</v>
      </c>
      <c r="G648" s="773">
        <v>2120</v>
      </c>
      <c r="H648" s="774" t="s">
        <v>190</v>
      </c>
      <c r="I648" s="776"/>
      <c r="J648" s="775" t="str">
        <f t="shared" si="489"/>
        <v>28065842021200270</v>
      </c>
      <c r="K648" s="748">
        <v>2022</v>
      </c>
      <c r="L648" s="748" t="s">
        <v>348</v>
      </c>
      <c r="M648" s="748" t="s">
        <v>349</v>
      </c>
      <c r="N648" s="748" t="s">
        <v>350</v>
      </c>
      <c r="O648" s="715">
        <v>0</v>
      </c>
      <c r="P648" s="715">
        <v>0</v>
      </c>
      <c r="Q648" s="715">
        <v>0</v>
      </c>
      <c r="R648" s="715">
        <v>0</v>
      </c>
      <c r="S648" s="715">
        <v>0</v>
      </c>
      <c r="T648" s="715"/>
      <c r="U648" s="7"/>
      <c r="V648" s="7"/>
      <c r="W648" s="7"/>
      <c r="X648" s="7"/>
      <c r="Y648" s="7"/>
      <c r="Z648" s="7"/>
      <c r="AA648" s="7"/>
      <c r="AB648" s="7"/>
      <c r="AC648" s="121">
        <f t="shared" si="490"/>
        <v>0</v>
      </c>
      <c r="AD648" s="115">
        <f>ROUND(SUMIFS('Employee Detail FY22'!$AI$6:$AI$132,'Employee Detail FY22'!$B$6:$B$132,C648,'Employee Detail FY22'!$C$6:$C$132,D648,'Employee Detail FY22'!$E$6:$E$132,+F648,'Employee Detail FY22'!$F$6:$F$132,G648),0)</f>
        <v>14</v>
      </c>
      <c r="AE648" s="117">
        <f t="shared" si="493"/>
        <v>14</v>
      </c>
      <c r="AF648" s="117">
        <f t="shared" si="494"/>
        <v>1.1666666666666667</v>
      </c>
    </row>
    <row r="649" spans="2:32" hidden="1" outlineLevel="1" x14ac:dyDescent="0.2">
      <c r="B649" s="772"/>
      <c r="C649" s="773" t="s">
        <v>135</v>
      </c>
      <c r="D649" s="773" t="s">
        <v>864</v>
      </c>
      <c r="E649" s="773"/>
      <c r="F649" s="773" t="s">
        <v>557</v>
      </c>
      <c r="G649" s="773" t="s">
        <v>558</v>
      </c>
      <c r="H649" s="774" t="s">
        <v>190</v>
      </c>
      <c r="I649" s="774"/>
      <c r="J649" s="775" t="str">
        <f t="shared" si="489"/>
        <v>28065842022120270</v>
      </c>
      <c r="K649" s="748">
        <v>2022</v>
      </c>
      <c r="L649" s="748" t="s">
        <v>348</v>
      </c>
      <c r="M649" s="748" t="s">
        <v>349</v>
      </c>
      <c r="N649" s="748" t="s">
        <v>350</v>
      </c>
      <c r="O649" s="715">
        <v>0</v>
      </c>
      <c r="P649" s="715">
        <v>0</v>
      </c>
      <c r="Q649" s="715">
        <v>0</v>
      </c>
      <c r="R649" s="715">
        <v>0</v>
      </c>
      <c r="S649" s="715">
        <v>0</v>
      </c>
      <c r="T649" s="715"/>
      <c r="U649" s="7"/>
      <c r="V649" s="7"/>
      <c r="W649" s="7"/>
      <c r="X649" s="7"/>
      <c r="Y649" s="7"/>
      <c r="Z649" s="7"/>
      <c r="AA649" s="7"/>
      <c r="AB649" s="7"/>
      <c r="AC649" s="121">
        <f t="shared" si="490"/>
        <v>0</v>
      </c>
      <c r="AD649" s="115">
        <f>ROUND(SUMIFS('Employee Detail FY22'!$AI$6:$AI$132,'Employee Detail FY22'!$B$6:$B$132,C649,'Employee Detail FY22'!$C$6:$C$132,D649,'Employee Detail FY22'!$E$6:$E$132,+F649,'Employee Detail FY22'!$F$6:$F$132,G649),0)</f>
        <v>0</v>
      </c>
      <c r="AE649" s="117">
        <f t="shared" si="493"/>
        <v>0</v>
      </c>
      <c r="AF649" s="117">
        <f t="shared" si="494"/>
        <v>0</v>
      </c>
    </row>
    <row r="650" spans="2:32" hidden="1" outlineLevel="1" x14ac:dyDescent="0.2">
      <c r="B650" s="772"/>
      <c r="C650" s="773" t="s">
        <v>135</v>
      </c>
      <c r="D650" s="773" t="s">
        <v>245</v>
      </c>
      <c r="E650" s="773"/>
      <c r="F650" s="773">
        <v>430</v>
      </c>
      <c r="G650" s="773" t="s">
        <v>461</v>
      </c>
      <c r="H650" s="774" t="s">
        <v>190</v>
      </c>
      <c r="I650" s="774"/>
      <c r="J650" s="775" t="str">
        <f t="shared" si="489"/>
        <v>28063343010000270</v>
      </c>
      <c r="K650" s="748">
        <v>2022</v>
      </c>
      <c r="L650" s="748" t="s">
        <v>348</v>
      </c>
      <c r="M650" s="748" t="s">
        <v>349</v>
      </c>
      <c r="N650" s="748" t="s">
        <v>350</v>
      </c>
      <c r="O650" s="715">
        <v>0</v>
      </c>
      <c r="P650" s="715">
        <v>0</v>
      </c>
      <c r="Q650" s="715">
        <v>0</v>
      </c>
      <c r="R650" s="715">
        <v>0</v>
      </c>
      <c r="S650" s="715">
        <v>0</v>
      </c>
      <c r="T650" s="715"/>
      <c r="U650" s="7"/>
      <c r="V650" s="7"/>
      <c r="W650" s="7"/>
      <c r="X650" s="7"/>
      <c r="Y650" s="7"/>
      <c r="Z650" s="7"/>
      <c r="AA650" s="7"/>
      <c r="AB650" s="7"/>
      <c r="AC650" s="121">
        <f t="shared" si="490"/>
        <v>0</v>
      </c>
      <c r="AD650" s="115">
        <f>ROUND(SUMIFS('Employee Detail FY22'!$AI$6:$AI$132,'Employee Detail FY22'!$B$6:$B$132,C650,'Employee Detail FY22'!$C$6:$C$132,D650,'Employee Detail FY22'!$E$6:$E$132,+F650,'Employee Detail FY22'!$F$6:$F$132,G650),0)</f>
        <v>73</v>
      </c>
      <c r="AE650" s="117">
        <f t="shared" si="493"/>
        <v>73</v>
      </c>
      <c r="AF650" s="117">
        <f t="shared" si="494"/>
        <v>6.083333333333333</v>
      </c>
    </row>
    <row r="651" spans="2:32" hidden="1" outlineLevel="1" x14ac:dyDescent="0.2">
      <c r="B651" s="772"/>
      <c r="C651" s="773" t="s">
        <v>135</v>
      </c>
      <c r="D651" s="773" t="s">
        <v>242</v>
      </c>
      <c r="E651" s="773"/>
      <c r="F651" s="773" t="s">
        <v>532</v>
      </c>
      <c r="G651" s="773" t="s">
        <v>461</v>
      </c>
      <c r="H651" s="774" t="s">
        <v>190</v>
      </c>
      <c r="I651" s="778"/>
      <c r="J651" s="775" t="str">
        <f t="shared" si="489"/>
        <v>28062443010000270</v>
      </c>
      <c r="K651" s="773">
        <v>2022</v>
      </c>
      <c r="L651" s="773" t="s">
        <v>348</v>
      </c>
      <c r="M651" s="773" t="s">
        <v>349</v>
      </c>
      <c r="N651" s="773" t="s">
        <v>350</v>
      </c>
      <c r="O651" s="715">
        <v>0</v>
      </c>
      <c r="P651" s="715">
        <v>0</v>
      </c>
      <c r="Q651" s="715">
        <v>0</v>
      </c>
      <c r="R651" s="715">
        <v>0</v>
      </c>
      <c r="S651" s="715">
        <v>0</v>
      </c>
      <c r="T651" s="715"/>
      <c r="U651" s="7"/>
      <c r="V651" s="7"/>
      <c r="W651" s="7"/>
      <c r="X651" s="7"/>
      <c r="Y651" s="7"/>
      <c r="Z651" s="7"/>
      <c r="AA651" s="7"/>
      <c r="AB651" s="7"/>
      <c r="AC651" s="121">
        <f t="shared" si="490"/>
        <v>0</v>
      </c>
      <c r="AD651" s="115">
        <f>ROUND(SUMIFS('Employee Detail FY22'!$AI$6:$AI$132,'Employee Detail FY22'!$B$6:$B$132,C651,'Employee Detail FY22'!$C$6:$C$132,D651,'Employee Detail FY22'!$E$6:$E$132,+F651,'Employee Detail FY22'!$F$6:$F$132,G651),0)</f>
        <v>12</v>
      </c>
      <c r="AE651" s="117">
        <f t="shared" si="493"/>
        <v>12</v>
      </c>
      <c r="AF651" s="117">
        <f t="shared" si="494"/>
        <v>1</v>
      </c>
    </row>
    <row r="652" spans="2:32" hidden="1" outlineLevel="1" x14ac:dyDescent="0.2">
      <c r="B652" s="772"/>
      <c r="C652" s="773" t="s">
        <v>135</v>
      </c>
      <c r="D652" s="773" t="s">
        <v>242</v>
      </c>
      <c r="E652" s="774"/>
      <c r="F652" s="773" t="s">
        <v>532</v>
      </c>
      <c r="G652" s="773" t="s">
        <v>465</v>
      </c>
      <c r="H652" s="774" t="s">
        <v>190</v>
      </c>
      <c r="I652" s="776"/>
      <c r="J652" s="775" t="str">
        <f t="shared" si="489"/>
        <v>28062443021100270</v>
      </c>
      <c r="K652" s="748">
        <v>2022</v>
      </c>
      <c r="L652" s="748" t="s">
        <v>348</v>
      </c>
      <c r="M652" s="748" t="s">
        <v>349</v>
      </c>
      <c r="N652" s="748" t="s">
        <v>350</v>
      </c>
      <c r="O652" s="715">
        <v>0</v>
      </c>
      <c r="P652" s="715">
        <v>0</v>
      </c>
      <c r="Q652" s="715">
        <v>0</v>
      </c>
      <c r="R652" s="715">
        <v>0</v>
      </c>
      <c r="S652" s="715">
        <v>0</v>
      </c>
      <c r="T652" s="715"/>
      <c r="U652" s="7"/>
      <c r="V652" s="7"/>
      <c r="W652" s="7"/>
      <c r="X652" s="7"/>
      <c r="Y652" s="7"/>
      <c r="Z652" s="7"/>
      <c r="AA652" s="7"/>
      <c r="AB652" s="7"/>
      <c r="AC652" s="121">
        <f t="shared" si="490"/>
        <v>0</v>
      </c>
      <c r="AD652" s="115">
        <f>ROUND(SUMIFS('Employee Detail FY22'!$AI$6:$AI$132,'Employee Detail FY22'!$B$6:$B$132,C652,'Employee Detail FY22'!$C$6:$C$132,D652,'Employee Detail FY22'!$E$6:$E$132,+F652,'Employee Detail FY22'!$F$6:$F$132,G652),0)</f>
        <v>0</v>
      </c>
      <c r="AE652" s="117">
        <f t="shared" si="493"/>
        <v>0</v>
      </c>
      <c r="AF652" s="117">
        <f t="shared" si="494"/>
        <v>0</v>
      </c>
    </row>
    <row r="653" spans="2:32" hidden="1" outlineLevel="1" x14ac:dyDescent="0.2">
      <c r="B653" s="772"/>
      <c r="C653" s="773" t="s">
        <v>135</v>
      </c>
      <c r="D653" s="773" t="s">
        <v>242</v>
      </c>
      <c r="E653" s="773"/>
      <c r="F653" s="773" t="s">
        <v>532</v>
      </c>
      <c r="G653" s="773" t="s">
        <v>556</v>
      </c>
      <c r="H653" s="774" t="s">
        <v>190</v>
      </c>
      <c r="I653" s="776"/>
      <c r="J653" s="775" t="str">
        <f t="shared" si="489"/>
        <v>28062443021200270</v>
      </c>
      <c r="K653" s="748">
        <v>2022</v>
      </c>
      <c r="L653" s="748" t="s">
        <v>348</v>
      </c>
      <c r="M653" s="748" t="s">
        <v>349</v>
      </c>
      <c r="N653" s="748" t="s">
        <v>350</v>
      </c>
      <c r="O653" s="715">
        <v>0</v>
      </c>
      <c r="P653" s="715">
        <v>0</v>
      </c>
      <c r="Q653" s="715">
        <v>0</v>
      </c>
      <c r="R653" s="715">
        <v>0</v>
      </c>
      <c r="S653" s="715">
        <v>0</v>
      </c>
      <c r="T653" s="715"/>
      <c r="U653" s="7"/>
      <c r="V653" s="7"/>
      <c r="W653" s="7"/>
      <c r="X653" s="7"/>
      <c r="Y653" s="7"/>
      <c r="Z653" s="7"/>
      <c r="AA653" s="7"/>
      <c r="AB653" s="7"/>
      <c r="AC653" s="121">
        <f t="shared" si="490"/>
        <v>0</v>
      </c>
      <c r="AD653" s="115">
        <f>ROUND(SUMIFS('Employee Detail FY22'!$AI$6:$AI$132,'Employee Detail FY22'!$B$6:$B$132,C653,'Employee Detail FY22'!$C$6:$C$132,D653,'Employee Detail FY22'!$E$6:$E$132,+F653,'Employee Detail FY22'!$F$6:$F$132,G653),0)</f>
        <v>0</v>
      </c>
      <c r="AE653" s="117">
        <f t="shared" si="493"/>
        <v>0</v>
      </c>
      <c r="AF653" s="117">
        <f t="shared" si="494"/>
        <v>0</v>
      </c>
    </row>
    <row r="654" spans="2:32" hidden="1" outlineLevel="1" x14ac:dyDescent="0.2">
      <c r="B654" s="772"/>
      <c r="C654" s="773" t="s">
        <v>135</v>
      </c>
      <c r="D654" s="773" t="s">
        <v>550</v>
      </c>
      <c r="E654" s="774"/>
      <c r="F654" s="773">
        <v>430</v>
      </c>
      <c r="G654" s="773" t="s">
        <v>484</v>
      </c>
      <c r="H654" s="774" t="s">
        <v>190</v>
      </c>
      <c r="I654" s="776"/>
      <c r="J654" s="775" t="str">
        <f t="shared" si="489"/>
        <v>28071543021300270</v>
      </c>
      <c r="K654" s="748">
        <v>2022</v>
      </c>
      <c r="L654" s="748" t="s">
        <v>348</v>
      </c>
      <c r="M654" s="748" t="s">
        <v>349</v>
      </c>
      <c r="N654" s="748" t="s">
        <v>350</v>
      </c>
      <c r="O654" s="715">
        <v>0</v>
      </c>
      <c r="P654" s="715">
        <v>0</v>
      </c>
      <c r="Q654" s="715">
        <v>0</v>
      </c>
      <c r="R654" s="715">
        <v>0</v>
      </c>
      <c r="S654" s="715">
        <v>0</v>
      </c>
      <c r="T654" s="715"/>
      <c r="U654" s="7"/>
      <c r="V654" s="7"/>
      <c r="W654" s="7"/>
      <c r="X654" s="7"/>
      <c r="Y654" s="7"/>
      <c r="Z654" s="7"/>
      <c r="AA654" s="7"/>
      <c r="AB654" s="7"/>
      <c r="AC654" s="121">
        <f t="shared" si="490"/>
        <v>0</v>
      </c>
      <c r="AD654" s="115">
        <f>ROUND(SUMIFS('Employee Detail FY22'!$AI$6:$AI$132,'Employee Detail FY22'!$B$6:$B$132,C654,'Employee Detail FY22'!$C$6:$C$132,D654,'Employee Detail FY22'!$E$6:$E$132,+F654,'Employee Detail FY22'!$F$6:$F$132,G654),0)</f>
        <v>24</v>
      </c>
      <c r="AE654" s="117">
        <f t="shared" si="493"/>
        <v>24</v>
      </c>
      <c r="AF654" s="117">
        <f t="shared" si="494"/>
        <v>2</v>
      </c>
    </row>
    <row r="655" spans="2:32" hidden="1" outlineLevel="1" x14ac:dyDescent="0.2">
      <c r="B655" s="772"/>
      <c r="C655" s="773" t="s">
        <v>135</v>
      </c>
      <c r="D655" s="773" t="s">
        <v>242</v>
      </c>
      <c r="E655" s="774"/>
      <c r="F655" s="773" t="s">
        <v>532</v>
      </c>
      <c r="G655" s="773" t="s">
        <v>485</v>
      </c>
      <c r="H655" s="774" t="s">
        <v>190</v>
      </c>
      <c r="I655" s="776"/>
      <c r="J655" s="775" t="str">
        <f t="shared" si="489"/>
        <v>28062443021400270</v>
      </c>
      <c r="K655" s="748">
        <v>2022</v>
      </c>
      <c r="L655" s="748" t="s">
        <v>348</v>
      </c>
      <c r="M655" s="748" t="s">
        <v>349</v>
      </c>
      <c r="N655" s="748" t="s">
        <v>350</v>
      </c>
      <c r="O655" s="715">
        <v>0</v>
      </c>
      <c r="P655" s="715">
        <v>0</v>
      </c>
      <c r="Q655" s="715">
        <v>0</v>
      </c>
      <c r="R655" s="715">
        <v>0</v>
      </c>
      <c r="S655" s="715">
        <v>0</v>
      </c>
      <c r="T655" s="715"/>
      <c r="U655" s="7"/>
      <c r="V655" s="7"/>
      <c r="W655" s="7"/>
      <c r="X655" s="7"/>
      <c r="Y655" s="7"/>
      <c r="Z655" s="7"/>
      <c r="AA655" s="7"/>
      <c r="AB655" s="7"/>
      <c r="AC655" s="121">
        <f t="shared" si="490"/>
        <v>0</v>
      </c>
      <c r="AD655" s="115">
        <f>ROUND(SUMIFS('Employee Detail FY22'!$AI$6:$AI$132,'Employee Detail FY22'!$B$6:$B$132,C655,'Employee Detail FY22'!$C$6:$C$132,D655,'Employee Detail FY22'!$E$6:$E$132,+F655,'Employee Detail FY22'!$F$6:$F$132,G655),0)</f>
        <v>0</v>
      </c>
      <c r="AE655" s="117">
        <f t="shared" si="493"/>
        <v>0</v>
      </c>
      <c r="AF655" s="117">
        <f t="shared" si="494"/>
        <v>0</v>
      </c>
    </row>
    <row r="656" spans="2:32" hidden="1" outlineLevel="1" x14ac:dyDescent="0.2">
      <c r="B656" s="772"/>
      <c r="C656" s="773" t="s">
        <v>135</v>
      </c>
      <c r="D656" s="774" t="s">
        <v>242</v>
      </c>
      <c r="E656" s="774"/>
      <c r="F656" s="773" t="s">
        <v>532</v>
      </c>
      <c r="G656" s="773" t="s">
        <v>534</v>
      </c>
      <c r="H656" s="774" t="s">
        <v>190</v>
      </c>
      <c r="I656" s="776"/>
      <c r="J656" s="775" t="str">
        <f t="shared" si="489"/>
        <v>28062443022100270</v>
      </c>
      <c r="K656" s="748">
        <v>2022</v>
      </c>
      <c r="L656" s="748" t="s">
        <v>348</v>
      </c>
      <c r="M656" s="748" t="s">
        <v>349</v>
      </c>
      <c r="N656" s="748" t="s">
        <v>350</v>
      </c>
      <c r="O656" s="715">
        <v>0</v>
      </c>
      <c r="P656" s="715">
        <v>0</v>
      </c>
      <c r="Q656" s="715">
        <v>0</v>
      </c>
      <c r="R656" s="715">
        <v>0</v>
      </c>
      <c r="S656" s="715">
        <v>0</v>
      </c>
      <c r="T656" s="715"/>
      <c r="U656" s="7"/>
      <c r="V656" s="7"/>
      <c r="W656" s="7"/>
      <c r="X656" s="7"/>
      <c r="Y656" s="7"/>
      <c r="Z656" s="7"/>
      <c r="AA656" s="7"/>
      <c r="AB656" s="7"/>
      <c r="AC656" s="121">
        <f t="shared" si="490"/>
        <v>0</v>
      </c>
      <c r="AD656" s="115">
        <f>ROUND(SUMIFS('Employee Detail FY22'!$AI$6:$AI$132,'Employee Detail FY22'!$B$6:$B$132,C656,'Employee Detail FY22'!$C$6:$C$132,D656,'Employee Detail FY22'!$E$6:$E$132,+F656,'Employee Detail FY22'!$F$6:$F$132,G656),0)</f>
        <v>130</v>
      </c>
      <c r="AE656" s="117">
        <f t="shared" si="493"/>
        <v>130</v>
      </c>
      <c r="AF656" s="117">
        <f t="shared" si="494"/>
        <v>10.833333333333334</v>
      </c>
    </row>
    <row r="657" spans="2:36" hidden="1" outlineLevel="1" x14ac:dyDescent="0.2">
      <c r="B657" s="772"/>
      <c r="C657" s="773" t="s">
        <v>135</v>
      </c>
      <c r="D657" s="774" t="s">
        <v>245</v>
      </c>
      <c r="E657" s="774"/>
      <c r="F657" s="773">
        <v>430</v>
      </c>
      <c r="G657" s="773" t="s">
        <v>534</v>
      </c>
      <c r="H657" s="774" t="s">
        <v>190</v>
      </c>
      <c r="I657" s="776"/>
      <c r="J657" s="775" t="str">
        <f t="shared" si="489"/>
        <v>28063343022100270</v>
      </c>
      <c r="K657" s="748">
        <v>2022</v>
      </c>
      <c r="L657" s="748" t="s">
        <v>348</v>
      </c>
      <c r="M657" s="748" t="s">
        <v>349</v>
      </c>
      <c r="N657" s="748" t="s">
        <v>350</v>
      </c>
      <c r="O657" s="715">
        <v>0</v>
      </c>
      <c r="P657" s="715">
        <v>0</v>
      </c>
      <c r="Q657" s="715">
        <v>0</v>
      </c>
      <c r="R657" s="715">
        <v>0</v>
      </c>
      <c r="S657" s="715">
        <v>0</v>
      </c>
      <c r="T657" s="715"/>
      <c r="U657" s="7"/>
      <c r="V657" s="7"/>
      <c r="W657" s="7"/>
      <c r="X657" s="7"/>
      <c r="Y657" s="7"/>
      <c r="Z657" s="7"/>
      <c r="AA657" s="7"/>
      <c r="AB657" s="7"/>
      <c r="AC657" s="121">
        <f t="shared" si="490"/>
        <v>0</v>
      </c>
      <c r="AD657" s="115">
        <f>ROUND(SUMIFS('Employee Detail FY22'!$AI$6:$AI$132,'Employee Detail FY22'!$B$6:$B$132,C657,'Employee Detail FY22'!$C$6:$C$132,D657,'Employee Detail FY22'!$E$6:$E$132,+F657,'Employee Detail FY22'!$F$6:$F$132,G657),0)</f>
        <v>153</v>
      </c>
      <c r="AE657" s="117">
        <f t="shared" si="493"/>
        <v>153</v>
      </c>
      <c r="AF657" s="117">
        <f t="shared" si="494"/>
        <v>12.75</v>
      </c>
    </row>
    <row r="658" spans="2:36" hidden="1" outlineLevel="1" x14ac:dyDescent="0.2">
      <c r="B658" s="772"/>
      <c r="C658" s="773" t="s">
        <v>135</v>
      </c>
      <c r="D658" s="774" t="s">
        <v>242</v>
      </c>
      <c r="E658" s="774"/>
      <c r="F658" s="773" t="s">
        <v>532</v>
      </c>
      <c r="G658" s="773" t="s">
        <v>558</v>
      </c>
      <c r="H658" s="774" t="s">
        <v>190</v>
      </c>
      <c r="I658" s="776"/>
      <c r="J658" s="775" t="str">
        <f t="shared" si="489"/>
        <v>28062443022120270</v>
      </c>
      <c r="K658" s="748">
        <v>2022</v>
      </c>
      <c r="L658" s="748" t="s">
        <v>348</v>
      </c>
      <c r="M658" s="748" t="s">
        <v>349</v>
      </c>
      <c r="N658" s="748" t="s">
        <v>350</v>
      </c>
      <c r="O658" s="715">
        <v>0</v>
      </c>
      <c r="P658" s="715">
        <v>0</v>
      </c>
      <c r="Q658" s="715">
        <v>0</v>
      </c>
      <c r="R658" s="715">
        <v>0</v>
      </c>
      <c r="S658" s="715">
        <v>0</v>
      </c>
      <c r="T658" s="715"/>
      <c r="U658" s="7"/>
      <c r="V658" s="7"/>
      <c r="W658" s="7"/>
      <c r="X658" s="7"/>
      <c r="Y658" s="7"/>
      <c r="Z658" s="7"/>
      <c r="AA658" s="7"/>
      <c r="AB658" s="7"/>
      <c r="AC658" s="121">
        <f t="shared" si="490"/>
        <v>0</v>
      </c>
      <c r="AD658" s="115">
        <f>ROUND(SUMIFS('Employee Detail FY22'!$AI$6:$AI$132,'Employee Detail FY22'!$B$6:$B$132,C658,'Employee Detail FY22'!$C$6:$C$132,D658,'Employee Detail FY22'!$E$6:$E$132,+F658,'Employee Detail FY22'!$F$6:$F$132,G658),0)</f>
        <v>0</v>
      </c>
      <c r="AE658" s="117">
        <f t="shared" si="493"/>
        <v>0</v>
      </c>
      <c r="AF658" s="117">
        <f t="shared" si="494"/>
        <v>0</v>
      </c>
    </row>
    <row r="659" spans="2:36" hidden="1" outlineLevel="1" x14ac:dyDescent="0.2">
      <c r="B659" s="772"/>
      <c r="C659" s="773" t="s">
        <v>135</v>
      </c>
      <c r="D659" s="774" t="s">
        <v>242</v>
      </c>
      <c r="E659" s="774"/>
      <c r="F659" s="773">
        <v>430</v>
      </c>
      <c r="G659" s="773" t="s">
        <v>460</v>
      </c>
      <c r="H659" s="774" t="s">
        <v>190</v>
      </c>
      <c r="I659" s="774"/>
      <c r="J659" s="775" t="str">
        <f t="shared" si="489"/>
        <v>28062443024100270</v>
      </c>
      <c r="K659" s="748">
        <v>2022</v>
      </c>
      <c r="L659" s="748" t="s">
        <v>348</v>
      </c>
      <c r="M659" s="748" t="s">
        <v>349</v>
      </c>
      <c r="N659" s="748" t="s">
        <v>350</v>
      </c>
      <c r="O659" s="715">
        <v>0</v>
      </c>
      <c r="P659" s="715">
        <v>0</v>
      </c>
      <c r="Q659" s="715">
        <v>0</v>
      </c>
      <c r="R659" s="715">
        <v>0</v>
      </c>
      <c r="S659" s="715">
        <v>0</v>
      </c>
      <c r="T659" s="715"/>
      <c r="U659" s="7"/>
      <c r="V659" s="7"/>
      <c r="W659" s="7"/>
      <c r="X659" s="7"/>
      <c r="Y659" s="7"/>
      <c r="Z659" s="7"/>
      <c r="AA659" s="7"/>
      <c r="AB659" s="7"/>
      <c r="AC659" s="121">
        <f t="shared" si="490"/>
        <v>0</v>
      </c>
      <c r="AD659" s="115">
        <f>ROUND(SUMIFS('Employee Detail FY22'!$AI$6:$AI$132,'Employee Detail FY22'!$B$6:$B$132,C659,'Employee Detail FY22'!$C$6:$C$132,D659,'Employee Detail FY22'!$E$6:$E$132,+F659,'Employee Detail FY22'!$F$6:$F$132,G659),0)</f>
        <v>174</v>
      </c>
      <c r="AE659" s="117">
        <f t="shared" si="493"/>
        <v>174</v>
      </c>
      <c r="AF659" s="117">
        <f t="shared" si="494"/>
        <v>14.5</v>
      </c>
    </row>
    <row r="660" spans="2:36" hidden="1" outlineLevel="1" x14ac:dyDescent="0.2">
      <c r="B660" s="7"/>
      <c r="C660" s="102" t="s">
        <v>468</v>
      </c>
      <c r="D660" s="102" t="s">
        <v>145</v>
      </c>
      <c r="E660" s="104"/>
      <c r="F660" s="102" t="s">
        <v>468</v>
      </c>
      <c r="G660" s="102" t="s">
        <v>534</v>
      </c>
      <c r="H660" s="104" t="s">
        <v>190</v>
      </c>
      <c r="I660" s="103"/>
      <c r="J660" s="342" t="str">
        <f t="shared" ref="J660" si="495">CONCATENATE(C660,D660,F660,G660,H660,I660)</f>
        <v>10000010022100270</v>
      </c>
      <c r="K660" s="109">
        <v>2022</v>
      </c>
      <c r="L660" s="109" t="s">
        <v>348</v>
      </c>
      <c r="M660" s="109" t="s">
        <v>349</v>
      </c>
      <c r="N660" s="109" t="s">
        <v>350</v>
      </c>
      <c r="O660" s="715">
        <v>0</v>
      </c>
      <c r="P660" s="715">
        <v>0</v>
      </c>
      <c r="Q660" s="715">
        <v>411.1</v>
      </c>
      <c r="R660" s="715">
        <v>0</v>
      </c>
      <c r="S660" s="715">
        <v>123.52</v>
      </c>
      <c r="T660" s="715"/>
      <c r="U660" s="7"/>
      <c r="V660" s="7"/>
      <c r="W660" s="7"/>
      <c r="X660" s="7"/>
      <c r="Y660" s="7"/>
      <c r="Z660" s="7"/>
      <c r="AA660" s="7"/>
      <c r="AB660" s="7"/>
      <c r="AC660" s="121"/>
      <c r="AD660" s="115">
        <f>SUMIFS('Employee Detail FY22 FINAL'!$AI$6:$AI$120,'Employee Detail FY22 FINAL'!$B$6:$B$120,C660,'Employee Detail FY22 FINAL'!$C$6:$C$120,D660,'Employee Detail FY22 FINAL'!$E$6:$E$120,+F660,'Employee Detail FY22 FINAL'!$F$6:$F$120,G660)</f>
        <v>0</v>
      </c>
      <c r="AE660" s="117"/>
      <c r="AF660" s="117"/>
    </row>
    <row r="661" spans="2:36" hidden="1" outlineLevel="1" x14ac:dyDescent="0.2">
      <c r="B661" s="7"/>
      <c r="C661" s="102"/>
      <c r="D661" s="102"/>
      <c r="E661" s="104"/>
      <c r="F661" s="102"/>
      <c r="G661" s="102"/>
      <c r="H661" s="104"/>
      <c r="I661" s="103"/>
      <c r="J661" s="342"/>
      <c r="K661" s="109"/>
      <c r="L661" s="109"/>
      <c r="M661" s="109"/>
      <c r="N661" s="109"/>
      <c r="O661" s="715">
        <v>0</v>
      </c>
      <c r="P661" s="715">
        <v>0</v>
      </c>
      <c r="Q661" s="715">
        <v>0</v>
      </c>
      <c r="R661" s="715">
        <v>0</v>
      </c>
      <c r="S661" s="715">
        <v>0</v>
      </c>
      <c r="T661" s="715"/>
      <c r="U661" s="7"/>
      <c r="V661" s="7"/>
      <c r="W661" s="7"/>
      <c r="X661" s="7"/>
      <c r="Y661" s="7"/>
      <c r="Z661" s="7"/>
      <c r="AA661" s="7"/>
      <c r="AB661" s="7"/>
      <c r="AC661" s="121"/>
      <c r="AD661" s="115">
        <f>SUMIFS('Employee Detail FY22 FINAL'!$AI$6:$AI$120,'Employee Detail FY22 FINAL'!$B$6:$B$120,C661,'Employee Detail FY22 FINAL'!$C$6:$C$120,D661,'Employee Detail FY22 FINAL'!$E$6:$E$120,+F661,'Employee Detail FY22 FINAL'!$F$6:$F$120,G661)</f>
        <v>0</v>
      </c>
      <c r="AE661" s="117"/>
      <c r="AF661" s="117"/>
    </row>
    <row r="662" spans="2:36" s="2" customFormat="1" ht="13.5" collapsed="1" thickBot="1" x14ac:dyDescent="0.25">
      <c r="B662" s="564"/>
      <c r="C662" s="6"/>
      <c r="D662" s="6"/>
      <c r="E662" s="6"/>
      <c r="F662" s="6"/>
      <c r="G662" s="6"/>
      <c r="H662" s="6"/>
      <c r="I662" s="6"/>
      <c r="J662" s="582"/>
      <c r="K662" s="6"/>
      <c r="L662" s="6"/>
      <c r="M662" s="6"/>
      <c r="N662" s="6"/>
      <c r="O662" s="566">
        <f t="shared" ref="O662:AD662" si="496">SUM(O626:O661)</f>
        <v>0</v>
      </c>
      <c r="P662" s="566">
        <f t="shared" si="496"/>
        <v>0</v>
      </c>
      <c r="Q662" s="566">
        <f t="shared" si="496"/>
        <v>5565.01</v>
      </c>
      <c r="R662" s="566">
        <f t="shared" si="496"/>
        <v>0</v>
      </c>
      <c r="S662" s="566">
        <f t="shared" si="496"/>
        <v>2400.0000000000005</v>
      </c>
      <c r="T662" s="566">
        <f t="shared" si="496"/>
        <v>0</v>
      </c>
      <c r="U662" s="566">
        <f t="shared" si="496"/>
        <v>0</v>
      </c>
      <c r="V662" s="566">
        <f t="shared" si="496"/>
        <v>0</v>
      </c>
      <c r="W662" s="566">
        <f t="shared" si="496"/>
        <v>0</v>
      </c>
      <c r="X662" s="566">
        <f t="shared" si="496"/>
        <v>0</v>
      </c>
      <c r="Y662" s="566">
        <f t="shared" si="496"/>
        <v>0</v>
      </c>
      <c r="Z662" s="566">
        <f t="shared" si="496"/>
        <v>0</v>
      </c>
      <c r="AA662" s="566">
        <f t="shared" si="496"/>
        <v>0</v>
      </c>
      <c r="AB662" s="566">
        <f t="shared" si="496"/>
        <v>0</v>
      </c>
      <c r="AC662" s="584">
        <f t="shared" si="496"/>
        <v>7430.39</v>
      </c>
      <c r="AD662" s="584">
        <f t="shared" si="496"/>
        <v>5233</v>
      </c>
      <c r="AE662" s="584">
        <f>AD662-AC662</f>
        <v>-2197.3900000000003</v>
      </c>
      <c r="AF662" s="584">
        <f>AE662/$AF$6</f>
        <v>-183.11583333333337</v>
      </c>
      <c r="AG662" s="553"/>
      <c r="AH662" s="553"/>
      <c r="AI662" s="553"/>
      <c r="AJ662" s="553"/>
    </row>
    <row r="663" spans="2:36" ht="13.5" thickTop="1" x14ac:dyDescent="0.2">
      <c r="AD663" s="62">
        <f>AD168-AD662</f>
        <v>272</v>
      </c>
    </row>
  </sheetData>
  <autoFilter ref="C8:I416" xr:uid="{9BE72F59-95DB-4D3F-9498-1FF64243679F}"/>
  <sortState xmlns:xlrd2="http://schemas.microsoft.com/office/spreadsheetml/2017/richdata2" ref="B440:AJ440">
    <sortCondition ref="D440"/>
  </sortState>
  <phoneticPr fontId="40" type="noConversion"/>
  <pageMargins left="0.7" right="0.7" top="0.75" bottom="0.75" header="0.3" footer="0.3"/>
  <pageSetup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1676B6-67A7-4276-B7AF-9AF27FB1BD5B}">
          <x14:formula1>
            <xm:f>'Data Tables DONT EDIT'!$A$3:$A$15</xm:f>
          </x14:formula1>
          <xm:sqref>AC4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102DB-1346-421F-B112-ECBFB54FE488}">
  <sheetPr codeName="Sheet12"/>
  <dimension ref="B1:V40"/>
  <sheetViews>
    <sheetView zoomScaleNormal="100" workbookViewId="0">
      <pane xSplit="10" ySplit="8" topLeftCell="K9" activePane="bottomRight" state="frozen"/>
      <selection activeCell="I30" sqref="I30"/>
      <selection pane="topRight" activeCell="I30" sqref="I30"/>
      <selection pane="bottomLeft" activeCell="I30" sqref="I30"/>
      <selection pane="bottomRight" activeCell="I30" sqref="I30"/>
    </sheetView>
  </sheetViews>
  <sheetFormatPr defaultColWidth="9.140625" defaultRowHeight="12.75" x14ac:dyDescent="0.2"/>
  <cols>
    <col min="1" max="1" width="3.28515625" style="3" customWidth="1"/>
    <col min="2" max="2" width="39.7109375" style="3" bestFit="1" customWidth="1"/>
    <col min="3" max="4" width="4" style="3" bestFit="1" customWidth="1"/>
    <col min="5" max="5" width="3.28515625" style="3" bestFit="1" customWidth="1"/>
    <col min="6" max="6" width="4" style="3" bestFit="1" customWidth="1"/>
    <col min="7" max="8" width="5" style="3" bestFit="1" customWidth="1"/>
    <col min="9" max="10" width="4.28515625" style="3" customWidth="1"/>
    <col min="11" max="11" width="11.7109375" style="3" hidden="1" customWidth="1"/>
    <col min="12" max="12" width="14.5703125" style="3" hidden="1" customWidth="1"/>
    <col min="13" max="13" width="11.85546875" style="3" hidden="1" customWidth="1"/>
    <col min="14" max="14" width="10" style="3" bestFit="1" customWidth="1"/>
    <col min="15" max="15" width="11" style="3" bestFit="1" customWidth="1"/>
    <col min="16" max="16" width="12.42578125" style="3" bestFit="1" customWidth="1"/>
    <col min="17" max="22" width="10.5703125" style="3" bestFit="1" customWidth="1"/>
    <col min="23" max="16384" width="9.140625" style="3"/>
  </cols>
  <sheetData>
    <row r="1" spans="2:22" x14ac:dyDescent="0.2">
      <c r="B1" s="96" t="str">
        <f>'# of Students'!A1</f>
        <v>Beacon Academy of Nevada</v>
      </c>
    </row>
    <row r="2" spans="2:22" x14ac:dyDescent="0.2">
      <c r="B2" s="96" t="s">
        <v>1007</v>
      </c>
    </row>
    <row r="4" spans="2:22" x14ac:dyDescent="0.2">
      <c r="C4" s="99"/>
      <c r="D4" s="99"/>
      <c r="E4" s="99"/>
      <c r="F4" s="99"/>
      <c r="G4" s="99"/>
      <c r="H4" s="370"/>
      <c r="I4" s="370" t="s">
        <v>805</v>
      </c>
      <c r="J4" s="370"/>
      <c r="K4" s="499">
        <f>'MYP Detail'!J4</f>
        <v>0</v>
      </c>
      <c r="L4" s="556">
        <f>'MYP Detail'!K4</f>
        <v>0</v>
      </c>
      <c r="M4" s="528">
        <f>'MYP Detail'!L4</f>
        <v>0.12</v>
      </c>
      <c r="N4" s="528">
        <f>'MYP Detail'!M4</f>
        <v>-2.5822755473173063E-2</v>
      </c>
      <c r="O4" s="499">
        <f>'MYP Detail'!O4</f>
        <v>1.9591496456857024E-2</v>
      </c>
      <c r="P4" s="372"/>
      <c r="Q4" s="372">
        <f>-'MYP Detail'!Q4</f>
        <v>0</v>
      </c>
      <c r="R4" s="372">
        <f>-'MYP Detail'!S4</f>
        <v>0</v>
      </c>
      <c r="S4" s="372">
        <f>-'MYP Detail'!T4</f>
        <v>0</v>
      </c>
      <c r="T4" s="372">
        <f>-'MYP Detail'!U4</f>
        <v>0</v>
      </c>
      <c r="U4" s="372">
        <f>-'MYP Detail'!V4</f>
        <v>0</v>
      </c>
      <c r="V4" s="372">
        <f>-'MYP Detail'!W4</f>
        <v>0</v>
      </c>
    </row>
    <row r="5" spans="2:22" x14ac:dyDescent="0.2">
      <c r="B5" s="370"/>
      <c r="C5" s="99"/>
      <c r="D5" s="99"/>
      <c r="E5" s="99"/>
      <c r="F5" s="99"/>
      <c r="G5" s="99"/>
      <c r="H5" s="370"/>
      <c r="I5" s="370" t="s">
        <v>1003</v>
      </c>
      <c r="J5" s="370"/>
      <c r="K5" s="494">
        <f>'MYP Detail'!J5</f>
        <v>0</v>
      </c>
      <c r="L5" s="547">
        <f>'MYP Detail'!K5</f>
        <v>7197</v>
      </c>
      <c r="M5" s="529">
        <f>'MYP Detail'!L5</f>
        <v>6487.6900333160629</v>
      </c>
      <c r="N5" s="529">
        <f>'MYP Detail'!M5</f>
        <v>7182</v>
      </c>
      <c r="O5" s="494">
        <f>'MYP Detail'!O5</f>
        <v>7197</v>
      </c>
      <c r="P5" s="492">
        <f>'MYP Detail'!P5</f>
        <v>0</v>
      </c>
      <c r="Q5" s="492">
        <f>'MYP Detail'!Q5</f>
        <v>7338</v>
      </c>
      <c r="R5" s="492">
        <f>'MYP Detail'!S5</f>
        <v>7411.38</v>
      </c>
      <c r="S5" s="492">
        <f>'MYP Detail'!T5</f>
        <v>7485.4938000000002</v>
      </c>
      <c r="T5" s="492">
        <f>'MYP Detail'!U5</f>
        <v>7560.3487380000006</v>
      </c>
      <c r="U5" s="492">
        <f>'MYP Detail'!V5</f>
        <v>7635.9522253800005</v>
      </c>
      <c r="V5" s="492">
        <f>'MYP Detail'!W5</f>
        <v>7712.3117476338002</v>
      </c>
    </row>
    <row r="6" spans="2:22" x14ac:dyDescent="0.2">
      <c r="C6" s="100"/>
      <c r="D6" s="100"/>
      <c r="E6" s="100"/>
      <c r="F6" s="100"/>
      <c r="G6" s="100"/>
      <c r="H6" s="112"/>
      <c r="I6" s="112" t="s">
        <v>372</v>
      </c>
      <c r="J6" s="112"/>
      <c r="K6" s="495">
        <f>'MYP Detail'!H6</f>
        <v>0</v>
      </c>
      <c r="L6" s="557">
        <f>'MYP Detail'!K6</f>
        <v>370</v>
      </c>
      <c r="M6" s="376">
        <f>'MYP Detail'!L6</f>
        <v>585</v>
      </c>
      <c r="N6" s="376">
        <f>'MYP Detail'!M6</f>
        <v>585</v>
      </c>
      <c r="O6" s="495">
        <f>'MYP Detail'!O6</f>
        <v>370</v>
      </c>
      <c r="P6" s="369">
        <f>'MYP Detail'!P6</f>
        <v>0</v>
      </c>
      <c r="Q6" s="369">
        <f>'MYP Detail'!Q6</f>
        <v>585</v>
      </c>
      <c r="R6" s="369">
        <f>'MYP Detail'!S6</f>
        <v>650</v>
      </c>
      <c r="S6" s="369">
        <f>'MYP Detail'!T6</f>
        <v>700</v>
      </c>
      <c r="T6" s="369">
        <f>'MYP Detail'!U6</f>
        <v>735</v>
      </c>
      <c r="U6" s="369">
        <f>'MYP Detail'!V6</f>
        <v>740</v>
      </c>
      <c r="V6" s="369">
        <f>'MYP Detail'!W6</f>
        <v>735</v>
      </c>
    </row>
    <row r="7" spans="2:22" x14ac:dyDescent="0.2">
      <c r="C7" s="100"/>
      <c r="D7" s="100"/>
      <c r="E7" s="100"/>
      <c r="F7" s="100"/>
      <c r="G7" s="100"/>
      <c r="H7" s="100"/>
      <c r="I7" s="112" t="s">
        <v>804</v>
      </c>
      <c r="J7" s="112"/>
      <c r="K7" s="496" t="s">
        <v>153</v>
      </c>
      <c r="L7" s="558" t="s">
        <v>153</v>
      </c>
      <c r="M7" s="555" t="s">
        <v>153</v>
      </c>
      <c r="N7" s="555" t="s">
        <v>153</v>
      </c>
      <c r="O7" s="496" t="s">
        <v>153</v>
      </c>
      <c r="P7" s="373"/>
      <c r="Q7" s="373" t="str">
        <f>'MYP Detail'!Q7</f>
        <v>Forecast</v>
      </c>
      <c r="R7" s="373" t="str">
        <f>'MYP Detail'!S7</f>
        <v>Forecast</v>
      </c>
      <c r="S7" s="373" t="str">
        <f>'MYP Detail'!T7</f>
        <v>Forecast</v>
      </c>
      <c r="T7" s="373" t="str">
        <f>'MYP Detail'!U7</f>
        <v>Forecast</v>
      </c>
      <c r="U7" s="373" t="str">
        <f>'MYP Detail'!V7</f>
        <v>Forecast</v>
      </c>
      <c r="V7" s="373" t="str">
        <f>'MYP Detail'!W7</f>
        <v>Forecast</v>
      </c>
    </row>
    <row r="8" spans="2:22" ht="51" customHeight="1" x14ac:dyDescent="0.2">
      <c r="B8" s="442" t="s">
        <v>1006</v>
      </c>
      <c r="C8" s="443" t="s">
        <v>117</v>
      </c>
      <c r="D8" s="443" t="s">
        <v>128</v>
      </c>
      <c r="E8" s="443" t="s">
        <v>129</v>
      </c>
      <c r="F8" s="443" t="s">
        <v>119</v>
      </c>
      <c r="G8" s="443" t="s">
        <v>120</v>
      </c>
      <c r="H8" s="443" t="s">
        <v>121</v>
      </c>
      <c r="I8" s="443" t="s">
        <v>373</v>
      </c>
      <c r="J8" s="443"/>
      <c r="K8" s="497" t="str">
        <f>'MYP Detail'!J8</f>
        <v>FINAL FY20</v>
      </c>
      <c r="L8" s="548" t="str">
        <f>'MYP Detail'!K8</f>
        <v>FINAL FY21</v>
      </c>
      <c r="M8" s="368" t="str">
        <f>'MYP Detail'!L8</f>
        <v>Tentative FY2122</v>
      </c>
      <c r="N8" s="368" t="str">
        <f>'MYP Detail'!M8</f>
        <v>Final FY2122</v>
      </c>
      <c r="O8" s="497" t="str">
        <f>'MYP Detail'!O8</f>
        <v>Proposed Final FY2122</v>
      </c>
      <c r="P8" s="290" t="str">
        <f>'MYP Detail'!P8</f>
        <v>Difference Between Final &amp; Proposed Amended Final</v>
      </c>
      <c r="Q8" s="290" t="str">
        <f>'MYP Detail'!Q8</f>
        <v>FY2223</v>
      </c>
      <c r="R8" s="290" t="str">
        <f>'MYP Detail'!S8</f>
        <v>FY2324</v>
      </c>
      <c r="S8" s="290" t="str">
        <f>'MYP Detail'!T8</f>
        <v>FY2425</v>
      </c>
      <c r="T8" s="290" t="str">
        <f>'MYP Detail'!U8</f>
        <v>FY2526</v>
      </c>
      <c r="U8" s="290" t="str">
        <f>'MYP Detail'!V8</f>
        <v>FY2627</v>
      </c>
      <c r="V8" s="290" t="str">
        <f>'MYP Detail'!W8</f>
        <v>FY2728</v>
      </c>
    </row>
    <row r="9" spans="2:22" x14ac:dyDescent="0.2">
      <c r="B9" s="7" t="s">
        <v>253</v>
      </c>
      <c r="C9" s="505">
        <v>100</v>
      </c>
      <c r="D9" s="505" t="s">
        <v>145</v>
      </c>
      <c r="E9" s="505"/>
      <c r="F9" s="505">
        <v>100</v>
      </c>
      <c r="G9" s="505">
        <v>1000</v>
      </c>
      <c r="H9" s="505" t="s">
        <v>254</v>
      </c>
      <c r="I9" s="7"/>
      <c r="J9" s="7"/>
      <c r="K9" s="506">
        <f>'MYP Detail'!J285</f>
        <v>0</v>
      </c>
      <c r="L9" s="559">
        <f>'MYP Detail'!K285</f>
        <v>15151.079999999998</v>
      </c>
      <c r="M9" s="561">
        <f>'MYP Detail'!L285</f>
        <v>2500</v>
      </c>
      <c r="N9" s="561">
        <f>'MYP Detail'!M285</f>
        <v>2500</v>
      </c>
      <c r="O9" s="562">
        <f>'MYP Detail'!O285</f>
        <v>500</v>
      </c>
      <c r="P9" s="506">
        <f>'MYP Detail'!P285</f>
        <v>-2000</v>
      </c>
      <c r="Q9" s="506">
        <f>'MYP Detail'!Q285</f>
        <v>497</v>
      </c>
      <c r="R9" s="506">
        <f>'MYP Detail'!S285</f>
        <v>553</v>
      </c>
      <c r="S9" s="506">
        <f>'MYP Detail'!T285</f>
        <v>595</v>
      </c>
      <c r="T9" s="506">
        <f>'MYP Detail'!U285</f>
        <v>625</v>
      </c>
      <c r="U9" s="506">
        <f>'MYP Detail'!V285</f>
        <v>629</v>
      </c>
      <c r="V9" s="506">
        <f>'MYP Detail'!W285</f>
        <v>625</v>
      </c>
    </row>
    <row r="10" spans="2:22" x14ac:dyDescent="0.2">
      <c r="B10" s="7" t="s">
        <v>257</v>
      </c>
      <c r="C10" s="505">
        <v>100</v>
      </c>
      <c r="D10" s="505" t="s">
        <v>145</v>
      </c>
      <c r="E10" s="505"/>
      <c r="F10" s="505">
        <v>100</v>
      </c>
      <c r="G10" s="505">
        <v>1000</v>
      </c>
      <c r="H10" s="505" t="s">
        <v>258</v>
      </c>
      <c r="I10" s="7"/>
      <c r="J10" s="7"/>
      <c r="K10" s="506">
        <f>'MYP Detail'!J287</f>
        <v>0</v>
      </c>
      <c r="L10" s="559">
        <f>'MYP Detail'!K287</f>
        <v>53.36</v>
      </c>
      <c r="M10" s="561">
        <f>'MYP Detail'!L287</f>
        <v>2000</v>
      </c>
      <c r="N10" s="561">
        <f>'MYP Detail'!M287</f>
        <v>2000</v>
      </c>
      <c r="O10" s="562">
        <f>'MYP Detail'!O287</f>
        <v>500</v>
      </c>
      <c r="P10" s="506">
        <f>'MYP Detail'!P287</f>
        <v>-1500</v>
      </c>
      <c r="Q10" s="506">
        <f>'MYP Detail'!Q287</f>
        <v>497</v>
      </c>
      <c r="R10" s="506">
        <f>'MYP Detail'!S287</f>
        <v>553</v>
      </c>
      <c r="S10" s="506">
        <f>'MYP Detail'!T287</f>
        <v>595</v>
      </c>
      <c r="T10" s="506">
        <f>'MYP Detail'!U287</f>
        <v>625</v>
      </c>
      <c r="U10" s="506">
        <f>'MYP Detail'!V287</f>
        <v>629</v>
      </c>
      <c r="V10" s="506">
        <f>'MYP Detail'!W287</f>
        <v>625</v>
      </c>
    </row>
    <row r="11" spans="2:22" x14ac:dyDescent="0.2">
      <c r="B11" s="7" t="s">
        <v>259</v>
      </c>
      <c r="C11" s="505">
        <v>100</v>
      </c>
      <c r="D11" s="505" t="s">
        <v>145</v>
      </c>
      <c r="E11" s="505"/>
      <c r="F11" s="505">
        <v>100</v>
      </c>
      <c r="G11" s="505">
        <v>1000</v>
      </c>
      <c r="H11" s="505" t="s">
        <v>260</v>
      </c>
      <c r="I11" s="7"/>
      <c r="J11" s="7"/>
      <c r="K11" s="506">
        <f>'MYP Detail'!J288</f>
        <v>0</v>
      </c>
      <c r="L11" s="559">
        <f>'MYP Detail'!K288</f>
        <v>11656.73</v>
      </c>
      <c r="M11" s="561">
        <f>'MYP Detail'!L288</f>
        <v>12000</v>
      </c>
      <c r="N11" s="561">
        <f>'MYP Detail'!M288</f>
        <v>12000</v>
      </c>
      <c r="O11" s="562">
        <f>'MYP Detail'!O288</f>
        <v>6000</v>
      </c>
      <c r="P11" s="506">
        <f>'MYP Detail'!P288</f>
        <v>-6000</v>
      </c>
      <c r="Q11" s="506">
        <f>'MYP Detail'!Q288</f>
        <v>6002</v>
      </c>
      <c r="R11" s="506">
        <f>'MYP Detail'!S288</f>
        <v>6669</v>
      </c>
      <c r="S11" s="506">
        <f>'MYP Detail'!T288</f>
        <v>7182</v>
      </c>
      <c r="T11" s="506">
        <f>'MYP Detail'!U288</f>
        <v>7541</v>
      </c>
      <c r="U11" s="506">
        <f>'MYP Detail'!V288</f>
        <v>7592</v>
      </c>
      <c r="V11" s="506">
        <f>'MYP Detail'!W288</f>
        <v>7541</v>
      </c>
    </row>
    <row r="12" spans="2:22" x14ac:dyDescent="0.2">
      <c r="B12" s="7" t="s">
        <v>261</v>
      </c>
      <c r="C12" s="505">
        <v>100</v>
      </c>
      <c r="D12" s="505" t="s">
        <v>145</v>
      </c>
      <c r="E12" s="505"/>
      <c r="F12" s="505">
        <v>100</v>
      </c>
      <c r="G12" s="505">
        <v>1000</v>
      </c>
      <c r="H12" s="505" t="s">
        <v>262</v>
      </c>
      <c r="I12" s="7"/>
      <c r="J12" s="7"/>
      <c r="K12" s="506">
        <f>'MYP Detail'!J289</f>
        <v>0</v>
      </c>
      <c r="L12" s="559">
        <f>'MYP Detail'!K289</f>
        <v>12757.119999999999</v>
      </c>
      <c r="M12" s="561">
        <f>'MYP Detail'!L289</f>
        <v>16000</v>
      </c>
      <c r="N12" s="561">
        <f>'MYP Detail'!M289</f>
        <v>16000</v>
      </c>
      <c r="O12" s="562">
        <f>'MYP Detail'!O289</f>
        <v>137629</v>
      </c>
      <c r="P12" s="506">
        <f>'MYP Detail'!P289</f>
        <v>130605</v>
      </c>
      <c r="Q12" s="506">
        <f>'MYP Detail'!Q289</f>
        <v>20001</v>
      </c>
      <c r="R12" s="506">
        <f>'MYP Detail'!S289</f>
        <v>22224</v>
      </c>
      <c r="S12" s="506">
        <f>'MYP Detail'!T289</f>
        <v>23933</v>
      </c>
      <c r="T12" s="506">
        <f>'MYP Detail'!U289</f>
        <v>25130</v>
      </c>
      <c r="U12" s="506">
        <f>'MYP Detail'!V289</f>
        <v>25301</v>
      </c>
      <c r="V12" s="506">
        <f>'MYP Detail'!W289</f>
        <v>25130</v>
      </c>
    </row>
    <row r="13" spans="2:22" x14ac:dyDescent="0.2">
      <c r="B13" s="7" t="s">
        <v>263</v>
      </c>
      <c r="C13" s="505">
        <v>100</v>
      </c>
      <c r="D13" s="505" t="s">
        <v>145</v>
      </c>
      <c r="E13" s="505"/>
      <c r="F13" s="505">
        <v>100</v>
      </c>
      <c r="G13" s="505">
        <v>1000</v>
      </c>
      <c r="H13" s="505" t="s">
        <v>264</v>
      </c>
      <c r="I13" s="7"/>
      <c r="J13" s="7"/>
      <c r="K13" s="506">
        <f>'MYP Detail'!J290</f>
        <v>0</v>
      </c>
      <c r="L13" s="559">
        <f>'MYP Detail'!K290</f>
        <v>14418.18</v>
      </c>
      <c r="M13" s="561">
        <f>'MYP Detail'!L290</f>
        <v>41386</v>
      </c>
      <c r="N13" s="561">
        <f>'MYP Detail'!M290</f>
        <v>41386</v>
      </c>
      <c r="O13" s="562">
        <f>'MYP Detail'!O290</f>
        <v>41386</v>
      </c>
      <c r="P13" s="506">
        <f>'MYP Detail'!P290</f>
        <v>0</v>
      </c>
      <c r="Q13" s="506">
        <f>'MYP Detail'!Q290</f>
        <v>48643</v>
      </c>
      <c r="R13" s="506">
        <f>'MYP Detail'!S290</f>
        <v>54048</v>
      </c>
      <c r="S13" s="506">
        <f>'MYP Detail'!T290</f>
        <v>58205</v>
      </c>
      <c r="T13" s="506">
        <f>'MYP Detail'!U290</f>
        <v>61115</v>
      </c>
      <c r="U13" s="506">
        <f>'MYP Detail'!V290</f>
        <v>61531</v>
      </c>
      <c r="V13" s="506">
        <f>'MYP Detail'!W290</f>
        <v>61115</v>
      </c>
    </row>
    <row r="14" spans="2:22" x14ac:dyDescent="0.2">
      <c r="B14" s="7" t="s">
        <v>551</v>
      </c>
      <c r="C14" s="505" t="s">
        <v>462</v>
      </c>
      <c r="D14" s="505">
        <v>205</v>
      </c>
      <c r="E14" s="505"/>
      <c r="F14" s="505" t="s">
        <v>463</v>
      </c>
      <c r="G14" s="505" t="s">
        <v>461</v>
      </c>
      <c r="H14" s="505" t="s">
        <v>264</v>
      </c>
      <c r="I14" s="7"/>
      <c r="J14" s="7"/>
      <c r="K14" s="506">
        <f>'MYP Detail'!J330</f>
        <v>0</v>
      </c>
      <c r="L14" s="559">
        <f>'MYP Detail'!K330</f>
        <v>765</v>
      </c>
      <c r="M14" s="561">
        <f>'MYP Detail'!L330</f>
        <v>1000</v>
      </c>
      <c r="N14" s="561">
        <f>'MYP Detail'!M330</f>
        <v>765</v>
      </c>
      <c r="O14" s="562">
        <f>'MYP Detail'!O330</f>
        <v>1000</v>
      </c>
      <c r="P14" s="506">
        <f>'MYP Detail'!P330</f>
        <v>0</v>
      </c>
      <c r="Q14" s="506">
        <f>'MYP Detail'!Q330</f>
        <v>1000</v>
      </c>
      <c r="R14" s="506">
        <f>'MYP Detail'!S330</f>
        <v>1112</v>
      </c>
      <c r="S14" s="506">
        <f>'MYP Detail'!T330</f>
        <v>1197</v>
      </c>
      <c r="T14" s="506">
        <f>'MYP Detail'!U330</f>
        <v>1257</v>
      </c>
      <c r="U14" s="506">
        <f>'MYP Detail'!V330</f>
        <v>1265</v>
      </c>
      <c r="V14" s="506">
        <f>'MYP Detail'!W330</f>
        <v>1257</v>
      </c>
    </row>
    <row r="15" spans="2:22" s="2" customFormat="1" ht="13.5" thickBot="1" x14ac:dyDescent="0.25">
      <c r="B15" s="564" t="s">
        <v>1008</v>
      </c>
      <c r="C15" s="6"/>
      <c r="D15" s="6"/>
      <c r="E15" s="6"/>
      <c r="F15" s="6"/>
      <c r="G15" s="6"/>
      <c r="H15" s="6"/>
      <c r="I15" s="565"/>
      <c r="J15" s="565"/>
      <c r="K15" s="566">
        <f t="shared" ref="K15:V15" si="0">SUM(K9:K14)</f>
        <v>0</v>
      </c>
      <c r="L15" s="567">
        <f t="shared" si="0"/>
        <v>54801.469999999994</v>
      </c>
      <c r="M15" s="568">
        <f t="shared" si="0"/>
        <v>74886</v>
      </c>
      <c r="N15" s="568">
        <f t="shared" si="0"/>
        <v>74651</v>
      </c>
      <c r="O15" s="569">
        <f>SUM(O9:O14)</f>
        <v>187015</v>
      </c>
      <c r="P15" s="566">
        <f t="shared" si="0"/>
        <v>121105</v>
      </c>
      <c r="Q15" s="566">
        <f>SUM(Q9:Q14)</f>
        <v>76640</v>
      </c>
      <c r="R15" s="566">
        <f t="shared" ref="R15" si="1">SUM(R9:R14)</f>
        <v>85159</v>
      </c>
      <c r="S15" s="566">
        <f t="shared" si="0"/>
        <v>91707</v>
      </c>
      <c r="T15" s="566">
        <f t="shared" si="0"/>
        <v>96293</v>
      </c>
      <c r="U15" s="566">
        <f t="shared" si="0"/>
        <v>96947</v>
      </c>
      <c r="V15" s="566">
        <f t="shared" si="0"/>
        <v>96293</v>
      </c>
    </row>
    <row r="16" spans="2:22" ht="13.5" thickTop="1" x14ac:dyDescent="0.2"/>
    <row r="18" spans="2:22" x14ac:dyDescent="0.2">
      <c r="B18" s="507" t="s">
        <v>1007</v>
      </c>
      <c r="C18" s="508"/>
      <c r="D18" s="508"/>
      <c r="E18" s="508"/>
      <c r="F18" s="508"/>
      <c r="G18" s="508"/>
      <c r="H18" s="508"/>
      <c r="I18" s="509"/>
      <c r="J18" s="509"/>
      <c r="K18" s="7"/>
      <c r="L18" s="560">
        <v>121.27</v>
      </c>
      <c r="M18" s="188">
        <v>121.27</v>
      </c>
      <c r="N18" s="188">
        <v>121.27</v>
      </c>
      <c r="O18" s="563">
        <v>128.78</v>
      </c>
      <c r="P18" s="7"/>
      <c r="Q18" s="7">
        <v>131.01</v>
      </c>
      <c r="R18" s="7">
        <v>131.01</v>
      </c>
      <c r="S18" s="7">
        <v>131.01</v>
      </c>
      <c r="T18" s="7">
        <v>131.01</v>
      </c>
      <c r="U18" s="7">
        <v>131.01</v>
      </c>
      <c r="V18" s="7">
        <v>131.01</v>
      </c>
    </row>
    <row r="19" spans="2:22" x14ac:dyDescent="0.2">
      <c r="B19" s="507" t="s">
        <v>1009</v>
      </c>
      <c r="C19" s="508"/>
      <c r="D19" s="508"/>
      <c r="E19" s="508"/>
      <c r="F19" s="508"/>
      <c r="G19" s="508"/>
      <c r="H19" s="508"/>
      <c r="I19" s="509"/>
      <c r="J19" s="509"/>
      <c r="K19" s="570">
        <f t="shared" ref="K19:V19" si="2">K18*K6</f>
        <v>0</v>
      </c>
      <c r="L19" s="574">
        <f t="shared" si="2"/>
        <v>44869.9</v>
      </c>
      <c r="M19" s="575">
        <f t="shared" si="2"/>
        <v>70942.95</v>
      </c>
      <c r="N19" s="575">
        <f t="shared" si="2"/>
        <v>70942.95</v>
      </c>
      <c r="O19" s="576">
        <f>O18*O6</f>
        <v>47648.6</v>
      </c>
      <c r="P19" s="570">
        <f t="shared" si="2"/>
        <v>0</v>
      </c>
      <c r="Q19" s="570">
        <f>Q18*Q6</f>
        <v>76640.849999999991</v>
      </c>
      <c r="R19" s="570">
        <f>R18*R6</f>
        <v>85156.5</v>
      </c>
      <c r="S19" s="570">
        <f>S18*S6</f>
        <v>91707</v>
      </c>
      <c r="T19" s="570">
        <f t="shared" si="2"/>
        <v>96292.349999999991</v>
      </c>
      <c r="U19" s="570">
        <f t="shared" si="2"/>
        <v>96947.4</v>
      </c>
      <c r="V19" s="570">
        <f t="shared" si="2"/>
        <v>96292.349999999991</v>
      </c>
    </row>
    <row r="20" spans="2:22" x14ac:dyDescent="0.2">
      <c r="B20" s="507" t="s">
        <v>1010</v>
      </c>
      <c r="C20" s="508"/>
      <c r="D20" s="508"/>
      <c r="E20" s="508"/>
      <c r="F20" s="508"/>
      <c r="G20" s="508"/>
      <c r="H20" s="508"/>
      <c r="I20" s="509"/>
      <c r="J20" s="509"/>
      <c r="K20" s="570">
        <f t="shared" ref="K20:N20" si="3">K15-K19</f>
        <v>0</v>
      </c>
      <c r="L20" s="573">
        <f t="shared" si="3"/>
        <v>9931.5699999999924</v>
      </c>
      <c r="M20" s="571">
        <f t="shared" si="3"/>
        <v>3943.0500000000029</v>
      </c>
      <c r="N20" s="571">
        <f t="shared" si="3"/>
        <v>3708.0500000000029</v>
      </c>
      <c r="O20" s="572">
        <f t="shared" ref="O20:V20" si="4">O15-O19</f>
        <v>139366.39999999999</v>
      </c>
      <c r="P20" s="570">
        <f t="shared" si="4"/>
        <v>121105</v>
      </c>
      <c r="Q20" s="570">
        <f t="shared" si="4"/>
        <v>-0.84999999999126885</v>
      </c>
      <c r="R20" s="570">
        <f t="shared" ref="R20" si="5">R15-R19</f>
        <v>2.5</v>
      </c>
      <c r="S20" s="570">
        <f t="shared" si="4"/>
        <v>0</v>
      </c>
      <c r="T20" s="570">
        <f t="shared" si="4"/>
        <v>0.65000000000873115</v>
      </c>
      <c r="U20" s="570">
        <f t="shared" si="4"/>
        <v>-0.39999999999417923</v>
      </c>
      <c r="V20" s="570">
        <f t="shared" si="4"/>
        <v>0.65000000000873115</v>
      </c>
    </row>
    <row r="22" spans="2:22" x14ac:dyDescent="0.2">
      <c r="B22" s="579" t="s">
        <v>1269</v>
      </c>
      <c r="C22" s="579"/>
      <c r="D22" s="579"/>
      <c r="E22" s="579"/>
      <c r="F22" s="579"/>
      <c r="G22" s="579"/>
      <c r="H22" s="579"/>
      <c r="I22" s="579"/>
      <c r="J22" s="579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</row>
    <row r="23" spans="2:22" hidden="1" x14ac:dyDescent="0.2">
      <c r="C23" s="505">
        <v>100</v>
      </c>
      <c r="D23" s="505" t="s">
        <v>145</v>
      </c>
      <c r="E23" s="505"/>
      <c r="F23" s="505">
        <v>100</v>
      </c>
      <c r="G23" s="505">
        <v>1000</v>
      </c>
      <c r="H23" s="505" t="s">
        <v>254</v>
      </c>
      <c r="M23" s="517"/>
      <c r="N23" s="280">
        <v>500</v>
      </c>
      <c r="O23" s="355">
        <f>ROUND($Q$18*P23,2)</f>
        <v>0.85</v>
      </c>
      <c r="P23" s="355">
        <f>N23/$Q$19</f>
        <v>6.5239359949687409E-3</v>
      </c>
      <c r="Q23" s="62">
        <f>ROUND($Q$6*$O23,0)</f>
        <v>497</v>
      </c>
      <c r="R23" s="62">
        <f>ROUND($R$6*$O23,0)</f>
        <v>553</v>
      </c>
      <c r="S23" s="62">
        <f t="shared" ref="S23:S28" si="6">ROUND($S$6*$O23,0)</f>
        <v>595</v>
      </c>
      <c r="T23" s="62">
        <f t="shared" ref="T23:T28" si="7">ROUND($T$6*$O23,0)</f>
        <v>625</v>
      </c>
      <c r="U23" s="62">
        <f t="shared" ref="U23:U28" si="8">ROUND($U$6*$O23,0)</f>
        <v>629</v>
      </c>
      <c r="V23" s="62">
        <f t="shared" ref="V23:V28" si="9">ROUND($V$6*$O23,0)</f>
        <v>625</v>
      </c>
    </row>
    <row r="24" spans="2:22" hidden="1" x14ac:dyDescent="0.2">
      <c r="C24" s="505">
        <v>100</v>
      </c>
      <c r="D24" s="505" t="s">
        <v>145</v>
      </c>
      <c r="E24" s="505"/>
      <c r="F24" s="505">
        <v>100</v>
      </c>
      <c r="G24" s="505">
        <v>1000</v>
      </c>
      <c r="H24" s="505" t="s">
        <v>258</v>
      </c>
      <c r="M24" s="68"/>
      <c r="N24" s="280">
        <v>500</v>
      </c>
      <c r="O24" s="355">
        <f>ROUND($Q$18*P24,2)</f>
        <v>0.85</v>
      </c>
      <c r="P24" s="355">
        <f t="shared" ref="P24:P28" si="10">N24/$Q$19</f>
        <v>6.5239359949687409E-3</v>
      </c>
      <c r="Q24" s="62">
        <f>ROUND($Q$6*$O24,0)</f>
        <v>497</v>
      </c>
      <c r="R24" s="62">
        <f t="shared" ref="R24:R28" si="11">ROUND($R$6*$O24,0)</f>
        <v>553</v>
      </c>
      <c r="S24" s="62">
        <f t="shared" si="6"/>
        <v>595</v>
      </c>
      <c r="T24" s="62">
        <f t="shared" si="7"/>
        <v>625</v>
      </c>
      <c r="U24" s="62">
        <f t="shared" si="8"/>
        <v>629</v>
      </c>
      <c r="V24" s="62">
        <f t="shared" si="9"/>
        <v>625</v>
      </c>
    </row>
    <row r="25" spans="2:22" hidden="1" x14ac:dyDescent="0.2">
      <c r="C25" s="505">
        <v>100</v>
      </c>
      <c r="D25" s="505" t="s">
        <v>145</v>
      </c>
      <c r="E25" s="505"/>
      <c r="F25" s="505">
        <v>100</v>
      </c>
      <c r="G25" s="505">
        <v>1000</v>
      </c>
      <c r="H25" s="505" t="s">
        <v>260</v>
      </c>
      <c r="M25" s="518"/>
      <c r="N25" s="280">
        <v>6000</v>
      </c>
      <c r="O25" s="355">
        <f t="shared" ref="O25:O28" si="12">ROUND($Q$18*P25,2)</f>
        <v>10.26</v>
      </c>
      <c r="P25" s="355">
        <f t="shared" si="10"/>
        <v>7.8287231939624891E-2</v>
      </c>
      <c r="Q25" s="62">
        <f t="shared" ref="Q25:Q28" si="13">ROUND($Q$6*$O25,0)</f>
        <v>6002</v>
      </c>
      <c r="R25" s="62">
        <f t="shared" si="11"/>
        <v>6669</v>
      </c>
      <c r="S25" s="62">
        <f t="shared" si="6"/>
        <v>7182</v>
      </c>
      <c r="T25" s="62">
        <f t="shared" si="7"/>
        <v>7541</v>
      </c>
      <c r="U25" s="62">
        <f t="shared" si="8"/>
        <v>7592</v>
      </c>
      <c r="V25" s="62">
        <f t="shared" si="9"/>
        <v>7541</v>
      </c>
    </row>
    <row r="26" spans="2:22" hidden="1" x14ac:dyDescent="0.2">
      <c r="C26" s="505">
        <v>100</v>
      </c>
      <c r="D26" s="505" t="s">
        <v>145</v>
      </c>
      <c r="E26" s="505"/>
      <c r="F26" s="505">
        <v>100</v>
      </c>
      <c r="G26" s="505">
        <v>1000</v>
      </c>
      <c r="H26" s="505" t="s">
        <v>262</v>
      </c>
      <c r="M26" s="68"/>
      <c r="N26" s="280">
        <v>20000</v>
      </c>
      <c r="O26" s="355">
        <f t="shared" si="12"/>
        <v>34.19</v>
      </c>
      <c r="P26" s="355">
        <f t="shared" si="10"/>
        <v>0.26095743979874964</v>
      </c>
      <c r="Q26" s="62">
        <f t="shared" si="13"/>
        <v>20001</v>
      </c>
      <c r="R26" s="62">
        <f t="shared" si="11"/>
        <v>22224</v>
      </c>
      <c r="S26" s="62">
        <f t="shared" si="6"/>
        <v>23933</v>
      </c>
      <c r="T26" s="62">
        <f t="shared" si="7"/>
        <v>25130</v>
      </c>
      <c r="U26" s="62">
        <f t="shared" si="8"/>
        <v>25301</v>
      </c>
      <c r="V26" s="62">
        <f t="shared" si="9"/>
        <v>25130</v>
      </c>
    </row>
    <row r="27" spans="2:22" hidden="1" x14ac:dyDescent="0.2">
      <c r="C27" s="505">
        <v>100</v>
      </c>
      <c r="D27" s="505" t="s">
        <v>145</v>
      </c>
      <c r="E27" s="505"/>
      <c r="F27" s="505">
        <v>100</v>
      </c>
      <c r="G27" s="505">
        <v>1000</v>
      </c>
      <c r="H27" s="505" t="s">
        <v>264</v>
      </c>
      <c r="M27" s="68"/>
      <c r="N27" s="280">
        <f>42000+6640.85</f>
        <v>48640.85</v>
      </c>
      <c r="O27" s="355">
        <f t="shared" si="12"/>
        <v>83.15</v>
      </c>
      <c r="P27" s="355">
        <f t="shared" si="10"/>
        <v>0.63465958428175062</v>
      </c>
      <c r="Q27" s="62">
        <f t="shared" si="13"/>
        <v>48643</v>
      </c>
      <c r="R27" s="62">
        <f t="shared" si="11"/>
        <v>54048</v>
      </c>
      <c r="S27" s="62">
        <f t="shared" si="6"/>
        <v>58205</v>
      </c>
      <c r="T27" s="62">
        <f t="shared" si="7"/>
        <v>61115</v>
      </c>
      <c r="U27" s="62">
        <f t="shared" si="8"/>
        <v>61531</v>
      </c>
      <c r="V27" s="62">
        <f t="shared" si="9"/>
        <v>61115</v>
      </c>
    </row>
    <row r="28" spans="2:22" hidden="1" x14ac:dyDescent="0.2">
      <c r="C28" s="505" t="s">
        <v>462</v>
      </c>
      <c r="D28" s="505">
        <v>205</v>
      </c>
      <c r="E28" s="505"/>
      <c r="F28" s="505" t="s">
        <v>463</v>
      </c>
      <c r="G28" s="505" t="s">
        <v>461</v>
      </c>
      <c r="H28" s="505" t="s">
        <v>264</v>
      </c>
      <c r="M28" s="68"/>
      <c r="N28" s="280">
        <v>1000</v>
      </c>
      <c r="O28" s="355">
        <f t="shared" si="12"/>
        <v>1.71</v>
      </c>
      <c r="P28" s="355">
        <f t="shared" si="10"/>
        <v>1.3047871989937482E-2</v>
      </c>
      <c r="Q28" s="62">
        <f t="shared" si="13"/>
        <v>1000</v>
      </c>
      <c r="R28" s="62">
        <f t="shared" si="11"/>
        <v>1112</v>
      </c>
      <c r="S28" s="62">
        <f t="shared" si="6"/>
        <v>1197</v>
      </c>
      <c r="T28" s="62">
        <f t="shared" si="7"/>
        <v>1257</v>
      </c>
      <c r="U28" s="62">
        <f t="shared" si="8"/>
        <v>1265</v>
      </c>
      <c r="V28" s="62">
        <f t="shared" si="9"/>
        <v>1257</v>
      </c>
    </row>
    <row r="29" spans="2:22" hidden="1" x14ac:dyDescent="0.2">
      <c r="M29" s="68"/>
      <c r="N29" s="62"/>
    </row>
    <row r="30" spans="2:22" hidden="1" x14ac:dyDescent="0.2">
      <c r="M30" s="68"/>
      <c r="N30" s="280">
        <f>SUM(N23:N28)</f>
        <v>76640.850000000006</v>
      </c>
      <c r="O30" s="355">
        <f>SUM(O23:O28)</f>
        <v>131.01000000000002</v>
      </c>
      <c r="P30" s="355">
        <f>SUM(P23:P28)</f>
        <v>1</v>
      </c>
      <c r="Q30" s="506">
        <f>SUM(Q23:Q29)</f>
        <v>76640</v>
      </c>
      <c r="R30" s="506">
        <f>SUM(R23:R29)</f>
        <v>85159</v>
      </c>
      <c r="S30" s="506">
        <f t="shared" ref="S30:V30" si="14">SUM(S23:S29)</f>
        <v>91707</v>
      </c>
      <c r="T30" s="506">
        <f t="shared" si="14"/>
        <v>96293</v>
      </c>
      <c r="U30" s="506">
        <f t="shared" si="14"/>
        <v>96947</v>
      </c>
      <c r="V30" s="506">
        <f t="shared" si="14"/>
        <v>96293</v>
      </c>
    </row>
    <row r="31" spans="2:22" hidden="1" x14ac:dyDescent="0.2">
      <c r="M31" s="68"/>
      <c r="N31" s="68"/>
      <c r="O31" s="355"/>
      <c r="Q31" s="355">
        <f>Q19-Q30</f>
        <v>0.84999999999126885</v>
      </c>
      <c r="R31" s="355">
        <f t="shared" ref="R31:V31" si="15">R19-R30</f>
        <v>-2.5</v>
      </c>
      <c r="S31" s="355">
        <f t="shared" si="15"/>
        <v>0</v>
      </c>
      <c r="T31" s="355">
        <f t="shared" si="15"/>
        <v>-0.65000000000873115</v>
      </c>
      <c r="U31" s="355">
        <f t="shared" si="15"/>
        <v>0.39999999999417923</v>
      </c>
      <c r="V31" s="355">
        <f t="shared" si="15"/>
        <v>-0.65000000000873115</v>
      </c>
    </row>
    <row r="32" spans="2:22" x14ac:dyDescent="0.2">
      <c r="M32" s="68"/>
      <c r="N32" s="68"/>
    </row>
    <row r="33" spans="13:14" x14ac:dyDescent="0.2">
      <c r="M33" s="68"/>
      <c r="N33" s="68"/>
    </row>
    <row r="34" spans="13:14" x14ac:dyDescent="0.2">
      <c r="M34" s="68"/>
      <c r="N34" s="68"/>
    </row>
    <row r="35" spans="13:14" x14ac:dyDescent="0.2">
      <c r="M35" s="68"/>
      <c r="N35" s="68"/>
    </row>
    <row r="36" spans="13:14" x14ac:dyDescent="0.2">
      <c r="M36" s="68"/>
      <c r="N36" s="68"/>
    </row>
    <row r="37" spans="13:14" x14ac:dyDescent="0.2">
      <c r="M37" s="68"/>
      <c r="N37" s="68"/>
    </row>
    <row r="38" spans="13:14" x14ac:dyDescent="0.2">
      <c r="M38" s="68"/>
      <c r="N38" s="68"/>
    </row>
    <row r="39" spans="13:14" x14ac:dyDescent="0.2">
      <c r="M39" s="68"/>
      <c r="N39" s="518"/>
    </row>
    <row r="40" spans="13:14" x14ac:dyDescent="0.2">
      <c r="M40" s="68"/>
      <c r="N40" s="68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E1D3-DF83-4FF7-9B90-2C29956E849E}">
  <sheetPr codeName="Sheet13" filterMode="1"/>
  <dimension ref="A1:WWF201"/>
  <sheetViews>
    <sheetView workbookViewId="0">
      <pane xSplit="8" ySplit="5" topLeftCell="AG108" activePane="bottomRight" state="frozen"/>
      <selection activeCell="C412" sqref="C412"/>
      <selection pane="topRight" activeCell="C412" sqref="C412"/>
      <selection pane="bottomLeft" activeCell="C412" sqref="C412"/>
      <selection pane="bottomRight" activeCell="C412" sqref="C412"/>
    </sheetView>
  </sheetViews>
  <sheetFormatPr defaultRowHeight="12.75" x14ac:dyDescent="0.2"/>
  <cols>
    <col min="4" max="4" width="1.28515625" customWidth="1"/>
    <col min="5" max="5" width="7.7109375" bestFit="1" customWidth="1"/>
    <col min="6" max="6" width="7.85546875" bestFit="1" customWidth="1"/>
    <col min="7" max="7" width="6.140625" bestFit="1" customWidth="1"/>
    <col min="8" max="8" width="8" bestFit="1" customWidth="1"/>
    <col min="9" max="9" width="14.5703125" style="253" customWidth="1"/>
    <col min="10" max="10" width="9.42578125" style="253" customWidth="1"/>
    <col min="11" max="11" width="18.5703125" style="253" customWidth="1"/>
    <col min="12" max="12" width="32.140625" style="253" customWidth="1"/>
    <col min="13" max="13" width="5.42578125" customWidth="1"/>
    <col min="14" max="14" width="4.85546875" customWidth="1"/>
    <col min="15" max="15" width="5.42578125" customWidth="1"/>
    <col min="16" max="16" width="6.28515625" customWidth="1"/>
    <col min="17" max="17" width="9.140625" customWidth="1"/>
    <col min="18" max="18" width="7.42578125" customWidth="1"/>
    <col min="19" max="20" width="9.140625" customWidth="1"/>
    <col min="21" max="24" width="12" customWidth="1"/>
    <col min="25" max="25" width="12.28515625" customWidth="1"/>
    <col min="26" max="26" width="10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5" width="12.7109375" bestFit="1" customWidth="1"/>
    <col min="36" max="36" width="7.85546875" bestFit="1" customWidth="1"/>
    <col min="37" max="37" width="7.28515625" bestFit="1" customWidth="1"/>
    <col min="38" max="38" width="12.42578125" bestFit="1" customWidth="1"/>
    <col min="39" max="40" width="12.85546875" customWidth="1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946" t="s">
        <v>339</v>
      </c>
      <c r="Q1" s="231"/>
      <c r="R1" s="231"/>
      <c r="S1" s="229"/>
      <c r="T1" s="229"/>
      <c r="U1" s="229"/>
      <c r="V1" s="254"/>
      <c r="W1" s="226">
        <v>1.153586</v>
      </c>
      <c r="X1" s="229"/>
      <c r="Y1" s="229"/>
      <c r="Z1" s="229"/>
      <c r="AA1" s="229"/>
      <c r="AB1" s="229"/>
      <c r="AC1" s="192">
        <f>IF('Employee Detail FY21'!AC1="","",'Employee Detail FY21'!AC1)</f>
        <v>7943.76</v>
      </c>
      <c r="AD1" s="232">
        <v>6.2E-2</v>
      </c>
      <c r="AE1" s="232">
        <v>0.155</v>
      </c>
      <c r="AF1" s="232">
        <v>1.4500000000000001E-2</v>
      </c>
      <c r="AG1" s="229"/>
      <c r="AH1" s="281">
        <f>'Employee Detail FY21'!AH1</f>
        <v>9.1023361069124693E-3</v>
      </c>
      <c r="AI1" s="281">
        <v>2.0209115643897075E-3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Students'!D6</f>
        <v>FY2223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946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0.29749999999999999</v>
      </c>
      <c r="AF2" s="229"/>
      <c r="AG2" s="229"/>
      <c r="AH2" s="229"/>
      <c r="AI2" s="281">
        <v>2.0209115643897075E-3</v>
      </c>
      <c r="AJ2" s="229"/>
      <c r="AK2" s="229"/>
      <c r="AL2" s="229"/>
      <c r="AM2" s="229"/>
      <c r="AN2" s="229"/>
    </row>
    <row r="3" spans="1:16152" s="243" customFormat="1" ht="57.7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946"/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hidden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hidden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hidden="1" x14ac:dyDescent="0.2">
      <c r="A6" s="264" t="str">
        <f>IF('Employee Detail FY21'!A6="","",'Employee Detail FY21'!A6)</f>
        <v/>
      </c>
      <c r="B6" s="350" t="str">
        <f>IF('Employee Detail FY21'!B6="","",'Employee Detail FY21'!B6)</f>
        <v/>
      </c>
      <c r="C6" s="350" t="str">
        <f>IF('Employee Detail FY21'!C6="","",'Employee Detail FY21'!C6)</f>
        <v/>
      </c>
      <c r="D6" s="350"/>
      <c r="E6" s="350" t="str">
        <f>IF('Employee Detail FY21'!E6="","",'Employee Detail FY21'!E6)</f>
        <v/>
      </c>
      <c r="F6" s="350" t="str">
        <f>IF('Employee Detail FY21'!F6="","",'Employee Detail FY21'!F6)</f>
        <v/>
      </c>
      <c r="G6" s="350" t="str">
        <f>IF('Employee Detail FY21'!G6="","",'Employee Detail FY21'!G6)</f>
        <v/>
      </c>
      <c r="H6" s="350"/>
      <c r="I6" s="264" t="str">
        <f>IF('Employee Detail FY21'!I6="","",'Employee Detail FY21'!I6)</f>
        <v/>
      </c>
      <c r="J6" s="264" t="str">
        <f>IF('Employee Detail FY21'!J6="","",'Employee Detail FY21'!J6)</f>
        <v/>
      </c>
      <c r="K6" s="264" t="str">
        <f>IF('Employee Detail FY21'!K6="","",'Employee Detail FY21'!K6)</f>
        <v/>
      </c>
      <c r="L6" s="264" t="str">
        <f>IF('Employee Detail FY21'!L6="","",'Employee Detail FY21'!L6)</f>
        <v/>
      </c>
      <c r="M6" s="267" t="str">
        <f>IF('Employee Detail FY21'!M6="","",'Employee Detail FY21'!M6)</f>
        <v/>
      </c>
      <c r="N6" s="264" t="str">
        <f>IF('Employee Detail FY21'!N6="","",'Employee Detail FY21'!N6)</f>
        <v/>
      </c>
      <c r="O6" s="264" t="str">
        <f>IF('Employee Detail FY21'!O6="","",'Employee Detail FY21'!O6)</f>
        <v/>
      </c>
      <c r="P6" s="264" t="str">
        <f>IF('Employee Detail FY21'!P6="","",'Employee Detail FY21'!P6)</f>
        <v/>
      </c>
      <c r="Q6" s="264" t="str">
        <f>IF('Employee Detail FY21'!Q6="","",'Employee Detail FY21'!Q6)</f>
        <v/>
      </c>
      <c r="R6" s="264" t="str">
        <f>IF('Employee Detail FY21'!R6="","",'Employee Detail FY21'!R6)</f>
        <v/>
      </c>
      <c r="S6" s="264" t="str">
        <f>IF('Employee Detail FY21'!S6="","",'Employee Detail FY21'!S6)</f>
        <v/>
      </c>
      <c r="T6" s="263" t="str">
        <f>+IF(R6="","",R6*S6)</f>
        <v/>
      </c>
      <c r="U6" s="269" t="str">
        <f>IF('Employee Detail FY21'!U6="","",'Employee Detail FY21'!U6)</f>
        <v/>
      </c>
      <c r="V6" s="270" t="str">
        <f>IF($U6="","",$U6*(1+$V$1))</f>
        <v/>
      </c>
      <c r="W6" s="270" t="str">
        <f t="shared" ref="W6:W26" si="0">+IF(P6="EE",+V6*$W$1,"")</f>
        <v/>
      </c>
      <c r="X6" s="270" t="str">
        <f t="shared" ref="X6:X26" si="1">_xlfn.IFS(P6="ER",V6,P6="EE",W6,P6="N",V6,P6="","")</f>
        <v/>
      </c>
      <c r="Y6" s="62">
        <v>0</v>
      </c>
      <c r="Z6" s="62">
        <v>0</v>
      </c>
      <c r="AA6" s="256">
        <f t="shared" ref="AA6" si="2">SUM(X6:Z6)</f>
        <v>0</v>
      </c>
      <c r="AB6" s="3"/>
      <c r="AC6" s="62" t="str">
        <f>IF('Employee Detail FY21'!AC6="","",'Employee Detail FY21'!AC6)</f>
        <v/>
      </c>
      <c r="AD6" s="62" t="str">
        <f t="shared" ref="AD6" si="3">_xlfn.IFS(P6="N",$AD$1*AA6,P6="EE","",P6="ER","",P6="","")</f>
        <v/>
      </c>
      <c r="AE6" s="62" t="str">
        <f t="shared" ref="AE6" si="4">_xlfn.IFS(P6="EE",X6*$AE$1,P6="ER",X6*$AE$2,P6="N","",P6="","")</f>
        <v/>
      </c>
      <c r="AF6" s="62" t="str">
        <f t="shared" ref="AF6" si="5">+IF(AA6&gt;1,AA6*$AF$1,"")</f>
        <v/>
      </c>
      <c r="AG6" s="192">
        <v>0</v>
      </c>
      <c r="AH6" s="62" t="str">
        <f t="shared" ref="AH6" si="6">+IF(AA6&gt;1,AA6*$AH$1,"")</f>
        <v/>
      </c>
      <c r="AI6" s="62">
        <f t="shared" ref="AI6" si="7">+_xlfn.IFS(F6&lt;2300,(AA6*$AI$1),F6&gt;=2300,(AA6*$AI$2),F6="","")</f>
        <v>0</v>
      </c>
      <c r="AJ6" s="62"/>
      <c r="AK6" s="62">
        <v>0</v>
      </c>
      <c r="AL6" s="256">
        <f t="shared" ref="AL6:AL26" si="8">SUM(AC6:AK6)</f>
        <v>0</v>
      </c>
      <c r="AM6" s="256">
        <f t="shared" ref="AM6:AM26" si="9">AA6</f>
        <v>0</v>
      </c>
      <c r="AN6" s="256">
        <f t="shared" ref="AN6:AN26" si="10">SUM(AL6:AM6)</f>
        <v>0</v>
      </c>
    </row>
    <row r="7" spans="1:16152" hidden="1" x14ac:dyDescent="0.2">
      <c r="A7" s="386" t="s">
        <v>386</v>
      </c>
      <c r="B7" s="437">
        <v>100</v>
      </c>
      <c r="C7" s="437" t="s">
        <v>145</v>
      </c>
      <c r="D7" s="437"/>
      <c r="E7" s="437">
        <v>100</v>
      </c>
      <c r="F7" s="531" t="s">
        <v>556</v>
      </c>
      <c r="G7" s="531" t="s">
        <v>167</v>
      </c>
      <c r="H7" s="437" t="s">
        <v>920</v>
      </c>
      <c r="I7" s="386" t="s">
        <v>962</v>
      </c>
      <c r="J7" s="386" t="s">
        <v>976</v>
      </c>
      <c r="K7" s="386" t="s">
        <v>393</v>
      </c>
      <c r="L7" s="386" t="s">
        <v>902</v>
      </c>
      <c r="M7" s="386">
        <v>1</v>
      </c>
      <c r="N7" s="386" t="s">
        <v>93</v>
      </c>
      <c r="O7" s="386">
        <v>1</v>
      </c>
      <c r="P7" s="386" t="s">
        <v>390</v>
      </c>
      <c r="Q7" s="389" t="s">
        <v>386</v>
      </c>
      <c r="R7" s="386">
        <v>261</v>
      </c>
      <c r="S7" s="386">
        <v>8</v>
      </c>
      <c r="T7" s="483">
        <f t="shared" ref="T7:T13" si="11">R7*S7</f>
        <v>2088</v>
      </c>
      <c r="U7" s="482">
        <v>62320</v>
      </c>
      <c r="V7" s="395">
        <v>63552</v>
      </c>
      <c r="W7" s="270">
        <f t="shared" ref="W7:W13" si="12">+IF(P7="EE",+V7*$W$1,"")</f>
        <v>73312.697472</v>
      </c>
      <c r="X7" s="270">
        <f t="shared" ref="X7:X13" si="13">_xlfn.IFS(P7="ER",V7,P7="EE",W7,P7="N",V7,P7="","")</f>
        <v>73312.697472</v>
      </c>
      <c r="Y7" s="399">
        <v>0</v>
      </c>
      <c r="Z7" s="62">
        <v>0</v>
      </c>
      <c r="AA7" s="256">
        <f t="shared" ref="AA7:AA13" si="14">SUM(X7:Z7)</f>
        <v>73312.697472</v>
      </c>
      <c r="AB7" s="3"/>
      <c r="AC7" s="62">
        <f>IF(AND(M7&gt;0.1,P7&lt;&gt;"N"),$AC$1,"")</f>
        <v>7943.76</v>
      </c>
      <c r="AD7" s="62" t="str">
        <f t="shared" ref="AD7:AD13" si="15">_xlfn.IFS(P7="N",$AD$1*AA7,P7="EE","",P7="ER","",P7="","")</f>
        <v/>
      </c>
      <c r="AE7" s="62">
        <f t="shared" ref="AE7:AE13" si="16">_xlfn.IFS(P7="EE",X7*$AE$1,P7="ER",X7*$AE$2,P7="N","",P7="","")</f>
        <v>11363.468108159999</v>
      </c>
      <c r="AF7" s="62">
        <f t="shared" ref="AF7:AF13" si="17">+IF(AA7&gt;1,AA7*$AF$1,"")</f>
        <v>1063.0341133440002</v>
      </c>
      <c r="AG7" s="192">
        <v>0</v>
      </c>
      <c r="AH7" s="62">
        <f t="shared" ref="AH7:AH13" si="18">+IF(AA7&gt;1,AA7*$AH$1,"")</f>
        <v>667.31681329453613</v>
      </c>
      <c r="AI7" s="62">
        <f t="shared" ref="AI7:AI25" si="19">+_xlfn.IFS(F7&lt;2300,(AA7*$AI$1),F7&gt;=2300,(AA7*$AI$2),F7="","")</f>
        <v>148.15847813776887</v>
      </c>
      <c r="AJ7" s="62"/>
      <c r="AK7" s="62">
        <v>0</v>
      </c>
      <c r="AL7" s="256">
        <f t="shared" ref="AL7:AL25" si="20">SUM(AC7:AK7)</f>
        <v>21185.737512936306</v>
      </c>
      <c r="AM7" s="256">
        <f t="shared" ref="AM7:AM25" si="21">AA7</f>
        <v>73312.697472</v>
      </c>
      <c r="AN7" s="256">
        <f t="shared" ref="AN7:AN25" si="22">SUM(AL7:AM7)</f>
        <v>94498.434984936306</v>
      </c>
    </row>
    <row r="8" spans="1:16152" hidden="1" x14ac:dyDescent="0.2">
      <c r="A8" s="386" t="s">
        <v>386</v>
      </c>
      <c r="B8" s="437">
        <v>100</v>
      </c>
      <c r="C8" s="437" t="s">
        <v>145</v>
      </c>
      <c r="D8" s="437"/>
      <c r="E8" s="437">
        <v>100</v>
      </c>
      <c r="F8" s="531" t="s">
        <v>464</v>
      </c>
      <c r="G8" s="531" t="s">
        <v>165</v>
      </c>
      <c r="H8" s="437" t="s">
        <v>920</v>
      </c>
      <c r="I8" s="386" t="s">
        <v>912</v>
      </c>
      <c r="J8" s="386" t="s">
        <v>913</v>
      </c>
      <c r="K8" s="386" t="s">
        <v>406</v>
      </c>
      <c r="L8" s="386" t="s">
        <v>958</v>
      </c>
      <c r="M8" s="386">
        <v>1</v>
      </c>
      <c r="N8" s="386" t="s">
        <v>93</v>
      </c>
      <c r="O8" s="386">
        <v>1</v>
      </c>
      <c r="P8" s="386" t="s">
        <v>342</v>
      </c>
      <c r="Q8" s="389" t="s">
        <v>386</v>
      </c>
      <c r="R8" s="386">
        <v>261</v>
      </c>
      <c r="S8" s="386">
        <v>8</v>
      </c>
      <c r="T8" s="483">
        <f t="shared" si="11"/>
        <v>2088</v>
      </c>
      <c r="U8" s="482">
        <v>123000</v>
      </c>
      <c r="V8" s="395">
        <v>126690</v>
      </c>
      <c r="W8" s="270" t="str">
        <f t="shared" si="12"/>
        <v/>
      </c>
      <c r="X8" s="270">
        <f t="shared" si="13"/>
        <v>126690</v>
      </c>
      <c r="Y8" s="399">
        <v>0</v>
      </c>
      <c r="Z8" s="62">
        <v>0</v>
      </c>
      <c r="AA8" s="256">
        <f t="shared" si="14"/>
        <v>126690</v>
      </c>
      <c r="AB8" s="3"/>
      <c r="AC8" s="62">
        <f t="shared" ref="AC8:AC71" si="23">IF(AND(M8&gt;0.1,P8&lt;&gt;"N"),$AC$1,"")</f>
        <v>7943.76</v>
      </c>
      <c r="AD8" s="62" t="str">
        <f t="shared" si="15"/>
        <v/>
      </c>
      <c r="AE8" s="62">
        <f t="shared" si="16"/>
        <v>37690.275000000001</v>
      </c>
      <c r="AF8" s="62">
        <f t="shared" si="17"/>
        <v>1837.0050000000001</v>
      </c>
      <c r="AG8" s="192">
        <v>0</v>
      </c>
      <c r="AH8" s="62">
        <f t="shared" si="18"/>
        <v>1153.1749613847408</v>
      </c>
      <c r="AI8" s="62">
        <f t="shared" si="19"/>
        <v>256.02928609253206</v>
      </c>
      <c r="AJ8" s="62"/>
      <c r="AK8" s="62">
        <v>0</v>
      </c>
      <c r="AL8" s="256">
        <f t="shared" si="20"/>
        <v>48880.244247477276</v>
      </c>
      <c r="AM8" s="256">
        <f t="shared" si="21"/>
        <v>126690</v>
      </c>
      <c r="AN8" s="256">
        <f t="shared" si="22"/>
        <v>175570.24424747727</v>
      </c>
    </row>
    <row r="9" spans="1:16152" hidden="1" x14ac:dyDescent="0.2">
      <c r="A9" s="386" t="s">
        <v>386</v>
      </c>
      <c r="B9" s="437" t="s">
        <v>468</v>
      </c>
      <c r="C9" s="437" t="s">
        <v>145</v>
      </c>
      <c r="D9" s="437"/>
      <c r="E9" s="437" t="s">
        <v>468</v>
      </c>
      <c r="F9" s="531" t="s">
        <v>465</v>
      </c>
      <c r="G9" s="531" t="s">
        <v>167</v>
      </c>
      <c r="H9" s="438" t="s">
        <v>563</v>
      </c>
      <c r="I9" s="386" t="s">
        <v>967</v>
      </c>
      <c r="J9" s="386" t="s">
        <v>982</v>
      </c>
      <c r="K9" s="386" t="s">
        <v>389</v>
      </c>
      <c r="L9" s="386" t="s">
        <v>984</v>
      </c>
      <c r="M9" s="386">
        <v>1</v>
      </c>
      <c r="N9" s="386" t="s">
        <v>386</v>
      </c>
      <c r="O9" s="386">
        <v>26</v>
      </c>
      <c r="P9" s="386" t="s">
        <v>342</v>
      </c>
      <c r="Q9" s="389" t="s">
        <v>386</v>
      </c>
      <c r="R9" s="386">
        <v>200</v>
      </c>
      <c r="S9" s="386">
        <v>8</v>
      </c>
      <c r="T9" s="483">
        <f t="shared" si="11"/>
        <v>1600</v>
      </c>
      <c r="U9" s="482">
        <v>50788</v>
      </c>
      <c r="V9" s="395">
        <v>51803</v>
      </c>
      <c r="W9" s="270" t="str">
        <f t="shared" si="12"/>
        <v/>
      </c>
      <c r="X9" s="270">
        <f t="shared" si="13"/>
        <v>51803</v>
      </c>
      <c r="Y9" s="399">
        <v>0</v>
      </c>
      <c r="Z9" s="62">
        <v>0</v>
      </c>
      <c r="AA9" s="256">
        <f t="shared" si="14"/>
        <v>51803</v>
      </c>
      <c r="AB9" s="3"/>
      <c r="AC9" s="62">
        <f t="shared" si="23"/>
        <v>7943.76</v>
      </c>
      <c r="AD9" s="62" t="str">
        <f t="shared" si="15"/>
        <v/>
      </c>
      <c r="AE9" s="62">
        <f t="shared" si="16"/>
        <v>15411.3925</v>
      </c>
      <c r="AF9" s="62">
        <f t="shared" si="17"/>
        <v>751.14350000000002</v>
      </c>
      <c r="AG9" s="192">
        <v>0</v>
      </c>
      <c r="AH9" s="62">
        <f t="shared" si="18"/>
        <v>471.52831734638664</v>
      </c>
      <c r="AI9" s="62">
        <f t="shared" si="19"/>
        <v>104.68928177008002</v>
      </c>
      <c r="AJ9" s="62"/>
      <c r="AK9" s="62">
        <v>0</v>
      </c>
      <c r="AL9" s="256">
        <f t="shared" si="20"/>
        <v>24682.513599116464</v>
      </c>
      <c r="AM9" s="256">
        <f t="shared" si="21"/>
        <v>51803</v>
      </c>
      <c r="AN9" s="256">
        <f t="shared" si="22"/>
        <v>76485.513599116472</v>
      </c>
    </row>
    <row r="10" spans="1:16152" hidden="1" x14ac:dyDescent="0.2">
      <c r="A10" s="386" t="s">
        <v>386</v>
      </c>
      <c r="B10" s="437">
        <v>250</v>
      </c>
      <c r="C10" s="437" t="s">
        <v>132</v>
      </c>
      <c r="D10" s="437"/>
      <c r="E10" s="437">
        <v>200</v>
      </c>
      <c r="F10" s="531">
        <v>2140</v>
      </c>
      <c r="G10" s="531" t="s">
        <v>167</v>
      </c>
      <c r="H10" s="437" t="s">
        <v>920</v>
      </c>
      <c r="I10" s="386" t="s">
        <v>919</v>
      </c>
      <c r="J10" s="386" t="s">
        <v>429</v>
      </c>
      <c r="K10" s="386" t="s">
        <v>393</v>
      </c>
      <c r="L10" s="386" t="s">
        <v>430</v>
      </c>
      <c r="M10" s="386">
        <v>1</v>
      </c>
      <c r="N10" s="386" t="s">
        <v>386</v>
      </c>
      <c r="O10" s="386">
        <v>26</v>
      </c>
      <c r="P10" s="386" t="s">
        <v>390</v>
      </c>
      <c r="Q10" s="389" t="s">
        <v>386</v>
      </c>
      <c r="R10" s="386">
        <v>200</v>
      </c>
      <c r="S10" s="386">
        <v>8</v>
      </c>
      <c r="T10" s="483">
        <f t="shared" si="11"/>
        <v>1600</v>
      </c>
      <c r="U10" s="482">
        <v>72768.800000000003</v>
      </c>
      <c r="V10" s="395">
        <v>71115</v>
      </c>
      <c r="W10" s="270">
        <f t="shared" si="12"/>
        <v>82037.268389999997</v>
      </c>
      <c r="X10" s="270">
        <f t="shared" si="13"/>
        <v>82037.268389999997</v>
      </c>
      <c r="Y10" s="399">
        <v>0</v>
      </c>
      <c r="Z10" s="62">
        <v>0</v>
      </c>
      <c r="AA10" s="256">
        <f t="shared" si="14"/>
        <v>82037.268389999997</v>
      </c>
      <c r="AB10" s="3"/>
      <c r="AC10" s="62">
        <f t="shared" si="23"/>
        <v>7943.76</v>
      </c>
      <c r="AD10" s="62" t="str">
        <f t="shared" si="15"/>
        <v/>
      </c>
      <c r="AE10" s="62">
        <f t="shared" si="16"/>
        <v>12715.776600449999</v>
      </c>
      <c r="AF10" s="62">
        <f t="shared" si="17"/>
        <v>1189.5403916550001</v>
      </c>
      <c r="AG10" s="192">
        <v>0</v>
      </c>
      <c r="AH10" s="62">
        <f t="shared" si="18"/>
        <v>746.73079017876591</v>
      </c>
      <c r="AI10" s="62">
        <f t="shared" si="19"/>
        <v>165.7900644002932</v>
      </c>
      <c r="AJ10" s="62"/>
      <c r="AK10" s="62">
        <v>0</v>
      </c>
      <c r="AL10" s="256">
        <f t="shared" si="20"/>
        <v>22761.597846684057</v>
      </c>
      <c r="AM10" s="256">
        <f t="shared" si="21"/>
        <v>82037.268389999997</v>
      </c>
      <c r="AN10" s="256">
        <f t="shared" si="22"/>
        <v>104798.86623668406</v>
      </c>
    </row>
    <row r="11" spans="1:16152" hidden="1" x14ac:dyDescent="0.2">
      <c r="A11" s="394" t="s">
        <v>998</v>
      </c>
      <c r="B11" s="500">
        <v>280</v>
      </c>
      <c r="C11" s="500">
        <v>741</v>
      </c>
      <c r="D11" s="500"/>
      <c r="E11" s="500" t="s">
        <v>468</v>
      </c>
      <c r="F11" s="531" t="s">
        <v>465</v>
      </c>
      <c r="G11" s="531" t="s">
        <v>167</v>
      </c>
      <c r="H11" s="501" t="s">
        <v>563</v>
      </c>
      <c r="I11" s="394" t="s">
        <v>969</v>
      </c>
      <c r="J11" s="394" t="s">
        <v>424</v>
      </c>
      <c r="K11" s="394" t="s">
        <v>393</v>
      </c>
      <c r="L11" s="394" t="s">
        <v>985</v>
      </c>
      <c r="M11" s="394">
        <v>1</v>
      </c>
      <c r="N11" s="394" t="s">
        <v>386</v>
      </c>
      <c r="O11" s="394">
        <v>26</v>
      </c>
      <c r="P11" s="394" t="s">
        <v>390</v>
      </c>
      <c r="Q11" s="400" t="s">
        <v>386</v>
      </c>
      <c r="R11" s="394">
        <v>200</v>
      </c>
      <c r="S11" s="394">
        <v>8</v>
      </c>
      <c r="T11" s="483">
        <f t="shared" si="11"/>
        <v>1600</v>
      </c>
      <c r="U11" s="482">
        <v>39919</v>
      </c>
      <c r="V11" s="395">
        <v>58339</v>
      </c>
      <c r="W11" s="270">
        <f t="shared" si="12"/>
        <v>67299.053654000003</v>
      </c>
      <c r="X11" s="270">
        <f t="shared" si="13"/>
        <v>67299.053654000003</v>
      </c>
      <c r="Y11" s="399">
        <v>0</v>
      </c>
      <c r="Z11" s="62">
        <v>0</v>
      </c>
      <c r="AA11" s="256">
        <f t="shared" si="14"/>
        <v>67299.053654000003</v>
      </c>
      <c r="AB11" s="3"/>
      <c r="AC11" s="62">
        <f t="shared" si="23"/>
        <v>7943.76</v>
      </c>
      <c r="AD11" s="62" t="str">
        <f t="shared" si="15"/>
        <v/>
      </c>
      <c r="AE11" s="62">
        <f t="shared" si="16"/>
        <v>10431.353316370001</v>
      </c>
      <c r="AF11" s="62">
        <f t="shared" si="17"/>
        <v>975.83627798300006</v>
      </c>
      <c r="AG11" s="192">
        <v>0</v>
      </c>
      <c r="AH11" s="62">
        <f t="shared" si="18"/>
        <v>612.57860603584379</v>
      </c>
      <c r="AI11" s="62">
        <f t="shared" si="19"/>
        <v>136.005435801852</v>
      </c>
      <c r="AJ11" s="62"/>
      <c r="AK11" s="62">
        <v>0</v>
      </c>
      <c r="AL11" s="256">
        <f t="shared" si="20"/>
        <v>20099.533636190696</v>
      </c>
      <c r="AM11" s="256">
        <f t="shared" si="21"/>
        <v>67299.053654000003</v>
      </c>
      <c r="AN11" s="256">
        <f t="shared" si="22"/>
        <v>87398.587290190699</v>
      </c>
    </row>
    <row r="12" spans="1:16152" hidden="1" x14ac:dyDescent="0.2">
      <c r="A12" s="439" t="s">
        <v>1103</v>
      </c>
      <c r="B12" s="440">
        <v>280</v>
      </c>
      <c r="C12" s="472">
        <v>624</v>
      </c>
      <c r="D12" s="440"/>
      <c r="E12" s="440">
        <v>430</v>
      </c>
      <c r="F12" s="531">
        <v>2410</v>
      </c>
      <c r="G12" s="532" t="s">
        <v>165</v>
      </c>
      <c r="H12" s="440" t="s">
        <v>497</v>
      </c>
      <c r="I12" s="439" t="s">
        <v>1077</v>
      </c>
      <c r="J12" s="439" t="s">
        <v>1078</v>
      </c>
      <c r="K12" s="439" t="s">
        <v>389</v>
      </c>
      <c r="L12" s="439" t="s">
        <v>904</v>
      </c>
      <c r="M12" s="439">
        <v>1</v>
      </c>
      <c r="N12" s="439"/>
      <c r="O12" s="439">
        <v>26</v>
      </c>
      <c r="P12" s="439" t="s">
        <v>342</v>
      </c>
      <c r="Q12" s="533" t="str">
        <f>IF('Employee Detail FY21'!Q42="","",'Employee Detail FY21'!Q42)</f>
        <v/>
      </c>
      <c r="R12" s="439">
        <v>261</v>
      </c>
      <c r="S12" s="439">
        <v>8</v>
      </c>
      <c r="T12" s="483">
        <f t="shared" si="11"/>
        <v>2088</v>
      </c>
      <c r="U12" s="482">
        <v>89000</v>
      </c>
      <c r="V12" s="395">
        <v>84500</v>
      </c>
      <c r="W12" s="270" t="str">
        <f t="shared" si="12"/>
        <v/>
      </c>
      <c r="X12" s="270">
        <f t="shared" si="13"/>
        <v>84500</v>
      </c>
      <c r="Y12" s="399">
        <v>0</v>
      </c>
      <c r="Z12" s="62">
        <v>0</v>
      </c>
      <c r="AA12" s="256">
        <f t="shared" si="14"/>
        <v>84500</v>
      </c>
      <c r="AB12" s="3"/>
      <c r="AC12" s="62">
        <f t="shared" si="23"/>
        <v>7943.76</v>
      </c>
      <c r="AD12" s="62" t="str">
        <f t="shared" si="15"/>
        <v/>
      </c>
      <c r="AE12" s="62">
        <f t="shared" si="16"/>
        <v>25138.75</v>
      </c>
      <c r="AF12" s="62">
        <f t="shared" si="17"/>
        <v>1225.25</v>
      </c>
      <c r="AG12" s="192">
        <v>0</v>
      </c>
      <c r="AH12" s="62">
        <f t="shared" si="18"/>
        <v>769.14740103410361</v>
      </c>
      <c r="AI12" s="62">
        <f t="shared" si="19"/>
        <v>170.76702719093029</v>
      </c>
      <c r="AJ12" s="62"/>
      <c r="AK12" s="62">
        <v>0</v>
      </c>
      <c r="AL12" s="256">
        <f t="shared" si="20"/>
        <v>35247.674428225037</v>
      </c>
      <c r="AM12" s="256">
        <f t="shared" si="21"/>
        <v>84500</v>
      </c>
      <c r="AN12" s="256">
        <f t="shared" si="22"/>
        <v>119747.67442822503</v>
      </c>
    </row>
    <row r="13" spans="1:16152" hidden="1" x14ac:dyDescent="0.2">
      <c r="A13" s="386" t="s">
        <v>386</v>
      </c>
      <c r="B13" s="437">
        <v>100</v>
      </c>
      <c r="C13" s="437" t="s">
        <v>145</v>
      </c>
      <c r="D13" s="437"/>
      <c r="E13" s="437">
        <v>100</v>
      </c>
      <c r="F13" s="531" t="s">
        <v>464</v>
      </c>
      <c r="G13" s="531" t="s">
        <v>165</v>
      </c>
      <c r="H13" s="438" t="s">
        <v>920</v>
      </c>
      <c r="I13" s="386" t="s">
        <v>911</v>
      </c>
      <c r="J13" s="386" t="s">
        <v>448</v>
      </c>
      <c r="K13" s="386" t="s">
        <v>446</v>
      </c>
      <c r="L13" s="386" t="s">
        <v>449</v>
      </c>
      <c r="M13" s="386">
        <v>1</v>
      </c>
      <c r="N13" s="386" t="s">
        <v>386</v>
      </c>
      <c r="O13" s="386">
        <v>26</v>
      </c>
      <c r="P13" s="386" t="s">
        <v>342</v>
      </c>
      <c r="Q13" s="389" t="s">
        <v>386</v>
      </c>
      <c r="R13" s="386">
        <v>261</v>
      </c>
      <c r="S13" s="386">
        <v>8</v>
      </c>
      <c r="T13" s="483">
        <f t="shared" si="11"/>
        <v>2088</v>
      </c>
      <c r="U13" s="482">
        <v>135000</v>
      </c>
      <c r="V13" s="395">
        <v>139050</v>
      </c>
      <c r="W13" s="270" t="str">
        <f t="shared" si="12"/>
        <v/>
      </c>
      <c r="X13" s="270">
        <f t="shared" si="13"/>
        <v>139050</v>
      </c>
      <c r="Y13" s="399">
        <v>0</v>
      </c>
      <c r="Z13" s="62">
        <v>0</v>
      </c>
      <c r="AA13" s="256">
        <f t="shared" si="14"/>
        <v>139050</v>
      </c>
      <c r="AB13" s="3"/>
      <c r="AC13" s="62">
        <f t="shared" si="23"/>
        <v>7943.76</v>
      </c>
      <c r="AD13" s="62" t="str">
        <f t="shared" si="15"/>
        <v/>
      </c>
      <c r="AE13" s="62">
        <f t="shared" si="16"/>
        <v>41367.375</v>
      </c>
      <c r="AF13" s="62">
        <f t="shared" si="17"/>
        <v>2016.2250000000001</v>
      </c>
      <c r="AG13" s="192">
        <v>0</v>
      </c>
      <c r="AH13" s="62">
        <f t="shared" si="18"/>
        <v>1265.6798356661789</v>
      </c>
      <c r="AI13" s="62">
        <f t="shared" si="19"/>
        <v>281.00775302838883</v>
      </c>
      <c r="AJ13" s="62"/>
      <c r="AK13" s="62">
        <v>0</v>
      </c>
      <c r="AL13" s="256">
        <f t="shared" si="20"/>
        <v>52874.047588694571</v>
      </c>
      <c r="AM13" s="256">
        <f t="shared" si="21"/>
        <v>139050</v>
      </c>
      <c r="AN13" s="256">
        <f t="shared" si="22"/>
        <v>191924.04758869458</v>
      </c>
    </row>
    <row r="14" spans="1:16152" hidden="1" x14ac:dyDescent="0.2">
      <c r="A14" s="386"/>
      <c r="B14" s="437"/>
      <c r="C14" s="437"/>
      <c r="D14" s="437"/>
      <c r="E14" s="437"/>
      <c r="F14" s="437"/>
      <c r="G14" s="437"/>
      <c r="H14" s="437"/>
      <c r="I14" s="386"/>
      <c r="J14" s="386"/>
      <c r="K14" s="386"/>
      <c r="L14" s="386"/>
      <c r="M14" s="386"/>
      <c r="N14" s="386"/>
      <c r="O14" s="386"/>
      <c r="P14" s="386"/>
      <c r="Q14" s="386"/>
      <c r="R14" s="386"/>
      <c r="S14" s="386"/>
      <c r="T14" s="263"/>
      <c r="U14" s="269"/>
      <c r="V14" s="270"/>
      <c r="W14" s="270"/>
      <c r="X14" s="270"/>
      <c r="Y14" s="62"/>
      <c r="Z14" s="62"/>
      <c r="AA14" s="256"/>
      <c r="AB14" s="3"/>
      <c r="AC14" s="62" t="str">
        <f t="shared" si="23"/>
        <v/>
      </c>
      <c r="AD14" s="62"/>
      <c r="AE14" s="62"/>
      <c r="AF14" s="62"/>
      <c r="AG14" s="192"/>
      <c r="AH14" s="62"/>
      <c r="AI14" s="62">
        <f t="shared" si="19"/>
        <v>0</v>
      </c>
      <c r="AJ14" s="62"/>
      <c r="AK14" s="62"/>
      <c r="AL14" s="256">
        <f t="shared" si="20"/>
        <v>0</v>
      </c>
      <c r="AM14" s="256">
        <f t="shared" si="21"/>
        <v>0</v>
      </c>
      <c r="AN14" s="256">
        <f t="shared" si="22"/>
        <v>0</v>
      </c>
    </row>
    <row r="15" spans="1:16152" hidden="1" x14ac:dyDescent="0.2">
      <c r="A15" s="386" t="s">
        <v>386</v>
      </c>
      <c r="B15" s="437">
        <v>100</v>
      </c>
      <c r="C15" s="437" t="s">
        <v>145</v>
      </c>
      <c r="D15" s="437"/>
      <c r="E15" s="437">
        <v>100</v>
      </c>
      <c r="F15" s="531">
        <v>2580</v>
      </c>
      <c r="G15" s="531" t="s">
        <v>173</v>
      </c>
      <c r="H15" s="437" t="s">
        <v>920</v>
      </c>
      <c r="I15" s="386" t="s">
        <v>382</v>
      </c>
      <c r="J15" s="386" t="s">
        <v>383</v>
      </c>
      <c r="K15" s="386" t="s">
        <v>384</v>
      </c>
      <c r="L15" s="386" t="s">
        <v>385</v>
      </c>
      <c r="M15" s="386">
        <v>1</v>
      </c>
      <c r="N15" s="386" t="s">
        <v>386</v>
      </c>
      <c r="O15" s="386">
        <v>26</v>
      </c>
      <c r="P15" s="386" t="s">
        <v>342</v>
      </c>
      <c r="Q15" s="389" t="s">
        <v>386</v>
      </c>
      <c r="R15" s="386">
        <v>261</v>
      </c>
      <c r="S15" s="386">
        <v>8</v>
      </c>
      <c r="T15" s="483">
        <f t="shared" ref="T15:T24" si="24">R15*S15</f>
        <v>2088</v>
      </c>
      <c r="U15" s="482">
        <v>49000</v>
      </c>
      <c r="V15" s="395">
        <v>50000</v>
      </c>
      <c r="W15" s="270" t="str">
        <f t="shared" ref="W15:W24" si="25">+IF(P15="EE",+V15*$W$1,"")</f>
        <v/>
      </c>
      <c r="X15" s="270">
        <f t="shared" ref="X15:X24" si="26">_xlfn.IFS(P15="ER",V15,P15="EE",W15,P15="N",V15,P15="","")</f>
        <v>50000</v>
      </c>
      <c r="Y15" s="399">
        <v>0</v>
      </c>
      <c r="Z15" s="62">
        <v>0</v>
      </c>
      <c r="AA15" s="256">
        <f t="shared" ref="AA15:AA24" si="27">SUM(X15:Z15)</f>
        <v>50000</v>
      </c>
      <c r="AB15" s="3"/>
      <c r="AC15" s="62">
        <f t="shared" si="23"/>
        <v>7943.76</v>
      </c>
      <c r="AD15" s="62" t="str">
        <f t="shared" ref="AD15:AD24" si="28">_xlfn.IFS(P15="N",$AD$1*AA15,P15="EE","",P15="ER","",P15="","")</f>
        <v/>
      </c>
      <c r="AE15" s="62">
        <f t="shared" ref="AE15:AE24" si="29">_xlfn.IFS(P15="EE",X15*$AE$1,P15="ER",X15*$AE$2,P15="N","",P15="","")</f>
        <v>14875</v>
      </c>
      <c r="AF15" s="62">
        <f t="shared" ref="AF15:AF24" si="30">+IF(AA15&gt;1,AA15*$AF$1,"")</f>
        <v>725</v>
      </c>
      <c r="AG15" s="192">
        <v>0</v>
      </c>
      <c r="AH15" s="62">
        <f t="shared" ref="AH15:AH24" si="31">+IF(AA15&gt;1,AA15*$AH$1,"")</f>
        <v>455.11680534562345</v>
      </c>
      <c r="AI15" s="62">
        <f t="shared" si="19"/>
        <v>101.04557821948538</v>
      </c>
      <c r="AJ15" s="62"/>
      <c r="AK15" s="62">
        <v>0</v>
      </c>
      <c r="AL15" s="256">
        <f t="shared" si="20"/>
        <v>24099.92238356511</v>
      </c>
      <c r="AM15" s="256">
        <f t="shared" si="21"/>
        <v>50000</v>
      </c>
      <c r="AN15" s="256">
        <f t="shared" si="22"/>
        <v>74099.922383565106</v>
      </c>
    </row>
    <row r="16" spans="1:16152" hidden="1" x14ac:dyDescent="0.2">
      <c r="A16" s="386" t="s">
        <v>386</v>
      </c>
      <c r="B16" s="437">
        <v>100</v>
      </c>
      <c r="C16" s="437" t="s">
        <v>145</v>
      </c>
      <c r="D16" s="437"/>
      <c r="E16" s="437">
        <v>100</v>
      </c>
      <c r="F16" s="531" t="s">
        <v>458</v>
      </c>
      <c r="G16" s="531" t="s">
        <v>171</v>
      </c>
      <c r="H16" s="437" t="s">
        <v>920</v>
      </c>
      <c r="I16" s="386" t="s">
        <v>914</v>
      </c>
      <c r="J16" s="386" t="s">
        <v>915</v>
      </c>
      <c r="K16" s="386" t="s">
        <v>384</v>
      </c>
      <c r="L16" s="386" t="s">
        <v>897</v>
      </c>
      <c r="M16" s="386">
        <v>1</v>
      </c>
      <c r="N16" s="386" t="s">
        <v>356</v>
      </c>
      <c r="O16" s="386">
        <v>1</v>
      </c>
      <c r="P16" s="386" t="s">
        <v>342</v>
      </c>
      <c r="Q16" s="389" t="s">
        <v>386</v>
      </c>
      <c r="R16" s="386">
        <v>261</v>
      </c>
      <c r="S16" s="386">
        <v>8</v>
      </c>
      <c r="T16" s="483">
        <f t="shared" si="24"/>
        <v>2088</v>
      </c>
      <c r="U16" s="482">
        <v>62000</v>
      </c>
      <c r="V16" s="395">
        <v>98500</v>
      </c>
      <c r="W16" s="270" t="str">
        <f t="shared" si="25"/>
        <v/>
      </c>
      <c r="X16" s="270">
        <f t="shared" si="26"/>
        <v>98500</v>
      </c>
      <c r="Y16" s="399">
        <v>0</v>
      </c>
      <c r="Z16" s="62">
        <v>0</v>
      </c>
      <c r="AA16" s="256">
        <f t="shared" si="27"/>
        <v>98500</v>
      </c>
      <c r="AB16" s="3"/>
      <c r="AC16" s="62">
        <f t="shared" si="23"/>
        <v>7943.76</v>
      </c>
      <c r="AD16" s="62" t="str">
        <f t="shared" si="28"/>
        <v/>
      </c>
      <c r="AE16" s="62">
        <f t="shared" si="29"/>
        <v>29303.75</v>
      </c>
      <c r="AF16" s="62">
        <f t="shared" si="30"/>
        <v>1428.25</v>
      </c>
      <c r="AG16" s="192">
        <v>0</v>
      </c>
      <c r="AH16" s="62">
        <f t="shared" si="31"/>
        <v>896.5801065308782</v>
      </c>
      <c r="AI16" s="62">
        <f t="shared" si="19"/>
        <v>199.05978909238618</v>
      </c>
      <c r="AJ16" s="62"/>
      <c r="AK16" s="62">
        <v>0</v>
      </c>
      <c r="AL16" s="256">
        <f t="shared" si="20"/>
        <v>39771.399895623268</v>
      </c>
      <c r="AM16" s="256">
        <f t="shared" si="21"/>
        <v>98500</v>
      </c>
      <c r="AN16" s="256">
        <f t="shared" si="22"/>
        <v>138271.39989562327</v>
      </c>
    </row>
    <row r="17" spans="1:40" hidden="1" x14ac:dyDescent="0.2">
      <c r="A17" s="386"/>
      <c r="B17" s="437">
        <v>100</v>
      </c>
      <c r="C17" s="437" t="s">
        <v>145</v>
      </c>
      <c r="D17" s="437"/>
      <c r="E17" s="437">
        <v>100</v>
      </c>
      <c r="F17" s="531" t="s">
        <v>459</v>
      </c>
      <c r="G17" s="531" t="s">
        <v>173</v>
      </c>
      <c r="H17" s="437" t="s">
        <v>920</v>
      </c>
      <c r="I17" s="386" t="s">
        <v>916</v>
      </c>
      <c r="J17" s="386" t="s">
        <v>917</v>
      </c>
      <c r="K17" s="386" t="s">
        <v>446</v>
      </c>
      <c r="L17" s="386" t="s">
        <v>898</v>
      </c>
      <c r="M17" s="386">
        <v>1</v>
      </c>
      <c r="N17" s="386" t="s">
        <v>93</v>
      </c>
      <c r="O17" s="386">
        <v>1</v>
      </c>
      <c r="P17" s="386" t="s">
        <v>390</v>
      </c>
      <c r="Q17" s="389" t="s">
        <v>386</v>
      </c>
      <c r="R17" s="386">
        <v>261</v>
      </c>
      <c r="S17" s="386">
        <v>8</v>
      </c>
      <c r="T17" s="483">
        <f t="shared" si="24"/>
        <v>2088</v>
      </c>
      <c r="U17" s="482">
        <v>68500</v>
      </c>
      <c r="V17" s="395">
        <v>89000</v>
      </c>
      <c r="W17" s="270">
        <f t="shared" si="25"/>
        <v>102669.15399999999</v>
      </c>
      <c r="X17" s="270">
        <f t="shared" si="26"/>
        <v>102669.15399999999</v>
      </c>
      <c r="Y17" s="399">
        <v>0</v>
      </c>
      <c r="Z17" s="62">
        <v>0</v>
      </c>
      <c r="AA17" s="256">
        <f t="shared" si="27"/>
        <v>102669.15399999999</v>
      </c>
      <c r="AB17" s="3"/>
      <c r="AC17" s="62">
        <f t="shared" si="23"/>
        <v>7943.76</v>
      </c>
      <c r="AD17" s="62" t="str">
        <f t="shared" si="28"/>
        <v/>
      </c>
      <c r="AE17" s="62">
        <f t="shared" si="29"/>
        <v>15913.718869999999</v>
      </c>
      <c r="AF17" s="62">
        <f t="shared" si="30"/>
        <v>1488.7027330000001</v>
      </c>
      <c r="AG17" s="192">
        <v>0</v>
      </c>
      <c r="AH17" s="62">
        <f t="shared" si="31"/>
        <v>934.52914752035667</v>
      </c>
      <c r="AI17" s="62">
        <f t="shared" si="19"/>
        <v>207.4852806247078</v>
      </c>
      <c r="AJ17" s="62"/>
      <c r="AK17" s="62">
        <v>0</v>
      </c>
      <c r="AL17" s="256">
        <f t="shared" si="20"/>
        <v>26488.19603114506</v>
      </c>
      <c r="AM17" s="256">
        <f t="shared" si="21"/>
        <v>102669.15399999999</v>
      </c>
      <c r="AN17" s="256">
        <f t="shared" si="22"/>
        <v>129157.35003114506</v>
      </c>
    </row>
    <row r="18" spans="1:40" hidden="1" x14ac:dyDescent="0.2">
      <c r="B18" s="437">
        <v>100</v>
      </c>
      <c r="C18" s="437" t="s">
        <v>145</v>
      </c>
      <c r="D18" s="437"/>
      <c r="E18" s="437">
        <v>100</v>
      </c>
      <c r="F18" s="531">
        <v>2110</v>
      </c>
      <c r="G18" s="531" t="s">
        <v>167</v>
      </c>
      <c r="H18" s="437" t="s">
        <v>497</v>
      </c>
      <c r="I18" s="386" t="s">
        <v>1070</v>
      </c>
      <c r="J18" s="386" t="s">
        <v>1071</v>
      </c>
      <c r="K18" s="386" t="s">
        <v>389</v>
      </c>
      <c r="L18" s="386" t="s">
        <v>900</v>
      </c>
      <c r="M18" s="386">
        <v>1</v>
      </c>
      <c r="N18" s="386" t="s">
        <v>386</v>
      </c>
      <c r="O18" s="386">
        <v>26</v>
      </c>
      <c r="P18" s="386" t="s">
        <v>390</v>
      </c>
      <c r="Q18" s="389" t="s">
        <v>386</v>
      </c>
      <c r="R18" s="386">
        <v>200</v>
      </c>
      <c r="S18" s="386">
        <v>8</v>
      </c>
      <c r="T18" s="483">
        <f t="shared" si="24"/>
        <v>1600</v>
      </c>
      <c r="U18" s="482">
        <v>55000</v>
      </c>
      <c r="V18" s="395">
        <v>41820</v>
      </c>
      <c r="W18" s="270">
        <f t="shared" si="25"/>
        <v>48242.966520000002</v>
      </c>
      <c r="X18" s="270">
        <f t="shared" si="26"/>
        <v>48242.966520000002</v>
      </c>
      <c r="Y18" s="399">
        <v>0</v>
      </c>
      <c r="Z18" s="62">
        <v>0</v>
      </c>
      <c r="AA18" s="256">
        <f t="shared" si="27"/>
        <v>48242.966520000002</v>
      </c>
      <c r="AB18" s="3"/>
      <c r="AC18" s="62">
        <f t="shared" si="23"/>
        <v>7943.76</v>
      </c>
      <c r="AD18" s="62" t="str">
        <f t="shared" si="28"/>
        <v/>
      </c>
      <c r="AE18" s="62">
        <f t="shared" si="29"/>
        <v>7477.6598106000001</v>
      </c>
      <c r="AF18" s="62">
        <f t="shared" si="30"/>
        <v>699.52301454000008</v>
      </c>
      <c r="AG18" s="192">
        <v>0</v>
      </c>
      <c r="AH18" s="62">
        <f t="shared" si="31"/>
        <v>439.12369605956542</v>
      </c>
      <c r="AI18" s="62">
        <f t="shared" si="19"/>
        <v>97.494768940733493</v>
      </c>
      <c r="AJ18" s="62"/>
      <c r="AK18" s="62">
        <v>0</v>
      </c>
      <c r="AL18" s="256">
        <f t="shared" si="20"/>
        <v>16657.5612901403</v>
      </c>
      <c r="AM18" s="256">
        <f t="shared" si="21"/>
        <v>48242.966520000002</v>
      </c>
      <c r="AN18" s="256">
        <f t="shared" si="22"/>
        <v>64900.527810140302</v>
      </c>
    </row>
    <row r="19" spans="1:40" hidden="1" x14ac:dyDescent="0.2">
      <c r="A19" s="474" t="s">
        <v>924</v>
      </c>
      <c r="B19" s="425">
        <v>280</v>
      </c>
      <c r="C19" s="425">
        <v>661</v>
      </c>
      <c r="D19" s="425"/>
      <c r="E19" s="425">
        <v>100</v>
      </c>
      <c r="F19" s="531" t="s">
        <v>465</v>
      </c>
      <c r="G19" s="531" t="s">
        <v>167</v>
      </c>
      <c r="H19" s="425" t="s">
        <v>920</v>
      </c>
      <c r="I19" s="474" t="s">
        <v>956</v>
      </c>
      <c r="J19" s="474" t="s">
        <v>977</v>
      </c>
      <c r="K19" s="474" t="s">
        <v>393</v>
      </c>
      <c r="L19" s="474" t="s">
        <v>908</v>
      </c>
      <c r="M19" s="474">
        <v>1</v>
      </c>
      <c r="N19" s="474" t="s">
        <v>386</v>
      </c>
      <c r="O19" s="474">
        <v>26</v>
      </c>
      <c r="P19" s="474" t="s">
        <v>390</v>
      </c>
      <c r="Q19" s="487" t="s">
        <v>386</v>
      </c>
      <c r="R19" s="474">
        <v>261</v>
      </c>
      <c r="S19" s="474">
        <v>8</v>
      </c>
      <c r="T19" s="483">
        <f t="shared" si="24"/>
        <v>2088</v>
      </c>
      <c r="U19" s="482">
        <v>57704</v>
      </c>
      <c r="V19" s="395">
        <v>50451</v>
      </c>
      <c r="W19" s="270">
        <f t="shared" si="25"/>
        <v>58199.567285999998</v>
      </c>
      <c r="X19" s="270">
        <f t="shared" si="26"/>
        <v>58199.567285999998</v>
      </c>
      <c r="Y19" s="399">
        <v>0</v>
      </c>
      <c r="Z19" s="62">
        <v>0</v>
      </c>
      <c r="AA19" s="256">
        <f t="shared" si="27"/>
        <v>58199.567285999998</v>
      </c>
      <c r="AB19" s="3"/>
      <c r="AC19" s="62">
        <f t="shared" si="23"/>
        <v>7943.76</v>
      </c>
      <c r="AD19" s="62" t="str">
        <f t="shared" si="28"/>
        <v/>
      </c>
      <c r="AE19" s="62">
        <f t="shared" si="29"/>
        <v>9020.9329293299998</v>
      </c>
      <c r="AF19" s="62">
        <f t="shared" si="30"/>
        <v>843.893725647</v>
      </c>
      <c r="AG19" s="192">
        <v>0</v>
      </c>
      <c r="AH19" s="62">
        <f t="shared" si="31"/>
        <v>529.75202271403953</v>
      </c>
      <c r="AI19" s="62">
        <f t="shared" si="19"/>
        <v>117.6161785707543</v>
      </c>
      <c r="AJ19" s="62"/>
      <c r="AK19" s="62">
        <v>0</v>
      </c>
      <c r="AL19" s="256">
        <f t="shared" si="20"/>
        <v>18455.954856261797</v>
      </c>
      <c r="AM19" s="256">
        <f t="shared" si="21"/>
        <v>58199.567285999998</v>
      </c>
      <c r="AN19" s="256">
        <f t="shared" si="22"/>
        <v>76655.522142261791</v>
      </c>
    </row>
    <row r="20" spans="1:40" hidden="1" x14ac:dyDescent="0.2">
      <c r="A20" s="394" t="s">
        <v>998</v>
      </c>
      <c r="B20" s="500">
        <v>280</v>
      </c>
      <c r="C20" s="500">
        <v>741</v>
      </c>
      <c r="D20" s="500"/>
      <c r="E20" s="500">
        <v>100</v>
      </c>
      <c r="F20" s="531">
        <v>2110</v>
      </c>
      <c r="G20" s="531" t="s">
        <v>167</v>
      </c>
      <c r="H20" s="501" t="s">
        <v>563</v>
      </c>
      <c r="I20" s="394" t="s">
        <v>964</v>
      </c>
      <c r="J20" s="394" t="s">
        <v>1072</v>
      </c>
      <c r="K20" s="394" t="s">
        <v>389</v>
      </c>
      <c r="L20" s="394" t="s">
        <v>901</v>
      </c>
      <c r="M20" s="394">
        <v>1</v>
      </c>
      <c r="N20" s="394" t="s">
        <v>386</v>
      </c>
      <c r="O20" s="394">
        <v>26</v>
      </c>
      <c r="P20" s="394" t="s">
        <v>390</v>
      </c>
      <c r="Q20" s="400" t="s">
        <v>386</v>
      </c>
      <c r="R20" s="394">
        <v>200</v>
      </c>
      <c r="S20" s="394">
        <v>8</v>
      </c>
      <c r="T20" s="483">
        <f t="shared" si="24"/>
        <v>1600</v>
      </c>
      <c r="U20" s="482">
        <v>55000</v>
      </c>
      <c r="V20" s="395">
        <f>51803+10027</f>
        <v>61830</v>
      </c>
      <c r="W20" s="270">
        <f t="shared" si="25"/>
        <v>71326.222380000007</v>
      </c>
      <c r="X20" s="270">
        <f t="shared" si="26"/>
        <v>71326.222380000007</v>
      </c>
      <c r="Y20" s="399">
        <v>0</v>
      </c>
      <c r="Z20" s="62">
        <v>0</v>
      </c>
      <c r="AA20" s="256">
        <f t="shared" si="27"/>
        <v>71326.222380000007</v>
      </c>
      <c r="AB20" s="3"/>
      <c r="AC20" s="62">
        <f t="shared" si="23"/>
        <v>7943.76</v>
      </c>
      <c r="AD20" s="62" t="str">
        <f t="shared" si="28"/>
        <v/>
      </c>
      <c r="AE20" s="62">
        <f t="shared" si="29"/>
        <v>11055.5644689</v>
      </c>
      <c r="AF20" s="62">
        <f t="shared" si="30"/>
        <v>1034.2302245100002</v>
      </c>
      <c r="AG20" s="192">
        <v>0</v>
      </c>
      <c r="AH20" s="62">
        <f t="shared" si="31"/>
        <v>649.23524933914234</v>
      </c>
      <c r="AI20" s="62">
        <f t="shared" si="19"/>
        <v>144.14398765197399</v>
      </c>
      <c r="AJ20" s="62"/>
      <c r="AK20" s="62">
        <v>0</v>
      </c>
      <c r="AL20" s="256">
        <f t="shared" si="20"/>
        <v>20826.933930401112</v>
      </c>
      <c r="AM20" s="256">
        <f t="shared" si="21"/>
        <v>71326.222380000007</v>
      </c>
      <c r="AN20" s="256">
        <f t="shared" si="22"/>
        <v>92153.156310401115</v>
      </c>
    </row>
    <row r="21" spans="1:40" hidden="1" x14ac:dyDescent="0.2">
      <c r="A21" s="386" t="s">
        <v>386</v>
      </c>
      <c r="B21" s="437">
        <v>100</v>
      </c>
      <c r="C21" s="437" t="s">
        <v>145</v>
      </c>
      <c r="D21" s="437"/>
      <c r="E21" s="437">
        <v>100</v>
      </c>
      <c r="F21" s="531">
        <v>2212</v>
      </c>
      <c r="G21" s="531" t="s">
        <v>173</v>
      </c>
      <c r="H21" s="437" t="s">
        <v>920</v>
      </c>
      <c r="I21" s="386" t="s">
        <v>964</v>
      </c>
      <c r="J21" s="386" t="s">
        <v>979</v>
      </c>
      <c r="K21" s="386" t="s">
        <v>384</v>
      </c>
      <c r="L21" s="386" t="s">
        <v>906</v>
      </c>
      <c r="M21" s="386">
        <v>1</v>
      </c>
      <c r="N21" s="386" t="s">
        <v>386</v>
      </c>
      <c r="O21" s="386">
        <v>26</v>
      </c>
      <c r="P21" s="386" t="s">
        <v>390</v>
      </c>
      <c r="Q21" s="389">
        <v>20</v>
      </c>
      <c r="R21" s="386">
        <v>261</v>
      </c>
      <c r="S21" s="386">
        <v>8</v>
      </c>
      <c r="T21" s="483">
        <f t="shared" si="24"/>
        <v>2088</v>
      </c>
      <c r="U21" s="482">
        <v>42600</v>
      </c>
      <c r="V21" s="395">
        <v>44000</v>
      </c>
      <c r="W21" s="270">
        <f t="shared" si="25"/>
        <v>50757.784</v>
      </c>
      <c r="X21" s="270">
        <f t="shared" si="26"/>
        <v>50757.784</v>
      </c>
      <c r="Y21" s="399">
        <v>0</v>
      </c>
      <c r="Z21" s="62">
        <v>0</v>
      </c>
      <c r="AA21" s="256">
        <f t="shared" si="27"/>
        <v>50757.784</v>
      </c>
      <c r="AB21" s="3"/>
      <c r="AC21" s="62">
        <f t="shared" si="23"/>
        <v>7943.76</v>
      </c>
      <c r="AD21" s="62" t="str">
        <f t="shared" si="28"/>
        <v/>
      </c>
      <c r="AE21" s="62">
        <f t="shared" si="29"/>
        <v>7867.4565199999997</v>
      </c>
      <c r="AF21" s="62">
        <f t="shared" si="30"/>
        <v>735.98786800000005</v>
      </c>
      <c r="AG21" s="192">
        <v>0</v>
      </c>
      <c r="AH21" s="62">
        <f t="shared" si="31"/>
        <v>462.01441001006401</v>
      </c>
      <c r="AI21" s="62">
        <f t="shared" si="19"/>
        <v>102.57699266839487</v>
      </c>
      <c r="AJ21" s="62"/>
      <c r="AK21" s="62">
        <v>0</v>
      </c>
      <c r="AL21" s="256">
        <f t="shared" si="20"/>
        <v>17111.795790678454</v>
      </c>
      <c r="AM21" s="256">
        <f t="shared" si="21"/>
        <v>50757.784</v>
      </c>
      <c r="AN21" s="256">
        <f t="shared" si="22"/>
        <v>67869.579790678457</v>
      </c>
    </row>
    <row r="22" spans="1:40" hidden="1" x14ac:dyDescent="0.2">
      <c r="A22" s="386"/>
      <c r="B22" s="437">
        <v>100</v>
      </c>
      <c r="C22" s="437" t="s">
        <v>145</v>
      </c>
      <c r="D22" s="437"/>
      <c r="E22" s="437">
        <v>100</v>
      </c>
      <c r="F22" s="531">
        <v>2410</v>
      </c>
      <c r="G22" s="531" t="s">
        <v>173</v>
      </c>
      <c r="H22" s="437" t="s">
        <v>497</v>
      </c>
      <c r="I22" s="386" t="s">
        <v>970</v>
      </c>
      <c r="J22" s="386" t="s">
        <v>433</v>
      </c>
      <c r="K22" s="386" t="s">
        <v>384</v>
      </c>
      <c r="L22" s="388" t="s">
        <v>894</v>
      </c>
      <c r="M22" s="386">
        <v>1</v>
      </c>
      <c r="N22" s="386" t="s">
        <v>386</v>
      </c>
      <c r="O22" s="386">
        <v>26</v>
      </c>
      <c r="P22" s="386" t="s">
        <v>390</v>
      </c>
      <c r="Q22" s="389">
        <v>14.5</v>
      </c>
      <c r="R22" s="386">
        <v>261</v>
      </c>
      <c r="S22" s="386">
        <v>8</v>
      </c>
      <c r="T22" s="483">
        <f t="shared" si="24"/>
        <v>2088</v>
      </c>
      <c r="U22" s="482">
        <v>45000</v>
      </c>
      <c r="V22" s="395">
        <v>36000</v>
      </c>
      <c r="W22" s="270">
        <f t="shared" si="25"/>
        <v>41529.095999999998</v>
      </c>
      <c r="X22" s="270">
        <f t="shared" si="26"/>
        <v>41529.095999999998</v>
      </c>
      <c r="Y22" s="399">
        <v>0</v>
      </c>
      <c r="Z22" s="62">
        <v>0</v>
      </c>
      <c r="AA22" s="256">
        <f t="shared" si="27"/>
        <v>41529.095999999998</v>
      </c>
      <c r="AB22" s="3"/>
      <c r="AC22" s="62">
        <f t="shared" si="23"/>
        <v>7943.76</v>
      </c>
      <c r="AD22" s="62" t="str">
        <f t="shared" si="28"/>
        <v/>
      </c>
      <c r="AE22" s="62">
        <f t="shared" si="29"/>
        <v>6437.0098799999996</v>
      </c>
      <c r="AF22" s="62">
        <f t="shared" si="30"/>
        <v>602.17189199999996</v>
      </c>
      <c r="AG22" s="192">
        <v>0</v>
      </c>
      <c r="AH22" s="62">
        <f t="shared" si="31"/>
        <v>378.01179000823419</v>
      </c>
      <c r="AI22" s="62">
        <f t="shared" si="19"/>
        <v>83.926630365050343</v>
      </c>
      <c r="AJ22" s="62"/>
      <c r="AK22" s="62">
        <v>0</v>
      </c>
      <c r="AL22" s="256">
        <f t="shared" si="20"/>
        <v>15444.880192373286</v>
      </c>
      <c r="AM22" s="256">
        <f t="shared" si="21"/>
        <v>41529.095999999998</v>
      </c>
      <c r="AN22" s="256">
        <f t="shared" si="22"/>
        <v>56973.976192373288</v>
      </c>
    </row>
    <row r="23" spans="1:40" hidden="1" x14ac:dyDescent="0.2">
      <c r="A23" s="386" t="s">
        <v>386</v>
      </c>
      <c r="B23" s="437">
        <v>100</v>
      </c>
      <c r="C23" s="437" t="s">
        <v>145</v>
      </c>
      <c r="D23" s="437"/>
      <c r="E23" s="437">
        <v>100</v>
      </c>
      <c r="F23" s="531" t="s">
        <v>460</v>
      </c>
      <c r="G23" s="531" t="s">
        <v>173</v>
      </c>
      <c r="H23" s="437" t="s">
        <v>920</v>
      </c>
      <c r="I23" s="522" t="s">
        <v>1081</v>
      </c>
      <c r="J23" s="522" t="s">
        <v>1082</v>
      </c>
      <c r="K23" s="386" t="s">
        <v>384</v>
      </c>
      <c r="L23" s="386" t="s">
        <v>899</v>
      </c>
      <c r="M23" s="386">
        <v>1</v>
      </c>
      <c r="N23" s="386" t="s">
        <v>356</v>
      </c>
      <c r="O23" s="386">
        <v>1</v>
      </c>
      <c r="P23" s="386" t="s">
        <v>390</v>
      </c>
      <c r="Q23" s="389" t="s">
        <v>386</v>
      </c>
      <c r="R23" s="386">
        <v>261</v>
      </c>
      <c r="S23" s="386">
        <v>8</v>
      </c>
      <c r="T23" s="483">
        <f t="shared" si="24"/>
        <v>2088</v>
      </c>
      <c r="U23" s="482">
        <v>43000</v>
      </c>
      <c r="V23" s="395">
        <v>41000</v>
      </c>
      <c r="W23" s="270">
        <f t="shared" si="25"/>
        <v>47297.025999999998</v>
      </c>
      <c r="X23" s="270">
        <f t="shared" si="26"/>
        <v>47297.025999999998</v>
      </c>
      <c r="Y23" s="399">
        <v>0</v>
      </c>
      <c r="Z23" s="62">
        <v>0</v>
      </c>
      <c r="AA23" s="256">
        <f t="shared" si="27"/>
        <v>47297.025999999998</v>
      </c>
      <c r="AB23" s="3"/>
      <c r="AC23" s="62">
        <f t="shared" si="23"/>
        <v>7943.76</v>
      </c>
      <c r="AD23" s="62" t="str">
        <f t="shared" si="28"/>
        <v/>
      </c>
      <c r="AE23" s="62">
        <f t="shared" si="29"/>
        <v>7331.0390299999999</v>
      </c>
      <c r="AF23" s="62">
        <f t="shared" si="30"/>
        <v>685.80687699999999</v>
      </c>
      <c r="AG23" s="192">
        <v>0</v>
      </c>
      <c r="AH23" s="62">
        <f t="shared" si="31"/>
        <v>430.51342750937783</v>
      </c>
      <c r="AI23" s="62">
        <f t="shared" si="19"/>
        <v>95.583106804640664</v>
      </c>
      <c r="AJ23" s="62"/>
      <c r="AK23" s="62">
        <v>0</v>
      </c>
      <c r="AL23" s="256">
        <f t="shared" si="20"/>
        <v>16486.702441314017</v>
      </c>
      <c r="AM23" s="256">
        <f t="shared" si="21"/>
        <v>47297.025999999998</v>
      </c>
      <c r="AN23" s="256">
        <f t="shared" si="22"/>
        <v>63783.728441314015</v>
      </c>
    </row>
    <row r="24" spans="1:40" hidden="1" x14ac:dyDescent="0.2">
      <c r="A24" s="474" t="s">
        <v>924</v>
      </c>
      <c r="B24" s="425">
        <v>280</v>
      </c>
      <c r="C24" s="425">
        <v>661</v>
      </c>
      <c r="D24" s="425"/>
      <c r="E24" s="425">
        <v>100</v>
      </c>
      <c r="F24" s="531">
        <v>2410</v>
      </c>
      <c r="G24" s="531" t="s">
        <v>173</v>
      </c>
      <c r="H24" s="425" t="s">
        <v>920</v>
      </c>
      <c r="I24" s="474" t="s">
        <v>974</v>
      </c>
      <c r="J24" s="474" t="s">
        <v>918</v>
      </c>
      <c r="K24" s="474" t="s">
        <v>384</v>
      </c>
      <c r="L24" s="474" t="s">
        <v>909</v>
      </c>
      <c r="M24" s="474">
        <v>1</v>
      </c>
      <c r="N24" s="474" t="s">
        <v>386</v>
      </c>
      <c r="O24" s="474">
        <v>26</v>
      </c>
      <c r="P24" s="474" t="s">
        <v>342</v>
      </c>
      <c r="Q24" s="487" t="s">
        <v>386</v>
      </c>
      <c r="R24" s="474">
        <v>200</v>
      </c>
      <c r="S24" s="474">
        <v>8</v>
      </c>
      <c r="T24" s="483">
        <f t="shared" si="24"/>
        <v>1600</v>
      </c>
      <c r="U24" s="482">
        <v>70000</v>
      </c>
      <c r="V24" s="395">
        <f>55963+2930</f>
        <v>58893</v>
      </c>
      <c r="W24" s="270" t="str">
        <f t="shared" si="25"/>
        <v/>
      </c>
      <c r="X24" s="270">
        <f t="shared" si="26"/>
        <v>58893</v>
      </c>
      <c r="Y24" s="399">
        <v>0</v>
      </c>
      <c r="Z24" s="62">
        <v>0</v>
      </c>
      <c r="AA24" s="256">
        <f t="shared" si="27"/>
        <v>58893</v>
      </c>
      <c r="AB24" s="3"/>
      <c r="AC24" s="62">
        <f t="shared" si="23"/>
        <v>7943.76</v>
      </c>
      <c r="AD24" s="62" t="str">
        <f t="shared" si="28"/>
        <v/>
      </c>
      <c r="AE24" s="62">
        <f t="shared" si="29"/>
        <v>17520.6675</v>
      </c>
      <c r="AF24" s="62">
        <f t="shared" si="30"/>
        <v>853.94850000000008</v>
      </c>
      <c r="AG24" s="192">
        <v>0</v>
      </c>
      <c r="AH24" s="62">
        <f t="shared" si="31"/>
        <v>536.06388034439601</v>
      </c>
      <c r="AI24" s="62">
        <f t="shared" si="19"/>
        <v>119.01754476160305</v>
      </c>
      <c r="AJ24" s="62"/>
      <c r="AK24" s="62">
        <v>0</v>
      </c>
      <c r="AL24" s="256">
        <f t="shared" si="20"/>
        <v>26973.457425105993</v>
      </c>
      <c r="AM24" s="256">
        <f t="shared" si="21"/>
        <v>58893</v>
      </c>
      <c r="AN24" s="256">
        <f t="shared" si="22"/>
        <v>85866.457425105997</v>
      </c>
    </row>
    <row r="25" spans="1:40" hidden="1" x14ac:dyDescent="0.2">
      <c r="A25" s="386"/>
      <c r="B25" s="437"/>
      <c r="C25" s="437"/>
      <c r="D25" s="437"/>
      <c r="E25" s="437"/>
      <c r="F25" s="437"/>
      <c r="G25" s="437"/>
      <c r="H25" s="437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263"/>
      <c r="U25" s="269"/>
      <c r="V25" s="270"/>
      <c r="W25" s="270"/>
      <c r="X25" s="270"/>
      <c r="Y25" s="62"/>
      <c r="Z25" s="62"/>
      <c r="AA25" s="256"/>
      <c r="AB25" s="3"/>
      <c r="AC25" s="62" t="str">
        <f t="shared" si="23"/>
        <v/>
      </c>
      <c r="AD25" s="62"/>
      <c r="AE25" s="62"/>
      <c r="AF25" s="62"/>
      <c r="AG25" s="192"/>
      <c r="AH25" s="62"/>
      <c r="AI25" s="62">
        <f t="shared" si="19"/>
        <v>0</v>
      </c>
      <c r="AJ25" s="62"/>
      <c r="AK25" s="62"/>
      <c r="AL25" s="256">
        <f t="shared" si="20"/>
        <v>0</v>
      </c>
      <c r="AM25" s="256">
        <f t="shared" si="21"/>
        <v>0</v>
      </c>
      <c r="AN25" s="256">
        <f t="shared" si="22"/>
        <v>0</v>
      </c>
    </row>
    <row r="26" spans="1:40" x14ac:dyDescent="0.2">
      <c r="A26" s="386" t="s">
        <v>386</v>
      </c>
      <c r="B26" s="437">
        <v>100</v>
      </c>
      <c r="C26" s="437" t="s">
        <v>145</v>
      </c>
      <c r="D26" s="437"/>
      <c r="E26" s="437">
        <v>100</v>
      </c>
      <c r="F26" s="531">
        <v>1000</v>
      </c>
      <c r="G26" s="531" t="s">
        <v>161</v>
      </c>
      <c r="H26" s="438" t="s">
        <v>563</v>
      </c>
      <c r="I26" s="386" t="s">
        <v>961</v>
      </c>
      <c r="J26" s="386" t="s">
        <v>975</v>
      </c>
      <c r="K26" s="386" t="s">
        <v>389</v>
      </c>
      <c r="L26" s="386" t="s">
        <v>498</v>
      </c>
      <c r="M26" s="386">
        <v>1</v>
      </c>
      <c r="N26" s="386" t="s">
        <v>93</v>
      </c>
      <c r="O26" s="386">
        <v>1</v>
      </c>
      <c r="P26" s="386" t="s">
        <v>390</v>
      </c>
      <c r="Q26" s="389" t="s">
        <v>386</v>
      </c>
      <c r="R26" s="386">
        <v>200</v>
      </c>
      <c r="S26" s="386">
        <v>8</v>
      </c>
      <c r="T26" s="483">
        <f t="shared" ref="T26" si="32">R26*S26</f>
        <v>1600</v>
      </c>
      <c r="U26" s="482">
        <v>44380</v>
      </c>
      <c r="V26" s="395">
        <v>45267</v>
      </c>
      <c r="W26" s="270">
        <f t="shared" si="0"/>
        <v>52219.377461999997</v>
      </c>
      <c r="X26" s="270">
        <f t="shared" si="1"/>
        <v>52219.377461999997</v>
      </c>
      <c r="Y26" s="399">
        <v>0</v>
      </c>
      <c r="Z26" s="62">
        <v>0</v>
      </c>
      <c r="AA26" s="256">
        <f t="shared" ref="AA26" si="33">SUM(X26:Z26)</f>
        <v>52219.377461999997</v>
      </c>
      <c r="AB26" s="3"/>
      <c r="AC26" s="62">
        <f t="shared" si="23"/>
        <v>7943.76</v>
      </c>
      <c r="AD26" s="62" t="str">
        <f t="shared" ref="AD26" si="34">_xlfn.IFS(P26="N",$AD$1*AA26,P26="EE","",P26="ER","",P26="","")</f>
        <v/>
      </c>
      <c r="AE26" s="62">
        <f t="shared" ref="AE26" si="35">_xlfn.IFS(P26="EE",X26*$AE$1,P26="ER",X26*$AE$2,P26="N","",P26="","")</f>
        <v>8094.003506609999</v>
      </c>
      <c r="AF26" s="400">
        <f t="shared" ref="AF26" si="36">+IF(AA26&gt;1,AA26*$AF$1,"")</f>
        <v>757.18097319899994</v>
      </c>
      <c r="AG26" s="192">
        <v>0</v>
      </c>
      <c r="AH26" s="62">
        <f t="shared" ref="AH26" si="37">+IF(AA26&gt;1,AA26*$AH$1,"")</f>
        <v>475.3183249528538</v>
      </c>
      <c r="AI26" s="62">
        <f t="shared" ref="AI26:AI74" si="38">+_xlfn.IFS(F26&lt;2300,(AA26*$AI$1),F26&gt;=2300,(AA26*$AI$2),F26="","")</f>
        <v>105.53074379818705</v>
      </c>
      <c r="AJ26" s="62"/>
      <c r="AK26" s="62">
        <v>0</v>
      </c>
      <c r="AL26" s="256">
        <f t="shared" si="8"/>
        <v>17375.793548560043</v>
      </c>
      <c r="AM26" s="256">
        <f t="shared" si="9"/>
        <v>52219.377461999997</v>
      </c>
      <c r="AN26" s="256">
        <f t="shared" si="10"/>
        <v>69595.171010560036</v>
      </c>
    </row>
    <row r="27" spans="1:40" x14ac:dyDescent="0.2">
      <c r="A27" s="386"/>
      <c r="B27" s="437">
        <v>100</v>
      </c>
      <c r="C27" s="437" t="s">
        <v>145</v>
      </c>
      <c r="D27" s="437"/>
      <c r="E27" s="437">
        <v>100</v>
      </c>
      <c r="F27" s="531">
        <v>1000</v>
      </c>
      <c r="G27" s="531" t="s">
        <v>161</v>
      </c>
      <c r="H27" s="437" t="s">
        <v>497</v>
      </c>
      <c r="I27" s="386" t="s">
        <v>1064</v>
      </c>
      <c r="J27" s="386" t="s">
        <v>1065</v>
      </c>
      <c r="K27" s="386" t="s">
        <v>389</v>
      </c>
      <c r="L27" s="386" t="s">
        <v>498</v>
      </c>
      <c r="M27" s="386">
        <v>1</v>
      </c>
      <c r="N27" s="386" t="s">
        <v>386</v>
      </c>
      <c r="O27" s="386">
        <v>26</v>
      </c>
      <c r="P27" s="386" t="s">
        <v>342</v>
      </c>
      <c r="Q27" s="389" t="s">
        <v>386</v>
      </c>
      <c r="R27" s="386">
        <v>200</v>
      </c>
      <c r="S27" s="386">
        <v>8</v>
      </c>
      <c r="T27" s="483">
        <f>R27*S27</f>
        <v>1600</v>
      </c>
      <c r="U27" s="482">
        <v>55000</v>
      </c>
      <c r="V27" s="395">
        <v>61910</v>
      </c>
      <c r="W27" s="270" t="str">
        <f>+IF(P27="EE",+V27*$W$1,"")</f>
        <v/>
      </c>
      <c r="X27" s="270">
        <f>_xlfn.IFS(P27="ER",V27,P27="EE",W27,P27="N",V27,P27="","")</f>
        <v>61910</v>
      </c>
      <c r="Y27" s="399">
        <v>0</v>
      </c>
      <c r="Z27" s="62">
        <v>0</v>
      </c>
      <c r="AA27" s="256">
        <f>SUM(X27:Z27)</f>
        <v>61910</v>
      </c>
      <c r="AB27" s="3"/>
      <c r="AC27" s="62">
        <f t="shared" si="23"/>
        <v>7943.76</v>
      </c>
      <c r="AD27" s="62" t="str">
        <f>_xlfn.IFS(P27="N",$AD$1*AA27,P27="EE","",P27="ER","",P27="","")</f>
        <v/>
      </c>
      <c r="AE27" s="62">
        <f>_xlfn.IFS(P27="EE",X27*$AE$1,P27="ER",X27*$AE$2,P27="N","",P27="","")</f>
        <v>18418.224999999999</v>
      </c>
      <c r="AF27" s="400">
        <f>+IF(AA27&gt;1,AA27*$AF$1,"")</f>
        <v>897.69500000000005</v>
      </c>
      <c r="AG27" s="192">
        <v>0</v>
      </c>
      <c r="AH27" s="62">
        <f>+IF(AA27&gt;1,AA27*$AH$1,"")</f>
        <v>563.52562837895096</v>
      </c>
      <c r="AI27" s="62">
        <f t="shared" si="38"/>
        <v>125.1146349513668</v>
      </c>
      <c r="AJ27" s="62"/>
      <c r="AK27" s="62">
        <v>0</v>
      </c>
      <c r="AL27" s="256">
        <f>SUM(AC27:AK27)</f>
        <v>27948.320263330315</v>
      </c>
      <c r="AM27" s="256">
        <f>AA27</f>
        <v>61910</v>
      </c>
      <c r="AN27" s="256">
        <f>SUM(AL27:AM27)</f>
        <v>89858.320263330315</v>
      </c>
    </row>
    <row r="28" spans="1:40" x14ac:dyDescent="0.2">
      <c r="A28" s="386"/>
      <c r="B28" s="437">
        <v>100</v>
      </c>
      <c r="C28" s="437" t="s">
        <v>145</v>
      </c>
      <c r="D28" s="437"/>
      <c r="E28" s="437">
        <v>100</v>
      </c>
      <c r="F28" s="531">
        <v>1000</v>
      </c>
      <c r="G28" s="531" t="s">
        <v>161</v>
      </c>
      <c r="H28" s="437" t="s">
        <v>497</v>
      </c>
      <c r="I28" s="386" t="s">
        <v>1066</v>
      </c>
      <c r="J28" s="386" t="s">
        <v>1067</v>
      </c>
      <c r="K28" s="386" t="s">
        <v>389</v>
      </c>
      <c r="L28" s="386" t="s">
        <v>498</v>
      </c>
      <c r="M28" s="386">
        <v>1</v>
      </c>
      <c r="N28" s="386" t="s">
        <v>386</v>
      </c>
      <c r="O28" s="386">
        <v>26</v>
      </c>
      <c r="P28" s="386" t="s">
        <v>342</v>
      </c>
      <c r="Q28" s="389" t="s">
        <v>386</v>
      </c>
      <c r="R28" s="386">
        <v>200</v>
      </c>
      <c r="S28" s="386">
        <v>8</v>
      </c>
      <c r="T28" s="483">
        <f t="shared" ref="T28:T54" si="39">R28*S28</f>
        <v>1600</v>
      </c>
      <c r="U28" s="482">
        <v>55000</v>
      </c>
      <c r="V28" s="395">
        <v>58339</v>
      </c>
      <c r="W28" s="270" t="str">
        <f t="shared" ref="W28:W54" si="40">+IF(P28="EE",+V28*$W$1,"")</f>
        <v/>
      </c>
      <c r="X28" s="270">
        <f t="shared" ref="X28:X54" si="41">_xlfn.IFS(P28="ER",V28,P28="EE",W28,P28="N",V28,P28="","")</f>
        <v>58339</v>
      </c>
      <c r="Y28" s="399">
        <v>0</v>
      </c>
      <c r="Z28" s="62">
        <v>0</v>
      </c>
      <c r="AA28" s="256">
        <f t="shared" ref="AA28:AA54" si="42">SUM(X28:Z28)</f>
        <v>58339</v>
      </c>
      <c r="AB28" s="3"/>
      <c r="AC28" s="62">
        <f t="shared" si="23"/>
        <v>7943.76</v>
      </c>
      <c r="AD28" s="62" t="str">
        <f t="shared" ref="AD28:AD54" si="43">_xlfn.IFS(P28="N",$AD$1*AA28,P28="EE","",P28="ER","",P28="","")</f>
        <v/>
      </c>
      <c r="AE28" s="62">
        <f t="shared" ref="AE28:AE54" si="44">_xlfn.IFS(P28="EE",X28*$AE$1,P28="ER",X28*$AE$2,P28="N","",P28="","")</f>
        <v>17355.852500000001</v>
      </c>
      <c r="AF28" s="400">
        <f t="shared" ref="AF28:AF54" si="45">+IF(AA28&gt;1,AA28*$AF$1,"")</f>
        <v>845.91550000000007</v>
      </c>
      <c r="AG28" s="192">
        <v>0</v>
      </c>
      <c r="AH28" s="62">
        <f t="shared" ref="AH28:AH54" si="46">+IF(AA28&gt;1,AA28*$AH$1,"")</f>
        <v>531.0211861411666</v>
      </c>
      <c r="AI28" s="62">
        <f t="shared" si="38"/>
        <v>117.89795975493115</v>
      </c>
      <c r="AJ28" s="62"/>
      <c r="AK28" s="62">
        <v>0</v>
      </c>
      <c r="AL28" s="256">
        <f t="shared" ref="AL28:AL54" si="47">SUM(AC28:AK28)</f>
        <v>26794.447145896098</v>
      </c>
      <c r="AM28" s="256">
        <f t="shared" ref="AM28:AM54" si="48">AA28</f>
        <v>58339</v>
      </c>
      <c r="AN28" s="256">
        <f t="shared" ref="AN28:AN54" si="49">SUM(AL28:AM28)</f>
        <v>85133.447145896091</v>
      </c>
    </row>
    <row r="29" spans="1:40" x14ac:dyDescent="0.2">
      <c r="A29" s="386"/>
      <c r="B29" s="437">
        <v>250</v>
      </c>
      <c r="C29" s="438" t="s">
        <v>145</v>
      </c>
      <c r="D29" s="437"/>
      <c r="E29" s="437">
        <v>200</v>
      </c>
      <c r="F29" s="531">
        <v>1000</v>
      </c>
      <c r="G29" s="531" t="s">
        <v>161</v>
      </c>
      <c r="H29" s="437" t="s">
        <v>497</v>
      </c>
      <c r="I29" s="386" t="s">
        <v>1068</v>
      </c>
      <c r="J29" s="386" t="s">
        <v>1069</v>
      </c>
      <c r="K29" s="386" t="s">
        <v>389</v>
      </c>
      <c r="L29" s="386" t="s">
        <v>495</v>
      </c>
      <c r="M29" s="386">
        <v>1</v>
      </c>
      <c r="N29" s="386" t="s">
        <v>386</v>
      </c>
      <c r="O29" s="386">
        <v>26</v>
      </c>
      <c r="P29" s="386" t="s">
        <v>342</v>
      </c>
      <c r="Q29" s="389" t="s">
        <v>386</v>
      </c>
      <c r="R29" s="386">
        <v>200</v>
      </c>
      <c r="S29" s="386">
        <v>8</v>
      </c>
      <c r="T29" s="483">
        <f t="shared" si="39"/>
        <v>1600</v>
      </c>
      <c r="U29" s="482">
        <v>55000</v>
      </c>
      <c r="V29" s="395">
        <v>61910</v>
      </c>
      <c r="W29" s="270" t="str">
        <f t="shared" si="40"/>
        <v/>
      </c>
      <c r="X29" s="270">
        <f t="shared" si="41"/>
        <v>61910</v>
      </c>
      <c r="Y29" s="399">
        <v>0</v>
      </c>
      <c r="Z29" s="62">
        <v>0</v>
      </c>
      <c r="AA29" s="256">
        <f t="shared" si="42"/>
        <v>61910</v>
      </c>
      <c r="AB29" s="3"/>
      <c r="AC29" s="62">
        <f t="shared" si="23"/>
        <v>7943.76</v>
      </c>
      <c r="AD29" s="62" t="str">
        <f t="shared" si="43"/>
        <v/>
      </c>
      <c r="AE29" s="62">
        <f t="shared" si="44"/>
        <v>18418.224999999999</v>
      </c>
      <c r="AF29" s="62">
        <f t="shared" si="45"/>
        <v>897.69500000000005</v>
      </c>
      <c r="AG29" s="192">
        <v>0</v>
      </c>
      <c r="AH29" s="62">
        <f t="shared" si="46"/>
        <v>563.52562837895096</v>
      </c>
      <c r="AI29" s="62">
        <f t="shared" si="38"/>
        <v>125.1146349513668</v>
      </c>
      <c r="AJ29" s="62"/>
      <c r="AK29" s="62">
        <v>0</v>
      </c>
      <c r="AL29" s="256">
        <f t="shared" si="47"/>
        <v>27948.320263330315</v>
      </c>
      <c r="AM29" s="256">
        <f t="shared" si="48"/>
        <v>61910</v>
      </c>
      <c r="AN29" s="256">
        <f t="shared" si="49"/>
        <v>89858.320263330315</v>
      </c>
    </row>
    <row r="30" spans="1:40" x14ac:dyDescent="0.2">
      <c r="A30" s="386" t="s">
        <v>386</v>
      </c>
      <c r="B30" s="437" t="s">
        <v>468</v>
      </c>
      <c r="C30" s="437" t="s">
        <v>145</v>
      </c>
      <c r="D30" s="437"/>
      <c r="E30" s="437" t="s">
        <v>468</v>
      </c>
      <c r="F30" s="531">
        <v>1000</v>
      </c>
      <c r="G30" s="531" t="s">
        <v>161</v>
      </c>
      <c r="H30" s="438" t="s">
        <v>563</v>
      </c>
      <c r="I30" s="386" t="s">
        <v>963</v>
      </c>
      <c r="J30" s="386" t="s">
        <v>978</v>
      </c>
      <c r="K30" s="386" t="s">
        <v>393</v>
      </c>
      <c r="L30" s="386" t="s">
        <v>498</v>
      </c>
      <c r="M30" s="386">
        <v>1</v>
      </c>
      <c r="N30" s="386" t="s">
        <v>356</v>
      </c>
      <c r="O30" s="386">
        <v>26</v>
      </c>
      <c r="P30" s="386" t="s">
        <v>390</v>
      </c>
      <c r="Q30" s="389"/>
      <c r="R30" s="386">
        <v>200</v>
      </c>
      <c r="S30" s="386">
        <v>8</v>
      </c>
      <c r="T30" s="483">
        <f t="shared" si="39"/>
        <v>1600</v>
      </c>
      <c r="U30" s="482">
        <v>40725</v>
      </c>
      <c r="V30" s="395">
        <v>42656</v>
      </c>
      <c r="W30" s="270">
        <f t="shared" si="40"/>
        <v>49207.364415999997</v>
      </c>
      <c r="X30" s="270">
        <f t="shared" si="41"/>
        <v>49207.364415999997</v>
      </c>
      <c r="Y30" s="399">
        <v>0</v>
      </c>
      <c r="Z30" s="62">
        <v>0</v>
      </c>
      <c r="AA30" s="256">
        <f t="shared" si="42"/>
        <v>49207.364415999997</v>
      </c>
      <c r="AB30" s="3"/>
      <c r="AC30" s="62">
        <f t="shared" si="23"/>
        <v>7943.76</v>
      </c>
      <c r="AD30" s="62" t="str">
        <f t="shared" si="43"/>
        <v/>
      </c>
      <c r="AE30" s="62">
        <f t="shared" si="44"/>
        <v>7627.1414844799992</v>
      </c>
      <c r="AF30" s="400">
        <f t="shared" si="45"/>
        <v>713.50678403200004</v>
      </c>
      <c r="AG30" s="192">
        <v>0</v>
      </c>
      <c r="AH30" s="62">
        <f t="shared" si="46"/>
        <v>447.9019698497566</v>
      </c>
      <c r="AI30" s="62">
        <f t="shared" si="38"/>
        <v>99.443731801432975</v>
      </c>
      <c r="AJ30" s="62"/>
      <c r="AK30" s="62">
        <v>0</v>
      </c>
      <c r="AL30" s="256">
        <f t="shared" si="47"/>
        <v>16831.75397016319</v>
      </c>
      <c r="AM30" s="256">
        <f t="shared" si="48"/>
        <v>49207.364415999997</v>
      </c>
      <c r="AN30" s="256">
        <f t="shared" si="49"/>
        <v>66039.118386163187</v>
      </c>
    </row>
    <row r="31" spans="1:40" hidden="1" x14ac:dyDescent="0.2">
      <c r="A31" s="439" t="s">
        <v>1103</v>
      </c>
      <c r="B31" s="440" t="s">
        <v>135</v>
      </c>
      <c r="C31" s="440" t="s">
        <v>242</v>
      </c>
      <c r="D31" s="440"/>
      <c r="E31" s="440" t="s">
        <v>532</v>
      </c>
      <c r="F31" s="531" t="s">
        <v>534</v>
      </c>
      <c r="G31" s="531" t="s">
        <v>161</v>
      </c>
      <c r="H31" s="440" t="s">
        <v>920</v>
      </c>
      <c r="I31" s="439" t="s">
        <v>965</v>
      </c>
      <c r="J31" s="439" t="s">
        <v>980</v>
      </c>
      <c r="K31" s="439" t="s">
        <v>393</v>
      </c>
      <c r="L31" s="439" t="s">
        <v>983</v>
      </c>
      <c r="M31" s="439">
        <v>1</v>
      </c>
      <c r="N31" s="439" t="s">
        <v>93</v>
      </c>
      <c r="O31" s="439">
        <v>26</v>
      </c>
      <c r="P31" s="439" t="s">
        <v>342</v>
      </c>
      <c r="Q31" s="533" t="s">
        <v>386</v>
      </c>
      <c r="R31" s="439">
        <v>200</v>
      </c>
      <c r="S31" s="439">
        <v>8</v>
      </c>
      <c r="T31" s="483">
        <f t="shared" si="39"/>
        <v>1600</v>
      </c>
      <c r="U31" s="482">
        <v>63148</v>
      </c>
      <c r="V31" s="395">
        <v>64411</v>
      </c>
      <c r="W31" s="270" t="str">
        <f t="shared" si="40"/>
        <v/>
      </c>
      <c r="X31" s="270">
        <f t="shared" si="41"/>
        <v>64411</v>
      </c>
      <c r="Y31" s="399">
        <v>0</v>
      </c>
      <c r="Z31" s="62">
        <v>0</v>
      </c>
      <c r="AA31" s="256">
        <f t="shared" si="42"/>
        <v>64411</v>
      </c>
      <c r="AB31" s="3"/>
      <c r="AC31" s="62">
        <f t="shared" si="23"/>
        <v>7943.76</v>
      </c>
      <c r="AD31" s="62" t="str">
        <f t="shared" si="43"/>
        <v/>
      </c>
      <c r="AE31" s="62">
        <f t="shared" si="44"/>
        <v>19162.272499999999</v>
      </c>
      <c r="AF31" s="62">
        <f t="shared" si="45"/>
        <v>933.95950000000005</v>
      </c>
      <c r="AG31" s="192">
        <v>0</v>
      </c>
      <c r="AH31" s="62">
        <f t="shared" si="46"/>
        <v>586.29057098233909</v>
      </c>
      <c r="AI31" s="62">
        <f t="shared" si="38"/>
        <v>130.16893477390545</v>
      </c>
      <c r="AJ31" s="62"/>
      <c r="AK31" s="62">
        <v>0</v>
      </c>
      <c r="AL31" s="256">
        <f t="shared" si="47"/>
        <v>28756.451505756246</v>
      </c>
      <c r="AM31" s="256">
        <f t="shared" si="48"/>
        <v>64411</v>
      </c>
      <c r="AN31" s="256">
        <f t="shared" si="49"/>
        <v>93167.451505756238</v>
      </c>
    </row>
    <row r="32" spans="1:40" x14ac:dyDescent="0.2">
      <c r="A32" s="394" t="s">
        <v>999</v>
      </c>
      <c r="B32" s="500">
        <v>280</v>
      </c>
      <c r="C32" s="500">
        <v>639</v>
      </c>
      <c r="D32" s="500"/>
      <c r="E32" s="500">
        <v>200</v>
      </c>
      <c r="F32" s="531">
        <v>1000</v>
      </c>
      <c r="G32" s="531" t="s">
        <v>161</v>
      </c>
      <c r="H32" s="501" t="s">
        <v>563</v>
      </c>
      <c r="I32" s="394" t="s">
        <v>966</v>
      </c>
      <c r="J32" s="394" t="s">
        <v>981</v>
      </c>
      <c r="K32" s="394" t="s">
        <v>389</v>
      </c>
      <c r="L32" s="394" t="s">
        <v>495</v>
      </c>
      <c r="M32" s="394">
        <v>1</v>
      </c>
      <c r="N32" s="394" t="s">
        <v>386</v>
      </c>
      <c r="O32" s="394">
        <v>26</v>
      </c>
      <c r="P32" s="394" t="s">
        <v>342</v>
      </c>
      <c r="Q32" s="400" t="s">
        <v>386</v>
      </c>
      <c r="R32" s="394">
        <v>200</v>
      </c>
      <c r="S32" s="394">
        <v>8</v>
      </c>
      <c r="T32" s="483">
        <f t="shared" si="39"/>
        <v>1600</v>
      </c>
      <c r="U32" s="482">
        <v>49792</v>
      </c>
      <c r="V32" s="395">
        <v>50788</v>
      </c>
      <c r="W32" s="270" t="str">
        <f t="shared" si="40"/>
        <v/>
      </c>
      <c r="X32" s="270">
        <f t="shared" si="41"/>
        <v>50788</v>
      </c>
      <c r="Y32" s="399">
        <v>0</v>
      </c>
      <c r="Z32" s="62">
        <v>0</v>
      </c>
      <c r="AA32" s="256">
        <f t="shared" si="42"/>
        <v>50788</v>
      </c>
      <c r="AB32" s="3"/>
      <c r="AC32" s="62">
        <f t="shared" si="23"/>
        <v>7943.76</v>
      </c>
      <c r="AD32" s="62" t="str">
        <f t="shared" si="43"/>
        <v/>
      </c>
      <c r="AE32" s="62">
        <f t="shared" si="44"/>
        <v>15109.429999999998</v>
      </c>
      <c r="AF32" s="62">
        <f t="shared" si="45"/>
        <v>736.42600000000004</v>
      </c>
      <c r="AG32" s="192">
        <v>0</v>
      </c>
      <c r="AH32" s="62">
        <f t="shared" si="46"/>
        <v>462.28944619787046</v>
      </c>
      <c r="AI32" s="62">
        <f t="shared" si="38"/>
        <v>102.63805653222447</v>
      </c>
      <c r="AJ32" s="62"/>
      <c r="AK32" s="62">
        <v>0</v>
      </c>
      <c r="AL32" s="256">
        <f t="shared" si="47"/>
        <v>24354.543502730095</v>
      </c>
      <c r="AM32" s="256">
        <f t="shared" si="48"/>
        <v>50788</v>
      </c>
      <c r="AN32" s="256">
        <f t="shared" si="49"/>
        <v>75142.543502730099</v>
      </c>
    </row>
    <row r="33" spans="1:44" x14ac:dyDescent="0.2">
      <c r="A33" s="386"/>
      <c r="B33" s="437">
        <v>100</v>
      </c>
      <c r="C33" s="437" t="s">
        <v>145</v>
      </c>
      <c r="D33" s="437"/>
      <c r="E33" s="437">
        <v>100</v>
      </c>
      <c r="F33" s="531">
        <v>1000</v>
      </c>
      <c r="G33" s="531" t="s">
        <v>161</v>
      </c>
      <c r="H33" s="438" t="s">
        <v>563</v>
      </c>
      <c r="I33" s="386" t="s">
        <v>1073</v>
      </c>
      <c r="J33" s="386" t="s">
        <v>1074</v>
      </c>
      <c r="K33" s="386" t="s">
        <v>389</v>
      </c>
      <c r="L33" s="386" t="s">
        <v>498</v>
      </c>
      <c r="M33" s="386">
        <v>1</v>
      </c>
      <c r="N33" s="386" t="s">
        <v>386</v>
      </c>
      <c r="O33" s="386">
        <v>26</v>
      </c>
      <c r="P33" s="386" t="s">
        <v>342</v>
      </c>
      <c r="Q33" s="389" t="s">
        <v>386</v>
      </c>
      <c r="R33" s="386">
        <v>200</v>
      </c>
      <c r="S33" s="386">
        <v>8</v>
      </c>
      <c r="T33" s="483">
        <f>R33*S33</f>
        <v>1600</v>
      </c>
      <c r="U33" s="482">
        <v>55000</v>
      </c>
      <c r="V33" s="395">
        <v>50788</v>
      </c>
      <c r="W33" s="270" t="str">
        <f t="shared" ref="W33:W39" si="50">+IF(P33="EE",+V33*$W$1,"")</f>
        <v/>
      </c>
      <c r="X33" s="270">
        <f t="shared" ref="X33:X39" si="51">_xlfn.IFS(P33="ER",V33,P33="EE",W33,P33="N",V33,P33="","")</f>
        <v>50788</v>
      </c>
      <c r="Y33" s="399">
        <v>0</v>
      </c>
      <c r="Z33" s="62">
        <v>0</v>
      </c>
      <c r="AA33" s="256">
        <f t="shared" ref="AA33:AA39" si="52">SUM(X33:Z33)</f>
        <v>50788</v>
      </c>
      <c r="AB33" s="3"/>
      <c r="AC33" s="62">
        <f t="shared" si="23"/>
        <v>7943.76</v>
      </c>
      <c r="AD33" s="62" t="str">
        <f t="shared" ref="AD33:AD39" si="53">_xlfn.IFS(P33="N",$AD$1*AA33,P33="EE","",P33="ER","",P33="","")</f>
        <v/>
      </c>
      <c r="AE33" s="62">
        <f t="shared" ref="AE33:AE39" si="54">_xlfn.IFS(P33="EE",X33*$AE$1,P33="ER",X33*$AE$2,P33="N","",P33="","")</f>
        <v>15109.429999999998</v>
      </c>
      <c r="AF33" s="400">
        <f t="shared" ref="AF33:AF39" si="55">+IF(AA33&gt;1,AA33*$AF$1,"")</f>
        <v>736.42600000000004</v>
      </c>
      <c r="AG33" s="192">
        <v>0</v>
      </c>
      <c r="AH33" s="62">
        <f t="shared" ref="AH33:AH39" si="56">+IF(AA33&gt;1,AA33*$AH$1,"")</f>
        <v>462.28944619787046</v>
      </c>
      <c r="AI33" s="62">
        <f t="shared" ref="AI33:AI51" si="57">+_xlfn.IFS(F33&lt;2300,(AA33*$AI$1),F33&gt;=2300,(AA33*$AI$2),F33="","")</f>
        <v>102.63805653222447</v>
      </c>
      <c r="AJ33" s="62"/>
      <c r="AK33" s="62">
        <v>0</v>
      </c>
      <c r="AL33" s="256">
        <f t="shared" ref="AL33:AL51" si="58">SUM(AC33:AK33)</f>
        <v>24354.543502730095</v>
      </c>
      <c r="AM33" s="256">
        <f t="shared" ref="AM33:AM51" si="59">AA33</f>
        <v>50788</v>
      </c>
      <c r="AN33" s="256">
        <f t="shared" ref="AN33:AN51" si="60">SUM(AL33:AM33)</f>
        <v>75142.543502730099</v>
      </c>
    </row>
    <row r="34" spans="1:44" x14ac:dyDescent="0.2">
      <c r="A34" s="386" t="s">
        <v>892</v>
      </c>
      <c r="B34" s="594" t="s">
        <v>462</v>
      </c>
      <c r="C34" s="594" t="s">
        <v>145</v>
      </c>
      <c r="D34" s="594"/>
      <c r="E34" s="594" t="s">
        <v>463</v>
      </c>
      <c r="F34" s="600" t="s">
        <v>461</v>
      </c>
      <c r="G34" s="600" t="s">
        <v>161</v>
      </c>
      <c r="H34" s="595" t="s">
        <v>563</v>
      </c>
      <c r="I34" s="593" t="s">
        <v>1075</v>
      </c>
      <c r="J34" s="593" t="s">
        <v>1076</v>
      </c>
      <c r="K34" s="593" t="s">
        <v>389</v>
      </c>
      <c r="L34" s="593" t="s">
        <v>495</v>
      </c>
      <c r="M34" s="593">
        <v>1</v>
      </c>
      <c r="N34" s="593" t="s">
        <v>386</v>
      </c>
      <c r="O34" s="593">
        <v>26</v>
      </c>
      <c r="P34" s="593" t="s">
        <v>342</v>
      </c>
      <c r="Q34" s="596" t="s">
        <v>386</v>
      </c>
      <c r="R34" s="593">
        <v>200</v>
      </c>
      <c r="S34" s="593">
        <v>8</v>
      </c>
      <c r="T34" s="483">
        <f>R34*S34</f>
        <v>1600</v>
      </c>
      <c r="U34" s="482">
        <v>55000</v>
      </c>
      <c r="V34" s="395">
        <v>46920</v>
      </c>
      <c r="W34" s="270" t="str">
        <f t="shared" si="50"/>
        <v/>
      </c>
      <c r="X34" s="270">
        <f t="shared" si="51"/>
        <v>46920</v>
      </c>
      <c r="Y34" s="399">
        <v>0</v>
      </c>
      <c r="Z34" s="62">
        <v>0</v>
      </c>
      <c r="AA34" s="256">
        <f t="shared" si="52"/>
        <v>46920</v>
      </c>
      <c r="AB34" s="3"/>
      <c r="AC34" s="62">
        <f t="shared" si="23"/>
        <v>7943.76</v>
      </c>
      <c r="AD34" s="62" t="str">
        <f t="shared" si="53"/>
        <v/>
      </c>
      <c r="AE34" s="62">
        <f t="shared" si="54"/>
        <v>13958.699999999999</v>
      </c>
      <c r="AF34" s="62">
        <f t="shared" si="55"/>
        <v>680.34</v>
      </c>
      <c r="AG34" s="192">
        <v>0</v>
      </c>
      <c r="AH34" s="62">
        <f t="shared" si="56"/>
        <v>427.08161013633304</v>
      </c>
      <c r="AI34" s="62">
        <f t="shared" si="57"/>
        <v>94.821170601165079</v>
      </c>
      <c r="AJ34" s="62"/>
      <c r="AK34" s="62">
        <v>0</v>
      </c>
      <c r="AL34" s="256">
        <f t="shared" si="58"/>
        <v>23104.702780737498</v>
      </c>
      <c r="AM34" s="256">
        <f t="shared" si="59"/>
        <v>46920</v>
      </c>
      <c r="AN34" s="256">
        <f t="shared" si="60"/>
        <v>70024.702780737498</v>
      </c>
    </row>
    <row r="35" spans="1:44" x14ac:dyDescent="0.2">
      <c r="A35" s="394" t="s">
        <v>999</v>
      </c>
      <c r="B35" s="500">
        <v>280</v>
      </c>
      <c r="C35" s="500">
        <v>639</v>
      </c>
      <c r="D35" s="500"/>
      <c r="E35" s="500">
        <v>200</v>
      </c>
      <c r="F35" s="531">
        <v>1000</v>
      </c>
      <c r="G35" s="531" t="s">
        <v>161</v>
      </c>
      <c r="H35" s="501" t="s">
        <v>563</v>
      </c>
      <c r="I35" s="394" t="s">
        <v>968</v>
      </c>
      <c r="J35" s="394" t="s">
        <v>427</v>
      </c>
      <c r="K35" s="394" t="s">
        <v>389</v>
      </c>
      <c r="L35" s="394" t="s">
        <v>422</v>
      </c>
      <c r="M35" s="394">
        <v>1</v>
      </c>
      <c r="N35" s="394" t="s">
        <v>386</v>
      </c>
      <c r="O35" s="394">
        <v>26</v>
      </c>
      <c r="P35" s="394" t="s">
        <v>342</v>
      </c>
      <c r="Q35" s="400" t="s">
        <v>386</v>
      </c>
      <c r="R35" s="394">
        <v>200</v>
      </c>
      <c r="S35" s="394">
        <v>8</v>
      </c>
      <c r="T35" s="483">
        <f>R35*S35</f>
        <v>1600</v>
      </c>
      <c r="U35" s="482">
        <v>58339</v>
      </c>
      <c r="V35" s="395">
        <v>59506</v>
      </c>
      <c r="W35" s="270" t="str">
        <f t="shared" si="50"/>
        <v/>
      </c>
      <c r="X35" s="270">
        <f t="shared" si="51"/>
        <v>59506</v>
      </c>
      <c r="Y35" s="399">
        <v>0</v>
      </c>
      <c r="Z35" s="62">
        <v>0</v>
      </c>
      <c r="AA35" s="256">
        <f t="shared" si="52"/>
        <v>59506</v>
      </c>
      <c r="AB35" s="3"/>
      <c r="AC35" s="62">
        <f t="shared" si="23"/>
        <v>7943.76</v>
      </c>
      <c r="AD35" s="62" t="str">
        <f t="shared" si="53"/>
        <v/>
      </c>
      <c r="AE35" s="62">
        <f t="shared" si="54"/>
        <v>17703.035</v>
      </c>
      <c r="AF35" s="62">
        <f t="shared" si="55"/>
        <v>862.83699999999999</v>
      </c>
      <c r="AG35" s="192">
        <v>0</v>
      </c>
      <c r="AH35" s="62">
        <f t="shared" si="56"/>
        <v>541.64361237793344</v>
      </c>
      <c r="AI35" s="62">
        <f t="shared" si="57"/>
        <v>120.25636355057394</v>
      </c>
      <c r="AJ35" s="62"/>
      <c r="AK35" s="62">
        <v>0</v>
      </c>
      <c r="AL35" s="256">
        <f t="shared" si="58"/>
        <v>27171.531975928505</v>
      </c>
      <c r="AM35" s="256">
        <f t="shared" si="59"/>
        <v>59506</v>
      </c>
      <c r="AN35" s="256">
        <f t="shared" si="60"/>
        <v>86677.531975928505</v>
      </c>
    </row>
    <row r="36" spans="1:44" x14ac:dyDescent="0.2">
      <c r="A36" s="474" t="s">
        <v>924</v>
      </c>
      <c r="B36" s="425">
        <v>280</v>
      </c>
      <c r="C36" s="502">
        <v>661</v>
      </c>
      <c r="D36" s="425"/>
      <c r="E36" s="425">
        <v>100</v>
      </c>
      <c r="F36" s="531" t="s">
        <v>461</v>
      </c>
      <c r="G36" s="531" t="s">
        <v>161</v>
      </c>
      <c r="H36" s="425" t="s">
        <v>497</v>
      </c>
      <c r="I36" s="474" t="s">
        <v>971</v>
      </c>
      <c r="J36" s="474" t="s">
        <v>986</v>
      </c>
      <c r="K36" s="474" t="s">
        <v>389</v>
      </c>
      <c r="L36" s="474" t="s">
        <v>903</v>
      </c>
      <c r="M36" s="474">
        <v>1</v>
      </c>
      <c r="N36" s="474"/>
      <c r="O36" s="474">
        <v>26</v>
      </c>
      <c r="P36" s="474" t="s">
        <v>390</v>
      </c>
      <c r="Q36" s="487"/>
      <c r="R36" s="474">
        <v>200</v>
      </c>
      <c r="S36" s="474">
        <v>8</v>
      </c>
      <c r="T36" s="483">
        <f>R36*S36</f>
        <v>1600</v>
      </c>
      <c r="U36" s="482">
        <v>57896</v>
      </c>
      <c r="V36" s="395">
        <v>53896</v>
      </c>
      <c r="W36" s="270">
        <f t="shared" si="50"/>
        <v>62173.671055999999</v>
      </c>
      <c r="X36" s="270">
        <f t="shared" si="51"/>
        <v>62173.671055999999</v>
      </c>
      <c r="Y36" s="399">
        <v>0</v>
      </c>
      <c r="Z36" s="62">
        <v>0</v>
      </c>
      <c r="AA36" s="256">
        <f t="shared" si="52"/>
        <v>62173.671055999999</v>
      </c>
      <c r="AB36" s="3"/>
      <c r="AC36" s="62">
        <f t="shared" si="23"/>
        <v>7943.76</v>
      </c>
      <c r="AD36" s="62" t="str">
        <f t="shared" si="53"/>
        <v/>
      </c>
      <c r="AE36" s="62">
        <f t="shared" si="54"/>
        <v>9636.9190136800007</v>
      </c>
      <c r="AF36" s="62">
        <f t="shared" si="55"/>
        <v>901.51823031200001</v>
      </c>
      <c r="AG36" s="192">
        <v>0</v>
      </c>
      <c r="AH36" s="62">
        <f t="shared" si="56"/>
        <v>565.92565095232749</v>
      </c>
      <c r="AI36" s="62">
        <f t="shared" si="57"/>
        <v>125.64749083763203</v>
      </c>
      <c r="AJ36" s="62"/>
      <c r="AK36" s="62">
        <v>0</v>
      </c>
      <c r="AL36" s="256">
        <f t="shared" si="58"/>
        <v>19173.770385781958</v>
      </c>
      <c r="AM36" s="256">
        <f t="shared" si="59"/>
        <v>62173.671055999999</v>
      </c>
      <c r="AN36" s="256">
        <f t="shared" si="60"/>
        <v>81347.441441781964</v>
      </c>
    </row>
    <row r="37" spans="1:44" x14ac:dyDescent="0.2">
      <c r="A37" s="386" t="s">
        <v>386</v>
      </c>
      <c r="B37" s="437">
        <v>100</v>
      </c>
      <c r="C37" s="437" t="s">
        <v>145</v>
      </c>
      <c r="D37" s="437"/>
      <c r="E37" s="437">
        <v>100</v>
      </c>
      <c r="F37" s="531">
        <v>1000</v>
      </c>
      <c r="G37" s="531" t="s">
        <v>161</v>
      </c>
      <c r="H37" s="438" t="s">
        <v>563</v>
      </c>
      <c r="I37" s="386" t="s">
        <v>972</v>
      </c>
      <c r="J37" s="386" t="s">
        <v>987</v>
      </c>
      <c r="K37" s="386" t="s">
        <v>389</v>
      </c>
      <c r="L37" s="386" t="s">
        <v>498</v>
      </c>
      <c r="M37" s="386">
        <v>1</v>
      </c>
      <c r="N37" s="386" t="s">
        <v>386</v>
      </c>
      <c r="O37" s="386">
        <v>26</v>
      </c>
      <c r="P37" s="386" t="s">
        <v>342</v>
      </c>
      <c r="Q37" s="389" t="s">
        <v>386</v>
      </c>
      <c r="R37" s="386">
        <v>200</v>
      </c>
      <c r="S37" s="386">
        <v>8</v>
      </c>
      <c r="T37" s="483">
        <f>R37*S37</f>
        <v>1600</v>
      </c>
      <c r="U37" s="482">
        <v>52840</v>
      </c>
      <c r="V37" s="395">
        <v>53896</v>
      </c>
      <c r="W37" s="270" t="str">
        <f t="shared" si="50"/>
        <v/>
      </c>
      <c r="X37" s="270">
        <f t="shared" si="51"/>
        <v>53896</v>
      </c>
      <c r="Y37" s="399">
        <v>0</v>
      </c>
      <c r="Z37" s="62">
        <v>0</v>
      </c>
      <c r="AA37" s="256">
        <f t="shared" si="52"/>
        <v>53896</v>
      </c>
      <c r="AB37" s="3"/>
      <c r="AC37" s="62">
        <f t="shared" si="23"/>
        <v>7943.76</v>
      </c>
      <c r="AD37" s="62" t="str">
        <f t="shared" si="53"/>
        <v/>
      </c>
      <c r="AE37" s="62">
        <f t="shared" si="54"/>
        <v>16034.06</v>
      </c>
      <c r="AF37" s="400">
        <f t="shared" si="55"/>
        <v>781.49200000000008</v>
      </c>
      <c r="AG37" s="192">
        <v>0</v>
      </c>
      <c r="AH37" s="62">
        <f t="shared" si="56"/>
        <v>490.57950681815447</v>
      </c>
      <c r="AI37" s="62">
        <f t="shared" si="57"/>
        <v>108.91904967434768</v>
      </c>
      <c r="AJ37" s="62"/>
      <c r="AK37" s="62">
        <v>0</v>
      </c>
      <c r="AL37" s="256">
        <f t="shared" si="58"/>
        <v>25358.810556492499</v>
      </c>
      <c r="AM37" s="256">
        <f t="shared" si="59"/>
        <v>53896</v>
      </c>
      <c r="AN37" s="256">
        <f t="shared" si="60"/>
        <v>79254.810556492506</v>
      </c>
    </row>
    <row r="38" spans="1:44" x14ac:dyDescent="0.2">
      <c r="A38" s="386"/>
      <c r="B38" s="387" t="s">
        <v>462</v>
      </c>
      <c r="C38" s="390" t="s">
        <v>145</v>
      </c>
      <c r="D38" s="387"/>
      <c r="E38" s="387" t="s">
        <v>463</v>
      </c>
      <c r="F38" s="597" t="s">
        <v>461</v>
      </c>
      <c r="G38" s="598" t="s">
        <v>161</v>
      </c>
      <c r="H38" s="387" t="s">
        <v>920</v>
      </c>
      <c r="I38" s="359" t="s">
        <v>959</v>
      </c>
      <c r="J38" s="359" t="s">
        <v>960</v>
      </c>
      <c r="K38" s="359" t="s">
        <v>389</v>
      </c>
      <c r="L38" s="359" t="s">
        <v>896</v>
      </c>
      <c r="M38" s="386">
        <v>1</v>
      </c>
      <c r="N38" s="386"/>
      <c r="O38" s="386">
        <v>26</v>
      </c>
      <c r="P38" s="389" t="s">
        <v>342</v>
      </c>
      <c r="Q38" s="389"/>
      <c r="R38" s="386">
        <v>261</v>
      </c>
      <c r="S38" s="386">
        <v>8</v>
      </c>
      <c r="T38" s="483">
        <f t="shared" ref="T38" si="61">R38*S38</f>
        <v>2088</v>
      </c>
      <c r="U38" s="482">
        <v>65000</v>
      </c>
      <c r="V38" s="395">
        <v>79036</v>
      </c>
      <c r="W38" s="270" t="str">
        <f t="shared" si="50"/>
        <v/>
      </c>
      <c r="X38" s="270">
        <f t="shared" si="51"/>
        <v>79036</v>
      </c>
      <c r="Y38" s="399">
        <v>0</v>
      </c>
      <c r="Z38" s="62">
        <v>0</v>
      </c>
      <c r="AA38" s="256">
        <f t="shared" si="52"/>
        <v>79036</v>
      </c>
      <c r="AB38" s="3"/>
      <c r="AC38" s="62">
        <f t="shared" si="23"/>
        <v>7943.76</v>
      </c>
      <c r="AD38" s="62" t="str">
        <f t="shared" si="53"/>
        <v/>
      </c>
      <c r="AE38" s="62">
        <f t="shared" si="54"/>
        <v>23513.21</v>
      </c>
      <c r="AF38" s="62">
        <f t="shared" si="55"/>
        <v>1146.0220000000002</v>
      </c>
      <c r="AG38" s="192">
        <v>0</v>
      </c>
      <c r="AH38" s="62">
        <f t="shared" si="56"/>
        <v>719.41223654593387</v>
      </c>
      <c r="AI38" s="62">
        <f t="shared" si="57"/>
        <v>159.72476640310492</v>
      </c>
      <c r="AJ38" s="62"/>
      <c r="AK38" s="62">
        <v>0</v>
      </c>
      <c r="AL38" s="256">
        <f t="shared" si="58"/>
        <v>33482.129002949041</v>
      </c>
      <c r="AM38" s="256">
        <f t="shared" si="59"/>
        <v>79036</v>
      </c>
      <c r="AN38" s="256">
        <f t="shared" si="60"/>
        <v>112518.12900294905</v>
      </c>
      <c r="AO38" s="3"/>
      <c r="AP38" s="3"/>
      <c r="AQ38" s="3"/>
      <c r="AR38" s="3"/>
    </row>
    <row r="39" spans="1:44" hidden="1" x14ac:dyDescent="0.2">
      <c r="A39" s="394" t="s">
        <v>1000</v>
      </c>
      <c r="B39" s="500">
        <v>280</v>
      </c>
      <c r="C39" s="500">
        <v>633</v>
      </c>
      <c r="D39" s="500"/>
      <c r="E39" s="500">
        <v>430</v>
      </c>
      <c r="F39" s="531">
        <v>2210</v>
      </c>
      <c r="G39" s="531" t="s">
        <v>161</v>
      </c>
      <c r="H39" s="500" t="s">
        <v>920</v>
      </c>
      <c r="I39" s="394" t="s">
        <v>973</v>
      </c>
      <c r="J39" s="394" t="s">
        <v>454</v>
      </c>
      <c r="K39" s="394" t="s">
        <v>389</v>
      </c>
      <c r="L39" s="394" t="s">
        <v>988</v>
      </c>
      <c r="M39" s="394">
        <v>1</v>
      </c>
      <c r="N39" s="394" t="s">
        <v>386</v>
      </c>
      <c r="O39" s="394">
        <v>26</v>
      </c>
      <c r="P39" s="394" t="s">
        <v>390</v>
      </c>
      <c r="Q39" s="400" t="s">
        <v>386</v>
      </c>
      <c r="R39" s="394">
        <v>200</v>
      </c>
      <c r="S39" s="394">
        <v>8</v>
      </c>
      <c r="T39" s="483">
        <f>R39*S39</f>
        <v>1600</v>
      </c>
      <c r="U39" s="482">
        <v>64411</v>
      </c>
      <c r="V39" s="395">
        <v>65699</v>
      </c>
      <c r="W39" s="270">
        <f t="shared" si="50"/>
        <v>75789.446614</v>
      </c>
      <c r="X39" s="270">
        <f t="shared" si="51"/>
        <v>75789.446614</v>
      </c>
      <c r="Y39" s="399">
        <v>0</v>
      </c>
      <c r="Z39" s="62">
        <v>0</v>
      </c>
      <c r="AA39" s="256">
        <f t="shared" si="52"/>
        <v>75789.446614</v>
      </c>
      <c r="AB39" s="3"/>
      <c r="AC39" s="62">
        <f t="shared" si="23"/>
        <v>7943.76</v>
      </c>
      <c r="AD39" s="62" t="str">
        <f t="shared" si="53"/>
        <v/>
      </c>
      <c r="AE39" s="62">
        <f t="shared" si="54"/>
        <v>11747.36422517</v>
      </c>
      <c r="AF39" s="62">
        <f t="shared" si="55"/>
        <v>1098.9469759030001</v>
      </c>
      <c r="AG39" s="192">
        <v>0</v>
      </c>
      <c r="AH39" s="62">
        <f t="shared" si="56"/>
        <v>689.86101643752716</v>
      </c>
      <c r="AI39" s="62">
        <f t="shared" si="57"/>
        <v>153.16376912092898</v>
      </c>
      <c r="AJ39" s="62"/>
      <c r="AK39" s="62">
        <v>0</v>
      </c>
      <c r="AL39" s="256">
        <f t="shared" si="58"/>
        <v>21633.095986631459</v>
      </c>
      <c r="AM39" s="256">
        <f t="shared" si="59"/>
        <v>75789.446614</v>
      </c>
      <c r="AN39" s="256">
        <f t="shared" si="60"/>
        <v>97422.542600631452</v>
      </c>
    </row>
    <row r="40" spans="1:44" hidden="1" x14ac:dyDescent="0.2">
      <c r="A40" s="386"/>
      <c r="B40" s="437"/>
      <c r="C40" s="437"/>
      <c r="D40" s="437"/>
      <c r="E40" s="437"/>
      <c r="F40" s="437"/>
      <c r="G40" s="437"/>
      <c r="H40" s="437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263"/>
      <c r="U40" s="269"/>
      <c r="V40" s="270"/>
      <c r="W40" s="270"/>
      <c r="X40" s="270"/>
      <c r="Y40" s="62"/>
      <c r="Z40" s="62"/>
      <c r="AA40" s="256"/>
      <c r="AB40" s="3"/>
      <c r="AC40" s="62" t="str">
        <f t="shared" si="23"/>
        <v/>
      </c>
      <c r="AD40" s="62"/>
      <c r="AE40" s="62"/>
      <c r="AF40" s="62"/>
      <c r="AG40" s="192"/>
      <c r="AH40" s="62"/>
      <c r="AI40" s="62">
        <f t="shared" si="57"/>
        <v>0</v>
      </c>
      <c r="AJ40" s="62"/>
      <c r="AK40" s="62"/>
      <c r="AL40" s="256">
        <f t="shared" si="58"/>
        <v>0</v>
      </c>
      <c r="AM40" s="256">
        <f t="shared" si="59"/>
        <v>0</v>
      </c>
      <c r="AN40" s="256">
        <f t="shared" si="60"/>
        <v>0</v>
      </c>
    </row>
    <row r="41" spans="1:44" hidden="1" x14ac:dyDescent="0.2">
      <c r="A41" s="474" t="s">
        <v>924</v>
      </c>
      <c r="B41" s="425">
        <v>280</v>
      </c>
      <c r="C41" s="425">
        <v>661</v>
      </c>
      <c r="D41" s="425"/>
      <c r="E41" s="425">
        <v>100</v>
      </c>
      <c r="F41" s="531">
        <v>2110</v>
      </c>
      <c r="G41" s="531" t="s">
        <v>173</v>
      </c>
      <c r="H41" s="425" t="s">
        <v>497</v>
      </c>
      <c r="I41" s="474" t="s">
        <v>1137</v>
      </c>
      <c r="J41" s="474" t="s">
        <v>1136</v>
      </c>
      <c r="K41" s="474" t="s">
        <v>384</v>
      </c>
      <c r="L41" s="474" t="s">
        <v>907</v>
      </c>
      <c r="M41" s="474">
        <v>1</v>
      </c>
      <c r="N41" s="474">
        <v>12</v>
      </c>
      <c r="O41" s="474">
        <v>24</v>
      </c>
      <c r="P41" s="474" t="s">
        <v>342</v>
      </c>
      <c r="Q41" s="487">
        <v>19.88</v>
      </c>
      <c r="R41" s="474">
        <v>260</v>
      </c>
      <c r="S41" s="474">
        <v>8</v>
      </c>
      <c r="T41" s="483">
        <f>R41*S41</f>
        <v>2080</v>
      </c>
      <c r="U41" s="482">
        <f>Q41*T41</f>
        <v>41350.400000000001</v>
      </c>
      <c r="V41" s="395">
        <f>U41</f>
        <v>41350.400000000001</v>
      </c>
      <c r="W41" s="270" t="str">
        <f>+IF(P41="EE",+V41*$W$1,"")</f>
        <v/>
      </c>
      <c r="X41" s="270">
        <f t="shared" ref="X41:X50" si="62">_xlfn.IFS(P41="ER",V41,P41="EE",W41,P41="N",V41,P41="","")</f>
        <v>41350.400000000001</v>
      </c>
      <c r="Y41" s="399">
        <v>0</v>
      </c>
      <c r="Z41" s="62">
        <v>0</v>
      </c>
      <c r="AA41" s="256">
        <f t="shared" ref="AA41:AA51" si="63">SUM(X41:Z41)</f>
        <v>41350.400000000001</v>
      </c>
      <c r="AB41" s="3"/>
      <c r="AC41" s="62">
        <f t="shared" si="23"/>
        <v>7943.76</v>
      </c>
      <c r="AD41" s="62" t="str">
        <f t="shared" ref="AD41:AD50" si="64">_xlfn.IFS(P41="N",$AD$1*AA41,P41="EE","",P41="ER","",P41="","")</f>
        <v/>
      </c>
      <c r="AE41" s="62">
        <f t="shared" ref="AE41:AE50" si="65">_xlfn.IFS(P41="EE",X41*$AE$1,P41="ER",X41*$AE$2,P41="N","",P41="","")</f>
        <v>12301.744000000001</v>
      </c>
      <c r="AF41" s="62">
        <f t="shared" ref="AF41:AF49" si="66">+IF(AA41&gt;1,AA41*$AF$1,"")</f>
        <v>599.58080000000007</v>
      </c>
      <c r="AG41" s="192">
        <v>0</v>
      </c>
      <c r="AH41" s="62">
        <f t="shared" ref="AH41:AH49" si="67">+IF(AA41&gt;1,AA41*$AH$1,"")</f>
        <v>376.38523895527339</v>
      </c>
      <c r="AI41" s="62">
        <f t="shared" si="57"/>
        <v>83.565501552140162</v>
      </c>
      <c r="AJ41" s="62"/>
      <c r="AK41" s="62">
        <v>0</v>
      </c>
      <c r="AL41" s="256">
        <f t="shared" si="58"/>
        <v>21305.035540507415</v>
      </c>
      <c r="AM41" s="256">
        <f t="shared" si="59"/>
        <v>41350.400000000001</v>
      </c>
      <c r="AN41" s="256">
        <f t="shared" si="60"/>
        <v>62655.435540507417</v>
      </c>
    </row>
    <row r="42" spans="1:44" x14ac:dyDescent="0.2">
      <c r="A42" s="386" t="s">
        <v>386</v>
      </c>
      <c r="B42" s="437">
        <v>100</v>
      </c>
      <c r="C42" s="437" t="s">
        <v>145</v>
      </c>
      <c r="D42" s="437"/>
      <c r="E42" s="437">
        <v>100</v>
      </c>
      <c r="F42" s="531">
        <v>1000</v>
      </c>
      <c r="G42" s="531" t="s">
        <v>169</v>
      </c>
      <c r="H42" s="437" t="s">
        <v>497</v>
      </c>
      <c r="I42" s="386" t="s">
        <v>1138</v>
      </c>
      <c r="J42" s="386" t="s">
        <v>1139</v>
      </c>
      <c r="K42" s="386" t="s">
        <v>384</v>
      </c>
      <c r="L42" s="386" t="s">
        <v>989</v>
      </c>
      <c r="M42" s="386">
        <v>1</v>
      </c>
      <c r="N42" s="386" t="s">
        <v>580</v>
      </c>
      <c r="O42" s="386">
        <v>22</v>
      </c>
      <c r="P42" s="386" t="s">
        <v>390</v>
      </c>
      <c r="Q42" s="389">
        <v>25</v>
      </c>
      <c r="R42" s="386">
        <v>180</v>
      </c>
      <c r="S42" s="386">
        <v>7</v>
      </c>
      <c r="T42" s="483">
        <f>R42*S42</f>
        <v>1260</v>
      </c>
      <c r="U42" s="482">
        <f>Q42*T42</f>
        <v>31500</v>
      </c>
      <c r="V42" s="395">
        <f t="shared" ref="V42:V49" si="68">U42</f>
        <v>31500</v>
      </c>
      <c r="W42" s="270">
        <f>+IF(P42="EE",+V42*$W$1,"")</f>
        <v>36337.959000000003</v>
      </c>
      <c r="X42" s="270">
        <f t="shared" si="62"/>
        <v>36337.959000000003</v>
      </c>
      <c r="Y42" s="62">
        <v>0</v>
      </c>
      <c r="Z42" s="62">
        <v>0</v>
      </c>
      <c r="AA42" s="256">
        <f t="shared" si="63"/>
        <v>36337.959000000003</v>
      </c>
      <c r="AB42" s="3"/>
      <c r="AC42" s="62">
        <f t="shared" si="23"/>
        <v>7943.76</v>
      </c>
      <c r="AD42" s="62" t="str">
        <f t="shared" si="64"/>
        <v/>
      </c>
      <c r="AE42" s="62">
        <f t="shared" si="65"/>
        <v>5632.3836450000008</v>
      </c>
      <c r="AF42" s="400">
        <f t="shared" si="66"/>
        <v>526.90040550000003</v>
      </c>
      <c r="AG42" s="192">
        <v>0</v>
      </c>
      <c r="AH42" s="62">
        <f t="shared" si="67"/>
        <v>330.76031625720492</v>
      </c>
      <c r="AI42" s="62">
        <f t="shared" si="57"/>
        <v>73.435801569419056</v>
      </c>
      <c r="AJ42" s="62"/>
      <c r="AK42" s="62">
        <v>0</v>
      </c>
      <c r="AL42" s="256">
        <f t="shared" si="58"/>
        <v>14507.240168326625</v>
      </c>
      <c r="AM42" s="256">
        <f t="shared" si="59"/>
        <v>36337.959000000003</v>
      </c>
      <c r="AN42" s="256">
        <f t="shared" si="60"/>
        <v>50845.199168326624</v>
      </c>
    </row>
    <row r="43" spans="1:44" hidden="1" x14ac:dyDescent="0.2">
      <c r="A43" s="386"/>
      <c r="B43" s="437">
        <v>250</v>
      </c>
      <c r="C43" s="437">
        <v>205</v>
      </c>
      <c r="D43" s="437"/>
      <c r="E43" s="437">
        <v>200</v>
      </c>
      <c r="F43" s="531">
        <v>2410</v>
      </c>
      <c r="G43" s="532" t="s">
        <v>173</v>
      </c>
      <c r="H43" s="437"/>
      <c r="I43" s="386" t="s">
        <v>1140</v>
      </c>
      <c r="J43" s="386" t="s">
        <v>1141</v>
      </c>
      <c r="K43" s="386"/>
      <c r="L43" s="386" t="s">
        <v>1147</v>
      </c>
      <c r="M43" s="386">
        <v>1</v>
      </c>
      <c r="N43" s="386" t="s">
        <v>582</v>
      </c>
      <c r="O43" s="386">
        <v>24</v>
      </c>
      <c r="P43" s="386" t="s">
        <v>390</v>
      </c>
      <c r="Q43" s="386">
        <v>19.350000000000001</v>
      </c>
      <c r="R43" s="386">
        <v>260</v>
      </c>
      <c r="S43" s="386">
        <v>8</v>
      </c>
      <c r="T43" s="483">
        <f t="shared" ref="T43:T49" si="69">R43*S43</f>
        <v>2080</v>
      </c>
      <c r="U43" s="482">
        <f>Q43*T43</f>
        <v>40248</v>
      </c>
      <c r="V43" s="395">
        <f t="shared" si="68"/>
        <v>40248</v>
      </c>
      <c r="W43" s="270">
        <f>+IF(P43="EE",+V43*$W$1,"")</f>
        <v>46429.529327999997</v>
      </c>
      <c r="X43" s="270">
        <f t="shared" si="62"/>
        <v>46429.529327999997</v>
      </c>
      <c r="Y43" s="399">
        <v>0</v>
      </c>
      <c r="Z43" s="62">
        <v>0</v>
      </c>
      <c r="AA43" s="256">
        <f t="shared" si="63"/>
        <v>46429.529327999997</v>
      </c>
      <c r="AB43" s="3"/>
      <c r="AC43" s="62">
        <f t="shared" si="23"/>
        <v>7943.76</v>
      </c>
      <c r="AD43" s="62" t="str">
        <f t="shared" si="64"/>
        <v/>
      </c>
      <c r="AE43" s="62">
        <f t="shared" si="65"/>
        <v>7196.5770458399993</v>
      </c>
      <c r="AF43" s="62">
        <f t="shared" si="66"/>
        <v>673.22817525599999</v>
      </c>
      <c r="AG43" s="192">
        <v>0</v>
      </c>
      <c r="AH43" s="62">
        <f t="shared" si="67"/>
        <v>422.61718122920581</v>
      </c>
      <c r="AI43" s="62">
        <f t="shared" si="57"/>
        <v>93.829972748126281</v>
      </c>
      <c r="AJ43" s="62"/>
      <c r="AK43" s="62">
        <v>0</v>
      </c>
      <c r="AL43" s="256">
        <f t="shared" si="58"/>
        <v>16330.012375073329</v>
      </c>
      <c r="AM43" s="256">
        <f t="shared" si="59"/>
        <v>46429.529327999997</v>
      </c>
      <c r="AN43" s="256">
        <f t="shared" si="60"/>
        <v>62759.541703073322</v>
      </c>
    </row>
    <row r="44" spans="1:44" x14ac:dyDescent="0.2">
      <c r="A44" s="386" t="s">
        <v>386</v>
      </c>
      <c r="B44" s="437">
        <v>100</v>
      </c>
      <c r="C44" s="437" t="s">
        <v>145</v>
      </c>
      <c r="D44" s="437"/>
      <c r="E44" s="437">
        <v>100</v>
      </c>
      <c r="F44" s="531">
        <v>1000</v>
      </c>
      <c r="G44" s="531" t="s">
        <v>169</v>
      </c>
      <c r="H44" s="437" t="s">
        <v>497</v>
      </c>
      <c r="I44" s="386" t="s">
        <v>1142</v>
      </c>
      <c r="J44" s="386" t="s">
        <v>1143</v>
      </c>
      <c r="K44" s="386" t="s">
        <v>384</v>
      </c>
      <c r="L44" s="386" t="s">
        <v>989</v>
      </c>
      <c r="M44" s="386">
        <v>1</v>
      </c>
      <c r="N44" s="437">
        <v>10</v>
      </c>
      <c r="O44" s="386">
        <v>22</v>
      </c>
      <c r="P44" s="386" t="s">
        <v>342</v>
      </c>
      <c r="Q44" s="389">
        <v>15</v>
      </c>
      <c r="R44" s="386">
        <v>180</v>
      </c>
      <c r="S44" s="386">
        <v>7</v>
      </c>
      <c r="T44" s="483">
        <f t="shared" si="69"/>
        <v>1260</v>
      </c>
      <c r="U44" s="482">
        <f t="shared" ref="U44:U46" si="70">Q44*T44</f>
        <v>18900</v>
      </c>
      <c r="V44" s="395">
        <f t="shared" si="68"/>
        <v>18900</v>
      </c>
      <c r="W44" s="270" t="s">
        <v>386</v>
      </c>
      <c r="X44" s="270">
        <f t="shared" si="62"/>
        <v>18900</v>
      </c>
      <c r="Y44" s="62">
        <v>0</v>
      </c>
      <c r="Z44" s="62">
        <v>0</v>
      </c>
      <c r="AA44" s="256">
        <f t="shared" si="63"/>
        <v>18900</v>
      </c>
      <c r="AB44" s="3"/>
      <c r="AC44" s="62">
        <f t="shared" si="23"/>
        <v>7943.76</v>
      </c>
      <c r="AD44" s="62" t="str">
        <f t="shared" si="64"/>
        <v/>
      </c>
      <c r="AE44" s="62">
        <f t="shared" si="65"/>
        <v>5622.75</v>
      </c>
      <c r="AF44" s="400">
        <f t="shared" si="66"/>
        <v>274.05</v>
      </c>
      <c r="AG44" s="192">
        <v>0</v>
      </c>
      <c r="AH44" s="62">
        <f t="shared" si="67"/>
        <v>172.03415242064568</v>
      </c>
      <c r="AI44" s="62">
        <f t="shared" si="57"/>
        <v>38.195228566965469</v>
      </c>
      <c r="AJ44" s="62"/>
      <c r="AK44" s="62">
        <v>0</v>
      </c>
      <c r="AL44" s="256">
        <f t="shared" si="58"/>
        <v>14050.78938098761</v>
      </c>
      <c r="AM44" s="256">
        <f t="shared" si="59"/>
        <v>18900</v>
      </c>
      <c r="AN44" s="256">
        <f t="shared" si="60"/>
        <v>32950.789380987611</v>
      </c>
    </row>
    <row r="45" spans="1:44" hidden="1" x14ac:dyDescent="0.2">
      <c r="A45" s="386" t="s">
        <v>386</v>
      </c>
      <c r="B45" s="437">
        <v>100</v>
      </c>
      <c r="C45" s="438" t="s">
        <v>145</v>
      </c>
      <c r="D45" s="437"/>
      <c r="E45" s="437">
        <v>100</v>
      </c>
      <c r="F45" s="531" t="s">
        <v>460</v>
      </c>
      <c r="G45" s="531" t="s">
        <v>173</v>
      </c>
      <c r="H45" s="438" t="s">
        <v>497</v>
      </c>
      <c r="I45" s="386" t="s">
        <v>956</v>
      </c>
      <c r="J45" s="386" t="s">
        <v>1144</v>
      </c>
      <c r="K45" s="386" t="s">
        <v>384</v>
      </c>
      <c r="L45" s="386" t="s">
        <v>957</v>
      </c>
      <c r="M45" s="386">
        <v>1</v>
      </c>
      <c r="N45" s="386" t="s">
        <v>582</v>
      </c>
      <c r="O45" s="386">
        <v>22.5</v>
      </c>
      <c r="P45" s="386" t="s">
        <v>342</v>
      </c>
      <c r="Q45" s="389">
        <v>15.95</v>
      </c>
      <c r="R45" s="386">
        <v>260</v>
      </c>
      <c r="S45" s="386">
        <v>8</v>
      </c>
      <c r="T45" s="483">
        <f t="shared" si="69"/>
        <v>2080</v>
      </c>
      <c r="U45" s="482">
        <f t="shared" si="70"/>
        <v>33176</v>
      </c>
      <c r="V45" s="395">
        <f t="shared" si="68"/>
        <v>33176</v>
      </c>
      <c r="W45" s="270" t="str">
        <f t="shared" ref="W45:W50" si="71">+IF(P45="EE",+V45*$W$1,"")</f>
        <v/>
      </c>
      <c r="X45" s="270">
        <f t="shared" si="62"/>
        <v>33176</v>
      </c>
      <c r="Y45" s="399">
        <v>0</v>
      </c>
      <c r="Z45" s="62">
        <v>0</v>
      </c>
      <c r="AA45" s="256">
        <f t="shared" si="63"/>
        <v>33176</v>
      </c>
      <c r="AB45" s="3"/>
      <c r="AC45" s="62">
        <f t="shared" si="23"/>
        <v>7943.76</v>
      </c>
      <c r="AD45" s="62" t="str">
        <f t="shared" si="64"/>
        <v/>
      </c>
      <c r="AE45" s="62">
        <f t="shared" si="65"/>
        <v>9869.8599999999988</v>
      </c>
      <c r="AF45" s="62">
        <f t="shared" si="66"/>
        <v>481.05200000000002</v>
      </c>
      <c r="AG45" s="192">
        <v>0</v>
      </c>
      <c r="AH45" s="62">
        <f t="shared" si="67"/>
        <v>301.9791026829281</v>
      </c>
      <c r="AI45" s="62">
        <f t="shared" si="57"/>
        <v>67.045762060192942</v>
      </c>
      <c r="AJ45" s="62"/>
      <c r="AK45" s="62">
        <v>0</v>
      </c>
      <c r="AL45" s="256">
        <f t="shared" si="58"/>
        <v>18663.69686474312</v>
      </c>
      <c r="AM45" s="256">
        <f t="shared" si="59"/>
        <v>33176</v>
      </c>
      <c r="AN45" s="256">
        <f t="shared" si="60"/>
        <v>51839.69686474312</v>
      </c>
    </row>
    <row r="46" spans="1:44" x14ac:dyDescent="0.2">
      <c r="A46" s="386"/>
      <c r="B46" s="437">
        <v>100</v>
      </c>
      <c r="C46" s="437" t="s">
        <v>145</v>
      </c>
      <c r="D46" s="437"/>
      <c r="E46" s="437">
        <v>100</v>
      </c>
      <c r="F46" s="531">
        <v>1000</v>
      </c>
      <c r="G46" s="531" t="s">
        <v>169</v>
      </c>
      <c r="H46" s="438" t="s">
        <v>563</v>
      </c>
      <c r="I46" s="386" t="s">
        <v>1087</v>
      </c>
      <c r="J46" s="386" t="s">
        <v>1088</v>
      </c>
      <c r="K46" s="386" t="s">
        <v>384</v>
      </c>
      <c r="L46" s="386" t="s">
        <v>989</v>
      </c>
      <c r="M46" s="386">
        <v>1</v>
      </c>
      <c r="N46" s="386" t="s">
        <v>580</v>
      </c>
      <c r="O46" s="386">
        <v>22</v>
      </c>
      <c r="P46" s="386" t="s">
        <v>390</v>
      </c>
      <c r="Q46" s="389">
        <v>25</v>
      </c>
      <c r="R46" s="386">
        <v>180</v>
      </c>
      <c r="S46" s="386">
        <v>7</v>
      </c>
      <c r="T46" s="483">
        <f t="shared" si="69"/>
        <v>1260</v>
      </c>
      <c r="U46" s="482">
        <f t="shared" si="70"/>
        <v>31500</v>
      </c>
      <c r="V46" s="395">
        <f t="shared" si="68"/>
        <v>31500</v>
      </c>
      <c r="W46" s="270">
        <f t="shared" si="71"/>
        <v>36337.959000000003</v>
      </c>
      <c r="X46" s="270">
        <f t="shared" si="62"/>
        <v>36337.959000000003</v>
      </c>
      <c r="Y46" s="62">
        <v>0</v>
      </c>
      <c r="Z46" s="62">
        <v>0</v>
      </c>
      <c r="AA46" s="256">
        <f t="shared" si="63"/>
        <v>36337.959000000003</v>
      </c>
      <c r="AB46" s="3"/>
      <c r="AC46" s="62">
        <f t="shared" si="23"/>
        <v>7943.76</v>
      </c>
      <c r="AD46" s="62" t="str">
        <f t="shared" si="64"/>
        <v/>
      </c>
      <c r="AE46" s="62">
        <f t="shared" si="65"/>
        <v>5632.3836450000008</v>
      </c>
      <c r="AF46" s="400">
        <f t="shared" si="66"/>
        <v>526.90040550000003</v>
      </c>
      <c r="AG46" s="192">
        <v>0</v>
      </c>
      <c r="AH46" s="62">
        <f t="shared" si="67"/>
        <v>330.76031625720492</v>
      </c>
      <c r="AI46" s="62">
        <f t="shared" si="57"/>
        <v>73.435801569419056</v>
      </c>
      <c r="AJ46" s="62"/>
      <c r="AK46" s="62">
        <v>0</v>
      </c>
      <c r="AL46" s="256">
        <f t="shared" si="58"/>
        <v>14507.240168326625</v>
      </c>
      <c r="AM46" s="256">
        <f t="shared" si="59"/>
        <v>36337.959000000003</v>
      </c>
      <c r="AN46" s="256">
        <f t="shared" si="60"/>
        <v>50845.199168326624</v>
      </c>
    </row>
    <row r="47" spans="1:44" x14ac:dyDescent="0.2">
      <c r="A47" s="386" t="s">
        <v>892</v>
      </c>
      <c r="B47" s="594">
        <v>100</v>
      </c>
      <c r="C47" s="594" t="s">
        <v>145</v>
      </c>
      <c r="D47" s="594"/>
      <c r="E47" s="594">
        <v>100</v>
      </c>
      <c r="F47" s="600">
        <v>1000</v>
      </c>
      <c r="G47" s="600" t="s">
        <v>169</v>
      </c>
      <c r="H47" s="594" t="s">
        <v>563</v>
      </c>
      <c r="I47" s="593" t="s">
        <v>1089</v>
      </c>
      <c r="J47" s="593" t="s">
        <v>1090</v>
      </c>
      <c r="K47" s="593" t="s">
        <v>384</v>
      </c>
      <c r="L47" s="593" t="s">
        <v>989</v>
      </c>
      <c r="M47" s="593">
        <v>1</v>
      </c>
      <c r="N47" s="593" t="s">
        <v>580</v>
      </c>
      <c r="O47" s="593">
        <v>22</v>
      </c>
      <c r="P47" s="593" t="s">
        <v>390</v>
      </c>
      <c r="Q47" s="596">
        <v>25</v>
      </c>
      <c r="R47" s="593">
        <v>180</v>
      </c>
      <c r="S47" s="593">
        <v>7</v>
      </c>
      <c r="T47" s="483">
        <f t="shared" si="69"/>
        <v>1260</v>
      </c>
      <c r="U47" s="482">
        <f>Q47*T47</f>
        <v>31500</v>
      </c>
      <c r="V47" s="395">
        <f t="shared" si="68"/>
        <v>31500</v>
      </c>
      <c r="W47" s="270">
        <f t="shared" si="71"/>
        <v>36337.959000000003</v>
      </c>
      <c r="X47" s="270">
        <f t="shared" si="62"/>
        <v>36337.959000000003</v>
      </c>
      <c r="Y47" s="62">
        <v>0</v>
      </c>
      <c r="Z47" s="62">
        <v>0</v>
      </c>
      <c r="AA47" s="256">
        <f t="shared" si="63"/>
        <v>36337.959000000003</v>
      </c>
      <c r="AB47" s="3"/>
      <c r="AC47" s="62">
        <f t="shared" si="23"/>
        <v>7943.76</v>
      </c>
      <c r="AD47" s="62" t="str">
        <f t="shared" si="64"/>
        <v/>
      </c>
      <c r="AE47" s="62">
        <f t="shared" si="65"/>
        <v>5632.3836450000008</v>
      </c>
      <c r="AF47" s="400">
        <f t="shared" si="66"/>
        <v>526.90040550000003</v>
      </c>
      <c r="AG47" s="192">
        <v>0</v>
      </c>
      <c r="AH47" s="62">
        <f t="shared" si="67"/>
        <v>330.76031625720492</v>
      </c>
      <c r="AI47" s="62">
        <f t="shared" si="57"/>
        <v>73.435801569419056</v>
      </c>
      <c r="AJ47" s="62"/>
      <c r="AK47" s="62">
        <v>0</v>
      </c>
      <c r="AL47" s="256">
        <f t="shared" si="58"/>
        <v>14507.240168326625</v>
      </c>
      <c r="AM47" s="256">
        <f t="shared" si="59"/>
        <v>36337.959000000003</v>
      </c>
      <c r="AN47" s="256">
        <f t="shared" si="60"/>
        <v>50845.199168326624</v>
      </c>
    </row>
    <row r="48" spans="1:44" x14ac:dyDescent="0.2">
      <c r="A48" s="386"/>
      <c r="B48" s="437">
        <v>100</v>
      </c>
      <c r="C48" s="437" t="s">
        <v>145</v>
      </c>
      <c r="D48" s="437"/>
      <c r="E48" s="437">
        <v>100</v>
      </c>
      <c r="F48" s="531">
        <v>1000</v>
      </c>
      <c r="G48" s="531" t="s">
        <v>169</v>
      </c>
      <c r="H48" s="437" t="s">
        <v>497</v>
      </c>
      <c r="I48" s="386" t="s">
        <v>1091</v>
      </c>
      <c r="J48" s="386" t="s">
        <v>1092</v>
      </c>
      <c r="K48" s="386" t="s">
        <v>384</v>
      </c>
      <c r="L48" s="386" t="s">
        <v>989</v>
      </c>
      <c r="M48" s="386">
        <v>1</v>
      </c>
      <c r="N48" s="386" t="s">
        <v>580</v>
      </c>
      <c r="O48" s="386">
        <v>22</v>
      </c>
      <c r="P48" s="386" t="s">
        <v>390</v>
      </c>
      <c r="Q48" s="389">
        <v>25</v>
      </c>
      <c r="R48" s="386">
        <v>180</v>
      </c>
      <c r="S48" s="386">
        <v>7</v>
      </c>
      <c r="T48" s="483">
        <f t="shared" si="69"/>
        <v>1260</v>
      </c>
      <c r="U48" s="482">
        <f>Q48*T48</f>
        <v>31500</v>
      </c>
      <c r="V48" s="395">
        <f t="shared" si="68"/>
        <v>31500</v>
      </c>
      <c r="W48" s="270">
        <f t="shared" si="71"/>
        <v>36337.959000000003</v>
      </c>
      <c r="X48" s="270">
        <f t="shared" si="62"/>
        <v>36337.959000000003</v>
      </c>
      <c r="Y48" s="62">
        <v>0</v>
      </c>
      <c r="Z48" s="62">
        <v>0</v>
      </c>
      <c r="AA48" s="256">
        <f t="shared" si="63"/>
        <v>36337.959000000003</v>
      </c>
      <c r="AB48" s="3"/>
      <c r="AC48" s="62">
        <f t="shared" si="23"/>
        <v>7943.76</v>
      </c>
      <c r="AD48" s="62" t="str">
        <f t="shared" si="64"/>
        <v/>
      </c>
      <c r="AE48" s="62">
        <f t="shared" si="65"/>
        <v>5632.3836450000008</v>
      </c>
      <c r="AF48" s="400">
        <f t="shared" si="66"/>
        <v>526.90040550000003</v>
      </c>
      <c r="AG48" s="192">
        <v>0</v>
      </c>
      <c r="AH48" s="62">
        <f t="shared" si="67"/>
        <v>330.76031625720492</v>
      </c>
      <c r="AI48" s="62">
        <f t="shared" si="57"/>
        <v>73.435801569419056</v>
      </c>
      <c r="AJ48" s="62"/>
      <c r="AK48" s="62">
        <v>0</v>
      </c>
      <c r="AL48" s="256">
        <f t="shared" si="58"/>
        <v>14507.240168326625</v>
      </c>
      <c r="AM48" s="256">
        <f t="shared" si="59"/>
        <v>36337.959000000003</v>
      </c>
      <c r="AN48" s="256">
        <f t="shared" si="60"/>
        <v>50845.199168326624</v>
      </c>
    </row>
    <row r="49" spans="1:44" x14ac:dyDescent="0.2">
      <c r="A49" s="394" t="s">
        <v>1000</v>
      </c>
      <c r="B49" s="500">
        <v>280</v>
      </c>
      <c r="C49" s="500">
        <v>633</v>
      </c>
      <c r="D49" s="500"/>
      <c r="E49" s="500">
        <v>430</v>
      </c>
      <c r="F49" s="531">
        <v>1000</v>
      </c>
      <c r="G49" s="531" t="s">
        <v>169</v>
      </c>
      <c r="H49" s="500" t="s">
        <v>497</v>
      </c>
      <c r="I49" s="394" t="s">
        <v>1093</v>
      </c>
      <c r="J49" s="394" t="s">
        <v>1094</v>
      </c>
      <c r="K49" s="386" t="s">
        <v>384</v>
      </c>
      <c r="L49" s="394" t="s">
        <v>989</v>
      </c>
      <c r="M49" s="386">
        <v>1</v>
      </c>
      <c r="N49" s="394" t="s">
        <v>580</v>
      </c>
      <c r="O49" s="394">
        <v>22</v>
      </c>
      <c r="P49" s="394" t="s">
        <v>390</v>
      </c>
      <c r="Q49" s="400">
        <v>25</v>
      </c>
      <c r="R49" s="394">
        <v>180</v>
      </c>
      <c r="S49" s="394">
        <v>7</v>
      </c>
      <c r="T49" s="483">
        <f t="shared" si="69"/>
        <v>1260</v>
      </c>
      <c r="U49" s="482">
        <f t="shared" ref="U49" si="72">Q49*T49</f>
        <v>31500</v>
      </c>
      <c r="V49" s="395">
        <f t="shared" si="68"/>
        <v>31500</v>
      </c>
      <c r="W49" s="270">
        <f t="shared" si="71"/>
        <v>36337.959000000003</v>
      </c>
      <c r="X49" s="270">
        <f t="shared" si="62"/>
        <v>36337.959000000003</v>
      </c>
      <c r="Y49" s="399">
        <v>0</v>
      </c>
      <c r="Z49" s="62">
        <v>0</v>
      </c>
      <c r="AA49" s="256">
        <f t="shared" si="63"/>
        <v>36337.959000000003</v>
      </c>
      <c r="AB49" s="3"/>
      <c r="AC49" s="62">
        <f t="shared" si="23"/>
        <v>7943.76</v>
      </c>
      <c r="AD49" s="62" t="str">
        <f t="shared" si="64"/>
        <v/>
      </c>
      <c r="AE49" s="62">
        <f t="shared" si="65"/>
        <v>5632.3836450000008</v>
      </c>
      <c r="AF49" s="62">
        <f t="shared" si="66"/>
        <v>526.90040550000003</v>
      </c>
      <c r="AG49" s="192">
        <v>0</v>
      </c>
      <c r="AH49" s="62">
        <f t="shared" si="67"/>
        <v>330.76031625720492</v>
      </c>
      <c r="AI49" s="62">
        <f t="shared" si="57"/>
        <v>73.435801569419056</v>
      </c>
      <c r="AJ49" s="62"/>
      <c r="AK49" s="62">
        <v>0</v>
      </c>
      <c r="AL49" s="256">
        <f t="shared" si="58"/>
        <v>14507.240168326625</v>
      </c>
      <c r="AM49" s="256">
        <f t="shared" si="59"/>
        <v>36337.959000000003</v>
      </c>
      <c r="AN49" s="256">
        <f t="shared" si="60"/>
        <v>50845.199168326624</v>
      </c>
    </row>
    <row r="50" spans="1:44" hidden="1" x14ac:dyDescent="0.2">
      <c r="A50" s="3"/>
      <c r="B50" s="278"/>
      <c r="C50" s="278"/>
      <c r="D50" s="278"/>
      <c r="E50" s="278"/>
      <c r="F50" s="278"/>
      <c r="G50" s="278"/>
      <c r="H50" s="27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263"/>
      <c r="U50" s="269"/>
      <c r="V50" s="270" t="str">
        <f>IF($U50="","",$U50*(1+$V$1))</f>
        <v/>
      </c>
      <c r="W50" s="270" t="str">
        <f t="shared" si="71"/>
        <v/>
      </c>
      <c r="X50" s="270" t="str">
        <f t="shared" si="62"/>
        <v/>
      </c>
      <c r="Y50" s="62">
        <v>0</v>
      </c>
      <c r="Z50" s="62">
        <v>0</v>
      </c>
      <c r="AA50" s="256">
        <f t="shared" si="63"/>
        <v>0</v>
      </c>
      <c r="AB50" s="3"/>
      <c r="AC50" s="62" t="str">
        <f t="shared" si="23"/>
        <v/>
      </c>
      <c r="AD50" s="62" t="str">
        <f t="shared" si="64"/>
        <v/>
      </c>
      <c r="AE50" s="62" t="str">
        <f t="shared" si="65"/>
        <v/>
      </c>
      <c r="AF50" s="62" t="str">
        <f t="shared" ref="AF50:AF51" si="73">+IF(AA50&gt;1,AA50*$AF$1,"")</f>
        <v/>
      </c>
      <c r="AG50" s="192">
        <v>0</v>
      </c>
      <c r="AH50" s="62" t="str">
        <f t="shared" ref="AH50:AH51" si="74">+IF(AA50&gt;1,AA50*$AH$1,"")</f>
        <v/>
      </c>
      <c r="AI50" s="62">
        <f t="shared" si="57"/>
        <v>0</v>
      </c>
      <c r="AJ50" s="62"/>
      <c r="AK50" s="62">
        <v>0</v>
      </c>
      <c r="AL50" s="256">
        <f t="shared" si="58"/>
        <v>0</v>
      </c>
      <c r="AM50" s="256">
        <f t="shared" si="59"/>
        <v>0</v>
      </c>
      <c r="AN50" s="256">
        <f t="shared" si="60"/>
        <v>0</v>
      </c>
    </row>
    <row r="51" spans="1:44" hidden="1" x14ac:dyDescent="0.2">
      <c r="A51" s="3"/>
      <c r="B51" s="437">
        <v>280</v>
      </c>
      <c r="C51" s="437">
        <v>658</v>
      </c>
      <c r="D51" s="437"/>
      <c r="E51" s="437">
        <v>420</v>
      </c>
      <c r="F51" s="531">
        <v>2120</v>
      </c>
      <c r="G51" s="532" t="s">
        <v>173</v>
      </c>
      <c r="H51" s="437"/>
      <c r="I51" s="386" t="s">
        <v>1145</v>
      </c>
      <c r="J51" s="386" t="s">
        <v>1146</v>
      </c>
      <c r="K51" s="386"/>
      <c r="L51" s="386" t="s">
        <v>1148</v>
      </c>
      <c r="M51" s="3"/>
      <c r="N51" s="3"/>
      <c r="O51" s="3"/>
      <c r="P51" s="3" t="s">
        <v>7</v>
      </c>
      <c r="Q51" s="3"/>
      <c r="R51" s="355"/>
      <c r="S51" s="3"/>
      <c r="T51" s="263"/>
      <c r="U51" s="269">
        <v>683</v>
      </c>
      <c r="V51" s="395">
        <v>6683</v>
      </c>
      <c r="W51" s="270"/>
      <c r="X51" s="270">
        <f t="shared" ref="X51" si="75">_xlfn.IFS(P51="ER",V51,P51="EE",W51,P51="N",V51,P51="","")</f>
        <v>6683</v>
      </c>
      <c r="Y51" s="399"/>
      <c r="Z51" s="62"/>
      <c r="AA51" s="256">
        <f t="shared" si="63"/>
        <v>6683</v>
      </c>
      <c r="AB51" s="3"/>
      <c r="AC51" s="62" t="str">
        <f t="shared" si="23"/>
        <v/>
      </c>
      <c r="AD51" s="62"/>
      <c r="AE51" s="62"/>
      <c r="AF51" s="62">
        <f t="shared" si="73"/>
        <v>96.903500000000008</v>
      </c>
      <c r="AG51" s="192">
        <v>0</v>
      </c>
      <c r="AH51" s="62">
        <f t="shared" si="74"/>
        <v>60.83091220249603</v>
      </c>
      <c r="AI51" s="62">
        <f t="shared" si="57"/>
        <v>13.505751984816415</v>
      </c>
      <c r="AJ51" s="62"/>
      <c r="AK51" s="62"/>
      <c r="AL51" s="256">
        <f t="shared" si="58"/>
        <v>171.24016418731244</v>
      </c>
      <c r="AM51" s="256">
        <f t="shared" si="59"/>
        <v>6683</v>
      </c>
      <c r="AN51" s="256">
        <f t="shared" si="60"/>
        <v>6854.2401641873121</v>
      </c>
    </row>
    <row r="52" spans="1:44" hidden="1" x14ac:dyDescent="0.2">
      <c r="A52" s="394"/>
      <c r="B52" s="500">
        <v>250</v>
      </c>
      <c r="C52" s="500" t="s">
        <v>132</v>
      </c>
      <c r="D52" s="500"/>
      <c r="E52" s="500" t="s">
        <v>463</v>
      </c>
      <c r="F52" s="531">
        <v>2130</v>
      </c>
      <c r="G52" s="531" t="s">
        <v>167</v>
      </c>
      <c r="H52" s="500" t="s">
        <v>920</v>
      </c>
      <c r="I52" s="394" t="s">
        <v>491</v>
      </c>
      <c r="J52" s="394" t="s">
        <v>492</v>
      </c>
      <c r="K52" s="394" t="s">
        <v>393</v>
      </c>
      <c r="L52" s="394" t="s">
        <v>493</v>
      </c>
      <c r="M52" s="394">
        <f>S52/1400</f>
        <v>0.37428571428571428</v>
      </c>
      <c r="N52" s="394">
        <v>45</v>
      </c>
      <c r="O52" s="394">
        <v>26</v>
      </c>
      <c r="P52" s="394" t="s">
        <v>7</v>
      </c>
      <c r="Q52" s="400">
        <v>45</v>
      </c>
      <c r="R52" s="394">
        <v>1</v>
      </c>
      <c r="S52" s="394">
        <v>524</v>
      </c>
      <c r="T52" s="483">
        <f t="shared" si="39"/>
        <v>524</v>
      </c>
      <c r="U52" s="482">
        <f>Q52*T52</f>
        <v>23580</v>
      </c>
      <c r="V52" s="395">
        <f>U52</f>
        <v>23580</v>
      </c>
      <c r="W52" s="270" t="str">
        <f t="shared" si="40"/>
        <v/>
      </c>
      <c r="X52" s="270">
        <f t="shared" si="41"/>
        <v>23580</v>
      </c>
      <c r="Y52" s="62">
        <v>0</v>
      </c>
      <c r="Z52" s="62">
        <v>0</v>
      </c>
      <c r="AA52" s="256">
        <f t="shared" si="42"/>
        <v>23580</v>
      </c>
      <c r="AB52" s="3"/>
      <c r="AC52" s="62" t="str">
        <f t="shared" si="23"/>
        <v/>
      </c>
      <c r="AD52" s="62">
        <f t="shared" si="43"/>
        <v>1461.96</v>
      </c>
      <c r="AE52" s="62" t="str">
        <f t="shared" si="44"/>
        <v/>
      </c>
      <c r="AF52" s="62">
        <f t="shared" si="45"/>
        <v>341.91</v>
      </c>
      <c r="AG52" s="192">
        <v>0</v>
      </c>
      <c r="AH52" s="62">
        <f t="shared" si="46"/>
        <v>214.63308540099604</v>
      </c>
      <c r="AI52" s="62">
        <f t="shared" si="38"/>
        <v>47.653094688309302</v>
      </c>
      <c r="AJ52" s="62"/>
      <c r="AK52" s="62">
        <v>0</v>
      </c>
      <c r="AL52" s="256">
        <f t="shared" si="47"/>
        <v>2066.1561800893055</v>
      </c>
      <c r="AM52" s="256">
        <f t="shared" si="48"/>
        <v>23580</v>
      </c>
      <c r="AN52" s="256">
        <f t="shared" si="49"/>
        <v>25646.156180089307</v>
      </c>
    </row>
    <row r="53" spans="1:44" hidden="1" x14ac:dyDescent="0.2">
      <c r="A53" s="394" t="s">
        <v>377</v>
      </c>
      <c r="B53" s="500">
        <v>280</v>
      </c>
      <c r="C53" s="500">
        <v>715</v>
      </c>
      <c r="D53" s="500"/>
      <c r="E53" s="500">
        <v>430</v>
      </c>
      <c r="F53" s="531">
        <v>2130</v>
      </c>
      <c r="G53" s="531" t="s">
        <v>167</v>
      </c>
      <c r="H53" s="500" t="s">
        <v>920</v>
      </c>
      <c r="I53" s="394" t="s">
        <v>491</v>
      </c>
      <c r="J53" s="394" t="s">
        <v>492</v>
      </c>
      <c r="K53" s="394" t="s">
        <v>393</v>
      </c>
      <c r="L53" s="394" t="s">
        <v>493</v>
      </c>
      <c r="M53" s="394">
        <f>S53/1400</f>
        <v>0.18482539682539681</v>
      </c>
      <c r="N53" s="394">
        <v>45</v>
      </c>
      <c r="O53" s="394">
        <v>26</v>
      </c>
      <c r="P53" s="394" t="s">
        <v>7</v>
      </c>
      <c r="Q53" s="400">
        <v>45</v>
      </c>
      <c r="R53" s="394">
        <v>1</v>
      </c>
      <c r="S53" s="394">
        <f>11644/45</f>
        <v>258.75555555555553</v>
      </c>
      <c r="T53" s="599">
        <f t="shared" si="39"/>
        <v>258.75555555555553</v>
      </c>
      <c r="U53" s="482">
        <f>Q53*T53</f>
        <v>11643.999999999998</v>
      </c>
      <c r="V53" s="395">
        <f>U53</f>
        <v>11643.999999999998</v>
      </c>
      <c r="W53" s="270" t="str">
        <f t="shared" ref="W53" si="76">+IF(P53="EE",+V53*$W$1,"")</f>
        <v/>
      </c>
      <c r="X53" s="270">
        <f t="shared" ref="X53" si="77">_xlfn.IFS(P53="ER",V53,P53="EE",W53,P53="N",V53,P53="","")</f>
        <v>11643.999999999998</v>
      </c>
      <c r="Y53" s="399">
        <v>0</v>
      </c>
      <c r="Z53" s="62">
        <v>0</v>
      </c>
      <c r="AA53" s="256">
        <f t="shared" ref="AA53" si="78">SUM(X53:Z53)</f>
        <v>11643.999999999998</v>
      </c>
      <c r="AB53" s="3"/>
      <c r="AC53" s="62" t="str">
        <f t="shared" si="23"/>
        <v/>
      </c>
      <c r="AD53" s="62">
        <f t="shared" ref="AD53" si="79">_xlfn.IFS(P53="N",$AD$1*AA53,P53="EE","",P53="ER","",P53="","")</f>
        <v>721.92799999999988</v>
      </c>
      <c r="AE53" s="62" t="str">
        <f t="shared" ref="AE53" si="80">_xlfn.IFS(P53="EE",X53*$AE$1,P53="ER",X53*$AE$2,P53="N","",P53="","")</f>
        <v/>
      </c>
      <c r="AF53" s="62">
        <f t="shared" ref="AF53" si="81">+IF(AA53&gt;1,AA53*$AF$1,"")</f>
        <v>168.83799999999999</v>
      </c>
      <c r="AG53" s="192">
        <v>0</v>
      </c>
      <c r="AH53" s="62">
        <f t="shared" ref="AH53" si="82">+IF(AA53&gt;1,AA53*$AH$1,"")</f>
        <v>105.98760162888878</v>
      </c>
      <c r="AI53" s="62">
        <f t="shared" ref="AI53" si="83">+_xlfn.IFS(F53&lt;2300,(AA53*$AI$1),F53&gt;=2300,(AA53*$AI$2),F53="","")</f>
        <v>23.531494255753749</v>
      </c>
      <c r="AJ53" s="62"/>
      <c r="AK53" s="62">
        <v>0</v>
      </c>
      <c r="AL53" s="256">
        <f t="shared" ref="AL53" si="84">SUM(AC53:AK53)</f>
        <v>1020.2850958846424</v>
      </c>
      <c r="AM53" s="256">
        <f t="shared" ref="AM53" si="85">AA53</f>
        <v>11643.999999999998</v>
      </c>
      <c r="AN53" s="256">
        <f t="shared" ref="AN53" si="86">SUM(AL53:AM53)</f>
        <v>12664.285095884641</v>
      </c>
    </row>
    <row r="54" spans="1:44" x14ac:dyDescent="0.2">
      <c r="A54" s="386" t="s">
        <v>892</v>
      </c>
      <c r="B54" s="594">
        <v>100</v>
      </c>
      <c r="C54" s="594" t="s">
        <v>145</v>
      </c>
      <c r="D54" s="594"/>
      <c r="E54" s="594">
        <v>100</v>
      </c>
      <c r="F54" s="600">
        <v>1000</v>
      </c>
      <c r="G54" s="600" t="s">
        <v>169</v>
      </c>
      <c r="H54" s="595" t="s">
        <v>563</v>
      </c>
      <c r="I54" s="593" t="s">
        <v>1085</v>
      </c>
      <c r="J54" s="593" t="s">
        <v>1086</v>
      </c>
      <c r="K54" s="593" t="s">
        <v>384</v>
      </c>
      <c r="L54" s="593" t="s">
        <v>989</v>
      </c>
      <c r="M54" s="593">
        <v>0</v>
      </c>
      <c r="N54" s="593" t="s">
        <v>386</v>
      </c>
      <c r="O54" s="593">
        <v>20</v>
      </c>
      <c r="P54" s="593" t="s">
        <v>342</v>
      </c>
      <c r="Q54" s="596">
        <v>20</v>
      </c>
      <c r="R54" s="593">
        <v>200</v>
      </c>
      <c r="S54" s="593">
        <v>7</v>
      </c>
      <c r="T54" s="483">
        <f t="shared" si="39"/>
        <v>1400</v>
      </c>
      <c r="U54" s="482">
        <f t="shared" ref="U54" si="87">Q54*T54</f>
        <v>28000</v>
      </c>
      <c r="V54" s="395">
        <f t="shared" ref="V54" si="88">U54</f>
        <v>28000</v>
      </c>
      <c r="W54" s="270" t="str">
        <f t="shared" si="40"/>
        <v/>
      </c>
      <c r="X54" s="270">
        <f t="shared" si="41"/>
        <v>28000</v>
      </c>
      <c r="Y54" s="62">
        <v>0</v>
      </c>
      <c r="Z54" s="62">
        <v>0</v>
      </c>
      <c r="AA54" s="256">
        <f t="shared" si="42"/>
        <v>28000</v>
      </c>
      <c r="AB54" s="3"/>
      <c r="AC54" s="62" t="str">
        <f t="shared" si="23"/>
        <v/>
      </c>
      <c r="AD54" s="62" t="str">
        <f t="shared" si="43"/>
        <v/>
      </c>
      <c r="AE54" s="62">
        <f t="shared" si="44"/>
        <v>8330</v>
      </c>
      <c r="AF54" s="400">
        <f t="shared" si="45"/>
        <v>406</v>
      </c>
      <c r="AG54" s="192">
        <v>0</v>
      </c>
      <c r="AH54" s="62">
        <f t="shared" si="46"/>
        <v>254.86541099354915</v>
      </c>
      <c r="AI54" s="62">
        <f t="shared" si="38"/>
        <v>56.585523802911808</v>
      </c>
      <c r="AJ54" s="62"/>
      <c r="AK54" s="62">
        <v>0</v>
      </c>
      <c r="AL54" s="256">
        <f t="shared" si="47"/>
        <v>9047.4509347964613</v>
      </c>
      <c r="AM54" s="256">
        <f t="shared" si="48"/>
        <v>28000</v>
      </c>
      <c r="AN54" s="256">
        <f t="shared" si="49"/>
        <v>37047.450934796463</v>
      </c>
    </row>
    <row r="55" spans="1:44" hidden="1" x14ac:dyDescent="0.2">
      <c r="A55" s="386"/>
      <c r="B55" s="437"/>
      <c r="C55" s="437"/>
      <c r="D55" s="437"/>
      <c r="E55" s="437"/>
      <c r="F55" s="437"/>
      <c r="G55" s="438"/>
      <c r="H55" s="437"/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263"/>
      <c r="U55" s="269"/>
      <c r="V55" s="270"/>
      <c r="W55" s="270"/>
      <c r="X55" s="270"/>
      <c r="Y55" s="62"/>
      <c r="Z55" s="62"/>
      <c r="AA55" s="256">
        <f t="shared" ref="AA55:AA56" si="89">SUM(X55:Z55)</f>
        <v>0</v>
      </c>
      <c r="AB55" s="3"/>
      <c r="AC55" s="62" t="str">
        <f t="shared" si="23"/>
        <v/>
      </c>
      <c r="AD55" s="62" t="str">
        <f t="shared" ref="AD55:AD56" si="90">_xlfn.IFS(P55="N",$AD$1*AA55,P55="EE","",P55="ER","",P55="","")</f>
        <v/>
      </c>
      <c r="AE55" s="62" t="str">
        <f t="shared" ref="AE55:AE56" si="91">_xlfn.IFS(P55="EE",X55*$AE$1,P55="ER",X55*$AE$2,P55="N","",P55="","")</f>
        <v/>
      </c>
      <c r="AF55" s="62" t="str">
        <f t="shared" ref="AF55:AF56" si="92">+IF(AA55&gt;1,AA55*$AF$1,"")</f>
        <v/>
      </c>
      <c r="AG55" s="192">
        <v>0</v>
      </c>
      <c r="AH55" s="62" t="str">
        <f t="shared" ref="AH55:AH56" si="93">+IF(AA55&gt;1,AA55*$AH$1,"")</f>
        <v/>
      </c>
      <c r="AI55" s="62">
        <f t="shared" ref="AI55:AI56" si="94">+_xlfn.IFS(F55&lt;2300,(AA55*$AI$1),F55&gt;=2300,(AA55*$AI$2),F55="","")</f>
        <v>0</v>
      </c>
      <c r="AJ55" s="62"/>
      <c r="AK55" s="62">
        <v>0</v>
      </c>
      <c r="AL55" s="256">
        <f t="shared" ref="AL55:AL56" si="95">SUM(AC55:AK55)</f>
        <v>0</v>
      </c>
      <c r="AM55" s="256">
        <f t="shared" ref="AM55:AM56" si="96">AA55</f>
        <v>0</v>
      </c>
      <c r="AN55" s="256">
        <f t="shared" ref="AN55:AN56" si="97">SUM(AL55:AM55)</f>
        <v>0</v>
      </c>
    </row>
    <row r="56" spans="1:44" x14ac:dyDescent="0.2">
      <c r="A56" s="386" t="s">
        <v>1149</v>
      </c>
      <c r="B56" s="437">
        <v>100</v>
      </c>
      <c r="C56" s="438" t="s">
        <v>145</v>
      </c>
      <c r="D56" s="437"/>
      <c r="E56" s="437">
        <v>100</v>
      </c>
      <c r="F56" s="531">
        <v>1000</v>
      </c>
      <c r="G56" s="531" t="s">
        <v>161</v>
      </c>
      <c r="H56" s="438" t="s">
        <v>563</v>
      </c>
      <c r="I56" s="386" t="s">
        <v>1149</v>
      </c>
      <c r="J56" s="386" t="s">
        <v>561</v>
      </c>
      <c r="K56" s="386"/>
      <c r="L56" s="386" t="s">
        <v>1150</v>
      </c>
      <c r="M56" s="386"/>
      <c r="N56" s="386"/>
      <c r="O56" s="386"/>
      <c r="P56" s="386"/>
      <c r="Q56" s="389"/>
      <c r="R56" s="386"/>
      <c r="S56" s="386"/>
      <c r="T56" s="483"/>
      <c r="U56" s="482"/>
      <c r="V56" s="395"/>
      <c r="W56" s="270" t="str">
        <f t="shared" ref="W56:W60" si="98">+IF(P56="EE",+V56*$W$1,"")</f>
        <v/>
      </c>
      <c r="X56" s="270" t="str">
        <f t="shared" ref="X56:X60" si="99">_xlfn.IFS(P56="ER",V56,P56="EE",W56,P56="N",V56,P56="","")</f>
        <v/>
      </c>
      <c r="Y56" s="399"/>
      <c r="Z56" s="62"/>
      <c r="AA56" s="256">
        <f t="shared" si="89"/>
        <v>0</v>
      </c>
      <c r="AB56" s="3"/>
      <c r="AC56" s="62" t="str">
        <f t="shared" si="23"/>
        <v/>
      </c>
      <c r="AD56" s="62" t="str">
        <f t="shared" si="90"/>
        <v/>
      </c>
      <c r="AE56" s="62" t="str">
        <f t="shared" si="91"/>
        <v/>
      </c>
      <c r="AF56" s="400" t="str">
        <f t="shared" si="92"/>
        <v/>
      </c>
      <c r="AG56" s="192">
        <v>0</v>
      </c>
      <c r="AH56" s="62" t="str">
        <f t="shared" si="93"/>
        <v/>
      </c>
      <c r="AI56" s="62">
        <f t="shared" si="94"/>
        <v>0</v>
      </c>
      <c r="AJ56" s="62"/>
      <c r="AK56" s="62">
        <v>0</v>
      </c>
      <c r="AL56" s="256">
        <f t="shared" si="95"/>
        <v>0</v>
      </c>
      <c r="AM56" s="256">
        <f t="shared" si="96"/>
        <v>0</v>
      </c>
      <c r="AN56" s="256">
        <f t="shared" si="97"/>
        <v>0</v>
      </c>
    </row>
    <row r="57" spans="1:44" x14ac:dyDescent="0.2">
      <c r="A57" s="386" t="s">
        <v>1149</v>
      </c>
      <c r="B57" s="437">
        <v>250</v>
      </c>
      <c r="C57" s="437" t="s">
        <v>145</v>
      </c>
      <c r="D57" s="437"/>
      <c r="E57" s="437">
        <v>200</v>
      </c>
      <c r="F57" s="531">
        <v>1000</v>
      </c>
      <c r="G57" s="531" t="s">
        <v>161</v>
      </c>
      <c r="H57" s="438" t="s">
        <v>563</v>
      </c>
      <c r="I57" s="386" t="s">
        <v>1149</v>
      </c>
      <c r="J57" s="386" t="s">
        <v>561</v>
      </c>
      <c r="K57" s="386" t="s">
        <v>389</v>
      </c>
      <c r="L57" s="386" t="s">
        <v>495</v>
      </c>
      <c r="M57" s="386"/>
      <c r="N57" s="386"/>
      <c r="O57" s="386"/>
      <c r="P57" s="386"/>
      <c r="Q57" s="389"/>
      <c r="R57" s="386"/>
      <c r="S57" s="386"/>
      <c r="T57" s="483">
        <f>R57*S57</f>
        <v>0</v>
      </c>
      <c r="U57" s="482">
        <v>45500</v>
      </c>
      <c r="V57" s="395"/>
      <c r="W57" s="270" t="str">
        <f t="shared" si="98"/>
        <v/>
      </c>
      <c r="X57" s="270" t="str">
        <f t="shared" si="99"/>
        <v/>
      </c>
      <c r="Y57" s="399">
        <v>0</v>
      </c>
      <c r="Z57" s="62">
        <v>0</v>
      </c>
      <c r="AA57" s="256">
        <f>SUM(X57:Z57)</f>
        <v>0</v>
      </c>
      <c r="AB57" s="3"/>
      <c r="AC57" s="62" t="str">
        <f t="shared" si="23"/>
        <v/>
      </c>
      <c r="AD57" s="62" t="str">
        <f>_xlfn.IFS(P57="N",$AD$1*AA57,P57="EE","",P57="ER","",P57="","")</f>
        <v/>
      </c>
      <c r="AE57" s="62" t="str">
        <f>_xlfn.IFS(P57="EE",X57*$AE$1,P57="ER",X57*$AE$2,P57="N","",P57="","")</f>
        <v/>
      </c>
      <c r="AF57" s="62" t="str">
        <f>+IF(AA57&gt;1,AA57*$AF$1,"")</f>
        <v/>
      </c>
      <c r="AG57" s="192">
        <v>0</v>
      </c>
      <c r="AH57" s="62" t="str">
        <f>+IF(AA57&gt;1,AA57*$AH$1,"")</f>
        <v/>
      </c>
      <c r="AI57" s="62">
        <f t="shared" si="38"/>
        <v>0</v>
      </c>
      <c r="AJ57" s="62"/>
      <c r="AK57" s="62">
        <v>0</v>
      </c>
      <c r="AL57" s="256">
        <f t="shared" ref="AL57:AL104" si="100">SUM(AC57:AK57)</f>
        <v>0</v>
      </c>
      <c r="AM57" s="256">
        <f t="shared" ref="AM57:AM104" si="101">AA57</f>
        <v>0</v>
      </c>
      <c r="AN57" s="256">
        <f t="shared" ref="AN57:AN104" si="102">SUM(AL57:AM57)</f>
        <v>0</v>
      </c>
    </row>
    <row r="58" spans="1:44" hidden="1" x14ac:dyDescent="0.2">
      <c r="A58" s="386" t="s">
        <v>1149</v>
      </c>
      <c r="B58" s="437">
        <v>100</v>
      </c>
      <c r="C58" s="438" t="s">
        <v>145</v>
      </c>
      <c r="D58" s="437"/>
      <c r="E58" s="437">
        <v>100</v>
      </c>
      <c r="F58" s="531" t="s">
        <v>460</v>
      </c>
      <c r="G58" s="531" t="s">
        <v>173</v>
      </c>
      <c r="H58" s="438" t="s">
        <v>563</v>
      </c>
      <c r="I58" s="386" t="s">
        <v>1149</v>
      </c>
      <c r="J58" s="386" t="s">
        <v>561</v>
      </c>
      <c r="K58" s="386" t="s">
        <v>384</v>
      </c>
      <c r="L58" s="386" t="s">
        <v>990</v>
      </c>
      <c r="M58" s="386">
        <v>1</v>
      </c>
      <c r="N58" s="386"/>
      <c r="O58" s="386"/>
      <c r="P58" s="386" t="s">
        <v>342</v>
      </c>
      <c r="Q58" s="389"/>
      <c r="R58" s="386"/>
      <c r="S58" s="386"/>
      <c r="T58" s="483">
        <f>R58*S58</f>
        <v>0</v>
      </c>
      <c r="U58" s="482">
        <v>40000</v>
      </c>
      <c r="V58" s="395">
        <v>20000</v>
      </c>
      <c r="W58" s="270" t="str">
        <f t="shared" si="98"/>
        <v/>
      </c>
      <c r="X58" s="270">
        <f t="shared" si="99"/>
        <v>20000</v>
      </c>
      <c r="Y58" s="399">
        <v>0</v>
      </c>
      <c r="Z58" s="62">
        <v>0</v>
      </c>
      <c r="AA58" s="256">
        <f>SUM(X58:Z58)</f>
        <v>20000</v>
      </c>
      <c r="AB58" s="3"/>
      <c r="AC58" s="62">
        <f>IF(AND(M58&gt;0.1,P58&lt;&gt;"N"),$AC$1,"")/2</f>
        <v>3971.88</v>
      </c>
      <c r="AD58" s="62" t="str">
        <f>_xlfn.IFS(P58="N",$AD$1*AA58,P58="EE","",P58="ER","",P58="","")</f>
        <v/>
      </c>
      <c r="AE58" s="62">
        <f>_xlfn.IFS(P58="EE",X58*$AE$1,P58="ER",X58*$AE$2,P58="N","",P58="","")</f>
        <v>5950</v>
      </c>
      <c r="AF58" s="62">
        <f>+IF(AA58&gt;1,AA58*$AF$1,"")</f>
        <v>290</v>
      </c>
      <c r="AG58" s="192">
        <v>0</v>
      </c>
      <c r="AH58" s="62">
        <f>+IF(AA58&gt;1,AA58*$AH$1,"")</f>
        <v>182.04672213824938</v>
      </c>
      <c r="AI58" s="62">
        <f>+_xlfn.IFS(F58&lt;2300,(AA58*$AI$1),F58&gt;=2300,(AA58*$AI$2),F58="","")</f>
        <v>40.41823128779415</v>
      </c>
      <c r="AJ58" s="62"/>
      <c r="AK58" s="62">
        <v>0</v>
      </c>
      <c r="AL58" s="256">
        <f>SUM(AC58:AK58)</f>
        <v>10434.344953426045</v>
      </c>
      <c r="AM58" s="256">
        <f>AA58</f>
        <v>20000</v>
      </c>
      <c r="AN58" s="256">
        <f>SUM(AL58:AM58)</f>
        <v>30434.344953426044</v>
      </c>
    </row>
    <row r="59" spans="1:44" x14ac:dyDescent="0.2">
      <c r="A59" s="386" t="s">
        <v>1149</v>
      </c>
      <c r="B59" s="437">
        <v>100</v>
      </c>
      <c r="C59" s="437" t="s">
        <v>145</v>
      </c>
      <c r="D59" s="437"/>
      <c r="E59" s="437">
        <v>100</v>
      </c>
      <c r="F59" s="531">
        <v>1000</v>
      </c>
      <c r="G59" s="531" t="s">
        <v>169</v>
      </c>
      <c r="H59" s="437" t="s">
        <v>497</v>
      </c>
      <c r="I59" s="386" t="s">
        <v>1149</v>
      </c>
      <c r="J59" s="386" t="s">
        <v>561</v>
      </c>
      <c r="K59" s="386" t="s">
        <v>384</v>
      </c>
      <c r="L59" s="386" t="s">
        <v>989</v>
      </c>
      <c r="M59" s="386"/>
      <c r="N59" s="437"/>
      <c r="O59" s="386"/>
      <c r="P59" s="386"/>
      <c r="Q59" s="389"/>
      <c r="R59" s="386"/>
      <c r="S59" s="386"/>
      <c r="T59" s="483">
        <f t="shared" ref="T59:T60" si="103">R59*S59</f>
        <v>0</v>
      </c>
      <c r="U59" s="482">
        <v>28000</v>
      </c>
      <c r="V59" s="395"/>
      <c r="W59" s="270" t="str">
        <f t="shared" si="98"/>
        <v/>
      </c>
      <c r="X59" s="270" t="str">
        <f t="shared" si="99"/>
        <v/>
      </c>
      <c r="Y59" s="62">
        <v>0</v>
      </c>
      <c r="Z59" s="62">
        <v>0</v>
      </c>
      <c r="AA59" s="256">
        <f t="shared" ref="AA59:AA60" si="104">SUM(X59:Z59)</f>
        <v>0</v>
      </c>
      <c r="AB59" s="3"/>
      <c r="AC59" s="62" t="str">
        <f t="shared" si="23"/>
        <v/>
      </c>
      <c r="AD59" s="62" t="s">
        <v>386</v>
      </c>
      <c r="AE59" s="62" t="str">
        <f t="shared" ref="AE59:AE60" si="105">_xlfn.IFS(P59="EE",X59*$AE$1,P59="ER",X59*$AE$2,P59="N","",P59="","")</f>
        <v/>
      </c>
      <c r="AF59" s="62" t="str">
        <f t="shared" ref="AF59:AF60" si="106">+IF(AA59&gt;1,AA59*$AF$1,"")</f>
        <v/>
      </c>
      <c r="AG59" s="192">
        <v>0</v>
      </c>
      <c r="AH59" s="62" t="str">
        <f t="shared" ref="AH59:AH60" si="107">+IF(AA59&gt;1,AA59*$AH$1,"")</f>
        <v/>
      </c>
      <c r="AI59" s="62">
        <f t="shared" ref="AI59:AI60" si="108">+_xlfn.IFS(F59&lt;2300,(AA59*$AI$1),F59&gt;=2300,(AA59*$AI$2),F59="","")</f>
        <v>0</v>
      </c>
      <c r="AJ59" s="62"/>
      <c r="AK59" s="62">
        <v>0</v>
      </c>
      <c r="AL59" s="256">
        <f t="shared" ref="AL59:AL60" si="109">SUM(AC59:AK59)</f>
        <v>0</v>
      </c>
      <c r="AM59" s="256">
        <f t="shared" ref="AM59:AM60" si="110">AA59</f>
        <v>0</v>
      </c>
      <c r="AN59" s="256">
        <f t="shared" ref="AN59:AN60" si="111">SUM(AL59:AM59)</f>
        <v>0</v>
      </c>
    </row>
    <row r="60" spans="1:44" x14ac:dyDescent="0.2">
      <c r="A60" s="386" t="s">
        <v>1149</v>
      </c>
      <c r="B60" s="437">
        <v>100</v>
      </c>
      <c r="C60" s="437" t="s">
        <v>145</v>
      </c>
      <c r="D60" s="437"/>
      <c r="E60" s="437">
        <v>100</v>
      </c>
      <c r="F60" s="531">
        <v>1000</v>
      </c>
      <c r="G60" s="531" t="s">
        <v>169</v>
      </c>
      <c r="H60" s="437" t="s">
        <v>497</v>
      </c>
      <c r="I60" s="386" t="s">
        <v>1149</v>
      </c>
      <c r="J60" s="386" t="s">
        <v>561</v>
      </c>
      <c r="K60" s="386" t="s">
        <v>384</v>
      </c>
      <c r="L60" s="386" t="s">
        <v>989</v>
      </c>
      <c r="M60" s="386"/>
      <c r="N60" s="437"/>
      <c r="O60" s="386"/>
      <c r="P60" s="386"/>
      <c r="Q60" s="389"/>
      <c r="R60" s="386"/>
      <c r="S60" s="386"/>
      <c r="T60" s="483">
        <f t="shared" si="103"/>
        <v>0</v>
      </c>
      <c r="U60" s="482">
        <v>28000</v>
      </c>
      <c r="V60" s="395"/>
      <c r="W60" s="270" t="str">
        <f t="shared" si="98"/>
        <v/>
      </c>
      <c r="X60" s="270" t="str">
        <f t="shared" si="99"/>
        <v/>
      </c>
      <c r="Y60" s="62">
        <v>0</v>
      </c>
      <c r="Z60" s="62">
        <v>0</v>
      </c>
      <c r="AA60" s="256">
        <f t="shared" si="104"/>
        <v>0</v>
      </c>
      <c r="AB60" s="3"/>
      <c r="AC60" s="62" t="str">
        <f t="shared" si="23"/>
        <v/>
      </c>
      <c r="AD60" s="62" t="s">
        <v>386</v>
      </c>
      <c r="AE60" s="62" t="str">
        <f t="shared" si="105"/>
        <v/>
      </c>
      <c r="AF60" s="62" t="str">
        <f t="shared" si="106"/>
        <v/>
      </c>
      <c r="AG60" s="192">
        <v>0</v>
      </c>
      <c r="AH60" s="62" t="str">
        <f t="shared" si="107"/>
        <v/>
      </c>
      <c r="AI60" s="62">
        <f t="shared" si="108"/>
        <v>0</v>
      </c>
      <c r="AJ60" s="62"/>
      <c r="AK60" s="62">
        <v>0</v>
      </c>
      <c r="AL60" s="256">
        <f t="shared" si="109"/>
        <v>0</v>
      </c>
      <c r="AM60" s="256">
        <f t="shared" si="110"/>
        <v>0</v>
      </c>
      <c r="AN60" s="256">
        <f t="shared" si="111"/>
        <v>0</v>
      </c>
    </row>
    <row r="61" spans="1:44" hidden="1" x14ac:dyDescent="0.2">
      <c r="A61" s="311"/>
      <c r="B61" s="380"/>
      <c r="C61" s="380"/>
      <c r="D61" s="380"/>
      <c r="E61" s="380"/>
      <c r="F61" s="380"/>
      <c r="G61" s="380"/>
      <c r="H61" s="380"/>
      <c r="I61" s="312"/>
      <c r="J61" s="312"/>
      <c r="K61" s="312"/>
      <c r="L61" s="313"/>
      <c r="M61" s="311"/>
      <c r="N61" s="311"/>
      <c r="O61" s="311"/>
      <c r="P61" s="381"/>
      <c r="Q61" s="311"/>
      <c r="R61" s="311"/>
      <c r="S61" s="311"/>
      <c r="T61" s="483"/>
      <c r="U61" s="269">
        <v>0</v>
      </c>
      <c r="V61" s="270">
        <f>IF($U61="","",$U61*(1+$V$1))</f>
        <v>0</v>
      </c>
      <c r="W61" s="270" t="str">
        <f t="shared" ref="W61" si="112">+IF(P61="EE",+V61*$W$1,"")</f>
        <v/>
      </c>
      <c r="X61" s="270" t="str">
        <f t="shared" ref="X61:X78" si="113">_xlfn.IFS(P61="ER",V61,P61="EE",W61,P61="N",V61,P61="","")</f>
        <v/>
      </c>
      <c r="Y61" s="381"/>
      <c r="Z61" s="381"/>
      <c r="AA61" s="256">
        <f t="shared" ref="AA61" si="114">SUM(X61:Z61)</f>
        <v>0</v>
      </c>
      <c r="AB61" s="311"/>
      <c r="AC61" s="381" t="str">
        <f t="shared" si="23"/>
        <v/>
      </c>
      <c r="AD61" s="381" t="str">
        <f t="shared" ref="AD61" si="115">_xlfn.IFS(P61="N",$AD$1*AA61,P61="EE","",P61="ER","",P61="","")</f>
        <v/>
      </c>
      <c r="AE61" s="381" t="str">
        <f t="shared" ref="AE61" si="116">_xlfn.IFS(P61="EE",X61*$AE$1,P61="ER",X61*$AE$2,P61="N","",P61="","")</f>
        <v/>
      </c>
      <c r="AF61" s="381" t="str">
        <f t="shared" ref="AF61" si="117">+IF(AA61&gt;1,AA61*$AF$1,"")</f>
        <v/>
      </c>
      <c r="AG61" s="391"/>
      <c r="AH61" s="381"/>
      <c r="AI61" s="381">
        <f t="shared" si="38"/>
        <v>0</v>
      </c>
      <c r="AJ61" s="381"/>
      <c r="AK61" s="381"/>
      <c r="AL61" s="256">
        <f t="shared" si="100"/>
        <v>0</v>
      </c>
      <c r="AM61" s="256">
        <f t="shared" si="101"/>
        <v>0</v>
      </c>
      <c r="AN61" s="256">
        <f t="shared" si="102"/>
        <v>0</v>
      </c>
      <c r="AO61" s="3"/>
      <c r="AP61" s="3"/>
      <c r="AQ61" s="3"/>
      <c r="AR61" s="3"/>
    </row>
    <row r="62" spans="1:44" x14ac:dyDescent="0.2">
      <c r="A62" s="386" t="s">
        <v>386</v>
      </c>
      <c r="B62" s="437" t="s">
        <v>468</v>
      </c>
      <c r="C62" s="437" t="s">
        <v>145</v>
      </c>
      <c r="D62" s="437"/>
      <c r="E62" s="437" t="s">
        <v>689</v>
      </c>
      <c r="F62" s="531" t="s">
        <v>461</v>
      </c>
      <c r="G62" s="531" t="s">
        <v>161</v>
      </c>
      <c r="H62" s="437"/>
      <c r="I62" s="386" t="s">
        <v>810</v>
      </c>
      <c r="J62" s="386" t="s">
        <v>810</v>
      </c>
      <c r="K62" s="386" t="s">
        <v>389</v>
      </c>
      <c r="L62" s="386" t="s">
        <v>810</v>
      </c>
      <c r="M62" s="386" t="s">
        <v>386</v>
      </c>
      <c r="N62" s="386" t="s">
        <v>386</v>
      </c>
      <c r="O62" s="386" t="s">
        <v>386</v>
      </c>
      <c r="P62" s="386" t="s">
        <v>7</v>
      </c>
      <c r="Q62" s="386" t="s">
        <v>386</v>
      </c>
      <c r="R62" s="386" t="s">
        <v>386</v>
      </c>
      <c r="S62" s="386" t="s">
        <v>386</v>
      </c>
      <c r="T62" s="263" t="s">
        <v>386</v>
      </c>
      <c r="U62" s="269">
        <v>0</v>
      </c>
      <c r="V62" s="270">
        <f t="shared" ref="V62:V129" si="118">IF($U62="","",$U62*(1+$V$1))</f>
        <v>0</v>
      </c>
      <c r="W62" s="270" t="str">
        <f t="shared" ref="W62:W78" si="119">+IF(P62="EE",+V62*$W$1,"")</f>
        <v/>
      </c>
      <c r="X62" s="270">
        <f t="shared" si="113"/>
        <v>0</v>
      </c>
      <c r="Y62" s="62">
        <v>0</v>
      </c>
      <c r="Z62" s="62">
        <v>0</v>
      </c>
      <c r="AA62" s="256">
        <f t="shared" ref="AA62:AA77" si="120">SUM(X62:Z62)</f>
        <v>0</v>
      </c>
      <c r="AB62" s="3"/>
      <c r="AC62" s="62" t="str">
        <f t="shared" si="23"/>
        <v/>
      </c>
      <c r="AD62" s="62">
        <f t="shared" ref="AD62:AD78" si="121">_xlfn.IFS(P62="N",$AD$1*AA62,P62="EE","",P62="ER","",P62="","")</f>
        <v>0</v>
      </c>
      <c r="AE62" s="62" t="str">
        <f t="shared" ref="AE62:AE78" si="122">_xlfn.IFS(P62="EE",X62*$AE$1,P62="ER",X62*$AE$2,P62="N","",P62="","")</f>
        <v/>
      </c>
      <c r="AF62" s="62" t="str">
        <f t="shared" ref="AF62:AF78" si="123">+IF(AA62&gt;1,AA62*$AF$1,"")</f>
        <v/>
      </c>
      <c r="AG62" s="192">
        <v>0</v>
      </c>
      <c r="AH62" s="62" t="str">
        <f t="shared" ref="AH62:AH77" si="124">+IF(AA62&gt;1,AA62*$AH$1,"")</f>
        <v/>
      </c>
      <c r="AI62" s="62">
        <f t="shared" si="38"/>
        <v>0</v>
      </c>
      <c r="AJ62" s="62"/>
      <c r="AK62" s="62">
        <v>0</v>
      </c>
      <c r="AL62" s="256">
        <f t="shared" si="100"/>
        <v>0</v>
      </c>
      <c r="AM62" s="256">
        <f t="shared" si="101"/>
        <v>0</v>
      </c>
      <c r="AN62" s="256">
        <f t="shared" si="102"/>
        <v>0</v>
      </c>
    </row>
    <row r="63" spans="1:44" x14ac:dyDescent="0.2">
      <c r="A63" s="386" t="s">
        <v>386</v>
      </c>
      <c r="B63" s="437" t="s">
        <v>135</v>
      </c>
      <c r="C63" s="437" t="s">
        <v>247</v>
      </c>
      <c r="D63" s="437"/>
      <c r="E63" s="437" t="s">
        <v>473</v>
      </c>
      <c r="F63" s="531" t="s">
        <v>461</v>
      </c>
      <c r="G63" s="531" t="s">
        <v>161</v>
      </c>
      <c r="H63" s="437"/>
      <c r="I63" s="386" t="s">
        <v>810</v>
      </c>
      <c r="J63" s="386" t="s">
        <v>816</v>
      </c>
      <c r="K63" s="386" t="s">
        <v>389</v>
      </c>
      <c r="L63" s="386" t="s">
        <v>817</v>
      </c>
      <c r="M63" s="386" t="s">
        <v>386</v>
      </c>
      <c r="N63" s="386" t="s">
        <v>386</v>
      </c>
      <c r="O63" s="386" t="s">
        <v>386</v>
      </c>
      <c r="P63" s="386" t="s">
        <v>7</v>
      </c>
      <c r="Q63" s="386" t="s">
        <v>386</v>
      </c>
      <c r="R63" s="386" t="s">
        <v>386</v>
      </c>
      <c r="S63" s="386" t="s">
        <v>386</v>
      </c>
      <c r="T63" s="263" t="s">
        <v>386</v>
      </c>
      <c r="U63" s="269">
        <v>0</v>
      </c>
      <c r="V63" s="270">
        <f t="shared" si="118"/>
        <v>0</v>
      </c>
      <c r="W63" s="270" t="str">
        <f t="shared" si="119"/>
        <v/>
      </c>
      <c r="X63" s="270">
        <f t="shared" si="113"/>
        <v>0</v>
      </c>
      <c r="Y63" s="399">
        <v>0</v>
      </c>
      <c r="Z63" s="62">
        <v>0</v>
      </c>
      <c r="AA63" s="256">
        <f t="shared" si="120"/>
        <v>0</v>
      </c>
      <c r="AB63" s="3"/>
      <c r="AC63" s="62" t="str">
        <f t="shared" si="23"/>
        <v/>
      </c>
      <c r="AD63" s="62">
        <f t="shared" si="121"/>
        <v>0</v>
      </c>
      <c r="AE63" s="62" t="str">
        <f t="shared" si="122"/>
        <v/>
      </c>
      <c r="AF63" s="62" t="str">
        <f t="shared" si="123"/>
        <v/>
      </c>
      <c r="AG63" s="192">
        <v>0</v>
      </c>
      <c r="AH63" s="62" t="str">
        <f t="shared" si="124"/>
        <v/>
      </c>
      <c r="AI63" s="62">
        <f t="shared" si="38"/>
        <v>0</v>
      </c>
      <c r="AJ63" s="62"/>
      <c r="AK63" s="62">
        <v>0</v>
      </c>
      <c r="AL63" s="256">
        <f t="shared" si="100"/>
        <v>0</v>
      </c>
      <c r="AM63" s="256">
        <f t="shared" si="101"/>
        <v>0</v>
      </c>
      <c r="AN63" s="256">
        <f t="shared" si="102"/>
        <v>0</v>
      </c>
    </row>
    <row r="64" spans="1:44" x14ac:dyDescent="0.2">
      <c r="A64" s="386" t="s">
        <v>386</v>
      </c>
      <c r="B64" s="437" t="s">
        <v>468</v>
      </c>
      <c r="C64" s="437" t="s">
        <v>145</v>
      </c>
      <c r="D64" s="437"/>
      <c r="E64" s="437" t="s">
        <v>468</v>
      </c>
      <c r="F64" s="531" t="s">
        <v>461</v>
      </c>
      <c r="G64" s="531" t="s">
        <v>163</v>
      </c>
      <c r="H64" s="438"/>
      <c r="I64" s="386" t="s">
        <v>562</v>
      </c>
      <c r="J64" s="386" t="s">
        <v>562</v>
      </c>
      <c r="K64" s="386" t="s">
        <v>389</v>
      </c>
      <c r="L64" s="386" t="s">
        <v>562</v>
      </c>
      <c r="M64" s="386">
        <v>0</v>
      </c>
      <c r="N64" s="386" t="s">
        <v>386</v>
      </c>
      <c r="O64" s="386" t="s">
        <v>386</v>
      </c>
      <c r="P64" s="386" t="s">
        <v>7</v>
      </c>
      <c r="Q64" s="386" t="s">
        <v>386</v>
      </c>
      <c r="R64" s="386" t="s">
        <v>386</v>
      </c>
      <c r="S64" s="386" t="s">
        <v>386</v>
      </c>
      <c r="T64" s="263" t="s">
        <v>386</v>
      </c>
      <c r="U64" s="269">
        <v>0</v>
      </c>
      <c r="V64" s="270">
        <f t="shared" si="118"/>
        <v>0</v>
      </c>
      <c r="W64" s="270" t="str">
        <f t="shared" si="119"/>
        <v/>
      </c>
      <c r="X64" s="270">
        <f t="shared" si="113"/>
        <v>0</v>
      </c>
      <c r="Y64" s="399">
        <v>0</v>
      </c>
      <c r="Z64" s="62">
        <v>0</v>
      </c>
      <c r="AA64" s="256">
        <f t="shared" si="120"/>
        <v>0</v>
      </c>
      <c r="AB64" s="3"/>
      <c r="AC64" s="62" t="str">
        <f t="shared" si="23"/>
        <v/>
      </c>
      <c r="AD64" s="62">
        <f t="shared" si="121"/>
        <v>0</v>
      </c>
      <c r="AE64" s="62" t="str">
        <f t="shared" si="122"/>
        <v/>
      </c>
      <c r="AF64" s="400" t="str">
        <f t="shared" si="123"/>
        <v/>
      </c>
      <c r="AG64" s="192">
        <v>0</v>
      </c>
      <c r="AH64" s="62" t="str">
        <f t="shared" si="124"/>
        <v/>
      </c>
      <c r="AI64" s="62">
        <f t="shared" si="38"/>
        <v>0</v>
      </c>
      <c r="AJ64" s="62"/>
      <c r="AK64" s="62">
        <v>0</v>
      </c>
      <c r="AL64" s="256">
        <f t="shared" si="100"/>
        <v>0</v>
      </c>
      <c r="AM64" s="256">
        <f t="shared" si="101"/>
        <v>0</v>
      </c>
      <c r="AN64" s="256">
        <f t="shared" si="102"/>
        <v>0</v>
      </c>
    </row>
    <row r="65" spans="1:44" hidden="1" x14ac:dyDescent="0.2">
      <c r="A65" s="311"/>
      <c r="B65" s="380"/>
      <c r="C65" s="380"/>
      <c r="D65" s="380"/>
      <c r="E65" s="380"/>
      <c r="F65" s="380"/>
      <c r="G65" s="380"/>
      <c r="H65" s="380"/>
      <c r="I65" s="312"/>
      <c r="J65" s="312"/>
      <c r="K65" s="312"/>
      <c r="L65" s="313"/>
      <c r="M65" s="311"/>
      <c r="N65" s="311"/>
      <c r="O65" s="311"/>
      <c r="P65" s="381"/>
      <c r="Q65" s="311"/>
      <c r="R65" s="311"/>
      <c r="S65" s="311"/>
      <c r="T65" s="263"/>
      <c r="U65" s="269">
        <v>0</v>
      </c>
      <c r="V65" s="270">
        <f t="shared" si="118"/>
        <v>0</v>
      </c>
      <c r="W65" s="270" t="str">
        <f t="shared" si="119"/>
        <v/>
      </c>
      <c r="X65" s="270" t="str">
        <f t="shared" si="113"/>
        <v/>
      </c>
      <c r="Y65" s="381"/>
      <c r="Z65" s="381"/>
      <c r="AA65" s="256">
        <f t="shared" ref="AA65" si="125">SUM(X65:Z65)</f>
        <v>0</v>
      </c>
      <c r="AB65" s="311"/>
      <c r="AC65" s="381" t="str">
        <f t="shared" si="23"/>
        <v/>
      </c>
      <c r="AD65" s="381" t="str">
        <f t="shared" si="121"/>
        <v/>
      </c>
      <c r="AE65" s="381" t="str">
        <f t="shared" si="122"/>
        <v/>
      </c>
      <c r="AF65" s="381" t="str">
        <f t="shared" si="123"/>
        <v/>
      </c>
      <c r="AG65" s="391"/>
      <c r="AH65" s="381"/>
      <c r="AI65" s="381">
        <f t="shared" si="38"/>
        <v>0</v>
      </c>
      <c r="AJ65" s="381"/>
      <c r="AK65" s="381"/>
      <c r="AL65" s="256">
        <f t="shared" si="100"/>
        <v>0</v>
      </c>
      <c r="AM65" s="256">
        <f t="shared" si="101"/>
        <v>0</v>
      </c>
      <c r="AN65" s="256">
        <f t="shared" si="102"/>
        <v>0</v>
      </c>
      <c r="AO65" s="3"/>
      <c r="AP65" s="3"/>
      <c r="AQ65" s="3"/>
      <c r="AR65" s="3"/>
    </row>
    <row r="66" spans="1:44" x14ac:dyDescent="0.2">
      <c r="A66" s="394" t="s">
        <v>386</v>
      </c>
      <c r="B66" s="500" t="s">
        <v>135</v>
      </c>
      <c r="C66" s="500" t="s">
        <v>249</v>
      </c>
      <c r="D66" s="500"/>
      <c r="E66" s="500" t="s">
        <v>468</v>
      </c>
      <c r="F66" s="531" t="s">
        <v>461</v>
      </c>
      <c r="G66" s="532" t="s">
        <v>1043</v>
      </c>
      <c r="H66" s="500"/>
      <c r="I66" s="394" t="s">
        <v>863</v>
      </c>
      <c r="J66" s="394" t="s">
        <v>386</v>
      </c>
      <c r="K66" s="394" t="s">
        <v>386</v>
      </c>
      <c r="L66" s="394" t="s">
        <v>863</v>
      </c>
      <c r="M66" s="394" t="s">
        <v>386</v>
      </c>
      <c r="N66" s="394" t="s">
        <v>386</v>
      </c>
      <c r="O66" s="394" t="s">
        <v>386</v>
      </c>
      <c r="P66" s="394" t="s">
        <v>7</v>
      </c>
      <c r="Q66" s="394" t="s">
        <v>386</v>
      </c>
      <c r="R66" s="394" t="s">
        <v>386</v>
      </c>
      <c r="S66" s="394" t="s">
        <v>386</v>
      </c>
      <c r="T66" s="263" t="s">
        <v>386</v>
      </c>
      <c r="U66" s="269">
        <v>0</v>
      </c>
      <c r="V66" s="270">
        <f>21051.34+3000</f>
        <v>24051.34</v>
      </c>
      <c r="W66" s="270" t="str">
        <f t="shared" si="119"/>
        <v/>
      </c>
      <c r="X66" s="270">
        <f t="shared" si="113"/>
        <v>24051.34</v>
      </c>
      <c r="Y66" s="399">
        <v>0</v>
      </c>
      <c r="Z66" s="476">
        <v>0</v>
      </c>
      <c r="AA66" s="256">
        <f t="shared" si="120"/>
        <v>24051.34</v>
      </c>
      <c r="AB66" s="3"/>
      <c r="AC66" s="476" t="str">
        <f t="shared" si="23"/>
        <v/>
      </c>
      <c r="AD66" s="476"/>
      <c r="AE66" s="476" t="str">
        <f t="shared" si="122"/>
        <v/>
      </c>
      <c r="AF66" s="413">
        <f t="shared" si="123"/>
        <v>348.74443000000002</v>
      </c>
      <c r="AG66" s="192">
        <v>0</v>
      </c>
      <c r="AH66" s="413">
        <f t="shared" si="124"/>
        <v>218.92338050162815</v>
      </c>
      <c r="AI66" s="413">
        <f t="shared" si="38"/>
        <v>48.605631145068749</v>
      </c>
      <c r="AJ66" s="476"/>
      <c r="AK66" s="476">
        <v>0</v>
      </c>
      <c r="AL66" s="256">
        <f t="shared" si="100"/>
        <v>616.27344164669694</v>
      </c>
      <c r="AM66" s="256">
        <f t="shared" si="101"/>
        <v>24051.34</v>
      </c>
      <c r="AN66" s="256">
        <f t="shared" si="102"/>
        <v>24667.613441646696</v>
      </c>
    </row>
    <row r="67" spans="1:44" hidden="1" x14ac:dyDescent="0.2">
      <c r="A67" s="386" t="s">
        <v>386</v>
      </c>
      <c r="B67" s="437" t="s">
        <v>135</v>
      </c>
      <c r="C67" s="437" t="s">
        <v>864</v>
      </c>
      <c r="D67" s="437"/>
      <c r="E67" s="437" t="s">
        <v>557</v>
      </c>
      <c r="F67" s="531" t="s">
        <v>558</v>
      </c>
      <c r="G67" s="532" t="s">
        <v>993</v>
      </c>
      <c r="H67" s="437"/>
      <c r="I67" s="386" t="s">
        <v>895</v>
      </c>
      <c r="J67" s="386" t="s">
        <v>386</v>
      </c>
      <c r="K67" s="386" t="s">
        <v>386</v>
      </c>
      <c r="L67" s="386" t="s">
        <v>895</v>
      </c>
      <c r="M67" s="475" t="s">
        <v>386</v>
      </c>
      <c r="N67" s="475" t="s">
        <v>386</v>
      </c>
      <c r="O67" s="475" t="s">
        <v>386</v>
      </c>
      <c r="P67" s="475" t="s">
        <v>7</v>
      </c>
      <c r="Q67" s="475" t="s">
        <v>386</v>
      </c>
      <c r="R67" s="475" t="s">
        <v>386</v>
      </c>
      <c r="S67" s="475" t="s">
        <v>386</v>
      </c>
      <c r="T67" s="263" t="s">
        <v>386</v>
      </c>
      <c r="U67" s="269">
        <v>0</v>
      </c>
      <c r="V67" s="270">
        <f t="shared" si="118"/>
        <v>0</v>
      </c>
      <c r="W67" s="270" t="str">
        <f t="shared" si="119"/>
        <v/>
      </c>
      <c r="X67" s="270">
        <f t="shared" si="113"/>
        <v>0</v>
      </c>
      <c r="Y67" s="399">
        <v>0</v>
      </c>
      <c r="Z67" s="476">
        <v>0</v>
      </c>
      <c r="AA67" s="256">
        <f t="shared" si="120"/>
        <v>0</v>
      </c>
      <c r="AB67" s="3"/>
      <c r="AC67" s="476" t="str">
        <f t="shared" si="23"/>
        <v/>
      </c>
      <c r="AD67" s="476">
        <f t="shared" si="121"/>
        <v>0</v>
      </c>
      <c r="AE67" s="476" t="str">
        <f t="shared" si="122"/>
        <v/>
      </c>
      <c r="AF67" s="413" t="str">
        <f t="shared" si="123"/>
        <v/>
      </c>
      <c r="AG67" s="192">
        <v>0</v>
      </c>
      <c r="AH67" s="413" t="str">
        <f t="shared" si="124"/>
        <v/>
      </c>
      <c r="AI67" s="413">
        <f t="shared" si="38"/>
        <v>0</v>
      </c>
      <c r="AJ67" s="476"/>
      <c r="AK67" s="476">
        <v>0</v>
      </c>
      <c r="AL67" s="256">
        <f t="shared" si="100"/>
        <v>0</v>
      </c>
      <c r="AM67" s="256">
        <f t="shared" si="101"/>
        <v>0</v>
      </c>
      <c r="AN67" s="256">
        <f t="shared" si="102"/>
        <v>0</v>
      </c>
    </row>
    <row r="68" spans="1:44" hidden="1" x14ac:dyDescent="0.2">
      <c r="A68" s="394" t="s">
        <v>386</v>
      </c>
      <c r="B68" s="500" t="s">
        <v>135</v>
      </c>
      <c r="C68" s="500" t="s">
        <v>864</v>
      </c>
      <c r="D68" s="500"/>
      <c r="E68" s="500" t="s">
        <v>557</v>
      </c>
      <c r="F68" s="531" t="s">
        <v>465</v>
      </c>
      <c r="G68" s="532" t="s">
        <v>993</v>
      </c>
      <c r="H68" s="500"/>
      <c r="I68" s="394" t="s">
        <v>895</v>
      </c>
      <c r="J68" s="394" t="s">
        <v>386</v>
      </c>
      <c r="K68" s="394" t="s">
        <v>386</v>
      </c>
      <c r="L68" s="394" t="s">
        <v>895</v>
      </c>
      <c r="M68" s="394" t="s">
        <v>386</v>
      </c>
      <c r="N68" s="394" t="s">
        <v>386</v>
      </c>
      <c r="O68" s="394" t="s">
        <v>386</v>
      </c>
      <c r="P68" s="394" t="s">
        <v>7</v>
      </c>
      <c r="Q68" s="394" t="s">
        <v>386</v>
      </c>
      <c r="R68" s="394" t="s">
        <v>386</v>
      </c>
      <c r="S68" s="394" t="s">
        <v>386</v>
      </c>
      <c r="T68" s="263" t="s">
        <v>386</v>
      </c>
      <c r="U68" s="269">
        <v>0</v>
      </c>
      <c r="V68" s="270">
        <v>0</v>
      </c>
      <c r="W68" s="270" t="str">
        <f t="shared" si="119"/>
        <v/>
      </c>
      <c r="X68" s="270">
        <f t="shared" si="113"/>
        <v>0</v>
      </c>
      <c r="Y68" s="399">
        <v>0</v>
      </c>
      <c r="Z68" s="476">
        <v>0</v>
      </c>
      <c r="AA68" s="256">
        <f t="shared" si="120"/>
        <v>0</v>
      </c>
      <c r="AB68" s="3"/>
      <c r="AC68" s="476" t="str">
        <f t="shared" si="23"/>
        <v/>
      </c>
      <c r="AD68" s="476"/>
      <c r="AE68" s="476" t="str">
        <f t="shared" si="122"/>
        <v/>
      </c>
      <c r="AF68" s="413" t="str">
        <f t="shared" si="123"/>
        <v/>
      </c>
      <c r="AG68" s="192">
        <v>0</v>
      </c>
      <c r="AH68" s="413" t="str">
        <f t="shared" si="124"/>
        <v/>
      </c>
      <c r="AI68" s="413">
        <f t="shared" si="38"/>
        <v>0</v>
      </c>
      <c r="AJ68" s="476"/>
      <c r="AK68" s="476">
        <v>0</v>
      </c>
      <c r="AL68" s="256">
        <f t="shared" si="100"/>
        <v>0</v>
      </c>
      <c r="AM68" s="256">
        <f t="shared" si="101"/>
        <v>0</v>
      </c>
      <c r="AN68" s="256">
        <f t="shared" si="102"/>
        <v>0</v>
      </c>
    </row>
    <row r="69" spans="1:44" hidden="1" x14ac:dyDescent="0.2">
      <c r="A69" s="311"/>
      <c r="B69" s="380"/>
      <c r="C69" s="380"/>
      <c r="D69" s="380"/>
      <c r="E69" s="380"/>
      <c r="F69" s="380"/>
      <c r="G69" s="380"/>
      <c r="H69" s="380"/>
      <c r="I69" s="312"/>
      <c r="J69" s="312"/>
      <c r="K69" s="312"/>
      <c r="L69" s="313"/>
      <c r="M69" s="311"/>
      <c r="N69" s="311"/>
      <c r="O69" s="311"/>
      <c r="P69" s="381"/>
      <c r="Q69" s="311"/>
      <c r="R69" s="311"/>
      <c r="S69" s="311"/>
      <c r="T69" s="263"/>
      <c r="U69" s="269">
        <v>0</v>
      </c>
      <c r="V69" s="270">
        <f t="shared" si="118"/>
        <v>0</v>
      </c>
      <c r="W69" s="270" t="str">
        <f t="shared" si="119"/>
        <v/>
      </c>
      <c r="X69" s="270" t="str">
        <f t="shared" si="113"/>
        <v/>
      </c>
      <c r="Y69" s="381"/>
      <c r="Z69" s="381"/>
      <c r="AA69" s="256">
        <f t="shared" ref="AA69" si="126">SUM(X69:Z69)</f>
        <v>0</v>
      </c>
      <c r="AB69" s="311"/>
      <c r="AC69" s="381" t="str">
        <f t="shared" si="23"/>
        <v/>
      </c>
      <c r="AD69" s="381" t="str">
        <f t="shared" si="121"/>
        <v/>
      </c>
      <c r="AE69" s="381" t="str">
        <f t="shared" si="122"/>
        <v/>
      </c>
      <c r="AF69" s="381" t="str">
        <f t="shared" si="123"/>
        <v/>
      </c>
      <c r="AG69" s="391"/>
      <c r="AH69" s="381"/>
      <c r="AI69" s="381">
        <f t="shared" si="38"/>
        <v>0</v>
      </c>
      <c r="AJ69" s="381"/>
      <c r="AK69" s="381"/>
      <c r="AL69" s="256">
        <f t="shared" si="100"/>
        <v>0</v>
      </c>
      <c r="AM69" s="256">
        <f t="shared" si="101"/>
        <v>0</v>
      </c>
      <c r="AN69" s="256">
        <f t="shared" si="102"/>
        <v>0</v>
      </c>
      <c r="AO69" s="3"/>
      <c r="AP69" s="3"/>
      <c r="AQ69" s="3"/>
      <c r="AR69" s="3"/>
    </row>
    <row r="70" spans="1:44" x14ac:dyDescent="0.2">
      <c r="A70" s="386" t="s">
        <v>386</v>
      </c>
      <c r="B70" s="437" t="s">
        <v>135</v>
      </c>
      <c r="C70" s="437" t="s">
        <v>242</v>
      </c>
      <c r="D70" s="437"/>
      <c r="E70" s="437" t="s">
        <v>532</v>
      </c>
      <c r="F70" s="531" t="s">
        <v>461</v>
      </c>
      <c r="G70" s="532" t="s">
        <v>1043</v>
      </c>
      <c r="H70" s="437"/>
      <c r="I70" s="386" t="s">
        <v>856</v>
      </c>
      <c r="J70" s="386" t="s">
        <v>857</v>
      </c>
      <c r="K70" s="386" t="s">
        <v>386</v>
      </c>
      <c r="L70" s="386" t="s">
        <v>858</v>
      </c>
      <c r="M70" s="475" t="s">
        <v>386</v>
      </c>
      <c r="N70" s="475" t="s">
        <v>386</v>
      </c>
      <c r="O70" s="475" t="s">
        <v>386</v>
      </c>
      <c r="P70" s="475" t="s">
        <v>7</v>
      </c>
      <c r="Q70" s="475" t="s">
        <v>386</v>
      </c>
      <c r="R70" s="475" t="s">
        <v>386</v>
      </c>
      <c r="S70" s="475" t="s">
        <v>386</v>
      </c>
      <c r="T70" s="263" t="s">
        <v>386</v>
      </c>
      <c r="U70" s="269">
        <v>0</v>
      </c>
      <c r="V70" s="395">
        <v>6000</v>
      </c>
      <c r="W70" s="270" t="str">
        <f t="shared" si="119"/>
        <v/>
      </c>
      <c r="X70" s="270">
        <f t="shared" si="113"/>
        <v>6000</v>
      </c>
      <c r="Y70" s="399">
        <v>0</v>
      </c>
      <c r="Z70" s="476">
        <v>0</v>
      </c>
      <c r="AA70" s="256">
        <f t="shared" si="120"/>
        <v>6000</v>
      </c>
      <c r="AB70" s="3"/>
      <c r="AC70" s="476" t="str">
        <f t="shared" si="23"/>
        <v/>
      </c>
      <c r="AD70" s="476"/>
      <c r="AE70" s="476" t="str">
        <f t="shared" si="122"/>
        <v/>
      </c>
      <c r="AF70" s="413">
        <f t="shared" si="123"/>
        <v>87</v>
      </c>
      <c r="AG70" s="192">
        <v>0</v>
      </c>
      <c r="AH70" s="413">
        <f t="shared" si="124"/>
        <v>54.614016641474812</v>
      </c>
      <c r="AI70" s="413">
        <f t="shared" si="38"/>
        <v>12.125469386338246</v>
      </c>
      <c r="AJ70" s="476"/>
      <c r="AK70" s="476">
        <v>0</v>
      </c>
      <c r="AL70" s="256">
        <f t="shared" si="100"/>
        <v>153.73948602781306</v>
      </c>
      <c r="AM70" s="256">
        <f t="shared" si="101"/>
        <v>6000</v>
      </c>
      <c r="AN70" s="256">
        <f t="shared" si="102"/>
        <v>6153.7394860278127</v>
      </c>
    </row>
    <row r="71" spans="1:44" hidden="1" x14ac:dyDescent="0.2">
      <c r="A71" s="386" t="s">
        <v>386</v>
      </c>
      <c r="B71" s="437" t="s">
        <v>135</v>
      </c>
      <c r="C71" s="437" t="s">
        <v>242</v>
      </c>
      <c r="D71" s="437"/>
      <c r="E71" s="437" t="s">
        <v>532</v>
      </c>
      <c r="F71" s="531" t="s">
        <v>534</v>
      </c>
      <c r="G71" s="532" t="s">
        <v>1043</v>
      </c>
      <c r="H71" s="437"/>
      <c r="I71" s="386" t="s">
        <v>856</v>
      </c>
      <c r="J71" s="386" t="s">
        <v>857</v>
      </c>
      <c r="K71" s="386" t="s">
        <v>386</v>
      </c>
      <c r="L71" s="386" t="s">
        <v>858</v>
      </c>
      <c r="M71" s="475" t="s">
        <v>386</v>
      </c>
      <c r="N71" s="475" t="s">
        <v>386</v>
      </c>
      <c r="O71" s="475" t="s">
        <v>386</v>
      </c>
      <c r="P71" s="475" t="s">
        <v>7</v>
      </c>
      <c r="Q71" s="475" t="s">
        <v>386</v>
      </c>
      <c r="R71" s="475" t="s">
        <v>386</v>
      </c>
      <c r="S71" s="475" t="s">
        <v>386</v>
      </c>
      <c r="T71" s="263" t="s">
        <v>386</v>
      </c>
      <c r="U71" s="269">
        <v>0</v>
      </c>
      <c r="V71" s="270">
        <f t="shared" si="118"/>
        <v>0</v>
      </c>
      <c r="W71" s="270" t="str">
        <f t="shared" si="119"/>
        <v/>
      </c>
      <c r="X71" s="270">
        <f t="shared" si="113"/>
        <v>0</v>
      </c>
      <c r="Y71" s="399">
        <v>0</v>
      </c>
      <c r="Z71" s="476">
        <v>0</v>
      </c>
      <c r="AA71" s="256">
        <f t="shared" si="120"/>
        <v>0</v>
      </c>
      <c r="AB71" s="3"/>
      <c r="AC71" s="476" t="str">
        <f t="shared" si="23"/>
        <v/>
      </c>
      <c r="AD71" s="476">
        <f t="shared" si="121"/>
        <v>0</v>
      </c>
      <c r="AE71" s="476" t="str">
        <f t="shared" si="122"/>
        <v/>
      </c>
      <c r="AF71" s="413" t="str">
        <f t="shared" si="123"/>
        <v/>
      </c>
      <c r="AG71" s="192">
        <v>0</v>
      </c>
      <c r="AH71" s="413" t="str">
        <f t="shared" si="124"/>
        <v/>
      </c>
      <c r="AI71" s="413">
        <f t="shared" si="38"/>
        <v>0</v>
      </c>
      <c r="AJ71" s="476"/>
      <c r="AK71" s="476">
        <v>0</v>
      </c>
      <c r="AL71" s="256">
        <f t="shared" si="100"/>
        <v>0</v>
      </c>
      <c r="AM71" s="256">
        <f t="shared" si="101"/>
        <v>0</v>
      </c>
      <c r="AN71" s="256">
        <f t="shared" si="102"/>
        <v>0</v>
      </c>
    </row>
    <row r="72" spans="1:44" x14ac:dyDescent="0.2">
      <c r="A72" s="386" t="s">
        <v>386</v>
      </c>
      <c r="B72" s="437" t="s">
        <v>135</v>
      </c>
      <c r="C72" s="437" t="s">
        <v>242</v>
      </c>
      <c r="D72" s="437"/>
      <c r="E72" s="437" t="s">
        <v>532</v>
      </c>
      <c r="F72" s="531" t="s">
        <v>461</v>
      </c>
      <c r="G72" s="532" t="s">
        <v>1062</v>
      </c>
      <c r="H72" s="437"/>
      <c r="I72" s="386" t="s">
        <v>856</v>
      </c>
      <c r="J72" s="386" t="s">
        <v>857</v>
      </c>
      <c r="K72" s="386" t="s">
        <v>386</v>
      </c>
      <c r="L72" s="386" t="s">
        <v>858</v>
      </c>
      <c r="M72" s="475" t="s">
        <v>386</v>
      </c>
      <c r="N72" s="475" t="s">
        <v>386</v>
      </c>
      <c r="O72" s="475" t="s">
        <v>386</v>
      </c>
      <c r="P72" s="475" t="s">
        <v>7</v>
      </c>
      <c r="Q72" s="475" t="s">
        <v>386</v>
      </c>
      <c r="R72" s="475" t="s">
        <v>386</v>
      </c>
      <c r="S72" s="475" t="s">
        <v>386</v>
      </c>
      <c r="T72" s="263" t="s">
        <v>386</v>
      </c>
      <c r="U72" s="269">
        <v>0</v>
      </c>
      <c r="V72" s="270">
        <f t="shared" si="118"/>
        <v>0</v>
      </c>
      <c r="W72" s="270" t="str">
        <f t="shared" si="119"/>
        <v/>
      </c>
      <c r="X72" s="270">
        <f t="shared" si="113"/>
        <v>0</v>
      </c>
      <c r="Y72" s="399">
        <v>0</v>
      </c>
      <c r="Z72" s="476">
        <v>0</v>
      </c>
      <c r="AA72" s="256">
        <f t="shared" si="120"/>
        <v>0</v>
      </c>
      <c r="AB72" s="3"/>
      <c r="AC72" s="476" t="str">
        <f t="shared" ref="AC72:AC104" si="127">IF(AND(M72&gt;0.1,P72&lt;&gt;"N"),$AC$1,"")</f>
        <v/>
      </c>
      <c r="AD72" s="476">
        <f t="shared" si="121"/>
        <v>0</v>
      </c>
      <c r="AE72" s="476" t="str">
        <f t="shared" si="122"/>
        <v/>
      </c>
      <c r="AF72" s="413" t="str">
        <f t="shared" si="123"/>
        <v/>
      </c>
      <c r="AG72" s="192">
        <v>0</v>
      </c>
      <c r="AH72" s="413" t="str">
        <f t="shared" si="124"/>
        <v/>
      </c>
      <c r="AI72" s="413">
        <f t="shared" si="38"/>
        <v>0</v>
      </c>
      <c r="AJ72" s="476"/>
      <c r="AK72" s="476">
        <v>0</v>
      </c>
      <c r="AL72" s="256">
        <f t="shared" si="100"/>
        <v>0</v>
      </c>
      <c r="AM72" s="256">
        <f t="shared" si="101"/>
        <v>0</v>
      </c>
      <c r="AN72" s="256">
        <f t="shared" si="102"/>
        <v>0</v>
      </c>
    </row>
    <row r="73" spans="1:44" hidden="1" x14ac:dyDescent="0.2">
      <c r="A73" s="386" t="s">
        <v>386</v>
      </c>
      <c r="B73" s="437" t="s">
        <v>135</v>
      </c>
      <c r="C73" s="437" t="s">
        <v>242</v>
      </c>
      <c r="D73" s="437"/>
      <c r="E73" s="437" t="s">
        <v>532</v>
      </c>
      <c r="F73" s="531">
        <v>2410</v>
      </c>
      <c r="G73" s="532" t="s">
        <v>1045</v>
      </c>
      <c r="H73" s="437"/>
      <c r="I73" s="386" t="s">
        <v>856</v>
      </c>
      <c r="J73" s="386" t="s">
        <v>857</v>
      </c>
      <c r="K73" s="386" t="s">
        <v>386</v>
      </c>
      <c r="L73" s="386" t="s">
        <v>858</v>
      </c>
      <c r="M73" s="475" t="s">
        <v>386</v>
      </c>
      <c r="N73" s="475" t="s">
        <v>386</v>
      </c>
      <c r="O73" s="475" t="s">
        <v>386</v>
      </c>
      <c r="P73" s="475" t="s">
        <v>7</v>
      </c>
      <c r="Q73" s="475" t="s">
        <v>386</v>
      </c>
      <c r="R73" s="475" t="s">
        <v>386</v>
      </c>
      <c r="S73" s="475" t="s">
        <v>386</v>
      </c>
      <c r="T73" s="263" t="s">
        <v>386</v>
      </c>
      <c r="U73" s="269">
        <v>0</v>
      </c>
      <c r="V73" s="395">
        <v>1700</v>
      </c>
      <c r="W73" s="270" t="str">
        <f t="shared" si="119"/>
        <v/>
      </c>
      <c r="X73" s="270">
        <f t="shared" si="113"/>
        <v>1700</v>
      </c>
      <c r="Y73" s="399">
        <v>0</v>
      </c>
      <c r="Z73" s="476">
        <v>0</v>
      </c>
      <c r="AA73" s="256">
        <f t="shared" si="120"/>
        <v>1700</v>
      </c>
      <c r="AB73" s="3"/>
      <c r="AC73" s="476" t="str">
        <f t="shared" si="127"/>
        <v/>
      </c>
      <c r="AD73" s="476"/>
      <c r="AE73" s="476" t="str">
        <f t="shared" si="122"/>
        <v/>
      </c>
      <c r="AF73" s="413">
        <f t="shared" si="123"/>
        <v>24.650000000000002</v>
      </c>
      <c r="AG73" s="192">
        <v>0</v>
      </c>
      <c r="AH73" s="413">
        <f t="shared" si="124"/>
        <v>15.473971381751198</v>
      </c>
      <c r="AI73" s="413">
        <f t="shared" si="38"/>
        <v>3.4355496594625028</v>
      </c>
      <c r="AJ73" s="476"/>
      <c r="AK73" s="476">
        <v>0</v>
      </c>
      <c r="AL73" s="256">
        <f t="shared" si="100"/>
        <v>43.559521041213706</v>
      </c>
      <c r="AM73" s="256">
        <f t="shared" si="101"/>
        <v>1700</v>
      </c>
      <c r="AN73" s="256">
        <f t="shared" si="102"/>
        <v>1743.5595210412137</v>
      </c>
    </row>
    <row r="74" spans="1:44" hidden="1" x14ac:dyDescent="0.2">
      <c r="A74" s="386" t="s">
        <v>386</v>
      </c>
      <c r="B74" s="437" t="s">
        <v>135</v>
      </c>
      <c r="C74" s="437" t="s">
        <v>242</v>
      </c>
      <c r="D74" s="437"/>
      <c r="E74" s="437" t="s">
        <v>532</v>
      </c>
      <c r="F74" s="531" t="s">
        <v>556</v>
      </c>
      <c r="G74" s="532" t="s">
        <v>1046</v>
      </c>
      <c r="H74" s="437"/>
      <c r="I74" s="386" t="s">
        <v>856</v>
      </c>
      <c r="J74" s="386" t="s">
        <v>857</v>
      </c>
      <c r="K74" s="386" t="s">
        <v>386</v>
      </c>
      <c r="L74" s="386" t="s">
        <v>858</v>
      </c>
      <c r="M74" s="475" t="s">
        <v>386</v>
      </c>
      <c r="N74" s="475" t="s">
        <v>386</v>
      </c>
      <c r="O74" s="475" t="s">
        <v>386</v>
      </c>
      <c r="P74" s="475" t="s">
        <v>7</v>
      </c>
      <c r="Q74" s="475" t="s">
        <v>386</v>
      </c>
      <c r="R74" s="475" t="s">
        <v>386</v>
      </c>
      <c r="S74" s="475" t="s">
        <v>386</v>
      </c>
      <c r="T74" s="263" t="s">
        <v>386</v>
      </c>
      <c r="U74" s="269">
        <v>0</v>
      </c>
      <c r="V74" s="270">
        <f t="shared" si="118"/>
        <v>0</v>
      </c>
      <c r="W74" s="270" t="str">
        <f t="shared" si="119"/>
        <v/>
      </c>
      <c r="X74" s="270">
        <f t="shared" si="113"/>
        <v>0</v>
      </c>
      <c r="Y74" s="399">
        <v>0</v>
      </c>
      <c r="Z74" s="476">
        <v>0</v>
      </c>
      <c r="AA74" s="256">
        <f t="shared" si="120"/>
        <v>0</v>
      </c>
      <c r="AB74" s="3"/>
      <c r="AC74" s="476" t="str">
        <f t="shared" si="127"/>
        <v/>
      </c>
      <c r="AD74" s="476">
        <f t="shared" si="121"/>
        <v>0</v>
      </c>
      <c r="AE74" s="476" t="str">
        <f t="shared" si="122"/>
        <v/>
      </c>
      <c r="AF74" s="413" t="str">
        <f t="shared" si="123"/>
        <v/>
      </c>
      <c r="AG74" s="192">
        <v>0</v>
      </c>
      <c r="AH74" s="413" t="str">
        <f t="shared" si="124"/>
        <v/>
      </c>
      <c r="AI74" s="413">
        <f t="shared" si="38"/>
        <v>0</v>
      </c>
      <c r="AJ74" s="476"/>
      <c r="AK74" s="476">
        <v>0</v>
      </c>
      <c r="AL74" s="256">
        <f t="shared" si="100"/>
        <v>0</v>
      </c>
      <c r="AM74" s="256">
        <f t="shared" si="101"/>
        <v>0</v>
      </c>
      <c r="AN74" s="256">
        <f t="shared" si="102"/>
        <v>0</v>
      </c>
    </row>
    <row r="75" spans="1:44" hidden="1" x14ac:dyDescent="0.2">
      <c r="A75" s="386" t="s">
        <v>386</v>
      </c>
      <c r="B75" s="437" t="s">
        <v>135</v>
      </c>
      <c r="C75" s="437" t="s">
        <v>242</v>
      </c>
      <c r="D75" s="437"/>
      <c r="E75" s="437" t="s">
        <v>532</v>
      </c>
      <c r="F75" s="531" t="s">
        <v>485</v>
      </c>
      <c r="G75" s="532" t="s">
        <v>1046</v>
      </c>
      <c r="H75" s="437"/>
      <c r="I75" s="386" t="s">
        <v>856</v>
      </c>
      <c r="J75" s="386" t="s">
        <v>857</v>
      </c>
      <c r="K75" s="386" t="s">
        <v>386</v>
      </c>
      <c r="L75" s="386" t="s">
        <v>858</v>
      </c>
      <c r="M75" s="475" t="s">
        <v>386</v>
      </c>
      <c r="N75" s="475" t="s">
        <v>386</v>
      </c>
      <c r="O75" s="475" t="s">
        <v>386</v>
      </c>
      <c r="P75" s="475" t="s">
        <v>7</v>
      </c>
      <c r="Q75" s="475" t="s">
        <v>386</v>
      </c>
      <c r="R75" s="475" t="s">
        <v>386</v>
      </c>
      <c r="S75" s="475" t="s">
        <v>386</v>
      </c>
      <c r="T75" s="263" t="s">
        <v>386</v>
      </c>
      <c r="U75" s="269">
        <v>0</v>
      </c>
      <c r="V75" s="270">
        <f t="shared" si="118"/>
        <v>0</v>
      </c>
      <c r="W75" s="270" t="str">
        <f t="shared" si="119"/>
        <v/>
      </c>
      <c r="X75" s="270">
        <f t="shared" si="113"/>
        <v>0</v>
      </c>
      <c r="Y75" s="399">
        <v>0</v>
      </c>
      <c r="Z75" s="476">
        <v>0</v>
      </c>
      <c r="AA75" s="256">
        <f t="shared" si="120"/>
        <v>0</v>
      </c>
      <c r="AB75" s="3"/>
      <c r="AC75" s="476" t="str">
        <f t="shared" si="127"/>
        <v/>
      </c>
      <c r="AD75" s="476">
        <f t="shared" si="121"/>
        <v>0</v>
      </c>
      <c r="AE75" s="476" t="str">
        <f t="shared" si="122"/>
        <v/>
      </c>
      <c r="AF75" s="413" t="str">
        <f t="shared" si="123"/>
        <v/>
      </c>
      <c r="AG75" s="192">
        <v>0</v>
      </c>
      <c r="AH75" s="413" t="str">
        <f t="shared" si="124"/>
        <v/>
      </c>
      <c r="AI75" s="413">
        <f t="shared" ref="AI75:AI129" si="128">+_xlfn.IFS(F75&lt;2300,(AA75*$AI$1),F75&gt;=2300,(AA75*$AI$2),F75="","")</f>
        <v>0</v>
      </c>
      <c r="AJ75" s="476"/>
      <c r="AK75" s="476">
        <v>0</v>
      </c>
      <c r="AL75" s="256">
        <f t="shared" si="100"/>
        <v>0</v>
      </c>
      <c r="AM75" s="256">
        <f t="shared" si="101"/>
        <v>0</v>
      </c>
      <c r="AN75" s="256">
        <f t="shared" si="102"/>
        <v>0</v>
      </c>
    </row>
    <row r="76" spans="1:44" hidden="1" x14ac:dyDescent="0.2">
      <c r="A76" s="386" t="s">
        <v>386</v>
      </c>
      <c r="B76" s="437" t="s">
        <v>135</v>
      </c>
      <c r="C76" s="437" t="s">
        <v>242</v>
      </c>
      <c r="D76" s="437"/>
      <c r="E76" s="437" t="s">
        <v>532</v>
      </c>
      <c r="F76" s="531" t="s">
        <v>465</v>
      </c>
      <c r="G76" s="532" t="s">
        <v>993</v>
      </c>
      <c r="H76" s="437"/>
      <c r="I76" s="386" t="s">
        <v>856</v>
      </c>
      <c r="J76" s="386" t="s">
        <v>857</v>
      </c>
      <c r="K76" s="386" t="s">
        <v>386</v>
      </c>
      <c r="L76" s="386" t="s">
        <v>858</v>
      </c>
      <c r="M76" s="475" t="s">
        <v>386</v>
      </c>
      <c r="N76" s="475" t="s">
        <v>386</v>
      </c>
      <c r="O76" s="475" t="s">
        <v>386</v>
      </c>
      <c r="P76" s="475" t="s">
        <v>7</v>
      </c>
      <c r="Q76" s="475" t="s">
        <v>386</v>
      </c>
      <c r="R76" s="475" t="s">
        <v>386</v>
      </c>
      <c r="S76" s="475" t="s">
        <v>386</v>
      </c>
      <c r="T76" s="263" t="s">
        <v>386</v>
      </c>
      <c r="U76" s="269">
        <v>0</v>
      </c>
      <c r="V76" s="270">
        <f t="shared" si="118"/>
        <v>0</v>
      </c>
      <c r="W76" s="270" t="str">
        <f t="shared" si="119"/>
        <v/>
      </c>
      <c r="X76" s="270">
        <f t="shared" si="113"/>
        <v>0</v>
      </c>
      <c r="Y76" s="399">
        <v>0</v>
      </c>
      <c r="Z76" s="476">
        <v>0</v>
      </c>
      <c r="AA76" s="256">
        <f t="shared" si="120"/>
        <v>0</v>
      </c>
      <c r="AB76" s="3"/>
      <c r="AC76" s="476" t="str">
        <f t="shared" si="127"/>
        <v/>
      </c>
      <c r="AD76" s="476">
        <f t="shared" si="121"/>
        <v>0</v>
      </c>
      <c r="AE76" s="476" t="str">
        <f t="shared" si="122"/>
        <v/>
      </c>
      <c r="AF76" s="413" t="str">
        <f t="shared" si="123"/>
        <v/>
      </c>
      <c r="AG76" s="192">
        <v>0</v>
      </c>
      <c r="AH76" s="413" t="str">
        <f t="shared" si="124"/>
        <v/>
      </c>
      <c r="AI76" s="413">
        <f t="shared" si="128"/>
        <v>0</v>
      </c>
      <c r="AJ76" s="476"/>
      <c r="AK76" s="476">
        <v>0</v>
      </c>
      <c r="AL76" s="256">
        <f t="shared" si="100"/>
        <v>0</v>
      </c>
      <c r="AM76" s="256">
        <f t="shared" si="101"/>
        <v>0</v>
      </c>
      <c r="AN76" s="256">
        <f t="shared" si="102"/>
        <v>0</v>
      </c>
    </row>
    <row r="77" spans="1:44" hidden="1" x14ac:dyDescent="0.2">
      <c r="A77" s="386" t="s">
        <v>386</v>
      </c>
      <c r="B77" s="437" t="s">
        <v>135</v>
      </c>
      <c r="C77" s="437" t="s">
        <v>242</v>
      </c>
      <c r="D77" s="437"/>
      <c r="E77" s="437" t="s">
        <v>532</v>
      </c>
      <c r="F77" s="531" t="s">
        <v>558</v>
      </c>
      <c r="G77" s="532" t="s">
        <v>993</v>
      </c>
      <c r="H77" s="437"/>
      <c r="I77" s="386" t="s">
        <v>856</v>
      </c>
      <c r="J77" s="386" t="s">
        <v>857</v>
      </c>
      <c r="K77" s="386" t="s">
        <v>386</v>
      </c>
      <c r="L77" s="386" t="s">
        <v>858</v>
      </c>
      <c r="M77" s="475" t="s">
        <v>386</v>
      </c>
      <c r="N77" s="475" t="s">
        <v>386</v>
      </c>
      <c r="O77" s="475" t="s">
        <v>386</v>
      </c>
      <c r="P77" s="475" t="s">
        <v>7</v>
      </c>
      <c r="Q77" s="475" t="s">
        <v>386</v>
      </c>
      <c r="R77" s="475" t="s">
        <v>386</v>
      </c>
      <c r="S77" s="475" t="s">
        <v>386</v>
      </c>
      <c r="T77" s="263" t="s">
        <v>386</v>
      </c>
      <c r="U77" s="269">
        <v>0</v>
      </c>
      <c r="V77" s="270">
        <f t="shared" si="118"/>
        <v>0</v>
      </c>
      <c r="W77" s="270" t="str">
        <f t="shared" si="119"/>
        <v/>
      </c>
      <c r="X77" s="270">
        <f t="shared" si="113"/>
        <v>0</v>
      </c>
      <c r="Y77" s="399">
        <v>0</v>
      </c>
      <c r="Z77" s="476">
        <v>0</v>
      </c>
      <c r="AA77" s="256">
        <f t="shared" si="120"/>
        <v>0</v>
      </c>
      <c r="AB77" s="3"/>
      <c r="AC77" s="476" t="str">
        <f t="shared" si="127"/>
        <v/>
      </c>
      <c r="AD77" s="476">
        <f t="shared" si="121"/>
        <v>0</v>
      </c>
      <c r="AE77" s="476" t="str">
        <f t="shared" si="122"/>
        <v/>
      </c>
      <c r="AF77" s="413" t="str">
        <f t="shared" si="123"/>
        <v/>
      </c>
      <c r="AG77" s="192">
        <v>0</v>
      </c>
      <c r="AH77" s="413" t="str">
        <f t="shared" si="124"/>
        <v/>
      </c>
      <c r="AI77" s="413">
        <f t="shared" si="128"/>
        <v>0</v>
      </c>
      <c r="AJ77" s="476"/>
      <c r="AK77" s="476">
        <v>0</v>
      </c>
      <c r="AL77" s="256">
        <f t="shared" si="100"/>
        <v>0</v>
      </c>
      <c r="AM77" s="256">
        <f t="shared" si="101"/>
        <v>0</v>
      </c>
      <c r="AN77" s="256">
        <f t="shared" si="102"/>
        <v>0</v>
      </c>
    </row>
    <row r="78" spans="1:44" hidden="1" x14ac:dyDescent="0.2">
      <c r="A78" s="311"/>
      <c r="B78" s="380"/>
      <c r="C78" s="380"/>
      <c r="D78" s="380"/>
      <c r="E78" s="380"/>
      <c r="F78" s="380"/>
      <c r="G78" s="380"/>
      <c r="H78" s="380"/>
      <c r="I78" s="312"/>
      <c r="J78" s="312"/>
      <c r="K78" s="312"/>
      <c r="L78" s="313"/>
      <c r="M78" s="311"/>
      <c r="N78" s="311"/>
      <c r="O78" s="311"/>
      <c r="P78" s="381"/>
      <c r="Q78" s="311"/>
      <c r="R78" s="311"/>
      <c r="S78" s="311"/>
      <c r="T78" s="263"/>
      <c r="U78" s="269">
        <v>0</v>
      </c>
      <c r="V78" s="270">
        <f t="shared" si="118"/>
        <v>0</v>
      </c>
      <c r="W78" s="270" t="str">
        <f t="shared" si="119"/>
        <v/>
      </c>
      <c r="X78" s="270" t="str">
        <f t="shared" si="113"/>
        <v/>
      </c>
      <c r="Y78" s="381"/>
      <c r="Z78" s="381"/>
      <c r="AA78" s="256">
        <f t="shared" ref="AA78" si="129">SUM(X78:Z78)</f>
        <v>0</v>
      </c>
      <c r="AB78" s="311"/>
      <c r="AC78" s="381" t="str">
        <f t="shared" si="127"/>
        <v/>
      </c>
      <c r="AD78" s="381" t="str">
        <f t="shared" si="121"/>
        <v/>
      </c>
      <c r="AE78" s="381" t="str">
        <f t="shared" si="122"/>
        <v/>
      </c>
      <c r="AF78" s="381" t="str">
        <f t="shared" si="123"/>
        <v/>
      </c>
      <c r="AG78" s="391"/>
      <c r="AH78" s="381"/>
      <c r="AI78" s="381">
        <f t="shared" si="128"/>
        <v>0</v>
      </c>
      <c r="AJ78" s="381"/>
      <c r="AK78" s="381"/>
      <c r="AL78" s="256">
        <f t="shared" si="100"/>
        <v>0</v>
      </c>
      <c r="AM78" s="256">
        <f t="shared" si="101"/>
        <v>0</v>
      </c>
      <c r="AN78" s="256">
        <f t="shared" si="102"/>
        <v>0</v>
      </c>
      <c r="AO78" s="3"/>
      <c r="AP78" s="3"/>
      <c r="AQ78" s="3"/>
      <c r="AR78" s="3"/>
    </row>
    <row r="79" spans="1:44" x14ac:dyDescent="0.2">
      <c r="A79" s="474" t="s">
        <v>924</v>
      </c>
      <c r="B79" s="425">
        <v>280</v>
      </c>
      <c r="C79" s="425">
        <v>661</v>
      </c>
      <c r="D79" s="425"/>
      <c r="E79" s="425">
        <v>100</v>
      </c>
      <c r="F79" s="531" t="s">
        <v>461</v>
      </c>
      <c r="G79" s="502" t="s">
        <v>1043</v>
      </c>
      <c r="H79" s="425"/>
      <c r="I79" s="474" t="s">
        <v>925</v>
      </c>
      <c r="J79" s="474"/>
      <c r="K79" s="474"/>
      <c r="L79" s="474" t="s">
        <v>925</v>
      </c>
      <c r="M79" s="474" t="s">
        <v>386</v>
      </c>
      <c r="N79" s="474" t="s">
        <v>386</v>
      </c>
      <c r="O79" s="474" t="s">
        <v>386</v>
      </c>
      <c r="P79" s="474" t="s">
        <v>7</v>
      </c>
      <c r="Q79" s="474" t="s">
        <v>386</v>
      </c>
      <c r="R79" s="474" t="s">
        <v>386</v>
      </c>
      <c r="S79" s="474" t="s">
        <v>386</v>
      </c>
      <c r="T79" s="263" t="str">
        <f t="shared" ref="T79" si="130">+IF(R79="","",R79*S79)</f>
        <v/>
      </c>
      <c r="U79" s="269">
        <v>0</v>
      </c>
      <c r="V79" s="395">
        <v>14000</v>
      </c>
      <c r="W79" s="270" t="str">
        <f t="shared" ref="W79:W80" si="131">+IF(P79="EE",+V79*$W$1,"")</f>
        <v/>
      </c>
      <c r="X79" s="270">
        <f t="shared" ref="X79:X81" si="132">_xlfn.IFS(P79="ER",V79,P79="EE",W79,P79="N",V79,P79="","")</f>
        <v>14000</v>
      </c>
      <c r="Y79" s="399">
        <v>0</v>
      </c>
      <c r="Z79" s="62">
        <v>0</v>
      </c>
      <c r="AA79" s="256">
        <f t="shared" ref="AA79" si="133">SUM(X79:Z79)</f>
        <v>14000</v>
      </c>
      <c r="AB79" s="3"/>
      <c r="AC79" s="476" t="str">
        <f t="shared" si="127"/>
        <v/>
      </c>
      <c r="AD79" s="476"/>
      <c r="AE79" s="476"/>
      <c r="AF79" s="62">
        <f t="shared" ref="AF79" si="134">+IF(AA79&gt;1,AA79*$AF$1,"")</f>
        <v>203</v>
      </c>
      <c r="AG79" s="192">
        <v>0</v>
      </c>
      <c r="AH79" s="62">
        <f t="shared" ref="AH79" si="135">+IF(AA79&gt;1,AA79*$AH$1,"")</f>
        <v>127.43270549677457</v>
      </c>
      <c r="AI79" s="62">
        <f t="shared" si="128"/>
        <v>28.292761901455904</v>
      </c>
      <c r="AJ79" s="476"/>
      <c r="AK79" s="476">
        <v>0</v>
      </c>
      <c r="AL79" s="256">
        <f t="shared" si="100"/>
        <v>358.72546739823048</v>
      </c>
      <c r="AM79" s="256">
        <f t="shared" si="101"/>
        <v>14000</v>
      </c>
      <c r="AN79" s="256">
        <f t="shared" si="102"/>
        <v>14358.72546739823</v>
      </c>
    </row>
    <row r="80" spans="1:44" x14ac:dyDescent="0.2">
      <c r="A80" s="474" t="s">
        <v>924</v>
      </c>
      <c r="B80" s="425">
        <v>280</v>
      </c>
      <c r="C80" s="425">
        <v>661</v>
      </c>
      <c r="D80" s="425"/>
      <c r="E80" s="425">
        <v>100</v>
      </c>
      <c r="F80" s="531" t="s">
        <v>461</v>
      </c>
      <c r="G80" s="502" t="s">
        <v>1043</v>
      </c>
      <c r="H80" s="425"/>
      <c r="I80" s="474" t="s">
        <v>925</v>
      </c>
      <c r="J80" s="474"/>
      <c r="K80" s="474"/>
      <c r="L80" s="474" t="s">
        <v>925</v>
      </c>
      <c r="M80" s="474" t="s">
        <v>386</v>
      </c>
      <c r="N80" s="474" t="s">
        <v>386</v>
      </c>
      <c r="O80" s="474" t="s">
        <v>386</v>
      </c>
      <c r="P80" s="474" t="s">
        <v>7</v>
      </c>
      <c r="Q80" s="474" t="s">
        <v>386</v>
      </c>
      <c r="R80" s="474" t="s">
        <v>386</v>
      </c>
      <c r="S80" s="474" t="s">
        <v>386</v>
      </c>
      <c r="T80" s="263"/>
      <c r="U80" s="269">
        <v>0</v>
      </c>
      <c r="V80" s="395">
        <f>63900-13500</f>
        <v>50400</v>
      </c>
      <c r="W80" s="270" t="str">
        <f t="shared" si="131"/>
        <v/>
      </c>
      <c r="X80" s="270">
        <f t="shared" si="132"/>
        <v>50400</v>
      </c>
      <c r="Y80" s="399"/>
      <c r="Z80" s="62"/>
      <c r="AA80" s="256">
        <f t="shared" ref="AA80:AA81" si="136">SUM(X80:Z80)</f>
        <v>50400</v>
      </c>
      <c r="AB80" s="3"/>
      <c r="AC80" s="476" t="str">
        <f t="shared" si="127"/>
        <v/>
      </c>
      <c r="AD80" s="476"/>
      <c r="AE80" s="476"/>
      <c r="AF80" s="62">
        <f t="shared" ref="AF80:AF81" si="137">+IF(AA80&gt;1,AA80*$AF$1,"")</f>
        <v>730.80000000000007</v>
      </c>
      <c r="AG80" s="192">
        <v>0</v>
      </c>
      <c r="AH80" s="62">
        <f t="shared" ref="AH80:AH81" si="138">+IF(AA80&gt;1,AA80*$AH$1,"")</f>
        <v>458.75773978838845</v>
      </c>
      <c r="AI80" s="62">
        <f t="shared" si="128"/>
        <v>101.85394284524126</v>
      </c>
      <c r="AJ80" s="476"/>
      <c r="AK80" s="476">
        <v>0</v>
      </c>
      <c r="AL80" s="256">
        <f t="shared" si="100"/>
        <v>1291.4116826336299</v>
      </c>
      <c r="AM80" s="256">
        <f t="shared" si="101"/>
        <v>50400</v>
      </c>
      <c r="AN80" s="256">
        <f t="shared" si="102"/>
        <v>51691.411682633632</v>
      </c>
    </row>
    <row r="81" spans="1:44" x14ac:dyDescent="0.2">
      <c r="A81" s="474" t="s">
        <v>924</v>
      </c>
      <c r="B81" s="425">
        <v>280</v>
      </c>
      <c r="C81" s="425">
        <v>661</v>
      </c>
      <c r="D81" s="425"/>
      <c r="E81" s="425">
        <v>100</v>
      </c>
      <c r="F81" s="531" t="s">
        <v>461</v>
      </c>
      <c r="G81" s="502" t="s">
        <v>1043</v>
      </c>
      <c r="H81" s="425"/>
      <c r="I81" s="474" t="s">
        <v>925</v>
      </c>
      <c r="J81" s="474"/>
      <c r="K81" s="474"/>
      <c r="L81" s="474" t="s">
        <v>925</v>
      </c>
      <c r="M81" s="474" t="s">
        <v>386</v>
      </c>
      <c r="N81" s="474" t="s">
        <v>386</v>
      </c>
      <c r="O81" s="474" t="s">
        <v>386</v>
      </c>
      <c r="P81" s="474" t="s">
        <v>7</v>
      </c>
      <c r="Q81" s="474" t="s">
        <v>386</v>
      </c>
      <c r="R81" s="474" t="s">
        <v>386</v>
      </c>
      <c r="S81" s="474" t="s">
        <v>386</v>
      </c>
      <c r="T81" s="263"/>
      <c r="U81" s="269">
        <v>0</v>
      </c>
      <c r="V81" s="395">
        <v>2500</v>
      </c>
      <c r="W81" s="270"/>
      <c r="X81" s="270">
        <f t="shared" si="132"/>
        <v>2500</v>
      </c>
      <c r="Y81" s="399"/>
      <c r="Z81" s="62"/>
      <c r="AA81" s="256">
        <f t="shared" si="136"/>
        <v>2500</v>
      </c>
      <c r="AB81" s="3"/>
      <c r="AC81" s="476" t="str">
        <f t="shared" si="127"/>
        <v/>
      </c>
      <c r="AD81" s="476"/>
      <c r="AE81" s="476"/>
      <c r="AF81" s="62">
        <f t="shared" si="137"/>
        <v>36.25</v>
      </c>
      <c r="AG81" s="192">
        <v>0</v>
      </c>
      <c r="AH81" s="62">
        <f t="shared" si="138"/>
        <v>22.755840267281172</v>
      </c>
      <c r="AI81" s="62">
        <f t="shared" si="128"/>
        <v>5.0522789109742687</v>
      </c>
      <c r="AJ81" s="476"/>
      <c r="AK81" s="476">
        <v>0</v>
      </c>
      <c r="AL81" s="256">
        <f t="shared" si="100"/>
        <v>64.058119178255438</v>
      </c>
      <c r="AM81" s="256">
        <f t="shared" si="101"/>
        <v>2500</v>
      </c>
      <c r="AN81" s="256">
        <f t="shared" si="102"/>
        <v>2564.0581191782553</v>
      </c>
    </row>
    <row r="82" spans="1:44" hidden="1" x14ac:dyDescent="0.2">
      <c r="A82" s="3"/>
      <c r="B82" s="278"/>
      <c r="C82" s="278"/>
      <c r="D82" s="278"/>
      <c r="E82" s="278"/>
      <c r="F82" s="278"/>
      <c r="G82" s="278"/>
      <c r="H82" s="278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263"/>
      <c r="U82" s="269"/>
      <c r="V82" s="270" t="str">
        <f>IF($U82="","",$U82*(1+$V$1))</f>
        <v/>
      </c>
      <c r="W82" s="270" t="str">
        <f t="shared" ref="W82" si="139">+IF(P82="EE",+V82*$W$1,"")</f>
        <v/>
      </c>
      <c r="X82" s="270" t="str">
        <f t="shared" ref="X82" si="140">_xlfn.IFS(P82="ER",V82,P82="EE",W82,P82="N",V82,P82="","")</f>
        <v/>
      </c>
      <c r="Y82" s="62">
        <v>0</v>
      </c>
      <c r="Z82" s="62">
        <v>0</v>
      </c>
      <c r="AA82" s="256">
        <f>SUM(X82:Z82)</f>
        <v>0</v>
      </c>
      <c r="AB82" s="3"/>
      <c r="AC82" s="62" t="str">
        <f t="shared" si="127"/>
        <v/>
      </c>
      <c r="AD82" s="62" t="str">
        <f>_xlfn.IFS(P82="N",$AD$1*AA82,P82="EE","",P82="ER","",P82="","")</f>
        <v/>
      </c>
      <c r="AE82" s="62" t="str">
        <f>_xlfn.IFS(P82="EE",X82*$AE$1,P82="ER",X82*$AE$2,P82="N","",P82="","")</f>
        <v/>
      </c>
      <c r="AF82" s="62" t="str">
        <f>+IF(AA82&gt;1,AA82*$AF$1,"")</f>
        <v/>
      </c>
      <c r="AG82" s="192">
        <v>0</v>
      </c>
      <c r="AH82" s="62" t="str">
        <f>+IF(AA82&gt;1,AA82*$AH$1,"")</f>
        <v/>
      </c>
      <c r="AI82" s="62">
        <f t="shared" si="128"/>
        <v>0</v>
      </c>
      <c r="AJ82" s="62"/>
      <c r="AK82" s="62">
        <v>0</v>
      </c>
      <c r="AL82" s="256">
        <f t="shared" si="100"/>
        <v>0</v>
      </c>
      <c r="AM82" s="256">
        <f t="shared" si="101"/>
        <v>0</v>
      </c>
      <c r="AN82" s="256">
        <f t="shared" si="102"/>
        <v>0</v>
      </c>
    </row>
    <row r="83" spans="1:44" hidden="1" x14ac:dyDescent="0.2">
      <c r="A83" s="386"/>
      <c r="B83" s="437"/>
      <c r="C83" s="437"/>
      <c r="D83" s="437"/>
      <c r="E83" s="437"/>
      <c r="F83" s="437"/>
      <c r="G83" s="437"/>
      <c r="H83" s="437"/>
      <c r="I83" s="386"/>
      <c r="J83" s="386"/>
      <c r="K83" s="386" t="s">
        <v>384</v>
      </c>
      <c r="L83" s="386"/>
      <c r="M83" s="386"/>
      <c r="N83" s="386"/>
      <c r="O83" s="386"/>
      <c r="P83" s="386"/>
      <c r="Q83" s="389"/>
      <c r="R83" s="386"/>
      <c r="S83" s="386"/>
      <c r="T83" s="483"/>
      <c r="U83" s="482"/>
      <c r="V83" s="270"/>
      <c r="W83" s="270" t="str">
        <f>+IF(P83="EE",+V83*$W$1,"")</f>
        <v/>
      </c>
      <c r="X83" s="270" t="str">
        <f>_xlfn.IFS(P83="ER",V83,P83="EE",W83,P83="N",V83,P83="","")</f>
        <v/>
      </c>
      <c r="Y83" s="62">
        <v>0</v>
      </c>
      <c r="Z83" s="62">
        <v>0</v>
      </c>
      <c r="AA83" s="256">
        <f>SUM(X83:Z83)</f>
        <v>0</v>
      </c>
      <c r="AB83" s="3"/>
      <c r="AC83" s="62" t="str">
        <f t="shared" si="127"/>
        <v/>
      </c>
      <c r="AD83" s="62" t="str">
        <f>_xlfn.IFS(P83="N",$AD$1*AA83,P83="EE","",P83="ER","",P83="","")</f>
        <v/>
      </c>
      <c r="AE83" s="62" t="str">
        <f>_xlfn.IFS(P83="EE",X83*$AE$1,P83="ER",X83*$AE$2,P83="N","",P83="","")</f>
        <v/>
      </c>
      <c r="AF83" s="62" t="str">
        <f>+IF(AA83&gt;1,AA83*$AF$1,"")</f>
        <v/>
      </c>
      <c r="AG83" s="192">
        <v>0</v>
      </c>
      <c r="AH83" s="62" t="str">
        <f>+IF(AA83&gt;1,AA83*$AH$1,"")</f>
        <v/>
      </c>
      <c r="AI83" s="62">
        <f>+_xlfn.IFS(F83&lt;2300,(AA83*$AI$1),F83&gt;=2300,(AA83*$AI$2),F83="","")</f>
        <v>0</v>
      </c>
      <c r="AJ83" s="62"/>
      <c r="AK83" s="62">
        <v>0</v>
      </c>
      <c r="AL83" s="256">
        <f>SUM(AC83:AK83)</f>
        <v>0</v>
      </c>
      <c r="AM83" s="256">
        <f>AA83</f>
        <v>0</v>
      </c>
      <c r="AN83" s="256">
        <f>SUM(AL83:AM83)</f>
        <v>0</v>
      </c>
    </row>
    <row r="84" spans="1:44" hidden="1" x14ac:dyDescent="0.2">
      <c r="A84" s="386"/>
      <c r="B84" s="437"/>
      <c r="C84" s="437"/>
      <c r="D84" s="437"/>
      <c r="E84" s="437"/>
      <c r="F84" s="437"/>
      <c r="G84" s="437"/>
      <c r="H84" s="437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263"/>
      <c r="U84" s="269"/>
      <c r="V84" s="270"/>
      <c r="W84" s="270"/>
      <c r="X84" s="270"/>
      <c r="Y84" s="62"/>
      <c r="Z84" s="62"/>
      <c r="AA84" s="256"/>
      <c r="AB84" s="3"/>
      <c r="AC84" s="62" t="str">
        <f t="shared" si="127"/>
        <v/>
      </c>
      <c r="AD84" s="62"/>
      <c r="AE84" s="62"/>
      <c r="AF84" s="62"/>
      <c r="AG84" s="192"/>
      <c r="AH84" s="62"/>
      <c r="AI84" s="62">
        <f>+_xlfn.IFS(F84&lt;2300,(AA84*$AI$1),F84&gt;=2300,(AA84*$AI$2),F84="","")</f>
        <v>0</v>
      </c>
      <c r="AJ84" s="62"/>
      <c r="AK84" s="62"/>
      <c r="AL84" s="256">
        <f>SUM(AC84:AK84)</f>
        <v>0</v>
      </c>
      <c r="AM84" s="256">
        <f>AA84</f>
        <v>0</v>
      </c>
      <c r="AN84" s="256">
        <f>SUM(AL84:AM84)</f>
        <v>0</v>
      </c>
    </row>
    <row r="85" spans="1:44" hidden="1" x14ac:dyDescent="0.2">
      <c r="A85" s="386"/>
      <c r="B85" s="437"/>
      <c r="C85" s="437"/>
      <c r="D85" s="437"/>
      <c r="E85" s="437"/>
      <c r="F85" s="437"/>
      <c r="G85" s="437"/>
      <c r="H85" s="437"/>
      <c r="I85" s="386"/>
      <c r="J85" s="386"/>
      <c r="K85" s="386"/>
      <c r="L85" s="386"/>
      <c r="M85" s="3"/>
      <c r="N85" s="3"/>
      <c r="O85" s="3"/>
      <c r="P85" s="3"/>
      <c r="Q85" s="386"/>
      <c r="R85" s="386"/>
      <c r="S85" s="386"/>
      <c r="T85" s="263"/>
      <c r="U85" s="269"/>
      <c r="V85" s="270"/>
      <c r="W85" s="270"/>
      <c r="X85" s="270"/>
      <c r="Y85" s="62"/>
      <c r="Z85" s="62"/>
      <c r="AA85" s="256"/>
      <c r="AB85" s="3"/>
      <c r="AC85" s="62" t="str">
        <f t="shared" si="127"/>
        <v/>
      </c>
      <c r="AD85" s="62"/>
      <c r="AE85" s="62"/>
      <c r="AF85" s="62"/>
      <c r="AG85" s="192"/>
      <c r="AH85" s="62"/>
      <c r="AI85" s="62">
        <f>+_xlfn.IFS(F85&lt;2300,(AA85*$AI$1),F85&gt;=2300,(AA85*$AI$2),F85="","")</f>
        <v>0</v>
      </c>
      <c r="AJ85" s="62"/>
      <c r="AK85" s="62"/>
      <c r="AL85" s="256">
        <f>SUM(AC85:AK85)</f>
        <v>0</v>
      </c>
      <c r="AM85" s="256">
        <f>AA85</f>
        <v>0</v>
      </c>
      <c r="AN85" s="256">
        <f>SUM(AL85:AM85)</f>
        <v>0</v>
      </c>
    </row>
    <row r="86" spans="1:44" hidden="1" x14ac:dyDescent="0.2">
      <c r="A86" s="311"/>
      <c r="B86" s="380"/>
      <c r="C86" s="380"/>
      <c r="D86" s="380"/>
      <c r="E86" s="380"/>
      <c r="F86" s="380"/>
      <c r="G86" s="380"/>
      <c r="H86" s="380"/>
      <c r="I86" s="312"/>
      <c r="J86" s="312"/>
      <c r="K86" s="312"/>
      <c r="L86" s="313"/>
      <c r="M86" s="311"/>
      <c r="N86" s="311"/>
      <c r="O86" s="311"/>
      <c r="P86" s="381"/>
      <c r="Q86" s="311"/>
      <c r="R86" s="311"/>
      <c r="S86" s="311"/>
      <c r="T86" s="263"/>
      <c r="U86" s="269"/>
      <c r="V86" s="270" t="str">
        <f t="shared" ref="V86:V93" si="141">IF($U86="","",$U86*(1+$V$1))</f>
        <v/>
      </c>
      <c r="W86" s="270" t="str">
        <f t="shared" ref="W86:W93" si="142">+IF(P86="EE",+V86*$W$1,"")</f>
        <v/>
      </c>
      <c r="X86" s="270" t="str">
        <f t="shared" ref="X86:X93" si="143">_xlfn.IFS(P86="ER",V86,P86="EE",W86,P86="N",V86,P86="","")</f>
        <v/>
      </c>
      <c r="Y86" s="381"/>
      <c r="Z86" s="381"/>
      <c r="AA86" s="256">
        <f t="shared" ref="AA86:AA93" si="144">SUM(X86:Z86)</f>
        <v>0</v>
      </c>
      <c r="AB86" s="311"/>
      <c r="AC86" s="381" t="str">
        <f t="shared" si="127"/>
        <v/>
      </c>
      <c r="AD86" s="381" t="str">
        <f t="shared" ref="AD86:AD93" si="145">_xlfn.IFS(P86="N",$AD$1*AA86,P86="EE","",P86="ER","",P86="","")</f>
        <v/>
      </c>
      <c r="AE86" s="381" t="str">
        <f t="shared" ref="AE86:AE93" si="146">_xlfn.IFS(P86="EE",X86*$AE$1,P86="ER",X86*$AE$2,P86="N","",P86="","")</f>
        <v/>
      </c>
      <c r="AF86" s="381" t="str">
        <f t="shared" ref="AF86:AF93" si="147">+IF(AA86&gt;1,AA86*$AF$1,"")</f>
        <v/>
      </c>
      <c r="AG86" s="391"/>
      <c r="AH86" s="381"/>
      <c r="AI86" s="381">
        <f t="shared" si="128"/>
        <v>0</v>
      </c>
      <c r="AJ86" s="381"/>
      <c r="AK86" s="381"/>
      <c r="AL86" s="256">
        <f t="shared" si="100"/>
        <v>0</v>
      </c>
      <c r="AM86" s="256">
        <f t="shared" si="101"/>
        <v>0</v>
      </c>
      <c r="AN86" s="256">
        <f t="shared" si="102"/>
        <v>0</v>
      </c>
      <c r="AO86" s="3"/>
      <c r="AP86" s="3"/>
      <c r="AQ86" s="3"/>
      <c r="AR86" s="3"/>
    </row>
    <row r="87" spans="1:44" hidden="1" x14ac:dyDescent="0.2">
      <c r="A87" s="311"/>
      <c r="B87" s="380"/>
      <c r="C87" s="380"/>
      <c r="D87" s="380"/>
      <c r="E87" s="380"/>
      <c r="F87" s="380"/>
      <c r="G87" s="380"/>
      <c r="H87" s="380"/>
      <c r="I87" s="312"/>
      <c r="J87" s="312"/>
      <c r="K87" s="312"/>
      <c r="L87" s="313"/>
      <c r="M87" s="311"/>
      <c r="N87" s="311"/>
      <c r="O87" s="311"/>
      <c r="P87" s="381"/>
      <c r="Q87" s="311"/>
      <c r="R87" s="311"/>
      <c r="S87" s="311"/>
      <c r="T87" s="263"/>
      <c r="U87" s="269"/>
      <c r="V87" s="270" t="str">
        <f t="shared" si="141"/>
        <v/>
      </c>
      <c r="W87" s="270" t="str">
        <f t="shared" si="142"/>
        <v/>
      </c>
      <c r="X87" s="270" t="str">
        <f t="shared" si="143"/>
        <v/>
      </c>
      <c r="Y87" s="381"/>
      <c r="Z87" s="381"/>
      <c r="AA87" s="256">
        <f t="shared" si="144"/>
        <v>0</v>
      </c>
      <c r="AB87" s="311"/>
      <c r="AC87" s="381" t="str">
        <f t="shared" si="127"/>
        <v/>
      </c>
      <c r="AD87" s="381" t="str">
        <f t="shared" si="145"/>
        <v/>
      </c>
      <c r="AE87" s="381" t="str">
        <f t="shared" si="146"/>
        <v/>
      </c>
      <c r="AF87" s="381" t="str">
        <f t="shared" si="147"/>
        <v/>
      </c>
      <c r="AG87" s="391"/>
      <c r="AH87" s="381"/>
      <c r="AI87" s="381">
        <f t="shared" si="128"/>
        <v>0</v>
      </c>
      <c r="AJ87" s="381"/>
      <c r="AK87" s="381"/>
      <c r="AL87" s="256">
        <f t="shared" si="100"/>
        <v>0</v>
      </c>
      <c r="AM87" s="256">
        <f t="shared" si="101"/>
        <v>0</v>
      </c>
      <c r="AN87" s="256">
        <f t="shared" si="102"/>
        <v>0</v>
      </c>
      <c r="AO87" s="3"/>
      <c r="AP87" s="3"/>
      <c r="AQ87" s="3"/>
      <c r="AR87" s="3"/>
    </row>
    <row r="88" spans="1:44" hidden="1" x14ac:dyDescent="0.2">
      <c r="A88" s="311"/>
      <c r="B88" s="380"/>
      <c r="C88" s="380"/>
      <c r="D88" s="380"/>
      <c r="E88" s="380"/>
      <c r="F88" s="380"/>
      <c r="G88" s="380"/>
      <c r="H88" s="380"/>
      <c r="I88" s="312"/>
      <c r="J88" s="312"/>
      <c r="K88" s="312"/>
      <c r="L88" s="313"/>
      <c r="M88" s="311"/>
      <c r="N88" s="311"/>
      <c r="O88" s="311"/>
      <c r="P88" s="381"/>
      <c r="Q88" s="311"/>
      <c r="R88" s="311"/>
      <c r="S88" s="311"/>
      <c r="T88" s="263"/>
      <c r="U88" s="269"/>
      <c r="V88" s="270" t="str">
        <f t="shared" si="141"/>
        <v/>
      </c>
      <c r="W88" s="270" t="str">
        <f t="shared" si="142"/>
        <v/>
      </c>
      <c r="X88" s="270" t="str">
        <f t="shared" si="143"/>
        <v/>
      </c>
      <c r="Y88" s="381"/>
      <c r="Z88" s="381"/>
      <c r="AA88" s="256">
        <f t="shared" si="144"/>
        <v>0</v>
      </c>
      <c r="AB88" s="311"/>
      <c r="AC88" s="381" t="str">
        <f t="shared" si="127"/>
        <v/>
      </c>
      <c r="AD88" s="381" t="str">
        <f t="shared" si="145"/>
        <v/>
      </c>
      <c r="AE88" s="381" t="str">
        <f t="shared" si="146"/>
        <v/>
      </c>
      <c r="AF88" s="381" t="str">
        <f t="shared" si="147"/>
        <v/>
      </c>
      <c r="AG88" s="391"/>
      <c r="AH88" s="381"/>
      <c r="AI88" s="381">
        <f t="shared" si="128"/>
        <v>0</v>
      </c>
      <c r="AJ88" s="381"/>
      <c r="AK88" s="381"/>
      <c r="AL88" s="256">
        <f t="shared" si="100"/>
        <v>0</v>
      </c>
      <c r="AM88" s="256">
        <f t="shared" si="101"/>
        <v>0</v>
      </c>
      <c r="AN88" s="256">
        <f t="shared" si="102"/>
        <v>0</v>
      </c>
      <c r="AO88" s="3"/>
      <c r="AP88" s="3"/>
      <c r="AQ88" s="3"/>
      <c r="AR88" s="3"/>
    </row>
    <row r="89" spans="1:44" hidden="1" x14ac:dyDescent="0.2">
      <c r="A89" s="311"/>
      <c r="B89" s="380"/>
      <c r="C89" s="380"/>
      <c r="D89" s="380"/>
      <c r="E89" s="380"/>
      <c r="F89" s="380"/>
      <c r="G89" s="380"/>
      <c r="H89" s="380"/>
      <c r="I89" s="312"/>
      <c r="J89" s="312"/>
      <c r="K89" s="312"/>
      <c r="L89" s="313"/>
      <c r="M89" s="311"/>
      <c r="N89" s="311"/>
      <c r="O89" s="311"/>
      <c r="P89" s="381"/>
      <c r="Q89" s="311"/>
      <c r="R89" s="311"/>
      <c r="S89" s="311"/>
      <c r="T89" s="263"/>
      <c r="U89" s="269"/>
      <c r="V89" s="270" t="str">
        <f t="shared" si="141"/>
        <v/>
      </c>
      <c r="W89" s="270" t="str">
        <f t="shared" si="142"/>
        <v/>
      </c>
      <c r="X89" s="270" t="str">
        <f t="shared" si="143"/>
        <v/>
      </c>
      <c r="Y89" s="381"/>
      <c r="Z89" s="381"/>
      <c r="AA89" s="256">
        <f t="shared" si="144"/>
        <v>0</v>
      </c>
      <c r="AB89" s="311"/>
      <c r="AC89" s="381" t="str">
        <f t="shared" si="127"/>
        <v/>
      </c>
      <c r="AD89" s="381" t="str">
        <f t="shared" si="145"/>
        <v/>
      </c>
      <c r="AE89" s="381" t="str">
        <f t="shared" si="146"/>
        <v/>
      </c>
      <c r="AF89" s="381" t="str">
        <f t="shared" si="147"/>
        <v/>
      </c>
      <c r="AG89" s="391"/>
      <c r="AH89" s="381"/>
      <c r="AI89" s="381">
        <f t="shared" si="128"/>
        <v>0</v>
      </c>
      <c r="AJ89" s="381"/>
      <c r="AK89" s="381"/>
      <c r="AL89" s="256">
        <f t="shared" si="100"/>
        <v>0</v>
      </c>
      <c r="AM89" s="256">
        <f t="shared" si="101"/>
        <v>0</v>
      </c>
      <c r="AN89" s="256">
        <f t="shared" si="102"/>
        <v>0</v>
      </c>
      <c r="AO89" s="3"/>
      <c r="AP89" s="3"/>
      <c r="AQ89" s="3"/>
      <c r="AR89" s="3"/>
    </row>
    <row r="90" spans="1:44" hidden="1" x14ac:dyDescent="0.2">
      <c r="A90" s="311"/>
      <c r="B90" s="380"/>
      <c r="C90" s="380"/>
      <c r="D90" s="380"/>
      <c r="E90" s="380"/>
      <c r="F90" s="380"/>
      <c r="G90" s="380"/>
      <c r="H90" s="380"/>
      <c r="I90" s="312"/>
      <c r="J90" s="312"/>
      <c r="K90" s="312"/>
      <c r="L90" s="313"/>
      <c r="M90" s="311"/>
      <c r="N90" s="311"/>
      <c r="O90" s="311"/>
      <c r="P90" s="381"/>
      <c r="Q90" s="311"/>
      <c r="R90" s="311"/>
      <c r="S90" s="311"/>
      <c r="T90" s="263"/>
      <c r="U90" s="269"/>
      <c r="V90" s="270" t="str">
        <f t="shared" si="141"/>
        <v/>
      </c>
      <c r="W90" s="270" t="str">
        <f t="shared" si="142"/>
        <v/>
      </c>
      <c r="X90" s="270" t="str">
        <f t="shared" si="143"/>
        <v/>
      </c>
      <c r="Y90" s="381"/>
      <c r="Z90" s="381"/>
      <c r="AA90" s="256">
        <f t="shared" si="144"/>
        <v>0</v>
      </c>
      <c r="AB90" s="311"/>
      <c r="AC90" s="381" t="str">
        <f t="shared" si="127"/>
        <v/>
      </c>
      <c r="AD90" s="381" t="str">
        <f t="shared" si="145"/>
        <v/>
      </c>
      <c r="AE90" s="381" t="str">
        <f t="shared" si="146"/>
        <v/>
      </c>
      <c r="AF90" s="381" t="str">
        <f t="shared" si="147"/>
        <v/>
      </c>
      <c r="AG90" s="391"/>
      <c r="AH90" s="381"/>
      <c r="AI90" s="381">
        <f t="shared" si="128"/>
        <v>0</v>
      </c>
      <c r="AJ90" s="381"/>
      <c r="AK90" s="381"/>
      <c r="AL90" s="256">
        <f t="shared" si="100"/>
        <v>0</v>
      </c>
      <c r="AM90" s="256">
        <f t="shared" si="101"/>
        <v>0</v>
      </c>
      <c r="AN90" s="256">
        <f t="shared" si="102"/>
        <v>0</v>
      </c>
      <c r="AO90" s="3"/>
      <c r="AP90" s="3"/>
      <c r="AQ90" s="3"/>
      <c r="AR90" s="3"/>
    </row>
    <row r="91" spans="1:44" hidden="1" x14ac:dyDescent="0.2">
      <c r="A91" s="311"/>
      <c r="B91" s="380"/>
      <c r="C91" s="380"/>
      <c r="D91" s="380"/>
      <c r="E91" s="380"/>
      <c r="F91" s="380"/>
      <c r="G91" s="380"/>
      <c r="H91" s="380"/>
      <c r="I91" s="312"/>
      <c r="J91" s="312"/>
      <c r="K91" s="312"/>
      <c r="L91" s="313"/>
      <c r="M91" s="311"/>
      <c r="N91" s="311"/>
      <c r="O91" s="311"/>
      <c r="P91" s="381"/>
      <c r="Q91" s="311"/>
      <c r="R91" s="311"/>
      <c r="S91" s="311"/>
      <c r="T91" s="263"/>
      <c r="U91" s="269"/>
      <c r="V91" s="270" t="str">
        <f t="shared" si="141"/>
        <v/>
      </c>
      <c r="W91" s="270" t="str">
        <f t="shared" si="142"/>
        <v/>
      </c>
      <c r="X91" s="270" t="str">
        <f t="shared" si="143"/>
        <v/>
      </c>
      <c r="Y91" s="381"/>
      <c r="Z91" s="381"/>
      <c r="AA91" s="256">
        <f t="shared" si="144"/>
        <v>0</v>
      </c>
      <c r="AB91" s="311"/>
      <c r="AC91" s="381" t="str">
        <f t="shared" si="127"/>
        <v/>
      </c>
      <c r="AD91" s="381" t="str">
        <f t="shared" si="145"/>
        <v/>
      </c>
      <c r="AE91" s="381" t="str">
        <f t="shared" si="146"/>
        <v/>
      </c>
      <c r="AF91" s="381" t="str">
        <f t="shared" si="147"/>
        <v/>
      </c>
      <c r="AG91" s="391"/>
      <c r="AH91" s="381"/>
      <c r="AI91" s="381">
        <f t="shared" si="128"/>
        <v>0</v>
      </c>
      <c r="AJ91" s="381"/>
      <c r="AK91" s="381"/>
      <c r="AL91" s="256">
        <f t="shared" si="100"/>
        <v>0</v>
      </c>
      <c r="AM91" s="256">
        <f t="shared" si="101"/>
        <v>0</v>
      </c>
      <c r="AN91" s="256">
        <f t="shared" si="102"/>
        <v>0</v>
      </c>
      <c r="AO91" s="3"/>
      <c r="AP91" s="3"/>
      <c r="AQ91" s="3"/>
      <c r="AR91" s="3"/>
    </row>
    <row r="92" spans="1:44" hidden="1" x14ac:dyDescent="0.2">
      <c r="A92" s="311"/>
      <c r="B92" s="380"/>
      <c r="C92" s="380"/>
      <c r="D92" s="380"/>
      <c r="E92" s="380"/>
      <c r="F92" s="380"/>
      <c r="G92" s="380"/>
      <c r="H92" s="380"/>
      <c r="I92" s="312"/>
      <c r="J92" s="312"/>
      <c r="K92" s="312"/>
      <c r="L92" s="313"/>
      <c r="M92" s="311"/>
      <c r="N92" s="311"/>
      <c r="O92" s="311"/>
      <c r="P92" s="381"/>
      <c r="Q92" s="311"/>
      <c r="R92" s="311"/>
      <c r="S92" s="311"/>
      <c r="T92" s="263"/>
      <c r="U92" s="269"/>
      <c r="V92" s="270" t="str">
        <f t="shared" si="141"/>
        <v/>
      </c>
      <c r="W92" s="270" t="str">
        <f t="shared" si="142"/>
        <v/>
      </c>
      <c r="X92" s="270" t="str">
        <f t="shared" si="143"/>
        <v/>
      </c>
      <c r="Y92" s="381"/>
      <c r="Z92" s="381"/>
      <c r="AA92" s="256">
        <f t="shared" si="144"/>
        <v>0</v>
      </c>
      <c r="AB92" s="311"/>
      <c r="AC92" s="381" t="str">
        <f t="shared" si="127"/>
        <v/>
      </c>
      <c r="AD92" s="381" t="str">
        <f t="shared" si="145"/>
        <v/>
      </c>
      <c r="AE92" s="381" t="str">
        <f t="shared" si="146"/>
        <v/>
      </c>
      <c r="AF92" s="381" t="str">
        <f t="shared" si="147"/>
        <v/>
      </c>
      <c r="AG92" s="391"/>
      <c r="AH92" s="381"/>
      <c r="AI92" s="381">
        <f t="shared" si="128"/>
        <v>0</v>
      </c>
      <c r="AJ92" s="381"/>
      <c r="AK92" s="381"/>
      <c r="AL92" s="256">
        <f t="shared" si="100"/>
        <v>0</v>
      </c>
      <c r="AM92" s="256">
        <f t="shared" si="101"/>
        <v>0</v>
      </c>
      <c r="AN92" s="256">
        <f t="shared" si="102"/>
        <v>0</v>
      </c>
      <c r="AO92" s="3"/>
      <c r="AP92" s="3"/>
      <c r="AQ92" s="3"/>
      <c r="AR92" s="3"/>
    </row>
    <row r="93" spans="1:44" hidden="1" x14ac:dyDescent="0.2">
      <c r="A93" s="311"/>
      <c r="B93" s="380"/>
      <c r="C93" s="380"/>
      <c r="D93" s="380"/>
      <c r="E93" s="380"/>
      <c r="F93" s="380"/>
      <c r="G93" s="380"/>
      <c r="H93" s="380"/>
      <c r="I93" s="312"/>
      <c r="J93" s="312"/>
      <c r="K93" s="312"/>
      <c r="L93" s="313"/>
      <c r="M93" s="311"/>
      <c r="N93" s="311"/>
      <c r="O93" s="311"/>
      <c r="P93" s="381"/>
      <c r="Q93" s="311"/>
      <c r="R93" s="311"/>
      <c r="S93" s="311"/>
      <c r="T93" s="263"/>
      <c r="U93" s="269"/>
      <c r="V93" s="270" t="str">
        <f t="shared" si="141"/>
        <v/>
      </c>
      <c r="W93" s="270" t="str">
        <f t="shared" si="142"/>
        <v/>
      </c>
      <c r="X93" s="270" t="str">
        <f t="shared" si="143"/>
        <v/>
      </c>
      <c r="Y93" s="381"/>
      <c r="Z93" s="381"/>
      <c r="AA93" s="256">
        <f t="shared" si="144"/>
        <v>0</v>
      </c>
      <c r="AB93" s="311"/>
      <c r="AC93" s="381" t="str">
        <f t="shared" si="127"/>
        <v/>
      </c>
      <c r="AD93" s="381" t="str">
        <f t="shared" si="145"/>
        <v/>
      </c>
      <c r="AE93" s="381" t="str">
        <f t="shared" si="146"/>
        <v/>
      </c>
      <c r="AF93" s="381" t="str">
        <f t="shared" si="147"/>
        <v/>
      </c>
      <c r="AG93" s="391"/>
      <c r="AH93" s="381"/>
      <c r="AI93" s="381">
        <f t="shared" si="128"/>
        <v>0</v>
      </c>
      <c r="AJ93" s="381"/>
      <c r="AK93" s="381"/>
      <c r="AL93" s="256">
        <f t="shared" si="100"/>
        <v>0</v>
      </c>
      <c r="AM93" s="256">
        <f t="shared" si="101"/>
        <v>0</v>
      </c>
      <c r="AN93" s="256">
        <f t="shared" si="102"/>
        <v>0</v>
      </c>
      <c r="AO93" s="3"/>
      <c r="AP93" s="3"/>
      <c r="AQ93" s="3"/>
      <c r="AR93" s="3"/>
    </row>
    <row r="94" spans="1:44" hidden="1" x14ac:dyDescent="0.2">
      <c r="A94" s="311"/>
      <c r="B94" s="380"/>
      <c r="C94" s="380"/>
      <c r="D94" s="380"/>
      <c r="E94" s="380"/>
      <c r="F94" s="380"/>
      <c r="G94" s="380"/>
      <c r="H94" s="380"/>
      <c r="I94" s="312"/>
      <c r="J94" s="312"/>
      <c r="K94" s="312"/>
      <c r="L94" s="313"/>
      <c r="M94" s="311"/>
      <c r="N94" s="311"/>
      <c r="O94" s="311"/>
      <c r="P94" s="381"/>
      <c r="Q94" s="311"/>
      <c r="R94" s="311"/>
      <c r="S94" s="311"/>
      <c r="T94" s="263"/>
      <c r="U94" s="269"/>
      <c r="V94" s="270" t="str">
        <f>IF($U94="","",$U94*(1+$V$1))</f>
        <v/>
      </c>
      <c r="W94" s="270" t="str">
        <f>+IF(P94="EE",+V94*$W$1,"")</f>
        <v/>
      </c>
      <c r="X94" s="270" t="str">
        <f>_xlfn.IFS(P94="ER",V94,P94="EE",W94,P94="N",V94,P94="","")</f>
        <v/>
      </c>
      <c r="Y94" s="381"/>
      <c r="Z94" s="381"/>
      <c r="AA94" s="256">
        <f>SUM(X94:Z94)</f>
        <v>0</v>
      </c>
      <c r="AB94" s="311"/>
      <c r="AC94" s="381" t="str">
        <f>IF(AND(M94&gt;0.1,P94&lt;&gt;"N"),$AC$1,"")</f>
        <v/>
      </c>
      <c r="AD94" s="381" t="str">
        <f>_xlfn.IFS(P94="N",$AD$1*AA94,P94="EE","",P94="ER","",P94="","")</f>
        <v/>
      </c>
      <c r="AE94" s="381" t="str">
        <f>_xlfn.IFS(P94="EE",X94*$AE$1,P94="ER",X94*$AE$2,P94="N","",P94="","")</f>
        <v/>
      </c>
      <c r="AF94" s="381" t="str">
        <f>+IF(AA94&gt;1,AA94*$AF$1,"")</f>
        <v/>
      </c>
      <c r="AG94" s="391"/>
      <c r="AH94" s="381"/>
      <c r="AI94" s="381">
        <f>+_xlfn.IFS(F94&lt;2300,(AA94*$AI$1),F94&gt;=2300,(AA94*$AI$2),F94="","")</f>
        <v>0</v>
      </c>
      <c r="AJ94" s="381"/>
      <c r="AK94" s="381"/>
      <c r="AL94" s="256">
        <f>SUM(AC94:AK94)</f>
        <v>0</v>
      </c>
      <c r="AM94" s="256">
        <f>AA94</f>
        <v>0</v>
      </c>
      <c r="AN94" s="256">
        <f>SUM(AL94:AM94)</f>
        <v>0</v>
      </c>
      <c r="AO94" s="3"/>
      <c r="AP94" s="3"/>
      <c r="AQ94" s="3"/>
      <c r="AR94" s="3"/>
    </row>
    <row r="95" spans="1:44" hidden="1" x14ac:dyDescent="0.2">
      <c r="A95" s="311"/>
      <c r="B95" s="380"/>
      <c r="C95" s="380"/>
      <c r="D95" s="380"/>
      <c r="E95" s="380"/>
      <c r="F95" s="380"/>
      <c r="G95" s="380"/>
      <c r="H95" s="380"/>
      <c r="I95" s="312"/>
      <c r="J95" s="312"/>
      <c r="K95" s="312"/>
      <c r="L95" s="313"/>
      <c r="M95" s="311"/>
      <c r="N95" s="311"/>
      <c r="O95" s="311"/>
      <c r="P95" s="381"/>
      <c r="Q95" s="311"/>
      <c r="R95" s="311"/>
      <c r="S95" s="311"/>
      <c r="T95" s="263"/>
      <c r="U95" s="269"/>
      <c r="V95" s="270" t="str">
        <f t="shared" ref="V95:V98" si="148">IF($U95="","",$U95*(1+$V$1))</f>
        <v/>
      </c>
      <c r="W95" s="270" t="str">
        <f t="shared" ref="W95:W98" si="149">+IF(P95="EE",+V95*$W$1,"")</f>
        <v/>
      </c>
      <c r="X95" s="270" t="str">
        <f t="shared" ref="X95:X98" si="150">_xlfn.IFS(P95="ER",V95,P95="EE",W95,P95="N",V95,P95="","")</f>
        <v/>
      </c>
      <c r="Y95" s="381"/>
      <c r="Z95" s="381"/>
      <c r="AA95" s="256">
        <f t="shared" ref="AA95:AA98" si="151">SUM(X95:Z95)</f>
        <v>0</v>
      </c>
      <c r="AB95" s="311"/>
      <c r="AC95" s="381" t="str">
        <f t="shared" ref="AC95:AC98" si="152">IF(AND(M95&gt;0.1,P95&lt;&gt;"N"),$AC$1,"")</f>
        <v/>
      </c>
      <c r="AD95" s="381" t="str">
        <f t="shared" ref="AD95:AD98" si="153">_xlfn.IFS(P95="N",$AD$1*AA95,P95="EE","",P95="ER","",P95="","")</f>
        <v/>
      </c>
      <c r="AE95" s="381" t="str">
        <f t="shared" ref="AE95:AE98" si="154">_xlfn.IFS(P95="EE",X95*$AE$1,P95="ER",X95*$AE$2,P95="N","",P95="","")</f>
        <v/>
      </c>
      <c r="AF95" s="381" t="str">
        <f t="shared" ref="AF95:AF98" si="155">+IF(AA95&gt;1,AA95*$AF$1,"")</f>
        <v/>
      </c>
      <c r="AG95" s="391"/>
      <c r="AH95" s="381"/>
      <c r="AI95" s="381">
        <f t="shared" ref="AI95:AI98" si="156">+_xlfn.IFS(F95&lt;2300,(AA95*$AI$1),F95&gt;=2300,(AA95*$AI$2),F95="","")</f>
        <v>0</v>
      </c>
      <c r="AJ95" s="381"/>
      <c r="AK95" s="381"/>
      <c r="AL95" s="256">
        <f t="shared" ref="AL95:AL98" si="157">SUM(AC95:AK95)</f>
        <v>0</v>
      </c>
      <c r="AM95" s="256">
        <f t="shared" ref="AM95:AM98" si="158">AA95</f>
        <v>0</v>
      </c>
      <c r="AN95" s="256">
        <f t="shared" ref="AN95:AN98" si="159">SUM(AL95:AM95)</f>
        <v>0</v>
      </c>
      <c r="AO95" s="3"/>
      <c r="AP95" s="3"/>
      <c r="AQ95" s="3"/>
      <c r="AR95" s="3"/>
    </row>
    <row r="96" spans="1:44" hidden="1" x14ac:dyDescent="0.2">
      <c r="A96" s="311"/>
      <c r="B96" s="380"/>
      <c r="C96" s="380"/>
      <c r="D96" s="380"/>
      <c r="E96" s="380"/>
      <c r="F96" s="380"/>
      <c r="G96" s="380"/>
      <c r="H96" s="380"/>
      <c r="I96" s="312"/>
      <c r="J96" s="312"/>
      <c r="K96" s="312"/>
      <c r="L96" s="313"/>
      <c r="M96" s="311"/>
      <c r="N96" s="311"/>
      <c r="O96" s="311"/>
      <c r="P96" s="381"/>
      <c r="Q96" s="311"/>
      <c r="R96" s="311"/>
      <c r="S96" s="311"/>
      <c r="T96" s="263"/>
      <c r="U96" s="269"/>
      <c r="V96" s="270" t="str">
        <f t="shared" si="148"/>
        <v/>
      </c>
      <c r="W96" s="270" t="str">
        <f t="shared" si="149"/>
        <v/>
      </c>
      <c r="X96" s="270" t="str">
        <f t="shared" si="150"/>
        <v/>
      </c>
      <c r="Y96" s="381"/>
      <c r="Z96" s="381"/>
      <c r="AA96" s="256">
        <f t="shared" si="151"/>
        <v>0</v>
      </c>
      <c r="AB96" s="311"/>
      <c r="AC96" s="381" t="str">
        <f t="shared" si="152"/>
        <v/>
      </c>
      <c r="AD96" s="381" t="str">
        <f t="shared" si="153"/>
        <v/>
      </c>
      <c r="AE96" s="381" t="str">
        <f t="shared" si="154"/>
        <v/>
      </c>
      <c r="AF96" s="381" t="str">
        <f t="shared" si="155"/>
        <v/>
      </c>
      <c r="AG96" s="391"/>
      <c r="AH96" s="381"/>
      <c r="AI96" s="381">
        <f t="shared" si="156"/>
        <v>0</v>
      </c>
      <c r="AJ96" s="381"/>
      <c r="AK96" s="381"/>
      <c r="AL96" s="256">
        <f t="shared" si="157"/>
        <v>0</v>
      </c>
      <c r="AM96" s="256">
        <f t="shared" si="158"/>
        <v>0</v>
      </c>
      <c r="AN96" s="256">
        <f t="shared" si="159"/>
        <v>0</v>
      </c>
      <c r="AO96" s="3"/>
      <c r="AP96" s="3"/>
      <c r="AQ96" s="3"/>
      <c r="AR96" s="3"/>
    </row>
    <row r="97" spans="1:44" hidden="1" x14ac:dyDescent="0.2">
      <c r="A97" s="311"/>
      <c r="B97" s="380"/>
      <c r="C97" s="380"/>
      <c r="D97" s="380"/>
      <c r="E97" s="380"/>
      <c r="F97" s="380"/>
      <c r="G97" s="380"/>
      <c r="H97" s="380"/>
      <c r="I97" s="312"/>
      <c r="J97" s="312"/>
      <c r="K97" s="312"/>
      <c r="L97" s="313"/>
      <c r="M97" s="311"/>
      <c r="N97" s="311"/>
      <c r="O97" s="311"/>
      <c r="P97" s="381"/>
      <c r="Q97" s="311"/>
      <c r="R97" s="311"/>
      <c r="S97" s="311"/>
      <c r="T97" s="263"/>
      <c r="U97" s="269"/>
      <c r="V97" s="270" t="str">
        <f t="shared" si="148"/>
        <v/>
      </c>
      <c r="W97" s="270" t="str">
        <f t="shared" si="149"/>
        <v/>
      </c>
      <c r="X97" s="270" t="str">
        <f t="shared" si="150"/>
        <v/>
      </c>
      <c r="Y97" s="381"/>
      <c r="Z97" s="381"/>
      <c r="AA97" s="256">
        <f t="shared" si="151"/>
        <v>0</v>
      </c>
      <c r="AB97" s="311"/>
      <c r="AC97" s="381" t="str">
        <f t="shared" si="152"/>
        <v/>
      </c>
      <c r="AD97" s="381" t="str">
        <f t="shared" si="153"/>
        <v/>
      </c>
      <c r="AE97" s="381" t="str">
        <f t="shared" si="154"/>
        <v/>
      </c>
      <c r="AF97" s="381" t="str">
        <f t="shared" si="155"/>
        <v/>
      </c>
      <c r="AG97" s="391"/>
      <c r="AH97" s="381"/>
      <c r="AI97" s="381">
        <f t="shared" si="156"/>
        <v>0</v>
      </c>
      <c r="AJ97" s="381"/>
      <c r="AK97" s="381"/>
      <c r="AL97" s="256">
        <f t="shared" si="157"/>
        <v>0</v>
      </c>
      <c r="AM97" s="256">
        <f t="shared" si="158"/>
        <v>0</v>
      </c>
      <c r="AN97" s="256">
        <f t="shared" si="159"/>
        <v>0</v>
      </c>
      <c r="AO97" s="3"/>
      <c r="AP97" s="3"/>
      <c r="AQ97" s="3"/>
      <c r="AR97" s="3"/>
    </row>
    <row r="98" spans="1:44" hidden="1" x14ac:dyDescent="0.2">
      <c r="A98" s="311"/>
      <c r="B98" s="380"/>
      <c r="C98" s="380"/>
      <c r="D98" s="380"/>
      <c r="E98" s="380"/>
      <c r="F98" s="380"/>
      <c r="G98" s="380"/>
      <c r="H98" s="380"/>
      <c r="I98" s="312"/>
      <c r="J98" s="312"/>
      <c r="K98" s="312"/>
      <c r="L98" s="313"/>
      <c r="M98" s="311"/>
      <c r="N98" s="311"/>
      <c r="O98" s="311"/>
      <c r="P98" s="381"/>
      <c r="Q98" s="311"/>
      <c r="R98" s="311"/>
      <c r="S98" s="311"/>
      <c r="T98" s="263"/>
      <c r="U98" s="269"/>
      <c r="V98" s="270" t="str">
        <f t="shared" si="148"/>
        <v/>
      </c>
      <c r="W98" s="270" t="str">
        <f t="shared" si="149"/>
        <v/>
      </c>
      <c r="X98" s="270" t="str">
        <f t="shared" si="150"/>
        <v/>
      </c>
      <c r="Y98" s="381"/>
      <c r="Z98" s="381"/>
      <c r="AA98" s="256">
        <f t="shared" si="151"/>
        <v>0</v>
      </c>
      <c r="AB98" s="311"/>
      <c r="AC98" s="381" t="str">
        <f t="shared" si="152"/>
        <v/>
      </c>
      <c r="AD98" s="381" t="str">
        <f t="shared" si="153"/>
        <v/>
      </c>
      <c r="AE98" s="381" t="str">
        <f t="shared" si="154"/>
        <v/>
      </c>
      <c r="AF98" s="381" t="str">
        <f t="shared" si="155"/>
        <v/>
      </c>
      <c r="AG98" s="391"/>
      <c r="AH98" s="381"/>
      <c r="AI98" s="381">
        <f t="shared" si="156"/>
        <v>0</v>
      </c>
      <c r="AJ98" s="381"/>
      <c r="AK98" s="381"/>
      <c r="AL98" s="256">
        <f t="shared" si="157"/>
        <v>0</v>
      </c>
      <c r="AM98" s="256">
        <f t="shared" si="158"/>
        <v>0</v>
      </c>
      <c r="AN98" s="256">
        <f t="shared" si="159"/>
        <v>0</v>
      </c>
      <c r="AO98" s="3"/>
      <c r="AP98" s="3"/>
      <c r="AQ98" s="3"/>
      <c r="AR98" s="3"/>
    </row>
    <row r="99" spans="1:44" x14ac:dyDescent="0.2">
      <c r="A99" s="394" t="s">
        <v>1000</v>
      </c>
      <c r="B99" s="500">
        <v>280</v>
      </c>
      <c r="C99" s="500">
        <v>633</v>
      </c>
      <c r="D99" s="500"/>
      <c r="E99" s="500">
        <v>430</v>
      </c>
      <c r="F99" s="531" t="s">
        <v>461</v>
      </c>
      <c r="G99" s="531" t="s">
        <v>161</v>
      </c>
      <c r="H99" s="501" t="s">
        <v>497</v>
      </c>
      <c r="I99" s="394" t="s">
        <v>921</v>
      </c>
      <c r="J99" s="394" t="s">
        <v>561</v>
      </c>
      <c r="K99" s="530" t="s">
        <v>389</v>
      </c>
      <c r="L99" s="394" t="s">
        <v>991</v>
      </c>
      <c r="M99" s="394"/>
      <c r="N99" s="394"/>
      <c r="O99" s="394"/>
      <c r="P99" s="394"/>
      <c r="Q99" s="400"/>
      <c r="R99" s="394"/>
      <c r="S99" s="394"/>
      <c r="T99" s="483"/>
      <c r="U99" s="482"/>
      <c r="V99" s="270"/>
      <c r="W99" s="270" t="str">
        <f>+IF(P99="EE",+V99*$W$1,"")</f>
        <v/>
      </c>
      <c r="X99" s="270" t="str">
        <f t="shared" ref="X99:X103" si="160">_xlfn.IFS(P99="ER",V99,P99="EE",W99,P99="N",V99,P99="","")</f>
        <v/>
      </c>
      <c r="Y99" s="381"/>
      <c r="Z99" s="381"/>
      <c r="AA99" s="256">
        <f>SUM(X99:Z99)</f>
        <v>0</v>
      </c>
      <c r="AB99" s="3"/>
      <c r="AC99" s="62" t="str">
        <f t="shared" si="127"/>
        <v/>
      </c>
      <c r="AD99" s="62" t="str">
        <f>_xlfn.IFS(P99="N",$AD$1*AA99,P99="EE","",P99="ER","",P99="","")</f>
        <v/>
      </c>
      <c r="AE99" s="62" t="str">
        <f>_xlfn.IFS(P99="EE",X99*$AE$1,P99="ER",X99*$AE$2,P99="N","",P99="","")</f>
        <v/>
      </c>
      <c r="AF99" s="62" t="str">
        <f>+IF(AA99&gt;1,AA99*$AF$1,"")</f>
        <v/>
      </c>
      <c r="AG99" s="192">
        <v>0</v>
      </c>
      <c r="AH99" s="62" t="str">
        <f>+IF(AA99&gt;1,AA99*$AH$1,"")</f>
        <v/>
      </c>
      <c r="AI99" s="62">
        <f>+_xlfn.IFS(F99&lt;2300,(AA99*$AI$1),F99&gt;=2300,(AA99*$AI$2),F99="","")</f>
        <v>0</v>
      </c>
      <c r="AJ99" s="62"/>
      <c r="AK99" s="62">
        <v>0</v>
      </c>
      <c r="AL99" s="256">
        <f>SUM(AC99:AK99)</f>
        <v>0</v>
      </c>
      <c r="AM99" s="256">
        <f>AA99</f>
        <v>0</v>
      </c>
      <c r="AN99" s="256">
        <f>SUM(AL99:AM99)</f>
        <v>0</v>
      </c>
    </row>
    <row r="100" spans="1:44" hidden="1" x14ac:dyDescent="0.2">
      <c r="A100" s="474" t="s">
        <v>924</v>
      </c>
      <c r="B100" s="425">
        <v>100</v>
      </c>
      <c r="C100" s="425" t="s">
        <v>145</v>
      </c>
      <c r="D100" s="425"/>
      <c r="E100" s="425">
        <v>100</v>
      </c>
      <c r="F100" s="531">
        <v>2110</v>
      </c>
      <c r="G100" s="531" t="s">
        <v>167</v>
      </c>
      <c r="H100" s="425" t="s">
        <v>920</v>
      </c>
      <c r="I100" s="474" t="s">
        <v>921</v>
      </c>
      <c r="J100" s="474" t="s">
        <v>499</v>
      </c>
      <c r="K100" s="474" t="s">
        <v>921</v>
      </c>
      <c r="L100" s="474" t="s">
        <v>910</v>
      </c>
      <c r="M100" s="474"/>
      <c r="N100" s="474"/>
      <c r="O100" s="474"/>
      <c r="P100" s="474"/>
      <c r="Q100" s="487"/>
      <c r="R100" s="474"/>
      <c r="S100" s="474"/>
      <c r="T100" s="483"/>
      <c r="U100" s="482">
        <v>0</v>
      </c>
      <c r="V100" s="270">
        <f>IF($U100="","",$U100*(1+$V$1))</f>
        <v>0</v>
      </c>
      <c r="W100" s="270" t="str">
        <f>+IF(P100="EE",+V100*$W$1,"")</f>
        <v/>
      </c>
      <c r="X100" s="270" t="str">
        <f t="shared" si="160"/>
        <v/>
      </c>
      <c r="Y100" s="381"/>
      <c r="Z100" s="381"/>
      <c r="AA100" s="256">
        <f>SUM(X100:Z100)</f>
        <v>0</v>
      </c>
      <c r="AB100" s="3"/>
      <c r="AC100" s="62" t="str">
        <f t="shared" si="127"/>
        <v/>
      </c>
      <c r="AD100" s="62" t="str">
        <f>_xlfn.IFS(P100="N",$AD$1*AA100,P100="EE","",P100="ER","",P100="","")</f>
        <v/>
      </c>
      <c r="AE100" s="62" t="str">
        <f>_xlfn.IFS(P100="EE",X100*$AE$1,P100="ER",X100*$AE$2,P100="N","",P100="","")</f>
        <v/>
      </c>
      <c r="AF100" s="62" t="str">
        <f>+IF(AA100&gt;1,AA100*$AF$1,"")</f>
        <v/>
      </c>
      <c r="AG100" s="192">
        <v>0</v>
      </c>
      <c r="AH100" s="62" t="str">
        <f>+IF(AA100&gt;1,AA100*$AH$1,"")</f>
        <v/>
      </c>
      <c r="AI100" s="62">
        <f>+_xlfn.IFS(F100&lt;2300,(AA100*$AI$1),F100&gt;=2300,(AA100*$AI$2),F100="","")</f>
        <v>0</v>
      </c>
      <c r="AJ100" s="62"/>
      <c r="AK100" s="62">
        <v>0</v>
      </c>
      <c r="AL100" s="256">
        <f>SUM(AC100:AK100)</f>
        <v>0</v>
      </c>
      <c r="AM100" s="256">
        <f>AA100</f>
        <v>0</v>
      </c>
      <c r="AN100" s="256">
        <f>SUM(AL100:AM100)</f>
        <v>0</v>
      </c>
    </row>
    <row r="101" spans="1:44" hidden="1" x14ac:dyDescent="0.2">
      <c r="A101" s="590" t="s">
        <v>924</v>
      </c>
      <c r="B101" s="591">
        <v>100</v>
      </c>
      <c r="C101" s="591" t="s">
        <v>145</v>
      </c>
      <c r="D101" s="591"/>
      <c r="E101" s="591">
        <v>100</v>
      </c>
      <c r="F101" s="600">
        <v>2410</v>
      </c>
      <c r="G101" s="600" t="s">
        <v>173</v>
      </c>
      <c r="H101" s="591" t="s">
        <v>497</v>
      </c>
      <c r="I101" s="590" t="s">
        <v>1083</v>
      </c>
      <c r="J101" s="590" t="s">
        <v>1084</v>
      </c>
      <c r="K101" s="590" t="s">
        <v>384</v>
      </c>
      <c r="L101" s="590" t="s">
        <v>907</v>
      </c>
      <c r="M101" s="590">
        <v>1</v>
      </c>
      <c r="N101" s="590" t="s">
        <v>386</v>
      </c>
      <c r="O101" s="590">
        <v>26</v>
      </c>
      <c r="P101" s="590" t="s">
        <v>342</v>
      </c>
      <c r="Q101" s="592" t="s">
        <v>386</v>
      </c>
      <c r="R101" s="590">
        <v>200</v>
      </c>
      <c r="S101" s="590">
        <v>8</v>
      </c>
      <c r="T101" s="263"/>
      <c r="U101" s="269"/>
      <c r="V101" s="270"/>
      <c r="W101" s="270"/>
      <c r="X101" s="270">
        <f t="shared" si="160"/>
        <v>0</v>
      </c>
      <c r="Y101" s="381"/>
      <c r="Z101" s="381"/>
      <c r="AA101" s="256">
        <f t="shared" ref="AA101" si="161">SUM(X101:Z101)</f>
        <v>0</v>
      </c>
      <c r="AB101" s="3"/>
      <c r="AC101" s="62"/>
      <c r="AD101" s="62" t="str">
        <f t="shared" ref="AD101" si="162">_xlfn.IFS(P101="N",$AD$1*AA101,P101="EE","",P101="ER","",P101="","")</f>
        <v/>
      </c>
      <c r="AE101" s="62">
        <f t="shared" ref="AE101" si="163">_xlfn.IFS(P101="EE",X101*$AE$1,P101="ER",X101*$AE$2,P101="N","",P101="","")</f>
        <v>0</v>
      </c>
      <c r="AF101" s="62" t="str">
        <f t="shared" ref="AF101" si="164">+IF(AA101&gt;1,AA101*$AF$1,"")</f>
        <v/>
      </c>
      <c r="AG101" s="192">
        <v>0</v>
      </c>
      <c r="AH101" s="62" t="str">
        <f t="shared" ref="AH101" si="165">+IF(AA101&gt;1,AA101*$AH$1,"")</f>
        <v/>
      </c>
      <c r="AI101" s="62">
        <f t="shared" si="128"/>
        <v>0</v>
      </c>
      <c r="AJ101" s="62"/>
      <c r="AK101" s="62">
        <v>0</v>
      </c>
      <c r="AL101" s="256">
        <f t="shared" ref="AL101" si="166">SUM(AC101:AK101)</f>
        <v>0</v>
      </c>
      <c r="AM101" s="256">
        <f t="shared" si="101"/>
        <v>0</v>
      </c>
      <c r="AN101" s="256">
        <f t="shared" ref="AN101" si="167">SUM(AL101:AM101)</f>
        <v>0</v>
      </c>
    </row>
    <row r="102" spans="1:44" hidden="1" x14ac:dyDescent="0.2">
      <c r="A102" s="593" t="s">
        <v>386</v>
      </c>
      <c r="B102" s="594">
        <v>100</v>
      </c>
      <c r="C102" s="595" t="s">
        <v>145</v>
      </c>
      <c r="D102" s="594"/>
      <c r="E102" s="594">
        <v>100</v>
      </c>
      <c r="F102" s="600" t="s">
        <v>460</v>
      </c>
      <c r="G102" s="600" t="s">
        <v>173</v>
      </c>
      <c r="H102" s="595" t="s">
        <v>497</v>
      </c>
      <c r="I102" s="593" t="s">
        <v>1079</v>
      </c>
      <c r="J102" s="593" t="s">
        <v>1080</v>
      </c>
      <c r="K102" s="593" t="s">
        <v>384</v>
      </c>
      <c r="L102" s="593" t="s">
        <v>957</v>
      </c>
      <c r="M102" s="593">
        <v>1</v>
      </c>
      <c r="N102" s="593" t="s">
        <v>386</v>
      </c>
      <c r="O102" s="593">
        <v>26</v>
      </c>
      <c r="P102" s="593" t="s">
        <v>342</v>
      </c>
      <c r="Q102" s="596">
        <v>16.350000000000001</v>
      </c>
      <c r="R102" s="593">
        <v>261</v>
      </c>
      <c r="S102" s="593">
        <v>8</v>
      </c>
      <c r="T102" s="263"/>
      <c r="U102" s="269"/>
      <c r="V102" s="270"/>
      <c r="W102" s="270"/>
      <c r="X102" s="270">
        <f t="shared" si="160"/>
        <v>0</v>
      </c>
      <c r="Y102" s="381"/>
      <c r="Z102" s="381"/>
      <c r="AA102" s="256">
        <f t="shared" ref="AA102" si="168">SUM(X102:Z102)</f>
        <v>0</v>
      </c>
      <c r="AB102" s="3"/>
      <c r="AC102" s="62">
        <f t="shared" si="127"/>
        <v>7943.76</v>
      </c>
      <c r="AD102" s="62" t="str">
        <f t="shared" ref="AD102" si="169">_xlfn.IFS(P102="N",$AD$1*AA102,P102="EE","",P102="ER","",P102="","")</f>
        <v/>
      </c>
      <c r="AE102" s="62">
        <f t="shared" ref="AE102" si="170">_xlfn.IFS(P102="EE",X102*$AE$1,P102="ER",X102*$AE$2,P102="N","",P102="","")</f>
        <v>0</v>
      </c>
      <c r="AF102" s="62" t="str">
        <f t="shared" ref="AF102" si="171">+IF(AA102&gt;1,AA102*$AF$1,"")</f>
        <v/>
      </c>
      <c r="AG102" s="192">
        <v>0</v>
      </c>
      <c r="AH102" s="62" t="str">
        <f t="shared" ref="AH102" si="172">+IF(AA102&gt;1,AA102*$AH$1,"")</f>
        <v/>
      </c>
      <c r="AI102" s="62">
        <f t="shared" si="128"/>
        <v>0</v>
      </c>
      <c r="AJ102" s="62"/>
      <c r="AK102" s="62">
        <v>0</v>
      </c>
      <c r="AL102" s="256">
        <f t="shared" ref="AL102" si="173">SUM(AC102:AK102)</f>
        <v>7943.76</v>
      </c>
      <c r="AM102" s="256">
        <f t="shared" si="101"/>
        <v>0</v>
      </c>
      <c r="AN102" s="256">
        <f t="shared" ref="AN102" si="174">SUM(AL102:AM102)</f>
        <v>7943.76</v>
      </c>
    </row>
    <row r="103" spans="1:44" x14ac:dyDescent="0.2">
      <c r="A103" s="523" t="s">
        <v>386</v>
      </c>
      <c r="B103" s="524" t="s">
        <v>135</v>
      </c>
      <c r="C103" s="525" t="s">
        <v>242</v>
      </c>
      <c r="D103" s="524"/>
      <c r="E103" s="524" t="s">
        <v>532</v>
      </c>
      <c r="F103" s="600">
        <v>1000</v>
      </c>
      <c r="G103" s="600" t="s">
        <v>171</v>
      </c>
      <c r="H103" s="524" t="s">
        <v>920</v>
      </c>
      <c r="I103" s="523" t="s">
        <v>398</v>
      </c>
      <c r="J103" s="523" t="s">
        <v>399</v>
      </c>
      <c r="K103" s="523" t="s">
        <v>446</v>
      </c>
      <c r="L103" s="523" t="s">
        <v>905</v>
      </c>
      <c r="M103" s="523">
        <v>1</v>
      </c>
      <c r="N103" s="523" t="s">
        <v>386</v>
      </c>
      <c r="O103" s="523">
        <v>1</v>
      </c>
      <c r="P103" s="523" t="s">
        <v>342</v>
      </c>
      <c r="Q103" s="526" t="s">
        <v>386</v>
      </c>
      <c r="R103" s="523">
        <v>261</v>
      </c>
      <c r="S103" s="523">
        <v>8</v>
      </c>
      <c r="T103" s="263"/>
      <c r="U103" s="269"/>
      <c r="V103" s="270"/>
      <c r="W103" s="270"/>
      <c r="X103" s="270">
        <f t="shared" si="160"/>
        <v>0</v>
      </c>
      <c r="Y103" s="381"/>
      <c r="Z103" s="381"/>
      <c r="AA103" s="256">
        <f>SUM(X103:Z103)</f>
        <v>0</v>
      </c>
      <c r="AB103" s="3"/>
      <c r="AC103" s="62"/>
      <c r="AD103" s="62" t="str">
        <f>_xlfn.IFS(P103="N",$AD$1*AA103,P103="EE","",P103="ER","",P103="","")</f>
        <v/>
      </c>
      <c r="AE103" s="62">
        <f>_xlfn.IFS(P103="EE",X103*$AE$1,P103="ER",X103*$AE$2,P103="N","",P103="","")</f>
        <v>0</v>
      </c>
      <c r="AF103" s="62" t="str">
        <f>+IF(AA103&gt;1,AA103*$AF$1,"")</f>
        <v/>
      </c>
      <c r="AG103" s="192">
        <v>0</v>
      </c>
      <c r="AH103" s="62" t="str">
        <f>+IF(AA103&gt;1,AA103*$AH$1,"")</f>
        <v/>
      </c>
      <c r="AI103" s="62">
        <f>+_xlfn.IFS(F103&lt;2300,(AA103*$AI$1),F103&gt;=2300,(AA103*$AI$2),F103="","")</f>
        <v>0</v>
      </c>
      <c r="AJ103" s="62"/>
      <c r="AK103" s="62">
        <v>0</v>
      </c>
      <c r="AL103" s="256">
        <f>SUM(AC103:AK103)</f>
        <v>0</v>
      </c>
      <c r="AM103" s="256">
        <f>AA103</f>
        <v>0</v>
      </c>
      <c r="AN103" s="256">
        <f>SUM(AL103:AM103)</f>
        <v>0</v>
      </c>
    </row>
    <row r="104" spans="1:44" hidden="1" x14ac:dyDescent="0.2">
      <c r="A104" s="474"/>
      <c r="B104" s="425"/>
      <c r="C104" s="425"/>
      <c r="D104" s="425"/>
      <c r="E104" s="425"/>
      <c r="F104" s="425"/>
      <c r="G104" s="425"/>
      <c r="H104" s="425"/>
      <c r="I104" s="474"/>
      <c r="J104" s="474"/>
      <c r="K104" s="474"/>
      <c r="L104" s="474"/>
      <c r="M104" s="474"/>
      <c r="N104" s="474"/>
      <c r="O104" s="474"/>
      <c r="P104" s="474"/>
      <c r="Q104" s="474"/>
      <c r="R104" s="474"/>
      <c r="S104" s="474"/>
      <c r="T104" s="805" t="str">
        <f t="shared" ref="T104" si="175">+IF(R104="","",R104*S104)</f>
        <v/>
      </c>
      <c r="U104" s="806" t="s">
        <v>386</v>
      </c>
      <c r="V104" s="807"/>
      <c r="W104" s="807"/>
      <c r="X104" s="807"/>
      <c r="Y104" s="487"/>
      <c r="Z104" s="487"/>
      <c r="AA104" s="256"/>
      <c r="AB104" s="474"/>
      <c r="AC104" s="487" t="str">
        <f t="shared" si="127"/>
        <v/>
      </c>
      <c r="AD104" s="487"/>
      <c r="AE104" s="487"/>
      <c r="AF104" s="487"/>
      <c r="AG104" s="808"/>
      <c r="AH104" s="487"/>
      <c r="AI104" s="487">
        <f t="shared" si="128"/>
        <v>0</v>
      </c>
      <c r="AJ104" s="487"/>
      <c r="AK104" s="487"/>
      <c r="AL104" s="807">
        <f t="shared" si="100"/>
        <v>0</v>
      </c>
      <c r="AM104" s="807">
        <f t="shared" si="101"/>
        <v>0</v>
      </c>
      <c r="AN104" s="807">
        <f t="shared" si="102"/>
        <v>0</v>
      </c>
    </row>
    <row r="105" spans="1:44" x14ac:dyDescent="0.2">
      <c r="A105" s="311" t="s">
        <v>1149</v>
      </c>
      <c r="B105" s="798">
        <v>100</v>
      </c>
      <c r="C105" s="798" t="s">
        <v>145</v>
      </c>
      <c r="D105" s="798"/>
      <c r="E105" s="798">
        <v>100</v>
      </c>
      <c r="F105" s="798">
        <v>1000</v>
      </c>
      <c r="G105" s="798" t="s">
        <v>169</v>
      </c>
      <c r="H105" s="798"/>
      <c r="I105" s="312" t="s">
        <v>1149</v>
      </c>
      <c r="J105" s="312" t="s">
        <v>506</v>
      </c>
      <c r="K105" s="312" t="s">
        <v>384</v>
      </c>
      <c r="L105" s="312" t="s">
        <v>989</v>
      </c>
      <c r="M105" s="313"/>
      <c r="N105" s="311"/>
      <c r="O105" s="311"/>
      <c r="P105" s="311"/>
      <c r="Q105" s="311"/>
      <c r="R105" s="311"/>
      <c r="S105" s="311"/>
      <c r="T105" s="263" t="str">
        <f>+IF(R105="","",R105*S105)</f>
        <v/>
      </c>
      <c r="U105" s="269">
        <v>31500</v>
      </c>
      <c r="V105" s="270"/>
      <c r="W105" s="270" t="str">
        <f>+IF(P105="EE",+V105*$W$1,"")</f>
        <v/>
      </c>
      <c r="X105" s="270" t="str">
        <f>_xlfn.IFS(P105="ER",V105,P105="EE",W105,P105="N",V105,P105="","")</f>
        <v/>
      </c>
      <c r="Y105" s="381"/>
      <c r="Z105" s="381"/>
      <c r="AA105" s="256">
        <f>SUM(X105:Z105)</f>
        <v>0</v>
      </c>
      <c r="AB105" s="311"/>
      <c r="AC105" s="381"/>
      <c r="AD105" s="381" t="str">
        <f>_xlfn.IFS(P105="N",$AD$1*AA105,P105="EE","",P105="ER","",P105="","")</f>
        <v/>
      </c>
      <c r="AE105" s="381" t="str">
        <f>_xlfn.IFS(P105="EE",X105*$AE$1,P105="ER",X105*$AE$2,P105="N","",P105="","")</f>
        <v/>
      </c>
      <c r="AF105" s="381" t="str">
        <f>+IF(AA105&gt;1,AA105*$AF$1,"")</f>
        <v/>
      </c>
      <c r="AG105" s="391"/>
      <c r="AH105" s="381"/>
      <c r="AI105" s="381">
        <f>+_xlfn.IFS(F105&lt;2300,(AA105*$AI$1),F105&gt;=2300,(AA105*$AI$2),F105="","")</f>
        <v>0</v>
      </c>
      <c r="AJ105" s="381"/>
      <c r="AK105" s="381"/>
      <c r="AL105" s="256">
        <f>SUM(AC105:AK105)</f>
        <v>0</v>
      </c>
      <c r="AM105" s="256">
        <f>AA105</f>
        <v>0</v>
      </c>
      <c r="AN105" s="256">
        <f>SUM(AL105:AM105)</f>
        <v>0</v>
      </c>
      <c r="AO105" s="3"/>
      <c r="AP105" s="3"/>
      <c r="AQ105" s="3"/>
      <c r="AR105" s="3"/>
    </row>
    <row r="106" spans="1:44" hidden="1" x14ac:dyDescent="0.2">
      <c r="A106" s="311"/>
      <c r="B106" s="380"/>
      <c r="C106" s="380"/>
      <c r="D106" s="380"/>
      <c r="E106" s="380"/>
      <c r="F106" s="380"/>
      <c r="G106" s="380"/>
      <c r="H106" s="380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263" t="str">
        <f>+IF(R106="","",R106*S106)</f>
        <v/>
      </c>
      <c r="U106" s="269"/>
      <c r="V106" s="270"/>
      <c r="W106" s="270" t="str">
        <f>+IF(P106="EE",+V106*$W$1,"")</f>
        <v/>
      </c>
      <c r="X106" s="270" t="str">
        <f>_xlfn.IFS(P106="ER",V106,P106="EE",W106,P106="N",V106,P106="","")</f>
        <v/>
      </c>
      <c r="Y106" s="381"/>
      <c r="Z106" s="381"/>
      <c r="AA106" s="256">
        <f t="shared" ref="AA106" si="176">SUM(X106:Z106)</f>
        <v>0</v>
      </c>
      <c r="AB106" s="311"/>
      <c r="AC106" s="381"/>
      <c r="AD106" s="381" t="str">
        <f>_xlfn.IFS(P106="N",$AD$1*AA106,P106="EE","",P106="ER","",P106="","")</f>
        <v/>
      </c>
      <c r="AE106" s="381" t="str">
        <f>_xlfn.IFS(P106="EE",X106*$AE$1,P106="ER",X106*$AE$2,P106="N","",P106="","")</f>
        <v/>
      </c>
      <c r="AF106" s="381" t="str">
        <f>+IF(AA106&gt;1,AA106*$AF$1,"")</f>
        <v/>
      </c>
      <c r="AG106" s="391"/>
      <c r="AH106" s="381"/>
      <c r="AI106" s="381">
        <f>+_xlfn.IFS(F106&lt;2300,(AA106*$AI$1),F106&gt;=2300,(AA106*$AI$2),F106="","")</f>
        <v>0</v>
      </c>
      <c r="AJ106" s="381"/>
      <c r="AK106" s="381"/>
      <c r="AL106" s="256">
        <f>SUM(AC106:AK106)</f>
        <v>0</v>
      </c>
      <c r="AM106" s="256">
        <f>AA106</f>
        <v>0</v>
      </c>
      <c r="AN106" s="256">
        <f>SUM(AL106:AM106)</f>
        <v>0</v>
      </c>
      <c r="AO106" s="3"/>
      <c r="AP106" s="3"/>
      <c r="AQ106" s="3"/>
      <c r="AR106" s="3"/>
    </row>
    <row r="107" spans="1:44" x14ac:dyDescent="0.2">
      <c r="A107" s="311" t="s">
        <v>1149</v>
      </c>
      <c r="B107" s="380">
        <v>100</v>
      </c>
      <c r="C107" s="380" t="s">
        <v>145</v>
      </c>
      <c r="D107" s="380"/>
      <c r="E107" s="380">
        <v>100</v>
      </c>
      <c r="F107" s="380">
        <v>1000</v>
      </c>
      <c r="G107" s="380" t="s">
        <v>161</v>
      </c>
      <c r="H107" s="380" t="s">
        <v>497</v>
      </c>
      <c r="I107" s="311" t="s">
        <v>498</v>
      </c>
      <c r="J107" s="311" t="s">
        <v>506</v>
      </c>
      <c r="K107" s="311" t="s">
        <v>389</v>
      </c>
      <c r="L107" s="311" t="s">
        <v>498</v>
      </c>
      <c r="M107" s="313"/>
      <c r="N107" s="311"/>
      <c r="O107" s="311"/>
      <c r="P107" s="311"/>
      <c r="Q107" s="311" t="s">
        <v>386</v>
      </c>
      <c r="R107" s="311" t="s">
        <v>386</v>
      </c>
      <c r="S107" s="311" t="s">
        <v>386</v>
      </c>
      <c r="T107" s="263"/>
      <c r="U107" s="269">
        <v>45000</v>
      </c>
      <c r="V107" s="270"/>
      <c r="W107" s="270"/>
      <c r="X107" s="270"/>
      <c r="Y107" s="381"/>
      <c r="Z107" s="381"/>
      <c r="AA107" s="256"/>
      <c r="AB107" s="311"/>
      <c r="AC107" s="381"/>
      <c r="AD107" s="381"/>
      <c r="AE107" s="381"/>
      <c r="AF107" s="381"/>
      <c r="AG107" s="192"/>
      <c r="AH107" s="381"/>
      <c r="AI107" s="381">
        <f>+_xlfn.IFS(F107&lt;2300,(AA107*$AI$1),F107&gt;=2300,(AA107*$AI$2),F107="","")</f>
        <v>0</v>
      </c>
      <c r="AJ107" s="381"/>
      <c r="AK107" s="381"/>
      <c r="AL107" s="256">
        <f>SUM(AC107:AK107)</f>
        <v>0</v>
      </c>
      <c r="AM107" s="256">
        <f>AA107</f>
        <v>0</v>
      </c>
      <c r="AN107" s="256">
        <f>SUM(AL107:AM107)</f>
        <v>0</v>
      </c>
    </row>
    <row r="108" spans="1:44" hidden="1" x14ac:dyDescent="0.2">
      <c r="A108" s="311"/>
      <c r="B108" s="380"/>
      <c r="C108" s="380"/>
      <c r="D108" s="380"/>
      <c r="E108" s="380"/>
      <c r="F108" s="380"/>
      <c r="G108" s="380"/>
      <c r="H108" s="380"/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263"/>
      <c r="U108" s="269" t="s">
        <v>386</v>
      </c>
      <c r="V108" s="270"/>
      <c r="W108" s="270" t="str">
        <f t="shared" ref="W108:W120" si="177">+IF(P108="EE",+V108*$W$1,"")</f>
        <v/>
      </c>
      <c r="X108" s="270" t="str">
        <f t="shared" ref="X108:X120" si="178">_xlfn.IFS(P108="ER",V108,P108="EE",W108,P108="N",V108,P108="","")</f>
        <v/>
      </c>
      <c r="Y108" s="381"/>
      <c r="Z108" s="381">
        <v>0</v>
      </c>
      <c r="AA108" s="256">
        <f t="shared" ref="AA108:AA120" si="179">SUM(X108:Z108)</f>
        <v>0</v>
      </c>
      <c r="AB108" s="311"/>
      <c r="AC108" s="381"/>
      <c r="AD108" s="381" t="str">
        <f t="shared" ref="AD108:AD120" si="180">_xlfn.IFS(P108="N",$AD$1*AA108,P108="EE","",P108="ER","",P108="","")</f>
        <v/>
      </c>
      <c r="AE108" s="381" t="str">
        <f t="shared" ref="AE108:AE120" si="181">_xlfn.IFS(P108="EE",X108*$AE$1,P108="ER",X108*$AE$2,P108="N","",P108="","")</f>
        <v/>
      </c>
      <c r="AF108" s="381" t="str">
        <f t="shared" ref="AF108:AF120" si="182">+IF(AA108&gt;1,AA108*$AF$1,"")</f>
        <v/>
      </c>
      <c r="AG108" s="192">
        <v>0</v>
      </c>
      <c r="AH108" s="381" t="str">
        <f t="shared" ref="AH108:AH120" si="183">+IF(AA108&gt;1,AA108*$AH$1,"")</f>
        <v/>
      </c>
      <c r="AI108" s="381">
        <f t="shared" si="128"/>
        <v>0</v>
      </c>
      <c r="AJ108" s="381"/>
      <c r="AK108" s="381">
        <v>0</v>
      </c>
      <c r="AL108" s="256">
        <f t="shared" ref="AL108:AL120" si="184">SUM(AC108:AK108)</f>
        <v>0</v>
      </c>
      <c r="AM108" s="256">
        <f t="shared" ref="AM108:AM120" si="185">AA108</f>
        <v>0</v>
      </c>
      <c r="AN108" s="256">
        <f t="shared" ref="AN108:AN120" si="186">SUM(AL108:AM108)</f>
        <v>0</v>
      </c>
    </row>
    <row r="109" spans="1:44" hidden="1" x14ac:dyDescent="0.2">
      <c r="A109" s="311"/>
      <c r="B109" s="380"/>
      <c r="C109" s="380"/>
      <c r="D109" s="380"/>
      <c r="E109" s="380"/>
      <c r="F109" s="380"/>
      <c r="G109" s="380"/>
      <c r="H109" s="380"/>
      <c r="I109" s="311"/>
      <c r="J109" s="311"/>
      <c r="K109" s="311"/>
      <c r="L109" s="311"/>
      <c r="M109" s="311"/>
      <c r="N109" s="311"/>
      <c r="O109" s="311"/>
      <c r="P109" s="311"/>
      <c r="Q109" s="311"/>
      <c r="R109" s="311"/>
      <c r="S109" s="311"/>
      <c r="T109" s="263"/>
      <c r="U109" s="269" t="s">
        <v>386</v>
      </c>
      <c r="V109" s="270"/>
      <c r="W109" s="270" t="str">
        <f t="shared" ref="W109:W111" si="187">+IF(P109="EE",+V109*$W$1,"")</f>
        <v/>
      </c>
      <c r="X109" s="270" t="str">
        <f t="shared" ref="X109:X111" si="188">_xlfn.IFS(P109="ER",V109,P109="EE",W109,P109="N",V109,P109="","")</f>
        <v/>
      </c>
      <c r="Y109" s="381"/>
      <c r="Z109" s="381">
        <v>0</v>
      </c>
      <c r="AA109" s="256">
        <f t="shared" ref="AA109:AA111" si="189">SUM(X109:Z109)</f>
        <v>0</v>
      </c>
      <c r="AB109" s="311"/>
      <c r="AC109" s="381"/>
      <c r="AD109" s="381" t="str">
        <f t="shared" ref="AD109:AD111" si="190">_xlfn.IFS(P109="N",$AD$1*AA109,P109="EE","",P109="ER","",P109="","")</f>
        <v/>
      </c>
      <c r="AE109" s="381" t="str">
        <f t="shared" ref="AE109:AE111" si="191">_xlfn.IFS(P109="EE",X109*$AE$1,P109="ER",X109*$AE$2,P109="N","",P109="","")</f>
        <v/>
      </c>
      <c r="AF109" s="381" t="str">
        <f t="shared" ref="AF109:AF111" si="192">+IF(AA109&gt;1,AA109*$AF$1,"")</f>
        <v/>
      </c>
      <c r="AG109" s="192">
        <v>0</v>
      </c>
      <c r="AH109" s="381" t="str">
        <f t="shared" ref="AH109:AH111" si="193">+IF(AA109&gt;1,AA109*$AH$1,"")</f>
        <v/>
      </c>
      <c r="AI109" s="381">
        <f t="shared" ref="AI109:AI111" si="194">+_xlfn.IFS(F109&lt;2300,(AA109*$AI$1),F109&gt;=2300,(AA109*$AI$2),F109="","")</f>
        <v>0</v>
      </c>
      <c r="AJ109" s="381"/>
      <c r="AK109" s="381">
        <v>0</v>
      </c>
      <c r="AL109" s="256">
        <f t="shared" ref="AL109:AL111" si="195">SUM(AC109:AK109)</f>
        <v>0</v>
      </c>
      <c r="AM109" s="256">
        <f t="shared" ref="AM109:AM111" si="196">AA109</f>
        <v>0</v>
      </c>
      <c r="AN109" s="256">
        <f t="shared" ref="AN109:AN111" si="197">SUM(AL109:AM109)</f>
        <v>0</v>
      </c>
    </row>
    <row r="110" spans="1:44" hidden="1" x14ac:dyDescent="0.2">
      <c r="A110" s="311"/>
      <c r="B110" s="380"/>
      <c r="C110" s="380"/>
      <c r="D110" s="380"/>
      <c r="E110" s="380"/>
      <c r="F110" s="380"/>
      <c r="G110" s="380"/>
      <c r="H110" s="380"/>
      <c r="I110" s="311"/>
      <c r="J110" s="311"/>
      <c r="K110" s="311"/>
      <c r="L110" s="311"/>
      <c r="M110" s="311"/>
      <c r="N110" s="311"/>
      <c r="O110" s="311"/>
      <c r="P110" s="311"/>
      <c r="Q110" s="311"/>
      <c r="R110" s="311"/>
      <c r="S110" s="311"/>
      <c r="T110" s="263"/>
      <c r="U110" s="269" t="s">
        <v>386</v>
      </c>
      <c r="V110" s="270"/>
      <c r="W110" s="270" t="str">
        <f t="shared" ref="W110" si="198">+IF(P110="EE",+V110*$W$1,"")</f>
        <v/>
      </c>
      <c r="X110" s="270" t="str">
        <f t="shared" ref="X110" si="199">_xlfn.IFS(P110="ER",V110,P110="EE",W110,P110="N",V110,P110="","")</f>
        <v/>
      </c>
      <c r="Y110" s="381"/>
      <c r="Z110" s="381">
        <v>0</v>
      </c>
      <c r="AA110" s="256">
        <f t="shared" ref="AA110" si="200">SUM(X110:Z110)</f>
        <v>0</v>
      </c>
      <c r="AB110" s="311"/>
      <c r="AC110" s="381"/>
      <c r="AD110" s="381" t="str">
        <f t="shared" ref="AD110" si="201">_xlfn.IFS(P110="N",$AD$1*AA110,P110="EE","",P110="ER","",P110="","")</f>
        <v/>
      </c>
      <c r="AE110" s="381" t="str">
        <f t="shared" ref="AE110" si="202">_xlfn.IFS(P110="EE",X110*$AE$1,P110="ER",X110*$AE$2,P110="N","",P110="","")</f>
        <v/>
      </c>
      <c r="AF110" s="381" t="str">
        <f t="shared" ref="AF110" si="203">+IF(AA110&gt;1,AA110*$AF$1,"")</f>
        <v/>
      </c>
      <c r="AG110" s="192">
        <v>0</v>
      </c>
      <c r="AH110" s="381" t="str">
        <f t="shared" ref="AH110" si="204">+IF(AA110&gt;1,AA110*$AH$1,"")</f>
        <v/>
      </c>
      <c r="AI110" s="381">
        <f t="shared" ref="AI110" si="205">+_xlfn.IFS(F110&lt;2300,(AA110*$AI$1),F110&gt;=2300,(AA110*$AI$2),F110="","")</f>
        <v>0</v>
      </c>
      <c r="AJ110" s="381"/>
      <c r="AK110" s="381">
        <v>0</v>
      </c>
      <c r="AL110" s="256">
        <f t="shared" ref="AL110" si="206">SUM(AC110:AK110)</f>
        <v>0</v>
      </c>
      <c r="AM110" s="256">
        <f t="shared" ref="AM110" si="207">AA110</f>
        <v>0</v>
      </c>
      <c r="AN110" s="256">
        <f t="shared" ref="AN110" si="208">SUM(AL110:AM110)</f>
        <v>0</v>
      </c>
    </row>
    <row r="111" spans="1:44" hidden="1" x14ac:dyDescent="0.2">
      <c r="A111" s="311"/>
      <c r="B111" s="380"/>
      <c r="C111" s="380"/>
      <c r="D111" s="380"/>
      <c r="E111" s="380"/>
      <c r="F111" s="380"/>
      <c r="G111" s="380"/>
      <c r="H111" s="380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263"/>
      <c r="U111" s="269" t="s">
        <v>386</v>
      </c>
      <c r="V111" s="270"/>
      <c r="W111" s="270" t="str">
        <f t="shared" si="187"/>
        <v/>
      </c>
      <c r="X111" s="270" t="str">
        <f t="shared" si="188"/>
        <v/>
      </c>
      <c r="Y111" s="381"/>
      <c r="Z111" s="381">
        <v>0</v>
      </c>
      <c r="AA111" s="256">
        <f t="shared" si="189"/>
        <v>0</v>
      </c>
      <c r="AB111" s="311"/>
      <c r="AC111" s="381"/>
      <c r="AD111" s="381" t="str">
        <f t="shared" si="190"/>
        <v/>
      </c>
      <c r="AE111" s="381" t="str">
        <f t="shared" si="191"/>
        <v/>
      </c>
      <c r="AF111" s="381" t="str">
        <f t="shared" si="192"/>
        <v/>
      </c>
      <c r="AG111" s="192">
        <v>0</v>
      </c>
      <c r="AH111" s="381" t="str">
        <f t="shared" si="193"/>
        <v/>
      </c>
      <c r="AI111" s="381">
        <f t="shared" si="194"/>
        <v>0</v>
      </c>
      <c r="AJ111" s="381"/>
      <c r="AK111" s="381">
        <v>0</v>
      </c>
      <c r="AL111" s="256">
        <f t="shared" si="195"/>
        <v>0</v>
      </c>
      <c r="AM111" s="256">
        <f t="shared" si="196"/>
        <v>0</v>
      </c>
      <c r="AN111" s="256">
        <f t="shared" si="197"/>
        <v>0</v>
      </c>
    </row>
    <row r="112" spans="1:44" hidden="1" x14ac:dyDescent="0.2">
      <c r="A112" s="800" t="s">
        <v>1149</v>
      </c>
      <c r="B112" s="801" t="s">
        <v>468</v>
      </c>
      <c r="C112" s="801" t="s">
        <v>145</v>
      </c>
      <c r="D112" s="801"/>
      <c r="E112" s="801" t="s">
        <v>468</v>
      </c>
      <c r="F112" s="801" t="s">
        <v>556</v>
      </c>
      <c r="G112" s="801" t="s">
        <v>167</v>
      </c>
      <c r="H112" s="801"/>
      <c r="I112" s="802" t="s">
        <v>1149</v>
      </c>
      <c r="J112" s="802" t="s">
        <v>506</v>
      </c>
      <c r="K112" s="311" t="s">
        <v>389</v>
      </c>
      <c r="L112" s="802" t="s">
        <v>910</v>
      </c>
      <c r="M112" s="803" t="s">
        <v>386</v>
      </c>
      <c r="N112" s="800" t="s">
        <v>386</v>
      </c>
      <c r="O112" s="800" t="s">
        <v>386</v>
      </c>
      <c r="P112" s="800" t="s">
        <v>386</v>
      </c>
      <c r="Q112" s="800" t="s">
        <v>386</v>
      </c>
      <c r="R112" s="800" t="s">
        <v>386</v>
      </c>
      <c r="S112" s="800" t="s">
        <v>386</v>
      </c>
      <c r="T112" s="263" t="str">
        <f>+IF(R112="","",R112*S112)</f>
        <v/>
      </c>
      <c r="U112" s="269">
        <v>35000</v>
      </c>
      <c r="V112" s="270"/>
      <c r="W112" s="270" t="str">
        <f t="shared" si="177"/>
        <v/>
      </c>
      <c r="X112" s="270" t="str">
        <f t="shared" si="178"/>
        <v/>
      </c>
      <c r="Y112" s="381"/>
      <c r="Z112" s="381">
        <v>0</v>
      </c>
      <c r="AA112" s="256">
        <f t="shared" si="179"/>
        <v>0</v>
      </c>
      <c r="AB112" s="311"/>
      <c r="AC112" s="381"/>
      <c r="AD112" s="381" t="str">
        <f t="shared" si="180"/>
        <v/>
      </c>
      <c r="AE112" s="381" t="str">
        <f t="shared" si="181"/>
        <v/>
      </c>
      <c r="AF112" s="381" t="str">
        <f t="shared" si="182"/>
        <v/>
      </c>
      <c r="AG112" s="192">
        <v>0</v>
      </c>
      <c r="AH112" s="381" t="str">
        <f t="shared" si="183"/>
        <v/>
      </c>
      <c r="AI112" s="381">
        <f t="shared" si="128"/>
        <v>0</v>
      </c>
      <c r="AJ112" s="381"/>
      <c r="AK112" s="381">
        <v>0</v>
      </c>
      <c r="AL112" s="256">
        <f t="shared" si="184"/>
        <v>0</v>
      </c>
      <c r="AM112" s="256">
        <f t="shared" si="185"/>
        <v>0</v>
      </c>
      <c r="AN112" s="256">
        <f t="shared" si="186"/>
        <v>0</v>
      </c>
    </row>
    <row r="113" spans="1:44" hidden="1" x14ac:dyDescent="0.2">
      <c r="A113" s="800" t="s">
        <v>386</v>
      </c>
      <c r="B113" s="801" t="s">
        <v>386</v>
      </c>
      <c r="C113" s="801" t="s">
        <v>386</v>
      </c>
      <c r="D113" s="801"/>
      <c r="E113" s="801" t="s">
        <v>386</v>
      </c>
      <c r="F113" s="801" t="s">
        <v>386</v>
      </c>
      <c r="G113" s="801" t="s">
        <v>386</v>
      </c>
      <c r="H113" s="801"/>
      <c r="I113" s="802" t="s">
        <v>386</v>
      </c>
      <c r="J113" s="802" t="s">
        <v>386</v>
      </c>
      <c r="K113" s="802" t="s">
        <v>386</v>
      </c>
      <c r="L113" s="802" t="s">
        <v>386</v>
      </c>
      <c r="M113" s="803" t="s">
        <v>386</v>
      </c>
      <c r="N113" s="800" t="s">
        <v>386</v>
      </c>
      <c r="O113" s="800" t="s">
        <v>386</v>
      </c>
      <c r="P113" s="800" t="s">
        <v>386</v>
      </c>
      <c r="Q113" s="800" t="s">
        <v>386</v>
      </c>
      <c r="R113" s="800" t="s">
        <v>386</v>
      </c>
      <c r="S113" s="800" t="s">
        <v>386</v>
      </c>
      <c r="T113" s="263" t="str">
        <f>+IF(R113="","",R113*S113)</f>
        <v/>
      </c>
      <c r="U113" s="269" t="s">
        <v>386</v>
      </c>
      <c r="V113" s="270"/>
      <c r="W113" s="270" t="str">
        <f t="shared" si="177"/>
        <v/>
      </c>
      <c r="X113" s="270" t="str">
        <f t="shared" si="178"/>
        <v/>
      </c>
      <c r="Y113" s="381"/>
      <c r="Z113" s="381">
        <v>0</v>
      </c>
      <c r="AA113" s="256">
        <f t="shared" si="179"/>
        <v>0</v>
      </c>
      <c r="AB113" s="311"/>
      <c r="AC113" s="381"/>
      <c r="AD113" s="381" t="str">
        <f t="shared" si="180"/>
        <v/>
      </c>
      <c r="AE113" s="381" t="str">
        <f t="shared" si="181"/>
        <v/>
      </c>
      <c r="AF113" s="381" t="str">
        <f t="shared" si="182"/>
        <v/>
      </c>
      <c r="AG113" s="192">
        <v>0</v>
      </c>
      <c r="AH113" s="381" t="str">
        <f t="shared" si="183"/>
        <v/>
      </c>
      <c r="AI113" s="381">
        <f t="shared" si="128"/>
        <v>0</v>
      </c>
      <c r="AJ113" s="381"/>
      <c r="AK113" s="381">
        <v>0</v>
      </c>
      <c r="AL113" s="256">
        <f t="shared" si="184"/>
        <v>0</v>
      </c>
      <c r="AM113" s="256">
        <f t="shared" si="185"/>
        <v>0</v>
      </c>
      <c r="AN113" s="256">
        <f t="shared" si="186"/>
        <v>0</v>
      </c>
    </row>
    <row r="114" spans="1:44" x14ac:dyDescent="0.2">
      <c r="A114" s="311" t="s">
        <v>1149</v>
      </c>
      <c r="B114" s="380">
        <v>100</v>
      </c>
      <c r="C114" s="380" t="s">
        <v>145</v>
      </c>
      <c r="D114" s="380"/>
      <c r="E114" s="380">
        <v>100</v>
      </c>
      <c r="F114" s="380">
        <v>1000</v>
      </c>
      <c r="G114" s="380" t="s">
        <v>161</v>
      </c>
      <c r="H114" s="380" t="s">
        <v>497</v>
      </c>
      <c r="I114" s="311" t="s">
        <v>498</v>
      </c>
      <c r="J114" s="311" t="s">
        <v>508</v>
      </c>
      <c r="K114" s="311" t="s">
        <v>389</v>
      </c>
      <c r="L114" s="311" t="s">
        <v>498</v>
      </c>
      <c r="M114" s="311"/>
      <c r="N114" s="311" t="s">
        <v>386</v>
      </c>
      <c r="O114" s="311"/>
      <c r="P114" s="311"/>
      <c r="Q114" s="311" t="s">
        <v>386</v>
      </c>
      <c r="R114" s="311" t="s">
        <v>386</v>
      </c>
      <c r="S114" s="311" t="s">
        <v>386</v>
      </c>
      <c r="T114" s="263"/>
      <c r="U114" s="269">
        <v>45000</v>
      </c>
      <c r="V114" s="270"/>
      <c r="W114" s="270" t="str">
        <f t="shared" si="177"/>
        <v/>
      </c>
      <c r="X114" s="270" t="str">
        <f t="shared" si="178"/>
        <v/>
      </c>
      <c r="Y114" s="381"/>
      <c r="Z114" s="381">
        <v>0</v>
      </c>
      <c r="AA114" s="256">
        <f t="shared" si="179"/>
        <v>0</v>
      </c>
      <c r="AB114" s="311"/>
      <c r="AC114" s="381"/>
      <c r="AD114" s="381" t="str">
        <f t="shared" si="180"/>
        <v/>
      </c>
      <c r="AE114" s="381" t="str">
        <f t="shared" si="181"/>
        <v/>
      </c>
      <c r="AF114" s="381" t="str">
        <f t="shared" si="182"/>
        <v/>
      </c>
      <c r="AG114" s="192">
        <v>0</v>
      </c>
      <c r="AH114" s="381" t="str">
        <f t="shared" si="183"/>
        <v/>
      </c>
      <c r="AI114" s="381">
        <f t="shared" si="128"/>
        <v>0</v>
      </c>
      <c r="AJ114" s="381"/>
      <c r="AK114" s="381">
        <v>0</v>
      </c>
      <c r="AL114" s="256">
        <f t="shared" si="184"/>
        <v>0</v>
      </c>
      <c r="AM114" s="256">
        <f t="shared" si="185"/>
        <v>0</v>
      </c>
      <c r="AN114" s="256">
        <f t="shared" si="186"/>
        <v>0</v>
      </c>
    </row>
    <row r="115" spans="1:44" x14ac:dyDescent="0.2">
      <c r="A115" s="311" t="s">
        <v>1149</v>
      </c>
      <c r="B115" s="380">
        <v>100</v>
      </c>
      <c r="C115" s="380" t="s">
        <v>145</v>
      </c>
      <c r="D115" s="380"/>
      <c r="E115" s="380">
        <v>100</v>
      </c>
      <c r="F115" s="380">
        <v>1000</v>
      </c>
      <c r="G115" s="380" t="s">
        <v>161</v>
      </c>
      <c r="H115" s="380" t="s">
        <v>497</v>
      </c>
      <c r="I115" s="311" t="s">
        <v>498</v>
      </c>
      <c r="J115" s="311" t="s">
        <v>508</v>
      </c>
      <c r="K115" s="311" t="s">
        <v>389</v>
      </c>
      <c r="L115" s="311" t="s">
        <v>498</v>
      </c>
      <c r="M115" s="311"/>
      <c r="N115" s="311" t="s">
        <v>386</v>
      </c>
      <c r="O115" s="311"/>
      <c r="P115" s="311"/>
      <c r="Q115" s="311" t="s">
        <v>386</v>
      </c>
      <c r="R115" s="311" t="s">
        <v>386</v>
      </c>
      <c r="S115" s="311" t="s">
        <v>386</v>
      </c>
      <c r="T115" s="263" t="str">
        <f t="shared" ref="T115:T128" si="209">+IF(R115="","",R115*S115)</f>
        <v/>
      </c>
      <c r="U115" s="269">
        <v>45000</v>
      </c>
      <c r="V115" s="270"/>
      <c r="W115" s="270" t="str">
        <f t="shared" si="177"/>
        <v/>
      </c>
      <c r="X115" s="270" t="str">
        <f t="shared" si="178"/>
        <v/>
      </c>
      <c r="Y115" s="381"/>
      <c r="Z115" s="381">
        <v>0</v>
      </c>
      <c r="AA115" s="256">
        <f t="shared" si="179"/>
        <v>0</v>
      </c>
      <c r="AB115" s="311"/>
      <c r="AC115" s="381"/>
      <c r="AD115" s="381" t="str">
        <f t="shared" si="180"/>
        <v/>
      </c>
      <c r="AE115" s="381" t="str">
        <f t="shared" si="181"/>
        <v/>
      </c>
      <c r="AF115" s="400" t="str">
        <f t="shared" si="182"/>
        <v/>
      </c>
      <c r="AG115" s="192">
        <v>0</v>
      </c>
      <c r="AH115" s="381" t="str">
        <f t="shared" si="183"/>
        <v/>
      </c>
      <c r="AI115" s="381">
        <f t="shared" si="128"/>
        <v>0</v>
      </c>
      <c r="AJ115" s="381"/>
      <c r="AK115" s="381">
        <v>0</v>
      </c>
      <c r="AL115" s="256">
        <f t="shared" si="184"/>
        <v>0</v>
      </c>
      <c r="AM115" s="256">
        <f t="shared" si="185"/>
        <v>0</v>
      </c>
      <c r="AN115" s="256">
        <f t="shared" si="186"/>
        <v>0</v>
      </c>
    </row>
    <row r="116" spans="1:44" hidden="1" x14ac:dyDescent="0.2">
      <c r="A116" s="311"/>
      <c r="B116" s="380"/>
      <c r="C116" s="380"/>
      <c r="D116" s="380"/>
      <c r="E116" s="380"/>
      <c r="F116" s="380"/>
      <c r="G116" s="380"/>
      <c r="H116" s="380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263" t="str">
        <f t="shared" si="209"/>
        <v/>
      </c>
      <c r="U116" s="269"/>
      <c r="V116" s="270"/>
      <c r="W116" s="270" t="str">
        <f t="shared" si="177"/>
        <v/>
      </c>
      <c r="X116" s="270" t="str">
        <f t="shared" si="178"/>
        <v/>
      </c>
      <c r="Y116" s="381"/>
      <c r="Z116" s="381">
        <v>0</v>
      </c>
      <c r="AA116" s="256">
        <f t="shared" si="179"/>
        <v>0</v>
      </c>
      <c r="AB116" s="311"/>
      <c r="AC116" s="381"/>
      <c r="AD116" s="381" t="str">
        <f t="shared" si="180"/>
        <v/>
      </c>
      <c r="AE116" s="381" t="str">
        <f t="shared" si="181"/>
        <v/>
      </c>
      <c r="AF116" s="381" t="str">
        <f t="shared" si="182"/>
        <v/>
      </c>
      <c r="AG116" s="192">
        <v>0</v>
      </c>
      <c r="AH116" s="381" t="str">
        <f t="shared" si="183"/>
        <v/>
      </c>
      <c r="AI116" s="381">
        <f t="shared" si="128"/>
        <v>0</v>
      </c>
      <c r="AJ116" s="381"/>
      <c r="AK116" s="381">
        <v>0</v>
      </c>
      <c r="AL116" s="256">
        <f t="shared" si="184"/>
        <v>0</v>
      </c>
      <c r="AM116" s="256">
        <f t="shared" si="185"/>
        <v>0</v>
      </c>
      <c r="AN116" s="256">
        <f t="shared" si="186"/>
        <v>0</v>
      </c>
    </row>
    <row r="117" spans="1:44" x14ac:dyDescent="0.2">
      <c r="A117" s="311" t="s">
        <v>1149</v>
      </c>
      <c r="B117" s="380">
        <v>250</v>
      </c>
      <c r="C117" s="380" t="s">
        <v>145</v>
      </c>
      <c r="D117" s="380"/>
      <c r="E117" s="380">
        <v>200</v>
      </c>
      <c r="F117" s="380">
        <v>1000</v>
      </c>
      <c r="G117" s="380" t="s">
        <v>161</v>
      </c>
      <c r="H117" s="380" t="s">
        <v>497</v>
      </c>
      <c r="I117" s="311" t="s">
        <v>495</v>
      </c>
      <c r="J117" s="311" t="s">
        <v>508</v>
      </c>
      <c r="K117" s="311" t="s">
        <v>389</v>
      </c>
      <c r="L117" s="311" t="s">
        <v>495</v>
      </c>
      <c r="M117" s="311"/>
      <c r="N117" s="311" t="s">
        <v>386</v>
      </c>
      <c r="O117" s="311"/>
      <c r="P117" s="311"/>
      <c r="Q117" s="311" t="s">
        <v>386</v>
      </c>
      <c r="R117" s="311" t="s">
        <v>386</v>
      </c>
      <c r="S117" s="311" t="s">
        <v>386</v>
      </c>
      <c r="T117" s="263" t="str">
        <f t="shared" si="209"/>
        <v/>
      </c>
      <c r="U117" s="269">
        <v>45000</v>
      </c>
      <c r="V117" s="270"/>
      <c r="W117" s="270" t="str">
        <f t="shared" si="177"/>
        <v/>
      </c>
      <c r="X117" s="270" t="str">
        <f t="shared" si="178"/>
        <v/>
      </c>
      <c r="Y117" s="381"/>
      <c r="Z117" s="381">
        <v>0</v>
      </c>
      <c r="AA117" s="256">
        <f t="shared" si="179"/>
        <v>0</v>
      </c>
      <c r="AB117" s="311"/>
      <c r="AC117" s="381"/>
      <c r="AD117" s="381" t="str">
        <f t="shared" si="180"/>
        <v/>
      </c>
      <c r="AE117" s="381" t="str">
        <f t="shared" si="181"/>
        <v/>
      </c>
      <c r="AF117" s="381" t="str">
        <f t="shared" si="182"/>
        <v/>
      </c>
      <c r="AG117" s="192">
        <v>0</v>
      </c>
      <c r="AH117" s="381" t="str">
        <f t="shared" si="183"/>
        <v/>
      </c>
      <c r="AI117" s="381">
        <f t="shared" si="128"/>
        <v>0</v>
      </c>
      <c r="AJ117" s="381"/>
      <c r="AK117" s="381">
        <v>0</v>
      </c>
      <c r="AL117" s="256">
        <f t="shared" si="184"/>
        <v>0</v>
      </c>
      <c r="AM117" s="256">
        <f t="shared" si="185"/>
        <v>0</v>
      </c>
      <c r="AN117" s="256">
        <f t="shared" si="186"/>
        <v>0</v>
      </c>
    </row>
    <row r="118" spans="1:44" hidden="1" x14ac:dyDescent="0.2">
      <c r="A118" s="311" t="s">
        <v>386</v>
      </c>
      <c r="B118" s="798" t="s">
        <v>386</v>
      </c>
      <c r="C118" s="798" t="s">
        <v>386</v>
      </c>
      <c r="D118" s="798"/>
      <c r="E118" s="798" t="s">
        <v>386</v>
      </c>
      <c r="F118" s="798" t="s">
        <v>386</v>
      </c>
      <c r="G118" s="798" t="s">
        <v>386</v>
      </c>
      <c r="H118" s="798"/>
      <c r="I118" s="312" t="s">
        <v>386</v>
      </c>
      <c r="J118" s="312" t="s">
        <v>386</v>
      </c>
      <c r="K118" s="312" t="s">
        <v>386</v>
      </c>
      <c r="L118" s="312" t="s">
        <v>386</v>
      </c>
      <c r="M118" s="313" t="s">
        <v>386</v>
      </c>
      <c r="N118" s="311" t="s">
        <v>386</v>
      </c>
      <c r="O118" s="311" t="s">
        <v>386</v>
      </c>
      <c r="P118" s="311" t="s">
        <v>386</v>
      </c>
      <c r="Q118" s="311" t="s">
        <v>386</v>
      </c>
      <c r="R118" s="311" t="s">
        <v>386</v>
      </c>
      <c r="S118" s="311" t="s">
        <v>386</v>
      </c>
      <c r="T118" s="263" t="str">
        <f t="shared" si="209"/>
        <v/>
      </c>
      <c r="U118" s="269" t="s">
        <v>386</v>
      </c>
      <c r="V118" s="270"/>
      <c r="W118" s="270" t="str">
        <f t="shared" si="177"/>
        <v/>
      </c>
      <c r="X118" s="270" t="str">
        <f t="shared" si="178"/>
        <v/>
      </c>
      <c r="Y118" s="381"/>
      <c r="Z118" s="381">
        <v>0</v>
      </c>
      <c r="AA118" s="256">
        <f t="shared" si="179"/>
        <v>0</v>
      </c>
      <c r="AB118" s="311"/>
      <c r="AC118" s="381"/>
      <c r="AD118" s="381" t="str">
        <f t="shared" si="180"/>
        <v/>
      </c>
      <c r="AE118" s="381" t="str">
        <f t="shared" si="181"/>
        <v/>
      </c>
      <c r="AF118" s="400" t="str">
        <f t="shared" si="182"/>
        <v/>
      </c>
      <c r="AG118" s="192">
        <v>0</v>
      </c>
      <c r="AH118" s="381" t="str">
        <f t="shared" si="183"/>
        <v/>
      </c>
      <c r="AI118" s="381">
        <f t="shared" si="128"/>
        <v>0</v>
      </c>
      <c r="AJ118" s="381"/>
      <c r="AK118" s="381">
        <v>0</v>
      </c>
      <c r="AL118" s="256">
        <f t="shared" si="184"/>
        <v>0</v>
      </c>
      <c r="AM118" s="256">
        <f t="shared" si="185"/>
        <v>0</v>
      </c>
      <c r="AN118" s="256">
        <f t="shared" si="186"/>
        <v>0</v>
      </c>
    </row>
    <row r="119" spans="1:44" x14ac:dyDescent="0.2">
      <c r="A119" s="311" t="s">
        <v>1149</v>
      </c>
      <c r="B119" s="798" t="s">
        <v>462</v>
      </c>
      <c r="C119" s="798" t="s">
        <v>145</v>
      </c>
      <c r="D119" s="798"/>
      <c r="E119" s="798" t="s">
        <v>463</v>
      </c>
      <c r="F119" s="798" t="s">
        <v>461</v>
      </c>
      <c r="G119" s="798" t="s">
        <v>161</v>
      </c>
      <c r="H119" s="798"/>
      <c r="I119" s="312" t="s">
        <v>896</v>
      </c>
      <c r="J119" s="311" t="s">
        <v>508</v>
      </c>
      <c r="K119" s="312" t="s">
        <v>389</v>
      </c>
      <c r="L119" s="312" t="s">
        <v>896</v>
      </c>
      <c r="M119" s="313"/>
      <c r="N119" s="311"/>
      <c r="O119" s="311"/>
      <c r="P119" s="311"/>
      <c r="Q119" s="311"/>
      <c r="R119" s="311"/>
      <c r="S119" s="311"/>
      <c r="T119" s="263" t="str">
        <f t="shared" si="209"/>
        <v/>
      </c>
      <c r="U119" s="269">
        <v>65000</v>
      </c>
      <c r="V119" s="270"/>
      <c r="W119" s="270" t="str">
        <f t="shared" si="177"/>
        <v/>
      </c>
      <c r="X119" s="270" t="str">
        <f t="shared" si="178"/>
        <v/>
      </c>
      <c r="Y119" s="381"/>
      <c r="Z119" s="381">
        <v>0</v>
      </c>
      <c r="AA119" s="256">
        <f t="shared" si="179"/>
        <v>0</v>
      </c>
      <c r="AB119" s="311"/>
      <c r="AC119" s="381"/>
      <c r="AD119" s="381" t="str">
        <f t="shared" si="180"/>
        <v/>
      </c>
      <c r="AE119" s="381" t="str">
        <f t="shared" si="181"/>
        <v/>
      </c>
      <c r="AF119" s="381" t="str">
        <f t="shared" si="182"/>
        <v/>
      </c>
      <c r="AG119" s="192">
        <v>0</v>
      </c>
      <c r="AH119" s="381" t="str">
        <f t="shared" si="183"/>
        <v/>
      </c>
      <c r="AI119" s="381">
        <f t="shared" si="128"/>
        <v>0</v>
      </c>
      <c r="AJ119" s="381"/>
      <c r="AK119" s="381">
        <v>0</v>
      </c>
      <c r="AL119" s="256">
        <f t="shared" si="184"/>
        <v>0</v>
      </c>
      <c r="AM119" s="256">
        <f t="shared" si="185"/>
        <v>0</v>
      </c>
      <c r="AN119" s="256">
        <f t="shared" si="186"/>
        <v>0</v>
      </c>
    </row>
    <row r="120" spans="1:44" hidden="1" x14ac:dyDescent="0.2">
      <c r="A120" s="311" t="s">
        <v>386</v>
      </c>
      <c r="B120" s="798" t="s">
        <v>386</v>
      </c>
      <c r="C120" s="798" t="s">
        <v>386</v>
      </c>
      <c r="D120" s="798"/>
      <c r="E120" s="798" t="s">
        <v>386</v>
      </c>
      <c r="F120" s="798" t="s">
        <v>386</v>
      </c>
      <c r="G120" s="798" t="s">
        <v>386</v>
      </c>
      <c r="H120" s="798"/>
      <c r="I120" s="312" t="s">
        <v>386</v>
      </c>
      <c r="J120" s="312" t="s">
        <v>386</v>
      </c>
      <c r="K120" s="312" t="s">
        <v>386</v>
      </c>
      <c r="L120" s="312" t="s">
        <v>386</v>
      </c>
      <c r="M120" s="313" t="s">
        <v>386</v>
      </c>
      <c r="N120" s="311" t="s">
        <v>386</v>
      </c>
      <c r="O120" s="311" t="s">
        <v>386</v>
      </c>
      <c r="P120" s="311" t="s">
        <v>386</v>
      </c>
      <c r="Q120" s="311" t="s">
        <v>386</v>
      </c>
      <c r="R120" s="311" t="s">
        <v>386</v>
      </c>
      <c r="S120" s="311" t="s">
        <v>386</v>
      </c>
      <c r="T120" s="263" t="str">
        <f t="shared" si="209"/>
        <v/>
      </c>
      <c r="U120" s="269" t="s">
        <v>386</v>
      </c>
      <c r="V120" s="270"/>
      <c r="W120" s="270" t="str">
        <f t="shared" si="177"/>
        <v/>
      </c>
      <c r="X120" s="270" t="str">
        <f t="shared" si="178"/>
        <v/>
      </c>
      <c r="Y120" s="381"/>
      <c r="Z120" s="381">
        <v>0</v>
      </c>
      <c r="AA120" s="256">
        <f t="shared" si="179"/>
        <v>0</v>
      </c>
      <c r="AB120" s="311"/>
      <c r="AC120" s="381"/>
      <c r="AD120" s="381" t="str">
        <f t="shared" si="180"/>
        <v/>
      </c>
      <c r="AE120" s="381" t="str">
        <f t="shared" si="181"/>
        <v/>
      </c>
      <c r="AF120" s="381" t="str">
        <f t="shared" si="182"/>
        <v/>
      </c>
      <c r="AG120" s="192">
        <v>0</v>
      </c>
      <c r="AH120" s="381" t="str">
        <f t="shared" si="183"/>
        <v/>
      </c>
      <c r="AI120" s="381">
        <f t="shared" si="128"/>
        <v>0</v>
      </c>
      <c r="AJ120" s="381"/>
      <c r="AK120" s="381">
        <v>0</v>
      </c>
      <c r="AL120" s="256">
        <f t="shared" si="184"/>
        <v>0</v>
      </c>
      <c r="AM120" s="256">
        <f t="shared" si="185"/>
        <v>0</v>
      </c>
      <c r="AN120" s="256">
        <f t="shared" si="186"/>
        <v>0</v>
      </c>
    </row>
    <row r="121" spans="1:44" x14ac:dyDescent="0.2">
      <c r="A121" s="311" t="s">
        <v>1149</v>
      </c>
      <c r="B121" s="380">
        <v>100</v>
      </c>
      <c r="C121" s="380" t="s">
        <v>145</v>
      </c>
      <c r="D121" s="380"/>
      <c r="E121" s="380">
        <v>100</v>
      </c>
      <c r="F121" s="380">
        <v>1000</v>
      </c>
      <c r="G121" s="380" t="s">
        <v>161</v>
      </c>
      <c r="H121" s="380" t="s">
        <v>497</v>
      </c>
      <c r="I121" s="311" t="s">
        <v>498</v>
      </c>
      <c r="J121" s="311" t="s">
        <v>1262</v>
      </c>
      <c r="K121" s="311" t="s">
        <v>389</v>
      </c>
      <c r="L121" s="311" t="s">
        <v>498</v>
      </c>
      <c r="M121" s="311"/>
      <c r="N121" s="311" t="s">
        <v>386</v>
      </c>
      <c r="O121" s="311"/>
      <c r="P121" s="311"/>
      <c r="Q121" s="311" t="s">
        <v>386</v>
      </c>
      <c r="R121" s="311" t="s">
        <v>386</v>
      </c>
      <c r="S121" s="311" t="s">
        <v>386</v>
      </c>
      <c r="T121" s="263" t="str">
        <f t="shared" si="209"/>
        <v/>
      </c>
      <c r="U121" s="269">
        <v>45000</v>
      </c>
      <c r="V121" s="270"/>
      <c r="W121" s="270" t="str">
        <f>+IF(P121="EE",+V121*$W$1,"")</f>
        <v/>
      </c>
      <c r="X121" s="270" t="str">
        <f>_xlfn.IFS(P121="ER",V121,P121="EE",W121,P121="N",V121,P121="","")</f>
        <v/>
      </c>
      <c r="Y121" s="381"/>
      <c r="Z121" s="381"/>
      <c r="AA121" s="256">
        <f>SUM(X121:Z121)</f>
        <v>0</v>
      </c>
      <c r="AB121" s="311"/>
      <c r="AC121" s="381"/>
      <c r="AD121" s="381" t="str">
        <f>_xlfn.IFS(P121="N",$AD$1*AA121,P121="EE","",P121="ER","",P121="","")</f>
        <v/>
      </c>
      <c r="AE121" s="381" t="str">
        <f>_xlfn.IFS(P121="EE",X121*$AE$1,P121="ER",X121*$AE$2,P121="N","",P121="","")</f>
        <v/>
      </c>
      <c r="AF121" s="381" t="str">
        <f>+IF(AA121&gt;1,AA121*$AF$1,"")</f>
        <v/>
      </c>
      <c r="AG121" s="391"/>
      <c r="AH121" s="381"/>
      <c r="AI121" s="381">
        <f>+_xlfn.IFS(F121&lt;2300,(AA121*$AI$1),F121&gt;=2300,(AA121*$AI$2),F121="","")</f>
        <v>0</v>
      </c>
      <c r="AJ121" s="381"/>
      <c r="AK121" s="381"/>
      <c r="AL121" s="256">
        <f>SUM(AC121:AK121)</f>
        <v>0</v>
      </c>
      <c r="AM121" s="256">
        <f>AA121</f>
        <v>0</v>
      </c>
      <c r="AN121" s="256">
        <f>SUM(AL121:AM121)</f>
        <v>0</v>
      </c>
      <c r="AO121" s="3"/>
      <c r="AP121" s="3"/>
      <c r="AQ121" s="3"/>
      <c r="AR121" s="3"/>
    </row>
    <row r="122" spans="1:44" x14ac:dyDescent="0.2">
      <c r="A122" s="311" t="s">
        <v>1149</v>
      </c>
      <c r="B122" s="380">
        <v>100</v>
      </c>
      <c r="C122" s="380" t="s">
        <v>145</v>
      </c>
      <c r="D122" s="380"/>
      <c r="E122" s="380">
        <v>100</v>
      </c>
      <c r="F122" s="380">
        <v>1000</v>
      </c>
      <c r="G122" s="380" t="s">
        <v>161</v>
      </c>
      <c r="H122" s="380" t="s">
        <v>497</v>
      </c>
      <c r="I122" s="311" t="s">
        <v>498</v>
      </c>
      <c r="J122" s="311" t="s">
        <v>1262</v>
      </c>
      <c r="K122" s="311" t="s">
        <v>389</v>
      </c>
      <c r="L122" s="311" t="s">
        <v>498</v>
      </c>
      <c r="M122" s="311"/>
      <c r="N122" s="311" t="s">
        <v>386</v>
      </c>
      <c r="O122" s="311"/>
      <c r="P122" s="311"/>
      <c r="Q122" s="311" t="s">
        <v>386</v>
      </c>
      <c r="R122" s="311" t="s">
        <v>386</v>
      </c>
      <c r="S122" s="311" t="s">
        <v>386</v>
      </c>
      <c r="T122" s="263" t="str">
        <f t="shared" si="209"/>
        <v/>
      </c>
      <c r="U122" s="269">
        <v>45000</v>
      </c>
      <c r="V122" s="270"/>
      <c r="W122" s="270" t="str">
        <f>+IF(P122="EE",+V122*$W$1,"")</f>
        <v/>
      </c>
      <c r="X122" s="270" t="str">
        <f>_xlfn.IFS(P122="ER",V122,P122="EE",W122,P122="N",V122,P122="","")</f>
        <v/>
      </c>
      <c r="Y122" s="381"/>
      <c r="Z122" s="381"/>
      <c r="AA122" s="256">
        <f>SUM(X122:Z122)</f>
        <v>0</v>
      </c>
      <c r="AB122" s="311"/>
      <c r="AC122" s="381"/>
      <c r="AD122" s="381" t="str">
        <f>_xlfn.IFS(P122="N",$AD$1*AA122,P122="EE","",P122="ER","",P122="","")</f>
        <v/>
      </c>
      <c r="AE122" s="381" t="str">
        <f>_xlfn.IFS(P122="EE",X122*$AE$1,P122="ER",X122*$AE$2,P122="N","",P122="","")</f>
        <v/>
      </c>
      <c r="AF122" s="381" t="str">
        <f>+IF(AA122&gt;1,AA122*$AF$1,"")</f>
        <v/>
      </c>
      <c r="AG122" s="391"/>
      <c r="AH122" s="381"/>
      <c r="AI122" s="381">
        <f>+_xlfn.IFS(F122&lt;2300,(AA122*$AI$1),F122&gt;=2300,(AA122*$AI$2),F122="","")</f>
        <v>0</v>
      </c>
      <c r="AJ122" s="381"/>
      <c r="AK122" s="381"/>
      <c r="AL122" s="256">
        <f>SUM(AC122:AK122)</f>
        <v>0</v>
      </c>
      <c r="AM122" s="256">
        <f>AA122</f>
        <v>0</v>
      </c>
      <c r="AN122" s="256">
        <f>SUM(AL122:AM122)</f>
        <v>0</v>
      </c>
      <c r="AO122" s="3"/>
      <c r="AP122" s="3"/>
      <c r="AQ122" s="3"/>
      <c r="AR122" s="3"/>
    </row>
    <row r="123" spans="1:44" hidden="1" x14ac:dyDescent="0.2">
      <c r="A123" s="311"/>
      <c r="B123" s="380"/>
      <c r="C123" s="380"/>
      <c r="D123" s="380"/>
      <c r="E123" s="380"/>
      <c r="F123" s="380"/>
      <c r="G123" s="380"/>
      <c r="H123" s="380"/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263" t="str">
        <f t="shared" si="209"/>
        <v/>
      </c>
      <c r="U123" s="269"/>
      <c r="V123" s="270"/>
      <c r="W123" s="270" t="str">
        <f t="shared" ref="W123:W128" si="210">+IF(P123="EE",+V123*$W$1,"")</f>
        <v/>
      </c>
      <c r="X123" s="270" t="str">
        <f t="shared" ref="X123:X128" si="211">_xlfn.IFS(P123="ER",V123,P123="EE",W123,P123="N",V123,P123="","")</f>
        <v/>
      </c>
      <c r="Y123" s="381"/>
      <c r="Z123" s="381"/>
      <c r="AA123" s="256">
        <f t="shared" ref="AA123:AA128" si="212">SUM(X123:Z123)</f>
        <v>0</v>
      </c>
      <c r="AB123" s="311"/>
      <c r="AC123" s="381"/>
      <c r="AD123" s="381" t="str">
        <f t="shared" ref="AD123:AD128" si="213">_xlfn.IFS(P123="N",$AD$1*AA123,P123="EE","",P123="ER","",P123="","")</f>
        <v/>
      </c>
      <c r="AE123" s="381" t="str">
        <f t="shared" ref="AE123:AE128" si="214">_xlfn.IFS(P123="EE",X123*$AE$1,P123="ER",X123*$AE$2,P123="N","",P123="","")</f>
        <v/>
      </c>
      <c r="AF123" s="381" t="str">
        <f t="shared" ref="AF123:AF128" si="215">+IF(AA123&gt;1,AA123*$AF$1,"")</f>
        <v/>
      </c>
      <c r="AG123" s="391"/>
      <c r="AH123" s="381"/>
      <c r="AI123" s="381">
        <f t="shared" ref="AI123:AI128" si="216">+_xlfn.IFS(F123&lt;2300,(AA123*$AI$1),F123&gt;=2300,(AA123*$AI$2),F123="","")</f>
        <v>0</v>
      </c>
      <c r="AJ123" s="381"/>
      <c r="AK123" s="381"/>
      <c r="AL123" s="256">
        <f t="shared" ref="AL123:AL128" si="217">SUM(AC123:AK123)</f>
        <v>0</v>
      </c>
      <c r="AM123" s="256">
        <f t="shared" ref="AM123:AM128" si="218">AA123</f>
        <v>0</v>
      </c>
      <c r="AN123" s="256">
        <f t="shared" ref="AN123:AN128" si="219">SUM(AL123:AM123)</f>
        <v>0</v>
      </c>
      <c r="AO123" s="3"/>
      <c r="AP123" s="3"/>
      <c r="AQ123" s="3"/>
      <c r="AR123" s="3"/>
    </row>
    <row r="124" spans="1:44" x14ac:dyDescent="0.2">
      <c r="A124" s="311" t="s">
        <v>1149</v>
      </c>
      <c r="B124" s="380">
        <v>250</v>
      </c>
      <c r="C124" s="380" t="s">
        <v>145</v>
      </c>
      <c r="D124" s="380"/>
      <c r="E124" s="380">
        <v>200</v>
      </c>
      <c r="F124" s="380">
        <v>1000</v>
      </c>
      <c r="G124" s="380" t="s">
        <v>161</v>
      </c>
      <c r="H124" s="380" t="s">
        <v>497</v>
      </c>
      <c r="I124" s="311" t="s">
        <v>495</v>
      </c>
      <c r="J124" s="311" t="s">
        <v>1262</v>
      </c>
      <c r="K124" s="311" t="s">
        <v>389</v>
      </c>
      <c r="L124" s="311" t="s">
        <v>495</v>
      </c>
      <c r="M124" s="311"/>
      <c r="N124" s="311" t="s">
        <v>386</v>
      </c>
      <c r="O124" s="311"/>
      <c r="P124" s="311"/>
      <c r="Q124" s="311" t="s">
        <v>386</v>
      </c>
      <c r="R124" s="311" t="s">
        <v>386</v>
      </c>
      <c r="S124" s="311" t="s">
        <v>386</v>
      </c>
      <c r="T124" s="263" t="str">
        <f t="shared" si="209"/>
        <v/>
      </c>
      <c r="U124" s="269">
        <v>45000</v>
      </c>
      <c r="V124" s="270"/>
      <c r="W124" s="270" t="str">
        <f t="shared" si="210"/>
        <v/>
      </c>
      <c r="X124" s="270" t="str">
        <f t="shared" si="211"/>
        <v/>
      </c>
      <c r="Y124" s="381"/>
      <c r="Z124" s="381"/>
      <c r="AA124" s="256">
        <f t="shared" si="212"/>
        <v>0</v>
      </c>
      <c r="AB124" s="311"/>
      <c r="AC124" s="381"/>
      <c r="AD124" s="381" t="str">
        <f t="shared" si="213"/>
        <v/>
      </c>
      <c r="AE124" s="381" t="str">
        <f t="shared" si="214"/>
        <v/>
      </c>
      <c r="AF124" s="381" t="str">
        <f t="shared" si="215"/>
        <v/>
      </c>
      <c r="AG124" s="391"/>
      <c r="AH124" s="381"/>
      <c r="AI124" s="381">
        <f t="shared" si="216"/>
        <v>0</v>
      </c>
      <c r="AJ124" s="381"/>
      <c r="AK124" s="381"/>
      <c r="AL124" s="256">
        <f t="shared" si="217"/>
        <v>0</v>
      </c>
      <c r="AM124" s="256">
        <f t="shared" si="218"/>
        <v>0</v>
      </c>
      <c r="AN124" s="256">
        <f t="shared" si="219"/>
        <v>0</v>
      </c>
      <c r="AO124" s="3"/>
      <c r="AP124" s="3"/>
      <c r="AQ124" s="3"/>
      <c r="AR124" s="3"/>
    </row>
    <row r="125" spans="1:44" hidden="1" x14ac:dyDescent="0.2">
      <c r="A125" s="311" t="s">
        <v>386</v>
      </c>
      <c r="B125" s="798" t="s">
        <v>386</v>
      </c>
      <c r="C125" s="798" t="s">
        <v>386</v>
      </c>
      <c r="D125" s="798"/>
      <c r="E125" s="798" t="s">
        <v>386</v>
      </c>
      <c r="F125" s="798" t="s">
        <v>386</v>
      </c>
      <c r="G125" s="798" t="s">
        <v>386</v>
      </c>
      <c r="H125" s="798"/>
      <c r="I125" s="312" t="s">
        <v>386</v>
      </c>
      <c r="J125" s="312" t="s">
        <v>386</v>
      </c>
      <c r="K125" s="312" t="s">
        <v>386</v>
      </c>
      <c r="L125" s="312" t="s">
        <v>386</v>
      </c>
      <c r="M125" s="313" t="s">
        <v>386</v>
      </c>
      <c r="N125" s="311" t="s">
        <v>386</v>
      </c>
      <c r="O125" s="311" t="s">
        <v>386</v>
      </c>
      <c r="P125" s="311" t="s">
        <v>386</v>
      </c>
      <c r="Q125" s="311" t="s">
        <v>386</v>
      </c>
      <c r="R125" s="311" t="s">
        <v>386</v>
      </c>
      <c r="S125" s="311" t="s">
        <v>386</v>
      </c>
      <c r="T125" s="263" t="str">
        <f t="shared" si="209"/>
        <v/>
      </c>
      <c r="U125" s="269" t="s">
        <v>386</v>
      </c>
      <c r="V125" s="270"/>
      <c r="W125" s="270" t="str">
        <f t="shared" si="210"/>
        <v/>
      </c>
      <c r="X125" s="270" t="str">
        <f t="shared" si="211"/>
        <v/>
      </c>
      <c r="Y125" s="381"/>
      <c r="Z125" s="381"/>
      <c r="AA125" s="256">
        <f t="shared" si="212"/>
        <v>0</v>
      </c>
      <c r="AB125" s="311"/>
      <c r="AC125" s="381"/>
      <c r="AD125" s="381" t="str">
        <f t="shared" si="213"/>
        <v/>
      </c>
      <c r="AE125" s="381" t="str">
        <f t="shared" si="214"/>
        <v/>
      </c>
      <c r="AF125" s="381" t="str">
        <f t="shared" si="215"/>
        <v/>
      </c>
      <c r="AG125" s="391"/>
      <c r="AH125" s="381"/>
      <c r="AI125" s="381">
        <f t="shared" si="216"/>
        <v>0</v>
      </c>
      <c r="AJ125" s="381"/>
      <c r="AK125" s="381"/>
      <c r="AL125" s="256">
        <f t="shared" si="217"/>
        <v>0</v>
      </c>
      <c r="AM125" s="256">
        <f t="shared" si="218"/>
        <v>0</v>
      </c>
      <c r="AN125" s="256">
        <f t="shared" si="219"/>
        <v>0</v>
      </c>
      <c r="AO125" s="3"/>
      <c r="AP125" s="3"/>
      <c r="AQ125" s="3"/>
      <c r="AR125" s="3"/>
    </row>
    <row r="126" spans="1:44" x14ac:dyDescent="0.2">
      <c r="A126" s="311" t="s">
        <v>1149</v>
      </c>
      <c r="B126" s="798">
        <v>100</v>
      </c>
      <c r="C126" s="798" t="s">
        <v>145</v>
      </c>
      <c r="D126" s="798"/>
      <c r="E126" s="798">
        <v>100</v>
      </c>
      <c r="F126" s="798">
        <v>1000</v>
      </c>
      <c r="G126" s="798" t="s">
        <v>169</v>
      </c>
      <c r="H126" s="798"/>
      <c r="I126" s="312" t="s">
        <v>1149</v>
      </c>
      <c r="J126" s="312" t="s">
        <v>1262</v>
      </c>
      <c r="K126" s="312" t="s">
        <v>384</v>
      </c>
      <c r="L126" s="312" t="s">
        <v>989</v>
      </c>
      <c r="M126" s="313"/>
      <c r="N126" s="311"/>
      <c r="O126" s="311"/>
      <c r="P126" s="311"/>
      <c r="Q126" s="311"/>
      <c r="R126" s="311"/>
      <c r="S126" s="311"/>
      <c r="T126" s="263" t="str">
        <f t="shared" si="209"/>
        <v/>
      </c>
      <c r="U126" s="269">
        <v>31500</v>
      </c>
      <c r="V126" s="270"/>
      <c r="W126" s="270" t="str">
        <f t="shared" si="210"/>
        <v/>
      </c>
      <c r="X126" s="270" t="str">
        <f t="shared" si="211"/>
        <v/>
      </c>
      <c r="Y126" s="381"/>
      <c r="Z126" s="381"/>
      <c r="AA126" s="256">
        <f t="shared" si="212"/>
        <v>0</v>
      </c>
      <c r="AB126" s="311"/>
      <c r="AC126" s="381"/>
      <c r="AD126" s="381" t="str">
        <f t="shared" si="213"/>
        <v/>
      </c>
      <c r="AE126" s="381" t="str">
        <f t="shared" si="214"/>
        <v/>
      </c>
      <c r="AF126" s="381" t="str">
        <f t="shared" si="215"/>
        <v/>
      </c>
      <c r="AG126" s="391"/>
      <c r="AH126" s="381"/>
      <c r="AI126" s="381">
        <f t="shared" si="216"/>
        <v>0</v>
      </c>
      <c r="AJ126" s="381"/>
      <c r="AK126" s="381"/>
      <c r="AL126" s="256">
        <f t="shared" si="217"/>
        <v>0</v>
      </c>
      <c r="AM126" s="256">
        <f t="shared" si="218"/>
        <v>0</v>
      </c>
      <c r="AN126" s="256">
        <f t="shared" si="219"/>
        <v>0</v>
      </c>
      <c r="AO126" s="3"/>
      <c r="AP126" s="3"/>
      <c r="AQ126" s="3"/>
      <c r="AR126" s="3"/>
    </row>
    <row r="127" spans="1:44" hidden="1" x14ac:dyDescent="0.2">
      <c r="A127" s="311" t="s">
        <v>386</v>
      </c>
      <c r="B127" s="798" t="s">
        <v>386</v>
      </c>
      <c r="C127" s="798" t="s">
        <v>386</v>
      </c>
      <c r="D127" s="798"/>
      <c r="E127" s="798" t="s">
        <v>386</v>
      </c>
      <c r="F127" s="798" t="s">
        <v>386</v>
      </c>
      <c r="G127" s="798" t="s">
        <v>386</v>
      </c>
      <c r="H127" s="798"/>
      <c r="I127" s="312" t="s">
        <v>386</v>
      </c>
      <c r="J127" s="312" t="s">
        <v>386</v>
      </c>
      <c r="K127" s="312" t="s">
        <v>386</v>
      </c>
      <c r="L127" s="312" t="s">
        <v>386</v>
      </c>
      <c r="M127" s="313" t="s">
        <v>386</v>
      </c>
      <c r="N127" s="311" t="s">
        <v>386</v>
      </c>
      <c r="O127" s="311" t="s">
        <v>386</v>
      </c>
      <c r="P127" s="311" t="s">
        <v>386</v>
      </c>
      <c r="Q127" s="311" t="s">
        <v>386</v>
      </c>
      <c r="R127" s="311" t="s">
        <v>386</v>
      </c>
      <c r="S127" s="311" t="s">
        <v>386</v>
      </c>
      <c r="T127" s="263" t="str">
        <f>+IF(R127="","",R127*S127)</f>
        <v/>
      </c>
      <c r="U127" s="269" t="s">
        <v>386</v>
      </c>
      <c r="V127" s="270"/>
      <c r="W127" s="270" t="str">
        <f t="shared" si="210"/>
        <v/>
      </c>
      <c r="X127" s="270" t="str">
        <f t="shared" si="211"/>
        <v/>
      </c>
      <c r="Y127" s="381"/>
      <c r="Z127" s="381"/>
      <c r="AA127" s="256">
        <f t="shared" si="212"/>
        <v>0</v>
      </c>
      <c r="AB127" s="311"/>
      <c r="AC127" s="381"/>
      <c r="AD127" s="381" t="str">
        <f t="shared" si="213"/>
        <v/>
      </c>
      <c r="AE127" s="381" t="str">
        <f t="shared" si="214"/>
        <v/>
      </c>
      <c r="AF127" s="381" t="str">
        <f t="shared" si="215"/>
        <v/>
      </c>
      <c r="AG127" s="391"/>
      <c r="AH127" s="381"/>
      <c r="AI127" s="381">
        <f t="shared" si="216"/>
        <v>0</v>
      </c>
      <c r="AJ127" s="381"/>
      <c r="AK127" s="381"/>
      <c r="AL127" s="256">
        <f t="shared" si="217"/>
        <v>0</v>
      </c>
      <c r="AM127" s="256">
        <f t="shared" si="218"/>
        <v>0</v>
      </c>
      <c r="AN127" s="256">
        <f t="shared" si="219"/>
        <v>0</v>
      </c>
      <c r="AO127" s="3"/>
      <c r="AP127" s="3"/>
      <c r="AQ127" s="3"/>
      <c r="AR127" s="3"/>
    </row>
    <row r="128" spans="1:44" x14ac:dyDescent="0.2">
      <c r="A128" s="311" t="s">
        <v>1149</v>
      </c>
      <c r="B128" s="380">
        <v>250</v>
      </c>
      <c r="C128" s="380" t="s">
        <v>145</v>
      </c>
      <c r="D128" s="380"/>
      <c r="E128" s="380">
        <v>200</v>
      </c>
      <c r="F128" s="380">
        <v>1000</v>
      </c>
      <c r="G128" s="380" t="s">
        <v>161</v>
      </c>
      <c r="H128" s="380" t="s">
        <v>497</v>
      </c>
      <c r="I128" s="311" t="s">
        <v>495</v>
      </c>
      <c r="J128" s="311" t="s">
        <v>1263</v>
      </c>
      <c r="K128" s="311" t="s">
        <v>389</v>
      </c>
      <c r="L128" s="311" t="s">
        <v>495</v>
      </c>
      <c r="M128" s="311"/>
      <c r="N128" s="311" t="s">
        <v>386</v>
      </c>
      <c r="O128" s="311"/>
      <c r="P128" s="311"/>
      <c r="Q128" s="311" t="s">
        <v>386</v>
      </c>
      <c r="R128" s="311" t="s">
        <v>386</v>
      </c>
      <c r="S128" s="311" t="s">
        <v>386</v>
      </c>
      <c r="T128" s="263" t="str">
        <f t="shared" si="209"/>
        <v/>
      </c>
      <c r="U128" s="269">
        <v>45000</v>
      </c>
      <c r="V128" s="270"/>
      <c r="W128" s="270" t="str">
        <f t="shared" si="210"/>
        <v/>
      </c>
      <c r="X128" s="270" t="str">
        <f t="shared" si="211"/>
        <v/>
      </c>
      <c r="Y128" s="381"/>
      <c r="Z128" s="381"/>
      <c r="AA128" s="256">
        <f t="shared" si="212"/>
        <v>0</v>
      </c>
      <c r="AB128" s="311"/>
      <c r="AC128" s="381"/>
      <c r="AD128" s="381" t="str">
        <f t="shared" si="213"/>
        <v/>
      </c>
      <c r="AE128" s="381" t="str">
        <f t="shared" si="214"/>
        <v/>
      </c>
      <c r="AF128" s="381" t="str">
        <f t="shared" si="215"/>
        <v/>
      </c>
      <c r="AG128" s="391"/>
      <c r="AH128" s="381"/>
      <c r="AI128" s="381">
        <f t="shared" si="216"/>
        <v>0</v>
      </c>
      <c r="AJ128" s="381"/>
      <c r="AK128" s="381"/>
      <c r="AL128" s="256">
        <f t="shared" si="217"/>
        <v>0</v>
      </c>
      <c r="AM128" s="256">
        <f t="shared" si="218"/>
        <v>0</v>
      </c>
      <c r="AN128" s="256">
        <f t="shared" si="219"/>
        <v>0</v>
      </c>
      <c r="AO128" s="3"/>
      <c r="AP128" s="3"/>
      <c r="AQ128" s="3"/>
      <c r="AR128" s="3"/>
    </row>
    <row r="129" spans="1:40" hidden="1" x14ac:dyDescent="0.2">
      <c r="A129" s="264" t="str">
        <f>IF('Employee Detail FY21'!A96="","",'Employee Detail FY21'!A96)</f>
        <v/>
      </c>
      <c r="B129" s="350" t="str">
        <f>IF('Employee Detail FY21'!B96="","",'Employee Detail FY21'!B96)</f>
        <v/>
      </c>
      <c r="C129" s="350" t="str">
        <f>IF('Employee Detail FY21'!C96="","",'Employee Detail FY21'!C96)</f>
        <v/>
      </c>
      <c r="D129" s="350"/>
      <c r="E129" s="350" t="str">
        <f>IF('Employee Detail FY21'!E96="","",'Employee Detail FY21'!E96)</f>
        <v/>
      </c>
      <c r="F129" s="350" t="str">
        <f>IF('Employee Detail FY21'!F96="","",'Employee Detail FY21'!F96)</f>
        <v/>
      </c>
      <c r="G129" s="350" t="str">
        <f>IF('Employee Detail FY21'!G96="","",'Employee Detail FY21'!G96)</f>
        <v/>
      </c>
      <c r="H129" s="350"/>
      <c r="I129" s="265" t="str">
        <f>IF('Employee Detail FY21'!I96="","",'Employee Detail FY21'!I96)</f>
        <v/>
      </c>
      <c r="J129" s="265" t="str">
        <f>IF('Employee Detail FY21'!J96="","",'Employee Detail FY21'!J96)</f>
        <v/>
      </c>
      <c r="K129" s="265" t="str">
        <f>IF('Employee Detail FY21'!K96="","",'Employee Detail FY21'!K96)</f>
        <v/>
      </c>
      <c r="L129" s="265" t="str">
        <f>IF('Employee Detail FY21'!L96="","",'Employee Detail FY21'!L96)</f>
        <v/>
      </c>
      <c r="M129" s="267" t="str">
        <f>IF('Employee Detail FY21'!M96="","",'Employee Detail FY21'!M96)</f>
        <v/>
      </c>
      <c r="N129" s="264" t="str">
        <f>IF('Employee Detail FY21'!N96="","",'Employee Detail FY21'!N96)</f>
        <v/>
      </c>
      <c r="O129" s="264" t="str">
        <f>IF('Employee Detail FY21'!O96="","",'Employee Detail FY21'!O96)</f>
        <v/>
      </c>
      <c r="P129" s="264" t="str">
        <f>IF('Employee Detail FY21'!P96="","",'Employee Detail FY21'!P96)</f>
        <v/>
      </c>
      <c r="Q129" s="264" t="str">
        <f>IF('Employee Detail FY21'!Q96="","",'Employee Detail FY21'!Q96)</f>
        <v/>
      </c>
      <c r="R129" s="264" t="str">
        <f>IF('Employee Detail FY21'!R96="","",'Employee Detail FY21'!R96)</f>
        <v/>
      </c>
      <c r="S129" s="264" t="str">
        <f>IF('Employee Detail FY21'!S96="","",'Employee Detail FY21'!S96)</f>
        <v/>
      </c>
      <c r="T129" s="263" t="str">
        <f t="shared" ref="T129" si="220">+IF(R129="","",R129*S129)</f>
        <v/>
      </c>
      <c r="U129" s="269"/>
      <c r="V129" s="270" t="str">
        <f t="shared" si="118"/>
        <v/>
      </c>
      <c r="W129" s="270" t="str">
        <f t="shared" ref="W129" si="221">+IF(P129="EE",+V129*$W$1,"")</f>
        <v/>
      </c>
      <c r="X129" s="270" t="str">
        <f t="shared" ref="X129" si="222">_xlfn.IFS(P129="ER",V129,P129="EE",W129,P129="N",V129,P129="","")</f>
        <v/>
      </c>
      <c r="Y129" s="62">
        <v>0</v>
      </c>
      <c r="Z129" s="62">
        <v>0</v>
      </c>
      <c r="AA129" s="256">
        <f t="shared" ref="AA129" si="223">SUM(X129:Z129)</f>
        <v>0</v>
      </c>
      <c r="AB129" s="3"/>
      <c r="AC129" s="62"/>
      <c r="AD129" s="62" t="str">
        <f t="shared" ref="AD129" si="224">_xlfn.IFS(P129="N",$AD$1*AA129,P129="EE","",P129="ER","",P129="","")</f>
        <v/>
      </c>
      <c r="AE129" s="62" t="str">
        <f t="shared" ref="AE129" si="225">_xlfn.IFS(P129="EE",X129*$AE$1,P129="ER",X129*$AE$2,P129="N","",P129="","")</f>
        <v/>
      </c>
      <c r="AF129" s="62" t="str">
        <f t="shared" ref="AF129" si="226">+IF(AA129&gt;1,AA129*$AF$1,"")</f>
        <v/>
      </c>
      <c r="AG129" s="192">
        <v>0</v>
      </c>
      <c r="AH129" s="62" t="str">
        <f t="shared" ref="AH129" si="227">+IF(AA129&gt;1,AA129*$AH$1,"")</f>
        <v/>
      </c>
      <c r="AI129" s="62">
        <f t="shared" si="128"/>
        <v>0</v>
      </c>
      <c r="AJ129" s="62"/>
      <c r="AK129" s="62">
        <v>0</v>
      </c>
      <c r="AL129" s="256">
        <f t="shared" ref="AL129" si="228">SUM(AC129:AK129)</f>
        <v>0</v>
      </c>
      <c r="AM129" s="256">
        <f t="shared" ref="AM129" si="229">AA129</f>
        <v>0</v>
      </c>
      <c r="AN129" s="256">
        <f t="shared" ref="AN129" si="230">SUM(AL129:AM129)</f>
        <v>0</v>
      </c>
    </row>
    <row r="130" spans="1:40" ht="13.5" thickBot="1" x14ac:dyDescent="0.25">
      <c r="A130" s="259"/>
      <c r="B130" s="259"/>
      <c r="C130" s="259"/>
      <c r="D130" s="259"/>
      <c r="E130" s="259"/>
      <c r="F130" s="259"/>
      <c r="G130" s="259"/>
      <c r="H130" s="259"/>
      <c r="I130" s="260"/>
      <c r="J130" s="260"/>
      <c r="K130" s="260"/>
      <c r="L130" s="260"/>
      <c r="M130" s="261">
        <f>SUM(M6:M129)</f>
        <v>44.559111111111108</v>
      </c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8">
        <f>SUM(Y6:Y129)</f>
        <v>0</v>
      </c>
      <c r="Z130" s="258">
        <f>SUM(Z6:Z129)</f>
        <v>0</v>
      </c>
      <c r="AA130" s="258">
        <f>SUM(AA6:AA129)</f>
        <v>2589104.7595779984</v>
      </c>
      <c r="AB130" s="5"/>
      <c r="AC130" s="257">
        <f t="shared" ref="AC130:AN130" si="231">SUM(AC6:AC129)</f>
        <v>329666.04000000021</v>
      </c>
      <c r="AD130" s="257">
        <f t="shared" si="231"/>
        <v>2183.8879999999999</v>
      </c>
      <c r="AE130" s="257">
        <f t="shared" si="231"/>
        <v>570241.90703459014</v>
      </c>
      <c r="AF130" s="257">
        <f t="shared" si="231"/>
        <v>37542.019013880992</v>
      </c>
      <c r="AG130" s="257">
        <f t="shared" si="231"/>
        <v>0</v>
      </c>
      <c r="AH130" s="257">
        <f t="shared" si="231"/>
        <v>23566.901737685756</v>
      </c>
      <c r="AI130" s="257">
        <f t="shared" si="231"/>
        <v>5232.3517500476109</v>
      </c>
      <c r="AJ130" s="257">
        <f t="shared" si="231"/>
        <v>0</v>
      </c>
      <c r="AK130" s="257">
        <f t="shared" si="231"/>
        <v>0</v>
      </c>
      <c r="AL130" s="257">
        <f t="shared" si="231"/>
        <v>968433.10753620462</v>
      </c>
      <c r="AM130" s="257">
        <f t="shared" si="231"/>
        <v>2589104.7595779984</v>
      </c>
      <c r="AN130" s="257">
        <f t="shared" si="231"/>
        <v>3557537.8671142063</v>
      </c>
    </row>
    <row r="131" spans="1:40" ht="13.5" thickTop="1" x14ac:dyDescent="0.2">
      <c r="A131" s="3"/>
      <c r="B131" s="3"/>
      <c r="C131" s="3"/>
      <c r="D131" s="3"/>
      <c r="E131" s="3"/>
      <c r="F131" s="3"/>
      <c r="G131" s="3"/>
      <c r="H131" s="3"/>
      <c r="I131" s="255"/>
      <c r="J131" s="255"/>
      <c r="K131" s="255"/>
      <c r="L131" s="25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3.5" thickBot="1" x14ac:dyDescent="0.25">
      <c r="A132" s="259"/>
      <c r="B132" s="259"/>
      <c r="C132" s="259"/>
      <c r="D132" s="259"/>
      <c r="E132" s="259"/>
      <c r="F132" s="259"/>
      <c r="G132" s="259"/>
      <c r="H132" s="259"/>
      <c r="I132" s="260"/>
      <c r="J132" s="260"/>
      <c r="K132" s="260"/>
      <c r="L132" s="260"/>
      <c r="M132" s="261">
        <f>SUBTOTAL(9,M6:M129)</f>
        <v>19</v>
      </c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649">
        <f>SUBTOTAL(9,X6:X129)</f>
        <v>1012234.5479340001</v>
      </c>
      <c r="Y132" s="5"/>
      <c r="Z132" s="5"/>
      <c r="AA132" s="258">
        <f>SUBTOTAL(9,AA6:AA129)</f>
        <v>1012234.5479340001</v>
      </c>
      <c r="AB132" s="258"/>
      <c r="AC132" s="258">
        <f t="shared" ref="AC132:AN132" si="232">SUBTOTAL(9,AC6:AC129)</f>
        <v>142987.68</v>
      </c>
      <c r="AD132" s="258">
        <f t="shared" si="232"/>
        <v>0</v>
      </c>
      <c r="AE132" s="258">
        <f t="shared" si="232"/>
        <v>223092.89972976991</v>
      </c>
      <c r="AF132" s="258">
        <f t="shared" si="232"/>
        <v>14677.400945043004</v>
      </c>
      <c r="AG132" s="258">
        <f t="shared" si="232"/>
        <v>0</v>
      </c>
      <c r="AH132" s="258">
        <f t="shared" si="232"/>
        <v>9213.6990743238694</v>
      </c>
      <c r="AI132" s="258">
        <f t="shared" si="232"/>
        <v>2045.6365037946082</v>
      </c>
      <c r="AJ132" s="258">
        <f t="shared" si="232"/>
        <v>0</v>
      </c>
      <c r="AK132" s="258">
        <f t="shared" si="232"/>
        <v>0</v>
      </c>
      <c r="AL132" s="258">
        <f t="shared" si="232"/>
        <v>392017.3162529316</v>
      </c>
      <c r="AM132" s="258">
        <f t="shared" si="232"/>
        <v>1012234.5479340001</v>
      </c>
      <c r="AN132" s="258">
        <f t="shared" si="232"/>
        <v>1404251.8641869314</v>
      </c>
    </row>
    <row r="133" spans="1:40" ht="13.5" thickTop="1" x14ac:dyDescent="0.2">
      <c r="A133" s="3"/>
      <c r="B133" s="3"/>
      <c r="C133" s="3"/>
      <c r="D133" s="3"/>
      <c r="E133" s="3"/>
      <c r="F133" s="3"/>
      <c r="G133" s="3"/>
      <c r="H133" s="3"/>
      <c r="I133" s="255"/>
      <c r="J133" s="255"/>
      <c r="K133" s="255"/>
      <c r="L133" s="25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x14ac:dyDescent="0.2">
      <c r="A134" s="3"/>
      <c r="B134" s="278"/>
      <c r="C134" s="278"/>
      <c r="D134" s="278"/>
      <c r="E134" s="278"/>
      <c r="F134" s="278"/>
      <c r="G134" s="278"/>
      <c r="H134" s="3"/>
      <c r="I134" s="255"/>
      <c r="J134" s="255"/>
      <c r="K134" s="255"/>
      <c r="L134" s="2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62"/>
      <c r="AJ134" s="3"/>
      <c r="AK134" s="3"/>
      <c r="AL134" s="355"/>
      <c r="AM134" s="3"/>
      <c r="AN134" s="3"/>
    </row>
    <row r="135" spans="1:40" x14ac:dyDescent="0.2">
      <c r="A135" s="3"/>
      <c r="B135" s="278"/>
      <c r="C135" s="278"/>
      <c r="D135" s="278"/>
      <c r="E135" s="278"/>
      <c r="F135" s="278"/>
      <c r="G135" s="278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62"/>
      <c r="AJ135" s="3"/>
      <c r="AK135" s="3"/>
      <c r="AL135" s="355"/>
      <c r="AM135" s="3"/>
      <c r="AN135" s="3"/>
    </row>
    <row r="136" spans="1:40" x14ac:dyDescent="0.2">
      <c r="A136" s="3"/>
      <c r="B136" s="278"/>
      <c r="C136" s="278"/>
      <c r="D136" s="278"/>
      <c r="E136" s="278"/>
      <c r="F136" s="278"/>
      <c r="G136" s="278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62"/>
      <c r="AJ136" s="3"/>
      <c r="AK136" s="3"/>
      <c r="AL136" s="355"/>
      <c r="AM136" s="3"/>
      <c r="AN136" s="3"/>
    </row>
    <row r="137" spans="1:40" x14ac:dyDescent="0.2">
      <c r="A137" s="3"/>
      <c r="B137" s="278"/>
      <c r="C137" s="278"/>
      <c r="D137" s="278"/>
      <c r="E137" s="278"/>
      <c r="F137" s="278"/>
      <c r="G137" s="278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62"/>
      <c r="AJ137" s="3"/>
      <c r="AK137" s="3"/>
      <c r="AL137" s="355"/>
      <c r="AM137" s="3"/>
      <c r="AN137" s="3"/>
    </row>
    <row r="138" spans="1:40" x14ac:dyDescent="0.2">
      <c r="A138" s="3"/>
      <c r="B138" s="278"/>
      <c r="C138" s="278"/>
      <c r="D138" s="278"/>
      <c r="E138" s="278"/>
      <c r="F138" s="278"/>
      <c r="G138" s="278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62"/>
      <c r="AJ138" s="3"/>
      <c r="AK138" s="3"/>
      <c r="AL138" s="355"/>
      <c r="AM138" s="3"/>
      <c r="AN138" s="3"/>
    </row>
    <row r="139" spans="1:40" x14ac:dyDescent="0.2">
      <c r="A139" s="3"/>
      <c r="B139" s="278"/>
      <c r="C139" s="278"/>
      <c r="D139" s="278"/>
      <c r="E139" s="278"/>
      <c r="F139" s="278"/>
      <c r="G139" s="278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62"/>
      <c r="AJ139" s="3"/>
      <c r="AK139" s="3"/>
      <c r="AL139" s="355"/>
      <c r="AM139" s="3"/>
      <c r="AN139" s="3"/>
    </row>
    <row r="140" spans="1:40" x14ac:dyDescent="0.2">
      <c r="A140" s="3"/>
      <c r="B140" s="278"/>
      <c r="C140" s="278"/>
      <c r="D140" s="278"/>
      <c r="E140" s="278"/>
      <c r="F140" s="278"/>
      <c r="G140" s="278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62"/>
      <c r="AJ140" s="3"/>
      <c r="AK140" s="3"/>
      <c r="AL140" s="355"/>
      <c r="AM140" s="3"/>
      <c r="AN140" s="3"/>
    </row>
    <row r="141" spans="1:40" x14ac:dyDescent="0.2">
      <c r="A141" s="3"/>
      <c r="B141" s="278"/>
      <c r="C141" s="278"/>
      <c r="D141" s="278"/>
      <c r="E141" s="278"/>
      <c r="F141" s="278"/>
      <c r="G141" s="278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62"/>
      <c r="AJ141" s="3"/>
      <c r="AK141" s="3"/>
      <c r="AL141" s="3"/>
      <c r="AM141" s="3"/>
      <c r="AN141" s="3"/>
    </row>
    <row r="142" spans="1:40" x14ac:dyDescent="0.2">
      <c r="A142" s="3"/>
      <c r="B142" s="278"/>
      <c r="C142" s="278"/>
      <c r="D142" s="278"/>
      <c r="E142" s="278"/>
      <c r="F142" s="278"/>
      <c r="G142" s="278"/>
      <c r="AI142" s="62"/>
      <c r="AJ142" s="3"/>
      <c r="AK142" s="3"/>
      <c r="AL142" s="3"/>
      <c r="AM142" s="3"/>
      <c r="AN142" s="3"/>
    </row>
    <row r="143" spans="1:40" x14ac:dyDescent="0.2">
      <c r="A143" s="3"/>
      <c r="B143" s="278"/>
      <c r="C143" s="278"/>
      <c r="D143" s="278"/>
      <c r="E143" s="278"/>
      <c r="F143" s="278"/>
      <c r="G143" s="278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62"/>
      <c r="AJ143" s="3"/>
      <c r="AK143" s="3"/>
      <c r="AL143" s="3"/>
      <c r="AM143" s="3"/>
      <c r="AN143" s="3"/>
    </row>
    <row r="144" spans="1:40" x14ac:dyDescent="0.2">
      <c r="A144" s="3"/>
      <c r="B144" s="278"/>
      <c r="C144" s="278"/>
      <c r="D144" s="278"/>
      <c r="E144" s="278"/>
      <c r="F144" s="278"/>
      <c r="G144" s="278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62"/>
      <c r="AJ144" s="3"/>
      <c r="AK144" s="3"/>
      <c r="AL144" s="3"/>
      <c r="AM144" s="355"/>
      <c r="AN144" s="3"/>
    </row>
    <row r="145" spans="1:40" x14ac:dyDescent="0.2">
      <c r="A145" s="3"/>
      <c r="B145" s="278"/>
      <c r="C145" s="278"/>
      <c r="D145" s="278"/>
      <c r="E145" s="278"/>
      <c r="F145" s="278"/>
      <c r="G145" s="278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62"/>
      <c r="AJ145" s="3"/>
      <c r="AK145" s="3"/>
      <c r="AL145" s="3"/>
      <c r="AM145" s="3"/>
      <c r="AN145" s="3"/>
    </row>
    <row r="146" spans="1:40" x14ac:dyDescent="0.2">
      <c r="A146" s="3"/>
      <c r="B146" s="278"/>
      <c r="C146" s="278"/>
      <c r="D146" s="278"/>
      <c r="E146" s="278"/>
      <c r="F146" s="278"/>
      <c r="G146" s="278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62"/>
      <c r="AJ146" s="3"/>
      <c r="AK146" s="3"/>
      <c r="AL146" s="3"/>
      <c r="AM146" s="3"/>
      <c r="AN146" s="3"/>
    </row>
    <row r="147" spans="1:40" x14ac:dyDescent="0.2">
      <c r="A147" s="3"/>
      <c r="B147" s="278"/>
      <c r="C147" s="278"/>
      <c r="D147" s="278"/>
      <c r="E147" s="278"/>
      <c r="F147" s="278"/>
      <c r="G147" s="278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62"/>
      <c r="AJ147" s="3"/>
      <c r="AK147" s="3"/>
      <c r="AL147" s="355"/>
      <c r="AM147" s="3"/>
      <c r="AN147" s="3"/>
    </row>
    <row r="148" spans="1:40" x14ac:dyDescent="0.2">
      <c r="A148" s="3"/>
      <c r="B148" s="278"/>
      <c r="C148" s="278"/>
      <c r="D148" s="278"/>
      <c r="E148" s="278"/>
      <c r="F148" s="278"/>
      <c r="G148" s="278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62"/>
      <c r="AJ148" s="3"/>
      <c r="AK148" s="3"/>
      <c r="AL148" s="3"/>
      <c r="AM148" s="3"/>
      <c r="AN148" s="3"/>
    </row>
    <row r="149" spans="1:40" x14ac:dyDescent="0.2">
      <c r="A149" s="3"/>
      <c r="B149" s="278"/>
      <c r="C149" s="278"/>
      <c r="D149" s="278"/>
      <c r="E149" s="278"/>
      <c r="F149" s="278"/>
      <c r="G149" s="278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62"/>
      <c r="AJ149" s="3"/>
      <c r="AK149" s="3"/>
      <c r="AL149" s="3"/>
      <c r="AM149" s="3"/>
      <c r="AN149" s="3"/>
    </row>
    <row r="150" spans="1:40" x14ac:dyDescent="0.2">
      <c r="A150" s="3"/>
      <c r="B150" s="278"/>
      <c r="C150" s="278"/>
      <c r="D150" s="278"/>
      <c r="E150" s="278"/>
      <c r="F150" s="278"/>
      <c r="G150" s="278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62"/>
      <c r="AJ150" s="3"/>
      <c r="AK150" s="3"/>
      <c r="AL150" s="3"/>
      <c r="AM150" s="3"/>
      <c r="AN150" s="3"/>
    </row>
    <row r="151" spans="1:40" x14ac:dyDescent="0.2">
      <c r="A151" s="3"/>
      <c r="B151" s="278"/>
      <c r="C151" s="278"/>
      <c r="D151" s="278"/>
      <c r="E151" s="278"/>
      <c r="F151" s="278"/>
      <c r="G151" s="278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62"/>
      <c r="AJ151" s="3"/>
      <c r="AK151" s="3"/>
      <c r="AL151" s="3"/>
      <c r="AM151" s="3"/>
      <c r="AN151" s="3"/>
    </row>
    <row r="152" spans="1:40" x14ac:dyDescent="0.2">
      <c r="A152" s="3"/>
      <c r="B152" s="278"/>
      <c r="C152" s="278"/>
      <c r="D152" s="278"/>
      <c r="E152" s="278"/>
      <c r="F152" s="278"/>
      <c r="G152" s="278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62"/>
      <c r="AJ152" s="3"/>
      <c r="AK152" s="3"/>
      <c r="AL152" s="3"/>
      <c r="AM152" s="3"/>
      <c r="AN152" s="3"/>
    </row>
    <row r="153" spans="1:40" x14ac:dyDescent="0.2">
      <c r="A153" s="3"/>
      <c r="B153" s="278"/>
      <c r="C153" s="278"/>
      <c r="D153" s="278"/>
      <c r="E153" s="278"/>
      <c r="F153" s="278"/>
      <c r="G153" s="278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62"/>
      <c r="AJ153" s="3"/>
      <c r="AK153" s="3"/>
      <c r="AL153" s="3"/>
      <c r="AM153" s="3"/>
      <c r="AN153" s="3"/>
    </row>
    <row r="154" spans="1:40" x14ac:dyDescent="0.2">
      <c r="A154" s="3"/>
      <c r="B154" s="278"/>
      <c r="C154" s="278"/>
      <c r="D154" s="278"/>
      <c r="E154" s="278"/>
      <c r="F154" s="278"/>
      <c r="G154" s="278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62"/>
      <c r="AJ154" s="3"/>
      <c r="AK154" s="3"/>
      <c r="AL154" s="3"/>
      <c r="AM154" s="3"/>
      <c r="AN154" s="3"/>
    </row>
    <row r="155" spans="1:40" x14ac:dyDescent="0.2">
      <c r="A155" s="3"/>
      <c r="B155" s="278"/>
      <c r="C155" s="278"/>
      <c r="D155" s="278"/>
      <c r="E155" s="278"/>
      <c r="F155" s="278"/>
      <c r="G155" s="278"/>
      <c r="H155" s="3"/>
      <c r="I155" s="255"/>
      <c r="J155" s="255"/>
      <c r="K155" s="255"/>
      <c r="L155" s="25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62"/>
      <c r="AJ155" s="3"/>
      <c r="AK155" s="3"/>
      <c r="AL155" s="355"/>
      <c r="AM155" s="3"/>
      <c r="AN155" s="3"/>
    </row>
    <row r="156" spans="1:40" x14ac:dyDescent="0.2">
      <c r="A156" s="3"/>
      <c r="B156" s="278"/>
      <c r="C156" s="278"/>
      <c r="D156" s="278"/>
      <c r="E156" s="278"/>
      <c r="F156" s="278"/>
      <c r="G156" s="278"/>
      <c r="H156" s="3"/>
      <c r="I156" s="255"/>
      <c r="J156" s="255"/>
      <c r="K156" s="255"/>
      <c r="L156" s="25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62"/>
      <c r="AJ156" s="3"/>
      <c r="AK156" s="3"/>
      <c r="AL156" s="3"/>
      <c r="AM156" s="3"/>
      <c r="AN156" s="3"/>
    </row>
    <row r="157" spans="1:40" x14ac:dyDescent="0.2">
      <c r="A157" s="3"/>
      <c r="B157" s="278"/>
      <c r="C157" s="278"/>
      <c r="D157" s="278"/>
      <c r="E157" s="278"/>
      <c r="F157" s="278"/>
      <c r="G157" s="278"/>
      <c r="H157" s="3"/>
      <c r="I157" s="255"/>
      <c r="J157" s="255"/>
      <c r="K157" s="255"/>
      <c r="L157" s="25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62"/>
      <c r="AJ157" s="3"/>
      <c r="AK157" s="3"/>
      <c r="AL157" s="3"/>
      <c r="AM157" s="3"/>
      <c r="AN157" s="3"/>
    </row>
    <row r="158" spans="1:40" x14ac:dyDescent="0.2">
      <c r="A158" s="3"/>
      <c r="B158" s="278"/>
      <c r="C158" s="278"/>
      <c r="D158" s="278"/>
      <c r="E158" s="278"/>
      <c r="F158" s="278"/>
      <c r="G158" s="278"/>
      <c r="H158" s="3"/>
      <c r="I158" s="255"/>
      <c r="J158" s="255"/>
      <c r="K158" s="255"/>
      <c r="L158" s="25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62"/>
      <c r="AJ158" s="3"/>
      <c r="AK158" s="3"/>
      <c r="AL158" s="3"/>
      <c r="AM158" s="3"/>
      <c r="AN158" s="3"/>
    </row>
    <row r="159" spans="1:40" x14ac:dyDescent="0.2">
      <c r="B159" s="278"/>
      <c r="C159" s="278"/>
      <c r="D159" s="278"/>
      <c r="E159" s="278"/>
      <c r="F159" s="278"/>
      <c r="G159" s="278"/>
      <c r="AI159" s="62"/>
      <c r="AL159" s="329"/>
    </row>
    <row r="160" spans="1:40" x14ac:dyDescent="0.2">
      <c r="B160" s="278"/>
      <c r="C160" s="278"/>
      <c r="D160" s="278"/>
      <c r="E160" s="278"/>
      <c r="F160" s="278"/>
      <c r="G160" s="278"/>
      <c r="AI160" s="62"/>
    </row>
    <row r="162" spans="35:35" x14ac:dyDescent="0.2">
      <c r="AI162" s="329"/>
    </row>
    <row r="164" spans="35:35" x14ac:dyDescent="0.2">
      <c r="AI164" s="329"/>
    </row>
    <row r="201" spans="7:7" x14ac:dyDescent="0.2">
      <c r="G201">
        <v>2620</v>
      </c>
    </row>
  </sheetData>
  <autoFilter ref="B3:H129" xr:uid="{5D3DA323-200D-4BA4-9B17-DCFC3248C857}">
    <filterColumn colId="4">
      <filters>
        <filter val="1000"/>
      </filters>
    </filterColumn>
  </autoFilter>
  <sortState xmlns:xlrd2="http://schemas.microsoft.com/office/spreadsheetml/2017/richdata2" ref="A26:WWF61">
    <sortCondition ref="I26:I61"/>
  </sortState>
  <mergeCells count="1">
    <mergeCell ref="P1:P3"/>
  </mergeCells>
  <phoneticPr fontId="40" type="noConversion"/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B973F-F118-4864-B447-D18AA4E49F0A}">
  <sheetPr codeName="Sheet14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483F2-654E-4BA0-A1C4-550930C570C6}">
  <sheetPr codeName="Sheet15"/>
  <dimension ref="A1:WWF100"/>
  <sheetViews>
    <sheetView workbookViewId="0"/>
  </sheetViews>
  <sheetFormatPr defaultRowHeight="12.75" x14ac:dyDescent="0.2"/>
  <cols>
    <col min="4" max="4" width="1.28515625" customWidth="1"/>
    <col min="5" max="5" width="7.7109375" bestFit="1" customWidth="1"/>
    <col min="6" max="6" width="7.85546875" bestFit="1" customWidth="1"/>
    <col min="7" max="7" width="6.140625" bestFit="1" customWidth="1"/>
    <col min="8" max="8" width="8" bestFit="1" customWidth="1"/>
    <col min="9" max="9" width="14.5703125" customWidth="1"/>
    <col min="10" max="10" width="9.42578125" customWidth="1"/>
    <col min="11" max="11" width="18.5703125" customWidth="1"/>
    <col min="12" max="12" width="42.7109375" customWidth="1"/>
    <col min="13" max="15" width="9.140625" customWidth="1"/>
    <col min="16" max="16" width="6.28515625" customWidth="1"/>
    <col min="17" max="17" width="9.140625" customWidth="1"/>
    <col min="21" max="23" width="11" bestFit="1" customWidth="1"/>
    <col min="24" max="24" width="12" customWidth="1"/>
    <col min="25" max="25" width="12.28515625" customWidth="1"/>
    <col min="26" max="26" width="10" bestFit="1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9" bestFit="1" customWidth="1"/>
    <col min="36" max="36" width="7.85546875" bestFit="1" customWidth="1"/>
    <col min="37" max="37" width="7.28515625" bestFit="1" customWidth="1"/>
    <col min="38" max="38" width="12.42578125" bestFit="1" customWidth="1"/>
    <col min="39" max="40" width="12.85546875" customWidth="1"/>
  </cols>
  <sheetData>
    <row r="1" spans="1:16152" s="233" customFormat="1" x14ac:dyDescent="0.2">
      <c r="A1" s="230" t="s">
        <v>374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946" t="s">
        <v>339</v>
      </c>
      <c r="Q1" s="231"/>
      <c r="R1" s="231"/>
      <c r="S1" s="229"/>
      <c r="T1" s="229"/>
      <c r="U1" s="229"/>
      <c r="V1" s="254"/>
      <c r="W1" s="226">
        <v>1.1535930000000001</v>
      </c>
      <c r="X1" s="229"/>
      <c r="Y1" s="229"/>
      <c r="Z1" s="229"/>
      <c r="AA1" s="229"/>
      <c r="AB1" s="229"/>
      <c r="AC1" s="192">
        <v>7943.76</v>
      </c>
      <c r="AD1" s="232">
        <v>6.2E-2</v>
      </c>
      <c r="AE1" s="232">
        <v>0.155</v>
      </c>
      <c r="AF1" s="232">
        <v>1.4500000000000001E-2</v>
      </c>
      <c r="AG1" s="229"/>
      <c r="AH1" s="281">
        <v>9.1023361069124693E-3</v>
      </c>
      <c r="AI1" s="281"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">
        <v>1113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946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0.29749999999999999</v>
      </c>
      <c r="AF2" s="229"/>
      <c r="AG2" s="229"/>
      <c r="AH2" s="229"/>
      <c r="AI2" s="281">
        <v>2.9451987096649392E-3</v>
      </c>
      <c r="AJ2" s="229"/>
      <c r="AK2" s="229"/>
      <c r="AL2" s="229"/>
      <c r="AM2" s="229"/>
      <c r="AN2" s="229"/>
    </row>
    <row r="3" spans="1:16152" s="243" customFormat="1" ht="57.7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8" t="s">
        <v>322</v>
      </c>
      <c r="O3" s="238" t="s">
        <v>323</v>
      </c>
      <c r="P3" s="946"/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x14ac:dyDescent="0.2">
      <c r="A4" s="236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5"/>
      <c r="N4" s="577"/>
      <c r="O4" s="577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x14ac:dyDescent="0.2">
      <c r="A6" s="264" t="s">
        <v>386</v>
      </c>
      <c r="B6" s="350" t="s">
        <v>386</v>
      </c>
      <c r="C6" s="350" t="s">
        <v>386</v>
      </c>
      <c r="D6" s="350"/>
      <c r="E6" s="350" t="s">
        <v>386</v>
      </c>
      <c r="F6" s="350" t="s">
        <v>386</v>
      </c>
      <c r="G6" s="350" t="s">
        <v>386</v>
      </c>
      <c r="H6" s="350"/>
      <c r="I6" s="264" t="s">
        <v>386</v>
      </c>
      <c r="J6" s="264" t="s">
        <v>386</v>
      </c>
      <c r="K6" s="264" t="s">
        <v>386</v>
      </c>
      <c r="L6" s="264" t="s">
        <v>386</v>
      </c>
      <c r="M6" s="267" t="s">
        <v>386</v>
      </c>
      <c r="N6" s="264" t="s">
        <v>386</v>
      </c>
      <c r="O6" s="264" t="s">
        <v>386</v>
      </c>
      <c r="P6" s="264" t="s">
        <v>386</v>
      </c>
      <c r="Q6" s="264" t="s">
        <v>386</v>
      </c>
      <c r="R6" s="264" t="s">
        <v>386</v>
      </c>
      <c r="S6" s="264" t="s">
        <v>386</v>
      </c>
      <c r="T6" s="263" t="str">
        <f>+IF(R6="","",R6*S6)</f>
        <v/>
      </c>
      <c r="U6" s="269" t="s">
        <v>386</v>
      </c>
      <c r="V6" s="270" t="str">
        <f>IF($U6="","",$U6*(1+$V$1))</f>
        <v/>
      </c>
      <c r="W6" s="270" t="str">
        <f t="shared" ref="W6" si="0">+IF(P6="EE",+V6*$W$1,"")</f>
        <v/>
      </c>
      <c r="X6" s="270" t="str">
        <f t="shared" ref="X6" si="1">_xlfn.IFS(P6="ER",V6,P6="EE",W6,P6="N",V6,P6="","")</f>
        <v/>
      </c>
      <c r="Y6" s="62">
        <v>0</v>
      </c>
      <c r="Z6" s="62">
        <v>0</v>
      </c>
      <c r="AA6" s="256">
        <v>0</v>
      </c>
      <c r="AB6" s="3"/>
      <c r="AC6" s="62" t="s">
        <v>386</v>
      </c>
      <c r="AD6" s="62" t="s">
        <v>386</v>
      </c>
      <c r="AE6" s="62" t="s">
        <v>386</v>
      </c>
      <c r="AF6" s="62" t="s">
        <v>386</v>
      </c>
      <c r="AG6" s="192">
        <v>0</v>
      </c>
      <c r="AH6" s="62" t="s">
        <v>386</v>
      </c>
      <c r="AI6" s="62">
        <v>0</v>
      </c>
      <c r="AJ6" s="62"/>
      <c r="AK6" s="62">
        <v>0</v>
      </c>
      <c r="AL6" s="256">
        <f t="shared" ref="AL6:AL37" si="2">SUM(AC6:AK6)</f>
        <v>0</v>
      </c>
      <c r="AM6" s="256">
        <f t="shared" ref="AM6:AM69" si="3">AA6</f>
        <v>0</v>
      </c>
      <c r="AN6" s="256">
        <f t="shared" ref="AN6:AN37" si="4">SUM(AL6:AM6)</f>
        <v>0</v>
      </c>
    </row>
    <row r="7" spans="1:16152" x14ac:dyDescent="0.2">
      <c r="A7" s="3" t="s">
        <v>386</v>
      </c>
      <c r="B7" s="278">
        <v>100</v>
      </c>
      <c r="C7" s="278" t="s">
        <v>145</v>
      </c>
      <c r="D7" s="278"/>
      <c r="E7" s="278">
        <v>100</v>
      </c>
      <c r="F7" s="278">
        <v>2580</v>
      </c>
      <c r="G7" s="278" t="s">
        <v>173</v>
      </c>
      <c r="H7" s="278" t="s">
        <v>920</v>
      </c>
      <c r="I7" s="3" t="s">
        <v>382</v>
      </c>
      <c r="J7" s="3" t="s">
        <v>383</v>
      </c>
      <c r="K7" s="3" t="s">
        <v>384</v>
      </c>
      <c r="L7" s="3" t="s">
        <v>385</v>
      </c>
      <c r="M7" s="3">
        <v>1</v>
      </c>
      <c r="N7" s="3" t="s">
        <v>386</v>
      </c>
      <c r="O7" s="3">
        <v>26</v>
      </c>
      <c r="P7" s="3" t="s">
        <v>342</v>
      </c>
      <c r="Q7" s="389" t="s">
        <v>386</v>
      </c>
      <c r="R7" s="3">
        <v>261</v>
      </c>
      <c r="S7" s="3">
        <v>8</v>
      </c>
      <c r="T7" s="483">
        <v>2088</v>
      </c>
      <c r="U7" s="482">
        <v>49000</v>
      </c>
      <c r="V7" s="270">
        <v>50000</v>
      </c>
      <c r="W7" s="270" t="s">
        <v>386</v>
      </c>
      <c r="X7" s="270">
        <v>50000</v>
      </c>
      <c r="Y7" s="62">
        <v>0</v>
      </c>
      <c r="Z7" s="62">
        <v>0</v>
      </c>
      <c r="AA7" s="256">
        <v>50000</v>
      </c>
      <c r="AB7" s="3"/>
      <c r="AC7" s="62">
        <v>7943.76</v>
      </c>
      <c r="AD7" s="62" t="s">
        <v>386</v>
      </c>
      <c r="AE7" s="62">
        <v>14875</v>
      </c>
      <c r="AF7" s="62">
        <v>725</v>
      </c>
      <c r="AG7" s="192">
        <v>0</v>
      </c>
      <c r="AH7" s="62">
        <v>455.11680534562345</v>
      </c>
      <c r="AI7" s="62">
        <v>147.25993548324695</v>
      </c>
      <c r="AJ7" s="62"/>
      <c r="AK7" s="62">
        <v>0</v>
      </c>
      <c r="AL7" s="578">
        <f t="shared" si="2"/>
        <v>24146.136740828872</v>
      </c>
      <c r="AM7" s="578">
        <f t="shared" si="3"/>
        <v>50000</v>
      </c>
      <c r="AN7" s="578">
        <f t="shared" si="4"/>
        <v>74146.136740828864</v>
      </c>
    </row>
    <row r="8" spans="1:16152" x14ac:dyDescent="0.2">
      <c r="A8" s="3" t="s">
        <v>386</v>
      </c>
      <c r="B8" s="278">
        <v>100</v>
      </c>
      <c r="C8" s="278" t="s">
        <v>145</v>
      </c>
      <c r="D8" s="278"/>
      <c r="E8" s="278">
        <v>100</v>
      </c>
      <c r="F8" s="278">
        <v>1000</v>
      </c>
      <c r="G8" s="278" t="s">
        <v>161</v>
      </c>
      <c r="H8" s="424" t="s">
        <v>563</v>
      </c>
      <c r="I8" s="3" t="s">
        <v>961</v>
      </c>
      <c r="J8" s="3" t="s">
        <v>975</v>
      </c>
      <c r="K8" s="3" t="s">
        <v>389</v>
      </c>
      <c r="L8" s="3" t="s">
        <v>498</v>
      </c>
      <c r="M8" s="3">
        <v>1</v>
      </c>
      <c r="N8" s="3" t="s">
        <v>93</v>
      </c>
      <c r="O8" s="3">
        <v>1</v>
      </c>
      <c r="P8" s="3" t="s">
        <v>390</v>
      </c>
      <c r="Q8" s="389" t="s">
        <v>386</v>
      </c>
      <c r="R8" s="3">
        <v>200</v>
      </c>
      <c r="S8" s="3">
        <v>8</v>
      </c>
      <c r="T8" s="483">
        <v>1600</v>
      </c>
      <c r="U8" s="482">
        <v>44380</v>
      </c>
      <c r="V8" s="270">
        <v>45267</v>
      </c>
      <c r="W8" s="270">
        <v>52219.694331000006</v>
      </c>
      <c r="X8" s="270">
        <v>52219.694331000006</v>
      </c>
      <c r="Y8" s="62">
        <v>0</v>
      </c>
      <c r="Z8" s="62">
        <v>0</v>
      </c>
      <c r="AA8" s="256">
        <v>52219.694331000006</v>
      </c>
      <c r="AB8" s="3"/>
      <c r="AC8" s="62">
        <v>7943.76</v>
      </c>
      <c r="AD8" s="62" t="s">
        <v>386</v>
      </c>
      <c r="AE8" s="62">
        <v>8094.0526213050007</v>
      </c>
      <c r="AF8" s="62">
        <v>757.18556779950018</v>
      </c>
      <c r="AG8" s="192">
        <v>0</v>
      </c>
      <c r="AH8" s="62">
        <v>475.32120920099374</v>
      </c>
      <c r="AI8" s="62">
        <v>153.79737636275877</v>
      </c>
      <c r="AJ8" s="62"/>
      <c r="AK8" s="62">
        <v>0</v>
      </c>
      <c r="AL8" s="578">
        <f t="shared" si="2"/>
        <v>17424.116774668255</v>
      </c>
      <c r="AM8" s="578">
        <f t="shared" si="3"/>
        <v>52219.694331000006</v>
      </c>
      <c r="AN8" s="578">
        <f t="shared" si="4"/>
        <v>69643.811105668254</v>
      </c>
    </row>
    <row r="9" spans="1:16152" x14ac:dyDescent="0.2">
      <c r="A9" s="3" t="s">
        <v>386</v>
      </c>
      <c r="B9" s="278">
        <v>100</v>
      </c>
      <c r="C9" s="278" t="s">
        <v>145</v>
      </c>
      <c r="D9" s="278"/>
      <c r="E9" s="278">
        <v>100</v>
      </c>
      <c r="F9" s="278" t="s">
        <v>556</v>
      </c>
      <c r="G9" s="278" t="s">
        <v>167</v>
      </c>
      <c r="H9" s="278" t="s">
        <v>920</v>
      </c>
      <c r="I9" s="3" t="s">
        <v>962</v>
      </c>
      <c r="J9" s="3" t="s">
        <v>976</v>
      </c>
      <c r="K9" s="3" t="s">
        <v>393</v>
      </c>
      <c r="L9" s="3" t="s">
        <v>902</v>
      </c>
      <c r="M9" s="3">
        <v>1</v>
      </c>
      <c r="N9" s="3" t="s">
        <v>93</v>
      </c>
      <c r="O9" s="3">
        <v>1</v>
      </c>
      <c r="P9" s="3" t="s">
        <v>390</v>
      </c>
      <c r="Q9" s="389" t="s">
        <v>386</v>
      </c>
      <c r="R9" s="3">
        <v>261</v>
      </c>
      <c r="S9" s="3">
        <v>8</v>
      </c>
      <c r="T9" s="483">
        <v>2088</v>
      </c>
      <c r="U9" s="482">
        <v>62320</v>
      </c>
      <c r="V9" s="270">
        <v>63552</v>
      </c>
      <c r="W9" s="270">
        <v>73313.142336000004</v>
      </c>
      <c r="X9" s="270">
        <v>73313.142336000004</v>
      </c>
      <c r="Y9" s="62">
        <v>0</v>
      </c>
      <c r="Z9" s="62">
        <v>0</v>
      </c>
      <c r="AA9" s="256">
        <v>73313.142336000004</v>
      </c>
      <c r="AB9" s="3"/>
      <c r="AC9" s="62">
        <v>7943.76</v>
      </c>
      <c r="AD9" s="62" t="s">
        <v>386</v>
      </c>
      <c r="AE9" s="62">
        <v>11363.53706208</v>
      </c>
      <c r="AF9" s="62">
        <v>1063.0405638720001</v>
      </c>
      <c r="AG9" s="192">
        <v>0</v>
      </c>
      <c r="AH9" s="62">
        <v>667.32086259618598</v>
      </c>
      <c r="AI9" s="62">
        <v>215.92177220946925</v>
      </c>
      <c r="AJ9" s="62"/>
      <c r="AK9" s="62">
        <v>0</v>
      </c>
      <c r="AL9" s="578">
        <f t="shared" si="2"/>
        <v>21253.580260757655</v>
      </c>
      <c r="AM9" s="578">
        <f t="shared" si="3"/>
        <v>73313.142336000004</v>
      </c>
      <c r="AN9" s="578">
        <f t="shared" si="4"/>
        <v>94566.722596757667</v>
      </c>
    </row>
    <row r="10" spans="1:16152" x14ac:dyDescent="0.2">
      <c r="A10" s="3" t="s">
        <v>386</v>
      </c>
      <c r="B10" s="278">
        <v>100</v>
      </c>
      <c r="C10" s="278" t="s">
        <v>145</v>
      </c>
      <c r="D10" s="278"/>
      <c r="E10" s="278">
        <v>100</v>
      </c>
      <c r="F10" s="278" t="s">
        <v>458</v>
      </c>
      <c r="G10" s="278" t="s">
        <v>171</v>
      </c>
      <c r="H10" s="278" t="s">
        <v>920</v>
      </c>
      <c r="I10" s="3" t="s">
        <v>914</v>
      </c>
      <c r="J10" s="3" t="s">
        <v>915</v>
      </c>
      <c r="K10" s="3" t="s">
        <v>384</v>
      </c>
      <c r="L10" s="3" t="s">
        <v>897</v>
      </c>
      <c r="M10" s="3">
        <v>1</v>
      </c>
      <c r="N10" s="3" t="s">
        <v>356</v>
      </c>
      <c r="O10" s="3">
        <v>1</v>
      </c>
      <c r="P10" s="3" t="s">
        <v>342</v>
      </c>
      <c r="Q10" s="389" t="s">
        <v>386</v>
      </c>
      <c r="R10" s="3">
        <v>261</v>
      </c>
      <c r="S10" s="3">
        <v>8</v>
      </c>
      <c r="T10" s="483">
        <v>2088</v>
      </c>
      <c r="U10" s="482">
        <v>62000</v>
      </c>
      <c r="V10" s="270">
        <v>98500</v>
      </c>
      <c r="W10" s="270" t="s">
        <v>386</v>
      </c>
      <c r="X10" s="270">
        <v>98500</v>
      </c>
      <c r="Y10" s="62">
        <v>0</v>
      </c>
      <c r="Z10" s="62">
        <v>0</v>
      </c>
      <c r="AA10" s="256">
        <v>98500</v>
      </c>
      <c r="AB10" s="3"/>
      <c r="AC10" s="62">
        <v>7943.76</v>
      </c>
      <c r="AD10" s="62" t="s">
        <v>386</v>
      </c>
      <c r="AE10" s="62">
        <v>29303.75</v>
      </c>
      <c r="AF10" s="62">
        <v>1428.25</v>
      </c>
      <c r="AG10" s="192">
        <v>0</v>
      </c>
      <c r="AH10" s="62">
        <v>896.5801065308782</v>
      </c>
      <c r="AI10" s="62">
        <v>290.10207290199651</v>
      </c>
      <c r="AJ10" s="62"/>
      <c r="AK10" s="62">
        <v>0</v>
      </c>
      <c r="AL10" s="578">
        <f t="shared" si="2"/>
        <v>39862.442179432874</v>
      </c>
      <c r="AM10" s="578">
        <f t="shared" si="3"/>
        <v>98500</v>
      </c>
      <c r="AN10" s="578">
        <f t="shared" si="4"/>
        <v>138362.44217943287</v>
      </c>
    </row>
    <row r="11" spans="1:16152" x14ac:dyDescent="0.2">
      <c r="A11" s="3" t="s">
        <v>386</v>
      </c>
      <c r="B11" s="278" t="s">
        <v>135</v>
      </c>
      <c r="C11" s="424" t="s">
        <v>242</v>
      </c>
      <c r="D11" s="278"/>
      <c r="E11" s="278" t="s">
        <v>532</v>
      </c>
      <c r="F11" s="278">
        <v>1000</v>
      </c>
      <c r="G11" s="278" t="s">
        <v>171</v>
      </c>
      <c r="H11" s="278" t="s">
        <v>920</v>
      </c>
      <c r="I11" s="3" t="s">
        <v>398</v>
      </c>
      <c r="J11" s="3" t="s">
        <v>399</v>
      </c>
      <c r="K11" s="3" t="s">
        <v>446</v>
      </c>
      <c r="L11" s="3" t="s">
        <v>905</v>
      </c>
      <c r="M11" s="3">
        <v>1</v>
      </c>
      <c r="N11" s="3" t="s">
        <v>386</v>
      </c>
      <c r="O11" s="3">
        <v>1</v>
      </c>
      <c r="P11" s="3" t="s">
        <v>342</v>
      </c>
      <c r="Q11" s="389" t="s">
        <v>386</v>
      </c>
      <c r="R11" s="3">
        <v>261</v>
      </c>
      <c r="S11" s="3">
        <v>8</v>
      </c>
      <c r="T11" s="483">
        <v>2088</v>
      </c>
      <c r="U11" s="482">
        <v>80000</v>
      </c>
      <c r="V11" s="270">
        <v>81500</v>
      </c>
      <c r="W11" s="270" t="s">
        <v>386</v>
      </c>
      <c r="X11" s="270">
        <v>81500</v>
      </c>
      <c r="Y11" s="62">
        <v>0</v>
      </c>
      <c r="Z11" s="62">
        <v>0</v>
      </c>
      <c r="AA11" s="256">
        <v>81500</v>
      </c>
      <c r="AB11" s="3"/>
      <c r="AC11" s="62">
        <v>7943.76</v>
      </c>
      <c r="AD11" s="62" t="s">
        <v>386</v>
      </c>
      <c r="AE11" s="62">
        <v>24246.25</v>
      </c>
      <c r="AF11" s="62">
        <v>1181.75</v>
      </c>
      <c r="AG11" s="192">
        <v>0</v>
      </c>
      <c r="AH11" s="62">
        <v>741.84039271336621</v>
      </c>
      <c r="AI11" s="62">
        <v>240.03369483769254</v>
      </c>
      <c r="AJ11" s="62"/>
      <c r="AK11" s="62">
        <v>0</v>
      </c>
      <c r="AL11" s="578">
        <f t="shared" si="2"/>
        <v>34353.634087551065</v>
      </c>
      <c r="AM11" s="578">
        <f t="shared" si="3"/>
        <v>81500</v>
      </c>
      <c r="AN11" s="578">
        <f t="shared" si="4"/>
        <v>115853.63408755107</v>
      </c>
    </row>
    <row r="12" spans="1:16152" x14ac:dyDescent="0.2">
      <c r="A12" s="3" t="s">
        <v>386</v>
      </c>
      <c r="B12" s="278">
        <v>100</v>
      </c>
      <c r="C12" s="278" t="s">
        <v>145</v>
      </c>
      <c r="D12" s="278"/>
      <c r="E12" s="278">
        <v>100</v>
      </c>
      <c r="F12" s="278" t="s">
        <v>459</v>
      </c>
      <c r="G12" s="278" t="s">
        <v>173</v>
      </c>
      <c r="H12" s="278" t="s">
        <v>920</v>
      </c>
      <c r="I12" s="3" t="s">
        <v>916</v>
      </c>
      <c r="J12" s="3" t="s">
        <v>917</v>
      </c>
      <c r="K12" s="3" t="s">
        <v>446</v>
      </c>
      <c r="L12" s="3" t="s">
        <v>898</v>
      </c>
      <c r="M12" s="3">
        <v>1</v>
      </c>
      <c r="N12" s="3" t="s">
        <v>93</v>
      </c>
      <c r="O12" s="3">
        <v>1</v>
      </c>
      <c r="P12" s="3" t="s">
        <v>390</v>
      </c>
      <c r="Q12" s="389" t="s">
        <v>386</v>
      </c>
      <c r="R12" s="3">
        <v>261</v>
      </c>
      <c r="S12" s="3">
        <v>8</v>
      </c>
      <c r="T12" s="483">
        <v>2088</v>
      </c>
      <c r="U12" s="482">
        <v>68500</v>
      </c>
      <c r="V12" s="270">
        <v>89000</v>
      </c>
      <c r="W12" s="270">
        <v>102669.777</v>
      </c>
      <c r="X12" s="270">
        <v>102669.777</v>
      </c>
      <c r="Y12" s="62">
        <v>0</v>
      </c>
      <c r="Z12" s="62">
        <v>0</v>
      </c>
      <c r="AA12" s="256">
        <v>102669.777</v>
      </c>
      <c r="AB12" s="3"/>
      <c r="AC12" s="62">
        <v>7943.76</v>
      </c>
      <c r="AD12" s="62" t="s">
        <v>386</v>
      </c>
      <c r="AE12" s="62">
        <v>15913.815435</v>
      </c>
      <c r="AF12" s="62">
        <v>1488.7117665000001</v>
      </c>
      <c r="AG12" s="192">
        <v>0</v>
      </c>
      <c r="AH12" s="62">
        <v>934.53481827575138</v>
      </c>
      <c r="AI12" s="62">
        <v>302.38289474198706</v>
      </c>
      <c r="AJ12" s="62"/>
      <c r="AK12" s="62">
        <v>0</v>
      </c>
      <c r="AL12" s="578">
        <f t="shared" si="2"/>
        <v>26583.204914517737</v>
      </c>
      <c r="AM12" s="578">
        <f t="shared" si="3"/>
        <v>102669.777</v>
      </c>
      <c r="AN12" s="578">
        <f t="shared" si="4"/>
        <v>129252.98191451773</v>
      </c>
    </row>
    <row r="13" spans="1:16152" x14ac:dyDescent="0.2">
      <c r="A13" s="3" t="s">
        <v>386</v>
      </c>
      <c r="B13" s="278">
        <v>100</v>
      </c>
      <c r="C13" s="278" t="s">
        <v>145</v>
      </c>
      <c r="D13" s="278"/>
      <c r="E13" s="278">
        <v>100</v>
      </c>
      <c r="F13" s="278" t="s">
        <v>464</v>
      </c>
      <c r="G13" s="278" t="s">
        <v>165</v>
      </c>
      <c r="H13" s="278" t="s">
        <v>920</v>
      </c>
      <c r="I13" s="3" t="s">
        <v>912</v>
      </c>
      <c r="J13" s="3" t="s">
        <v>913</v>
      </c>
      <c r="K13" s="3" t="s">
        <v>406</v>
      </c>
      <c r="L13" s="3" t="s">
        <v>958</v>
      </c>
      <c r="M13" s="3">
        <v>1</v>
      </c>
      <c r="N13" s="3" t="s">
        <v>93</v>
      </c>
      <c r="O13" s="3">
        <v>1</v>
      </c>
      <c r="P13" s="3" t="s">
        <v>342</v>
      </c>
      <c r="Q13" s="389" t="s">
        <v>386</v>
      </c>
      <c r="R13" s="3">
        <v>261</v>
      </c>
      <c r="S13" s="3">
        <v>8</v>
      </c>
      <c r="T13" s="483">
        <v>2088</v>
      </c>
      <c r="U13" s="482">
        <v>123000</v>
      </c>
      <c r="V13" s="270">
        <v>123000</v>
      </c>
      <c r="W13" s="270" t="s">
        <v>386</v>
      </c>
      <c r="X13" s="270">
        <v>123000</v>
      </c>
      <c r="Y13" s="62">
        <v>0</v>
      </c>
      <c r="Z13" s="62">
        <v>0</v>
      </c>
      <c r="AA13" s="256">
        <v>123000</v>
      </c>
      <c r="AB13" s="3"/>
      <c r="AC13" s="62">
        <v>7943.76</v>
      </c>
      <c r="AD13" s="62" t="s">
        <v>386</v>
      </c>
      <c r="AE13" s="62">
        <v>36592.5</v>
      </c>
      <c r="AF13" s="62">
        <v>1783.5</v>
      </c>
      <c r="AG13" s="192">
        <v>0</v>
      </c>
      <c r="AH13" s="62">
        <v>1119.5873411502337</v>
      </c>
      <c r="AI13" s="62">
        <v>362.25944128878751</v>
      </c>
      <c r="AJ13" s="62"/>
      <c r="AK13" s="62">
        <v>0</v>
      </c>
      <c r="AL13" s="578">
        <f t="shared" si="2"/>
        <v>47801.606782439019</v>
      </c>
      <c r="AM13" s="578">
        <f t="shared" si="3"/>
        <v>123000</v>
      </c>
      <c r="AN13" s="578">
        <f t="shared" si="4"/>
        <v>170801.60678243902</v>
      </c>
    </row>
    <row r="14" spans="1:16152" x14ac:dyDescent="0.2">
      <c r="A14" s="3" t="s">
        <v>386</v>
      </c>
      <c r="B14" s="278">
        <v>100</v>
      </c>
      <c r="C14" s="278" t="s">
        <v>145</v>
      </c>
      <c r="D14" s="278"/>
      <c r="E14" s="278">
        <v>100</v>
      </c>
      <c r="F14" s="278" t="s">
        <v>460</v>
      </c>
      <c r="G14" s="278" t="s">
        <v>173</v>
      </c>
      <c r="H14" s="278" t="s">
        <v>920</v>
      </c>
      <c r="I14" s="3" t="s">
        <v>956</v>
      </c>
      <c r="J14" s="3" t="s">
        <v>977</v>
      </c>
      <c r="K14" s="3" t="s">
        <v>384</v>
      </c>
      <c r="L14" s="3" t="s">
        <v>899</v>
      </c>
      <c r="M14" s="3">
        <v>1</v>
      </c>
      <c r="N14" s="3" t="s">
        <v>356</v>
      </c>
      <c r="O14" s="3">
        <v>1</v>
      </c>
      <c r="P14" s="3" t="s">
        <v>390</v>
      </c>
      <c r="Q14" s="389" t="s">
        <v>386</v>
      </c>
      <c r="R14" s="3">
        <v>261</v>
      </c>
      <c r="S14" s="3">
        <v>8</v>
      </c>
      <c r="T14" s="483">
        <v>2088</v>
      </c>
      <c r="U14" s="482">
        <v>43000</v>
      </c>
      <c r="V14" s="270">
        <v>44000</v>
      </c>
      <c r="W14" s="270">
        <v>50758.092000000004</v>
      </c>
      <c r="X14" s="270">
        <v>50758.092000000004</v>
      </c>
      <c r="Y14" s="62">
        <v>0</v>
      </c>
      <c r="Z14" s="62">
        <v>0</v>
      </c>
      <c r="AA14" s="256">
        <v>50758.092000000004</v>
      </c>
      <c r="AB14" s="3"/>
      <c r="AC14" s="62">
        <v>7943.76</v>
      </c>
      <c r="AD14" s="62" t="s">
        <v>386</v>
      </c>
      <c r="AE14" s="62">
        <v>7867.5042600000006</v>
      </c>
      <c r="AF14" s="62">
        <v>735.99233400000014</v>
      </c>
      <c r="AG14" s="192">
        <v>0</v>
      </c>
      <c r="AH14" s="62">
        <v>462.01721352958498</v>
      </c>
      <c r="AI14" s="62">
        <v>149.49266706345429</v>
      </c>
      <c r="AJ14" s="62"/>
      <c r="AK14" s="62">
        <v>0</v>
      </c>
      <c r="AL14" s="578">
        <f t="shared" si="2"/>
        <v>17158.766474593038</v>
      </c>
      <c r="AM14" s="578">
        <f t="shared" si="3"/>
        <v>50758.092000000004</v>
      </c>
      <c r="AN14" s="578">
        <f t="shared" si="4"/>
        <v>67916.858474593042</v>
      </c>
    </row>
    <row r="15" spans="1:16152" x14ac:dyDescent="0.2">
      <c r="A15" s="3"/>
      <c r="B15" s="278">
        <v>100</v>
      </c>
      <c r="C15" s="278" t="s">
        <v>145</v>
      </c>
      <c r="D15" s="278"/>
      <c r="E15" s="278">
        <v>100</v>
      </c>
      <c r="F15" s="278">
        <v>2410</v>
      </c>
      <c r="G15" s="278" t="s">
        <v>173</v>
      </c>
      <c r="H15" s="424" t="s">
        <v>563</v>
      </c>
      <c r="I15" s="3" t="s">
        <v>956</v>
      </c>
      <c r="J15" s="3" t="s">
        <v>1128</v>
      </c>
      <c r="K15" s="3" t="s">
        <v>384</v>
      </c>
      <c r="L15" s="3" t="s">
        <v>957</v>
      </c>
      <c r="M15" s="3">
        <v>1</v>
      </c>
      <c r="N15" s="3">
        <v>18.829999999999998</v>
      </c>
      <c r="O15" s="3">
        <v>26</v>
      </c>
      <c r="P15" s="3" t="s">
        <v>342</v>
      </c>
      <c r="Q15" s="389" t="s">
        <v>386</v>
      </c>
      <c r="R15" s="3">
        <v>261</v>
      </c>
      <c r="S15" s="3">
        <v>8</v>
      </c>
      <c r="T15" s="483">
        <v>2088</v>
      </c>
      <c r="U15" s="482">
        <v>39317.039999999994</v>
      </c>
      <c r="V15" s="270">
        <v>39317.039999999994</v>
      </c>
      <c r="W15" s="270" t="s">
        <v>386</v>
      </c>
      <c r="X15" s="270">
        <v>39317.039999999994</v>
      </c>
      <c r="Y15" s="62">
        <v>0</v>
      </c>
      <c r="Z15" s="62">
        <v>0</v>
      </c>
      <c r="AA15" s="256">
        <v>39317.039999999994</v>
      </c>
      <c r="AB15" s="3"/>
      <c r="AC15" s="62">
        <v>7943.76</v>
      </c>
      <c r="AD15" s="62" t="s">
        <v>386</v>
      </c>
      <c r="AE15" s="62">
        <v>11696.819399999997</v>
      </c>
      <c r="AF15" s="62">
        <v>570.09707999999989</v>
      </c>
      <c r="AG15" s="192">
        <v>0</v>
      </c>
      <c r="AH15" s="62">
        <v>357.87691280892176</v>
      </c>
      <c r="AI15" s="62">
        <v>115.79649547584478</v>
      </c>
      <c r="AJ15" s="62"/>
      <c r="AK15" s="62">
        <v>0</v>
      </c>
      <c r="AL15" s="578">
        <f t="shared" si="2"/>
        <v>20684.349888284763</v>
      </c>
      <c r="AM15" s="578">
        <f t="shared" si="3"/>
        <v>39317.039999999994</v>
      </c>
      <c r="AN15" s="578">
        <f t="shared" si="4"/>
        <v>60001.389888284757</v>
      </c>
    </row>
    <row r="16" spans="1:16152" x14ac:dyDescent="0.2">
      <c r="A16" s="3" t="s">
        <v>386</v>
      </c>
      <c r="B16" s="278" t="s">
        <v>468</v>
      </c>
      <c r="C16" s="278" t="s">
        <v>145</v>
      </c>
      <c r="D16" s="278"/>
      <c r="E16" s="278" t="s">
        <v>468</v>
      </c>
      <c r="F16" s="278">
        <v>1000</v>
      </c>
      <c r="G16" s="278" t="s">
        <v>161</v>
      </c>
      <c r="H16" s="424" t="s">
        <v>563</v>
      </c>
      <c r="I16" s="3" t="s">
        <v>963</v>
      </c>
      <c r="J16" s="3" t="s">
        <v>978</v>
      </c>
      <c r="K16" s="3" t="s">
        <v>393</v>
      </c>
      <c r="L16" s="3" t="s">
        <v>498</v>
      </c>
      <c r="M16" s="3">
        <v>1</v>
      </c>
      <c r="N16" s="3" t="s">
        <v>356</v>
      </c>
      <c r="O16" s="3">
        <v>26</v>
      </c>
      <c r="P16" s="3" t="s">
        <v>342</v>
      </c>
      <c r="Q16" s="389"/>
      <c r="R16" s="3">
        <v>200</v>
      </c>
      <c r="S16" s="3">
        <v>8</v>
      </c>
      <c r="T16" s="483">
        <v>1600</v>
      </c>
      <c r="U16" s="482">
        <v>40725</v>
      </c>
      <c r="V16" s="270">
        <v>42656</v>
      </c>
      <c r="W16" s="270" t="s">
        <v>386</v>
      </c>
      <c r="X16" s="270">
        <v>42656</v>
      </c>
      <c r="Y16" s="62">
        <v>0</v>
      </c>
      <c r="Z16" s="62">
        <v>0</v>
      </c>
      <c r="AA16" s="256">
        <v>42656</v>
      </c>
      <c r="AB16" s="3"/>
      <c r="AC16" s="62">
        <v>7943.76</v>
      </c>
      <c r="AD16" s="62" t="s">
        <v>386</v>
      </c>
      <c r="AE16" s="62">
        <v>12690.16</v>
      </c>
      <c r="AF16" s="62">
        <v>618.51200000000006</v>
      </c>
      <c r="AG16" s="192">
        <v>0</v>
      </c>
      <c r="AH16" s="62">
        <v>388.2692489764583</v>
      </c>
      <c r="AI16" s="62">
        <v>125.63039615946765</v>
      </c>
      <c r="AJ16" s="62"/>
      <c r="AK16" s="62">
        <v>0</v>
      </c>
      <c r="AL16" s="578">
        <f t="shared" si="2"/>
        <v>21766.331645135924</v>
      </c>
      <c r="AM16" s="578">
        <f t="shared" si="3"/>
        <v>42656</v>
      </c>
      <c r="AN16" s="578">
        <f t="shared" si="4"/>
        <v>64422.331645135928</v>
      </c>
    </row>
    <row r="17" spans="1:44" x14ac:dyDescent="0.2">
      <c r="A17" s="3" t="s">
        <v>386</v>
      </c>
      <c r="B17" s="278">
        <v>100</v>
      </c>
      <c r="C17" s="278" t="s">
        <v>145</v>
      </c>
      <c r="D17" s="278"/>
      <c r="E17" s="278">
        <v>100</v>
      </c>
      <c r="F17" s="278">
        <v>2212</v>
      </c>
      <c r="G17" s="278" t="s">
        <v>173</v>
      </c>
      <c r="H17" s="278" t="s">
        <v>920</v>
      </c>
      <c r="I17" s="3" t="s">
        <v>964</v>
      </c>
      <c r="J17" s="3" t="s">
        <v>979</v>
      </c>
      <c r="K17" s="3" t="s">
        <v>384</v>
      </c>
      <c r="L17" s="3" t="s">
        <v>906</v>
      </c>
      <c r="M17" s="3">
        <v>1</v>
      </c>
      <c r="N17" s="3" t="s">
        <v>386</v>
      </c>
      <c r="O17" s="3">
        <v>26</v>
      </c>
      <c r="P17" s="3" t="s">
        <v>390</v>
      </c>
      <c r="Q17" s="389">
        <v>20</v>
      </c>
      <c r="R17" s="3">
        <v>261</v>
      </c>
      <c r="S17" s="3">
        <v>8</v>
      </c>
      <c r="T17" s="483">
        <v>2088</v>
      </c>
      <c r="U17" s="482">
        <v>42600</v>
      </c>
      <c r="V17" s="270">
        <v>44000</v>
      </c>
      <c r="W17" s="270">
        <v>50758.092000000004</v>
      </c>
      <c r="X17" s="270">
        <v>50758.092000000004</v>
      </c>
      <c r="Y17" s="62">
        <v>0</v>
      </c>
      <c r="Z17" s="62">
        <v>0</v>
      </c>
      <c r="AA17" s="256">
        <v>50758.092000000004</v>
      </c>
      <c r="AB17" s="3"/>
      <c r="AC17" s="62">
        <v>7943.76</v>
      </c>
      <c r="AD17" s="62" t="s">
        <v>386</v>
      </c>
      <c r="AE17" s="62">
        <v>7867.5042600000006</v>
      </c>
      <c r="AF17" s="62">
        <v>735.99233400000014</v>
      </c>
      <c r="AG17" s="192">
        <v>0</v>
      </c>
      <c r="AH17" s="62">
        <v>462.01721352958498</v>
      </c>
      <c r="AI17" s="62">
        <v>149.49266706345429</v>
      </c>
      <c r="AJ17" s="62"/>
      <c r="AK17" s="62">
        <v>0</v>
      </c>
      <c r="AL17" s="578">
        <f t="shared" si="2"/>
        <v>17158.766474593038</v>
      </c>
      <c r="AM17" s="578">
        <f t="shared" si="3"/>
        <v>50758.092000000004</v>
      </c>
      <c r="AN17" s="578">
        <f t="shared" si="4"/>
        <v>67916.858474593042</v>
      </c>
    </row>
    <row r="18" spans="1:44" x14ac:dyDescent="0.2">
      <c r="A18" s="3" t="s">
        <v>386</v>
      </c>
      <c r="B18" s="278" t="s">
        <v>135</v>
      </c>
      <c r="C18" s="278" t="s">
        <v>242</v>
      </c>
      <c r="D18" s="278"/>
      <c r="E18" s="278" t="s">
        <v>532</v>
      </c>
      <c r="F18" s="278" t="s">
        <v>534</v>
      </c>
      <c r="G18" s="278" t="s">
        <v>161</v>
      </c>
      <c r="H18" s="278" t="s">
        <v>920</v>
      </c>
      <c r="I18" s="3" t="s">
        <v>965</v>
      </c>
      <c r="J18" s="3" t="s">
        <v>980</v>
      </c>
      <c r="K18" s="3" t="s">
        <v>393</v>
      </c>
      <c r="L18" s="3" t="s">
        <v>983</v>
      </c>
      <c r="M18" s="3">
        <v>1</v>
      </c>
      <c r="N18" s="3" t="s">
        <v>93</v>
      </c>
      <c r="O18" s="3">
        <v>26</v>
      </c>
      <c r="P18" s="3" t="s">
        <v>342</v>
      </c>
      <c r="Q18" s="389" t="s">
        <v>386</v>
      </c>
      <c r="R18" s="3">
        <v>200</v>
      </c>
      <c r="S18" s="3">
        <v>8</v>
      </c>
      <c r="T18" s="483">
        <v>1600</v>
      </c>
      <c r="U18" s="482">
        <v>63148</v>
      </c>
      <c r="V18" s="270">
        <v>64411</v>
      </c>
      <c r="W18" s="270" t="s">
        <v>386</v>
      </c>
      <c r="X18" s="270">
        <v>64411</v>
      </c>
      <c r="Y18" s="62">
        <v>0</v>
      </c>
      <c r="Z18" s="62">
        <v>0</v>
      </c>
      <c r="AA18" s="256">
        <v>64411</v>
      </c>
      <c r="AB18" s="3"/>
      <c r="AC18" s="62">
        <v>7943.76</v>
      </c>
      <c r="AD18" s="62" t="s">
        <v>386</v>
      </c>
      <c r="AE18" s="62">
        <v>19162.272499999999</v>
      </c>
      <c r="AF18" s="62">
        <v>933.95950000000005</v>
      </c>
      <c r="AG18" s="192">
        <v>0</v>
      </c>
      <c r="AH18" s="62">
        <v>586.29057098233909</v>
      </c>
      <c r="AI18" s="62">
        <v>189.7031940882284</v>
      </c>
      <c r="AJ18" s="62"/>
      <c r="AK18" s="62">
        <v>0</v>
      </c>
      <c r="AL18" s="578">
        <f t="shared" si="2"/>
        <v>28815.985765070571</v>
      </c>
      <c r="AM18" s="578">
        <f t="shared" si="3"/>
        <v>64411</v>
      </c>
      <c r="AN18" s="578">
        <f t="shared" si="4"/>
        <v>93226.985765070567</v>
      </c>
    </row>
    <row r="19" spans="1:44" x14ac:dyDescent="0.2">
      <c r="A19" s="394" t="s">
        <v>999</v>
      </c>
      <c r="B19" s="500">
        <v>280</v>
      </c>
      <c r="C19" s="500">
        <v>639</v>
      </c>
      <c r="D19" s="500"/>
      <c r="E19" s="500">
        <v>200</v>
      </c>
      <c r="F19" s="500">
        <v>1000</v>
      </c>
      <c r="G19" s="500" t="s">
        <v>161</v>
      </c>
      <c r="H19" s="501" t="s">
        <v>563</v>
      </c>
      <c r="I19" s="394" t="s">
        <v>966</v>
      </c>
      <c r="J19" s="394" t="s">
        <v>981</v>
      </c>
      <c r="K19" s="394" t="s">
        <v>389</v>
      </c>
      <c r="L19" s="394" t="s">
        <v>495</v>
      </c>
      <c r="M19" s="394">
        <v>1</v>
      </c>
      <c r="N19" s="394" t="s">
        <v>386</v>
      </c>
      <c r="O19" s="394">
        <v>26</v>
      </c>
      <c r="P19" s="394" t="s">
        <v>342</v>
      </c>
      <c r="Q19" s="400" t="s">
        <v>386</v>
      </c>
      <c r="R19" s="394">
        <v>200</v>
      </c>
      <c r="S19" s="394">
        <v>8</v>
      </c>
      <c r="T19" s="483">
        <v>1600</v>
      </c>
      <c r="U19" s="482">
        <v>49792</v>
      </c>
      <c r="V19" s="270">
        <v>50788</v>
      </c>
      <c r="W19" s="270" t="s">
        <v>386</v>
      </c>
      <c r="X19" s="270">
        <v>50788</v>
      </c>
      <c r="Y19" s="62">
        <v>0</v>
      </c>
      <c r="Z19" s="62">
        <v>0</v>
      </c>
      <c r="AA19" s="256">
        <v>50788</v>
      </c>
      <c r="AB19" s="3"/>
      <c r="AC19" s="62">
        <v>7943.76</v>
      </c>
      <c r="AD19" s="62" t="s">
        <v>386</v>
      </c>
      <c r="AE19" s="62">
        <v>15109.429999999998</v>
      </c>
      <c r="AF19" s="62">
        <v>736.42600000000004</v>
      </c>
      <c r="AG19" s="192">
        <v>0</v>
      </c>
      <c r="AH19" s="62">
        <v>462.28944619787046</v>
      </c>
      <c r="AI19" s="62">
        <v>149.58075206646294</v>
      </c>
      <c r="AJ19" s="62"/>
      <c r="AK19" s="62">
        <v>0</v>
      </c>
      <c r="AL19" s="578">
        <f t="shared" si="2"/>
        <v>24401.486198264334</v>
      </c>
      <c r="AM19" s="578">
        <f t="shared" si="3"/>
        <v>50788</v>
      </c>
      <c r="AN19" s="578">
        <f t="shared" si="4"/>
        <v>75189.486198264334</v>
      </c>
    </row>
    <row r="20" spans="1:44" x14ac:dyDescent="0.2">
      <c r="A20" s="3" t="s">
        <v>386</v>
      </c>
      <c r="B20" s="278" t="s">
        <v>468</v>
      </c>
      <c r="C20" s="278" t="s">
        <v>145</v>
      </c>
      <c r="D20" s="278"/>
      <c r="E20" s="278" t="s">
        <v>468</v>
      </c>
      <c r="F20" s="278" t="s">
        <v>465</v>
      </c>
      <c r="G20" s="278" t="s">
        <v>167</v>
      </c>
      <c r="H20" s="424" t="s">
        <v>563</v>
      </c>
      <c r="I20" s="3" t="s">
        <v>967</v>
      </c>
      <c r="J20" s="3" t="s">
        <v>982</v>
      </c>
      <c r="K20" s="3" t="s">
        <v>389</v>
      </c>
      <c r="L20" s="3" t="s">
        <v>984</v>
      </c>
      <c r="M20" s="3">
        <v>1</v>
      </c>
      <c r="N20" s="3" t="s">
        <v>386</v>
      </c>
      <c r="O20" s="3">
        <v>26</v>
      </c>
      <c r="P20" s="3" t="s">
        <v>342</v>
      </c>
      <c r="Q20" s="389" t="s">
        <v>386</v>
      </c>
      <c r="R20" s="3">
        <v>200</v>
      </c>
      <c r="S20" s="3">
        <v>8</v>
      </c>
      <c r="T20" s="483">
        <v>1600</v>
      </c>
      <c r="U20" s="482">
        <v>50788</v>
      </c>
      <c r="V20" s="270">
        <v>51803</v>
      </c>
      <c r="W20" s="270" t="s">
        <v>386</v>
      </c>
      <c r="X20" s="270">
        <v>51803</v>
      </c>
      <c r="Y20" s="62">
        <v>0</v>
      </c>
      <c r="Z20" s="62">
        <v>0</v>
      </c>
      <c r="AA20" s="256">
        <v>51803</v>
      </c>
      <c r="AB20" s="3"/>
      <c r="AC20" s="62">
        <v>7943.76</v>
      </c>
      <c r="AD20" s="62" t="s">
        <v>386</v>
      </c>
      <c r="AE20" s="62">
        <v>15411.3925</v>
      </c>
      <c r="AF20" s="62">
        <v>751.14350000000002</v>
      </c>
      <c r="AG20" s="192">
        <v>0</v>
      </c>
      <c r="AH20" s="62">
        <v>471.52831734638664</v>
      </c>
      <c r="AI20" s="62">
        <v>152.57012875677285</v>
      </c>
      <c r="AJ20" s="62"/>
      <c r="AK20" s="62">
        <v>0</v>
      </c>
      <c r="AL20" s="578">
        <f t="shared" si="2"/>
        <v>24730.394446103157</v>
      </c>
      <c r="AM20" s="578">
        <f t="shared" si="3"/>
        <v>51803</v>
      </c>
      <c r="AN20" s="578">
        <f t="shared" si="4"/>
        <v>76533.394446103164</v>
      </c>
    </row>
    <row r="21" spans="1:44" x14ac:dyDescent="0.2">
      <c r="A21" s="394" t="s">
        <v>377</v>
      </c>
      <c r="B21" s="500" t="s">
        <v>462</v>
      </c>
      <c r="C21" s="500" t="s">
        <v>132</v>
      </c>
      <c r="D21" s="500"/>
      <c r="E21" s="500" t="s">
        <v>463</v>
      </c>
      <c r="F21" s="500">
        <v>2130</v>
      </c>
      <c r="G21" s="500" t="s">
        <v>167</v>
      </c>
      <c r="H21" s="500" t="s">
        <v>920</v>
      </c>
      <c r="I21" s="394" t="s">
        <v>491</v>
      </c>
      <c r="J21" s="394" t="s">
        <v>492</v>
      </c>
      <c r="K21" s="394" t="s">
        <v>393</v>
      </c>
      <c r="L21" s="394" t="s">
        <v>493</v>
      </c>
      <c r="M21" s="394">
        <v>0.5</v>
      </c>
      <c r="N21" s="394">
        <v>45</v>
      </c>
      <c r="O21" s="394">
        <v>26</v>
      </c>
      <c r="P21" s="394" t="s">
        <v>342</v>
      </c>
      <c r="Q21" s="400">
        <v>45</v>
      </c>
      <c r="R21" s="394">
        <v>261</v>
      </c>
      <c r="S21" s="394">
        <v>3</v>
      </c>
      <c r="T21" s="483">
        <v>783</v>
      </c>
      <c r="U21" s="482">
        <v>35235</v>
      </c>
      <c r="V21" s="270">
        <v>35235</v>
      </c>
      <c r="W21" s="270" t="s">
        <v>386</v>
      </c>
      <c r="X21" s="270">
        <v>35235</v>
      </c>
      <c r="Y21" s="62">
        <v>0</v>
      </c>
      <c r="Z21" s="62">
        <v>0</v>
      </c>
      <c r="AA21" s="256">
        <v>35235</v>
      </c>
      <c r="AB21" s="3"/>
      <c r="AC21" s="62">
        <v>7943.76</v>
      </c>
      <c r="AD21" s="62" t="s">
        <v>386</v>
      </c>
      <c r="AE21" s="62">
        <v>10482.4125</v>
      </c>
      <c r="AF21" s="62">
        <v>510.90750000000003</v>
      </c>
      <c r="AG21" s="192">
        <v>0</v>
      </c>
      <c r="AH21" s="62">
        <v>320.72081272706083</v>
      </c>
      <c r="AI21" s="62">
        <v>103.77407653504413</v>
      </c>
      <c r="AJ21" s="62"/>
      <c r="AK21" s="62">
        <v>0</v>
      </c>
      <c r="AL21" s="578">
        <f t="shared" si="2"/>
        <v>19361.574889262105</v>
      </c>
      <c r="AM21" s="578">
        <f t="shared" si="3"/>
        <v>35235</v>
      </c>
      <c r="AN21" s="578">
        <f t="shared" si="4"/>
        <v>54596.574889262105</v>
      </c>
    </row>
    <row r="22" spans="1:44" x14ac:dyDescent="0.2">
      <c r="A22" s="394" t="s">
        <v>999</v>
      </c>
      <c r="B22" s="500">
        <v>280</v>
      </c>
      <c r="C22" s="500">
        <v>639</v>
      </c>
      <c r="D22" s="500"/>
      <c r="E22" s="500">
        <v>200</v>
      </c>
      <c r="F22" s="500">
        <v>1000</v>
      </c>
      <c r="G22" s="500" t="s">
        <v>161</v>
      </c>
      <c r="H22" s="501" t="s">
        <v>563</v>
      </c>
      <c r="I22" s="394" t="s">
        <v>968</v>
      </c>
      <c r="J22" s="394" t="s">
        <v>427</v>
      </c>
      <c r="K22" s="394" t="s">
        <v>389</v>
      </c>
      <c r="L22" s="394" t="s">
        <v>422</v>
      </c>
      <c r="M22" s="394">
        <v>1</v>
      </c>
      <c r="N22" s="394" t="s">
        <v>386</v>
      </c>
      <c r="O22" s="394">
        <v>26</v>
      </c>
      <c r="P22" s="394" t="s">
        <v>342</v>
      </c>
      <c r="Q22" s="400" t="s">
        <v>386</v>
      </c>
      <c r="R22" s="394">
        <v>200</v>
      </c>
      <c r="S22" s="394">
        <v>8</v>
      </c>
      <c r="T22" s="483">
        <v>1600</v>
      </c>
      <c r="U22" s="482">
        <v>58339</v>
      </c>
      <c r="V22" s="270">
        <v>59506</v>
      </c>
      <c r="W22" s="270" t="s">
        <v>386</v>
      </c>
      <c r="X22" s="270">
        <v>59506</v>
      </c>
      <c r="Y22" s="62">
        <v>0</v>
      </c>
      <c r="Z22" s="62">
        <v>0</v>
      </c>
      <c r="AA22" s="256">
        <v>59506</v>
      </c>
      <c r="AB22" s="3"/>
      <c r="AC22" s="62">
        <v>7943.76</v>
      </c>
      <c r="AD22" s="62" t="s">
        <v>386</v>
      </c>
      <c r="AE22" s="62">
        <v>17703.035</v>
      </c>
      <c r="AF22" s="62">
        <v>862.83699999999999</v>
      </c>
      <c r="AG22" s="192">
        <v>0</v>
      </c>
      <c r="AH22" s="62">
        <v>541.64361237793344</v>
      </c>
      <c r="AI22" s="62">
        <v>175.25699441732186</v>
      </c>
      <c r="AJ22" s="62"/>
      <c r="AK22" s="62">
        <v>0</v>
      </c>
      <c r="AL22" s="578">
        <f t="shared" si="2"/>
        <v>27226.532606795256</v>
      </c>
      <c r="AM22" s="578">
        <f t="shared" si="3"/>
        <v>59506</v>
      </c>
      <c r="AN22" s="578">
        <f t="shared" si="4"/>
        <v>86732.532606795256</v>
      </c>
    </row>
    <row r="23" spans="1:44" x14ac:dyDescent="0.2">
      <c r="A23" s="3" t="s">
        <v>386</v>
      </c>
      <c r="B23" s="278">
        <v>250</v>
      </c>
      <c r="C23" s="278" t="s">
        <v>132</v>
      </c>
      <c r="D23" s="278"/>
      <c r="E23" s="278">
        <v>200</v>
      </c>
      <c r="F23" s="278">
        <v>2140</v>
      </c>
      <c r="G23" s="278" t="s">
        <v>167</v>
      </c>
      <c r="H23" s="278" t="s">
        <v>920</v>
      </c>
      <c r="I23" s="3" t="s">
        <v>919</v>
      </c>
      <c r="J23" s="3" t="s">
        <v>429</v>
      </c>
      <c r="K23" s="3" t="s">
        <v>393</v>
      </c>
      <c r="L23" s="3" t="s">
        <v>430</v>
      </c>
      <c r="M23" s="3">
        <v>1</v>
      </c>
      <c r="N23" s="3" t="s">
        <v>386</v>
      </c>
      <c r="O23" s="3">
        <v>26</v>
      </c>
      <c r="P23" s="3" t="s">
        <v>342</v>
      </c>
      <c r="Q23" s="389" t="s">
        <v>386</v>
      </c>
      <c r="R23" s="3">
        <v>200</v>
      </c>
      <c r="S23" s="3">
        <v>8</v>
      </c>
      <c r="T23" s="483">
        <v>1600</v>
      </c>
      <c r="U23" s="482">
        <v>72768.800000000003</v>
      </c>
      <c r="V23" s="270">
        <v>65699</v>
      </c>
      <c r="W23" s="270" t="s">
        <v>386</v>
      </c>
      <c r="X23" s="270">
        <v>65699</v>
      </c>
      <c r="Y23" s="62">
        <v>0</v>
      </c>
      <c r="Z23" s="62">
        <v>0</v>
      </c>
      <c r="AA23" s="256">
        <v>65699</v>
      </c>
      <c r="AB23" s="3"/>
      <c r="AC23" s="62">
        <v>7943.76</v>
      </c>
      <c r="AD23" s="62" t="s">
        <v>386</v>
      </c>
      <c r="AE23" s="62">
        <v>19545.452499999999</v>
      </c>
      <c r="AF23" s="62">
        <v>952.63550000000009</v>
      </c>
      <c r="AG23" s="192">
        <v>0</v>
      </c>
      <c r="AH23" s="62">
        <v>598.0143798880423</v>
      </c>
      <c r="AI23" s="62">
        <v>193.49661002627684</v>
      </c>
      <c r="AJ23" s="62"/>
      <c r="AK23" s="62">
        <v>0</v>
      </c>
      <c r="AL23" s="578">
        <f t="shared" si="2"/>
        <v>29233.358989914319</v>
      </c>
      <c r="AM23" s="578">
        <f t="shared" si="3"/>
        <v>65699</v>
      </c>
      <c r="AN23" s="578">
        <f t="shared" si="4"/>
        <v>94932.358989914326</v>
      </c>
    </row>
    <row r="24" spans="1:44" x14ac:dyDescent="0.2">
      <c r="A24" s="394" t="s">
        <v>998</v>
      </c>
      <c r="B24" s="500">
        <v>280</v>
      </c>
      <c r="C24" s="500">
        <v>741</v>
      </c>
      <c r="D24" s="500"/>
      <c r="E24" s="500" t="s">
        <v>468</v>
      </c>
      <c r="F24" s="500" t="s">
        <v>465</v>
      </c>
      <c r="G24" s="500" t="s">
        <v>167</v>
      </c>
      <c r="H24" s="501" t="s">
        <v>563</v>
      </c>
      <c r="I24" s="394" t="s">
        <v>969</v>
      </c>
      <c r="J24" s="394" t="s">
        <v>424</v>
      </c>
      <c r="K24" s="394" t="s">
        <v>393</v>
      </c>
      <c r="L24" s="394" t="s">
        <v>985</v>
      </c>
      <c r="M24" s="394">
        <v>1</v>
      </c>
      <c r="N24" s="394" t="s">
        <v>386</v>
      </c>
      <c r="O24" s="394">
        <v>26</v>
      </c>
      <c r="P24" s="394" t="s">
        <v>390</v>
      </c>
      <c r="Q24" s="400" t="s">
        <v>386</v>
      </c>
      <c r="R24" s="394">
        <v>200</v>
      </c>
      <c r="S24" s="394">
        <v>8</v>
      </c>
      <c r="T24" s="483">
        <v>1600</v>
      </c>
      <c r="U24" s="482">
        <v>39919</v>
      </c>
      <c r="V24" s="270">
        <v>58339</v>
      </c>
      <c r="W24" s="270">
        <v>67299.462027000001</v>
      </c>
      <c r="X24" s="270">
        <v>67299.462027000001</v>
      </c>
      <c r="Y24" s="62">
        <v>0</v>
      </c>
      <c r="Z24" s="62">
        <v>0</v>
      </c>
      <c r="AA24" s="256">
        <v>67299.462027000001</v>
      </c>
      <c r="AB24" s="3"/>
      <c r="AC24" s="62">
        <v>7943.76</v>
      </c>
      <c r="AD24" s="62" t="s">
        <v>386</v>
      </c>
      <c r="AE24" s="62">
        <v>10431.416614185</v>
      </c>
      <c r="AF24" s="62">
        <v>975.84219939150012</v>
      </c>
      <c r="AG24" s="192">
        <v>0</v>
      </c>
      <c r="AH24" s="62">
        <v>612.58232318414673</v>
      </c>
      <c r="AI24" s="62">
        <v>198.21028872306499</v>
      </c>
      <c r="AJ24" s="62"/>
      <c r="AK24" s="62">
        <v>0</v>
      </c>
      <c r="AL24" s="578">
        <f t="shared" si="2"/>
        <v>20161.811425483713</v>
      </c>
      <c r="AM24" s="578">
        <f t="shared" si="3"/>
        <v>67299.462027000001</v>
      </c>
      <c r="AN24" s="578">
        <f t="shared" si="4"/>
        <v>87461.273452483714</v>
      </c>
    </row>
    <row r="25" spans="1:44" x14ac:dyDescent="0.2">
      <c r="A25" s="3"/>
      <c r="B25" s="278">
        <v>100</v>
      </c>
      <c r="C25" s="278" t="s">
        <v>145</v>
      </c>
      <c r="D25" s="278"/>
      <c r="E25" s="278">
        <v>100</v>
      </c>
      <c r="F25" s="278">
        <v>2410</v>
      </c>
      <c r="G25" s="278" t="s">
        <v>173</v>
      </c>
      <c r="H25" s="278" t="s">
        <v>497</v>
      </c>
      <c r="I25" s="3" t="s">
        <v>970</v>
      </c>
      <c r="J25" s="3" t="s">
        <v>433</v>
      </c>
      <c r="K25" s="3" t="s">
        <v>384</v>
      </c>
      <c r="L25" s="92" t="s">
        <v>894</v>
      </c>
      <c r="M25" s="3">
        <v>1</v>
      </c>
      <c r="N25" s="3" t="s">
        <v>386</v>
      </c>
      <c r="O25" s="3">
        <v>26</v>
      </c>
      <c r="P25" s="3" t="s">
        <v>342</v>
      </c>
      <c r="Q25" s="389">
        <v>14.5</v>
      </c>
      <c r="R25" s="3">
        <v>261</v>
      </c>
      <c r="S25" s="3">
        <v>8</v>
      </c>
      <c r="T25" s="483">
        <v>2088</v>
      </c>
      <c r="U25" s="482">
        <v>45000</v>
      </c>
      <c r="V25" s="486">
        <v>30276</v>
      </c>
      <c r="W25" s="270" t="s">
        <v>386</v>
      </c>
      <c r="X25" s="270">
        <v>30276</v>
      </c>
      <c r="Y25" s="62">
        <v>0</v>
      </c>
      <c r="Z25" s="62">
        <v>0</v>
      </c>
      <c r="AA25" s="256">
        <v>30276</v>
      </c>
      <c r="AB25" s="3"/>
      <c r="AC25" s="62">
        <v>7943.76</v>
      </c>
      <c r="AD25" s="62" t="s">
        <v>386</v>
      </c>
      <c r="AE25" s="62">
        <v>9007.1099999999988</v>
      </c>
      <c r="AF25" s="62">
        <v>439.00200000000001</v>
      </c>
      <c r="AG25" s="192">
        <v>0</v>
      </c>
      <c r="AH25" s="62">
        <v>275.5823279728819</v>
      </c>
      <c r="AI25" s="62">
        <v>89.168836133815702</v>
      </c>
      <c r="AJ25" s="62"/>
      <c r="AK25" s="62">
        <v>0</v>
      </c>
      <c r="AL25" s="578">
        <f t="shared" si="2"/>
        <v>17754.623164106699</v>
      </c>
      <c r="AM25" s="578">
        <f t="shared" si="3"/>
        <v>30276</v>
      </c>
      <c r="AN25" s="578">
        <f t="shared" si="4"/>
        <v>48030.623164106699</v>
      </c>
    </row>
    <row r="26" spans="1:44" x14ac:dyDescent="0.2">
      <c r="A26" s="474" t="s">
        <v>924</v>
      </c>
      <c r="B26" s="425">
        <v>100</v>
      </c>
      <c r="C26" s="502" t="s">
        <v>145</v>
      </c>
      <c r="D26" s="425"/>
      <c r="E26" s="425">
        <v>100</v>
      </c>
      <c r="F26" s="425" t="s">
        <v>461</v>
      </c>
      <c r="G26" s="425" t="s">
        <v>161</v>
      </c>
      <c r="H26" s="425" t="s">
        <v>497</v>
      </c>
      <c r="I26" s="474" t="s">
        <v>971</v>
      </c>
      <c r="J26" s="474" t="s">
        <v>986</v>
      </c>
      <c r="K26" s="474" t="s">
        <v>389</v>
      </c>
      <c r="L26" s="474" t="s">
        <v>903</v>
      </c>
      <c r="M26" s="474">
        <v>1</v>
      </c>
      <c r="N26" s="474"/>
      <c r="O26" s="474">
        <v>26</v>
      </c>
      <c r="P26" s="474" t="s">
        <v>342</v>
      </c>
      <c r="Q26" s="487"/>
      <c r="R26" s="474">
        <v>200</v>
      </c>
      <c r="S26" s="474">
        <v>8</v>
      </c>
      <c r="T26" s="483">
        <v>1600</v>
      </c>
      <c r="U26" s="482">
        <v>57896</v>
      </c>
      <c r="V26" s="270">
        <v>53896</v>
      </c>
      <c r="W26" s="270" t="s">
        <v>386</v>
      </c>
      <c r="X26" s="270">
        <v>53896</v>
      </c>
      <c r="Y26" s="62">
        <v>0</v>
      </c>
      <c r="Z26" s="62">
        <v>0</v>
      </c>
      <c r="AA26" s="256">
        <v>53896</v>
      </c>
      <c r="AB26" s="3"/>
      <c r="AC26" s="62">
        <v>7943.76</v>
      </c>
      <c r="AD26" s="62" t="s">
        <v>386</v>
      </c>
      <c r="AE26" s="62">
        <v>16034.06</v>
      </c>
      <c r="AF26" s="62">
        <v>781.49200000000008</v>
      </c>
      <c r="AG26" s="192">
        <v>0</v>
      </c>
      <c r="AH26" s="62">
        <v>490.57950681815447</v>
      </c>
      <c r="AI26" s="62">
        <v>158.73442965610155</v>
      </c>
      <c r="AJ26" s="62"/>
      <c r="AK26" s="62">
        <v>0</v>
      </c>
      <c r="AL26" s="578">
        <f t="shared" si="2"/>
        <v>25408.625936474255</v>
      </c>
      <c r="AM26" s="578">
        <f t="shared" si="3"/>
        <v>53896</v>
      </c>
      <c r="AN26" s="578">
        <f t="shared" si="4"/>
        <v>79304.625936474258</v>
      </c>
    </row>
    <row r="27" spans="1:44" x14ac:dyDescent="0.2">
      <c r="A27" s="3" t="s">
        <v>386</v>
      </c>
      <c r="B27" s="278">
        <v>100</v>
      </c>
      <c r="C27" s="278" t="s">
        <v>145</v>
      </c>
      <c r="D27" s="278"/>
      <c r="E27" s="278">
        <v>100</v>
      </c>
      <c r="F27" s="278">
        <v>1000</v>
      </c>
      <c r="G27" s="278" t="s">
        <v>161</v>
      </c>
      <c r="H27" s="424" t="s">
        <v>563</v>
      </c>
      <c r="I27" s="3" t="s">
        <v>972</v>
      </c>
      <c r="J27" s="3" t="s">
        <v>987</v>
      </c>
      <c r="K27" s="3" t="s">
        <v>389</v>
      </c>
      <c r="L27" s="3" t="s">
        <v>498</v>
      </c>
      <c r="M27" s="3">
        <v>1</v>
      </c>
      <c r="N27" s="3" t="s">
        <v>386</v>
      </c>
      <c r="O27" s="3">
        <v>26</v>
      </c>
      <c r="P27" s="3" t="s">
        <v>342</v>
      </c>
      <c r="Q27" s="389" t="s">
        <v>386</v>
      </c>
      <c r="R27" s="3">
        <v>200</v>
      </c>
      <c r="S27" s="3">
        <v>8</v>
      </c>
      <c r="T27" s="483">
        <v>1600</v>
      </c>
      <c r="U27" s="482">
        <v>52840</v>
      </c>
      <c r="V27" s="486">
        <v>53896</v>
      </c>
      <c r="W27" s="270" t="s">
        <v>386</v>
      </c>
      <c r="X27" s="270">
        <v>53896</v>
      </c>
      <c r="Y27" s="62">
        <v>0</v>
      </c>
      <c r="Z27" s="62">
        <v>0</v>
      </c>
      <c r="AA27" s="256">
        <v>53896</v>
      </c>
      <c r="AB27" s="3"/>
      <c r="AC27" s="62">
        <v>7943.76</v>
      </c>
      <c r="AD27" s="62" t="s">
        <v>386</v>
      </c>
      <c r="AE27" s="62">
        <v>16034.06</v>
      </c>
      <c r="AF27" s="62">
        <v>781.49200000000008</v>
      </c>
      <c r="AG27" s="192">
        <v>0</v>
      </c>
      <c r="AH27" s="62">
        <v>490.57950681815447</v>
      </c>
      <c r="AI27" s="62">
        <v>158.73442965610155</v>
      </c>
      <c r="AJ27" s="62"/>
      <c r="AK27" s="62">
        <v>0</v>
      </c>
      <c r="AL27" s="578">
        <f t="shared" si="2"/>
        <v>25408.625936474255</v>
      </c>
      <c r="AM27" s="578">
        <f t="shared" si="3"/>
        <v>53896</v>
      </c>
      <c r="AN27" s="578">
        <f t="shared" si="4"/>
        <v>79304.625936474258</v>
      </c>
    </row>
    <row r="28" spans="1:44" x14ac:dyDescent="0.2">
      <c r="A28" s="3"/>
      <c r="B28" s="307" t="s">
        <v>462</v>
      </c>
      <c r="C28" s="308" t="s">
        <v>145</v>
      </c>
      <c r="D28" s="307"/>
      <c r="E28" s="307" t="s">
        <v>463</v>
      </c>
      <c r="F28" s="307" t="s">
        <v>461</v>
      </c>
      <c r="G28" s="308" t="s">
        <v>161</v>
      </c>
      <c r="H28" s="307" t="s">
        <v>920</v>
      </c>
      <c r="I28" s="3" t="s">
        <v>959</v>
      </c>
      <c r="J28" s="3" t="s">
        <v>960</v>
      </c>
      <c r="K28" s="3" t="s">
        <v>389</v>
      </c>
      <c r="L28" s="3" t="s">
        <v>896</v>
      </c>
      <c r="M28" s="3">
        <v>1</v>
      </c>
      <c r="N28" s="3"/>
      <c r="O28" s="3">
        <v>26</v>
      </c>
      <c r="P28" s="389" t="s">
        <v>342</v>
      </c>
      <c r="Q28" s="389"/>
      <c r="R28" s="3">
        <v>261</v>
      </c>
      <c r="S28" s="3">
        <v>8</v>
      </c>
      <c r="T28" s="483">
        <v>2088</v>
      </c>
      <c r="U28" s="482">
        <v>65000</v>
      </c>
      <c r="V28" s="270">
        <v>79018</v>
      </c>
      <c r="W28" s="270" t="s">
        <v>386</v>
      </c>
      <c r="X28" s="270">
        <v>79018</v>
      </c>
      <c r="Y28" s="62">
        <v>0</v>
      </c>
      <c r="Z28" s="62">
        <v>0</v>
      </c>
      <c r="AA28" s="256">
        <v>79018</v>
      </c>
      <c r="AB28" s="3"/>
      <c r="AC28" s="62">
        <v>7943.76</v>
      </c>
      <c r="AD28" s="62" t="s">
        <v>386</v>
      </c>
      <c r="AE28" s="62">
        <v>23507.855</v>
      </c>
      <c r="AF28" s="62">
        <v>1145.761</v>
      </c>
      <c r="AG28" s="192">
        <v>0</v>
      </c>
      <c r="AH28" s="62">
        <v>719.2483944960095</v>
      </c>
      <c r="AI28" s="62">
        <v>232.72371164030417</v>
      </c>
      <c r="AJ28" s="62"/>
      <c r="AK28" s="62">
        <v>0</v>
      </c>
      <c r="AL28" s="578">
        <f t="shared" si="2"/>
        <v>33549.348106136313</v>
      </c>
      <c r="AM28" s="578">
        <f t="shared" si="3"/>
        <v>79018</v>
      </c>
      <c r="AN28" s="578">
        <f t="shared" si="4"/>
        <v>112567.34810613631</v>
      </c>
      <c r="AO28" s="3"/>
      <c r="AP28" s="3"/>
      <c r="AQ28" s="3"/>
      <c r="AR28" s="3"/>
    </row>
    <row r="29" spans="1:44" x14ac:dyDescent="0.2">
      <c r="A29" s="3" t="s">
        <v>386</v>
      </c>
      <c r="B29" s="278">
        <v>100</v>
      </c>
      <c r="C29" s="278" t="s">
        <v>145</v>
      </c>
      <c r="D29" s="278"/>
      <c r="E29" s="278">
        <v>100</v>
      </c>
      <c r="F29" s="278" t="s">
        <v>464</v>
      </c>
      <c r="G29" s="278" t="s">
        <v>165</v>
      </c>
      <c r="H29" s="424" t="s">
        <v>920</v>
      </c>
      <c r="I29" s="3" t="s">
        <v>911</v>
      </c>
      <c r="J29" s="3" t="s">
        <v>448</v>
      </c>
      <c r="K29" s="3" t="s">
        <v>446</v>
      </c>
      <c r="L29" s="3" t="s">
        <v>449</v>
      </c>
      <c r="M29" s="3">
        <v>1</v>
      </c>
      <c r="N29" s="3" t="s">
        <v>386</v>
      </c>
      <c r="O29" s="3">
        <v>26</v>
      </c>
      <c r="P29" s="3" t="s">
        <v>342</v>
      </c>
      <c r="Q29" s="389" t="s">
        <v>386</v>
      </c>
      <c r="R29" s="3">
        <v>261</v>
      </c>
      <c r="S29" s="3">
        <v>8</v>
      </c>
      <c r="T29" s="483">
        <v>2088</v>
      </c>
      <c r="U29" s="482">
        <v>135000</v>
      </c>
      <c r="V29" s="270">
        <v>135000</v>
      </c>
      <c r="W29" s="270" t="s">
        <v>386</v>
      </c>
      <c r="X29" s="270">
        <v>135000</v>
      </c>
      <c r="Y29" s="62">
        <v>0</v>
      </c>
      <c r="Z29" s="62">
        <v>0</v>
      </c>
      <c r="AA29" s="256">
        <v>135000</v>
      </c>
      <c r="AB29" s="3"/>
      <c r="AC29" s="62">
        <v>7943.76</v>
      </c>
      <c r="AD29" s="62" t="s">
        <v>386</v>
      </c>
      <c r="AE29" s="62">
        <v>40162.5</v>
      </c>
      <c r="AF29" s="62">
        <v>1957.5</v>
      </c>
      <c r="AG29" s="192">
        <v>0</v>
      </c>
      <c r="AH29" s="62">
        <v>1228.8153744331833</v>
      </c>
      <c r="AI29" s="62">
        <v>397.6018258047668</v>
      </c>
      <c r="AJ29" s="62"/>
      <c r="AK29" s="62">
        <v>0</v>
      </c>
      <c r="AL29" s="578">
        <f t="shared" si="2"/>
        <v>51690.177200237958</v>
      </c>
      <c r="AM29" s="578">
        <f t="shared" si="3"/>
        <v>135000</v>
      </c>
      <c r="AN29" s="578">
        <f t="shared" si="4"/>
        <v>186690.17720023796</v>
      </c>
    </row>
    <row r="30" spans="1:44" x14ac:dyDescent="0.2">
      <c r="A30" s="3" t="s">
        <v>386</v>
      </c>
      <c r="B30" s="278">
        <v>250</v>
      </c>
      <c r="C30" s="278" t="s">
        <v>145</v>
      </c>
      <c r="D30" s="278"/>
      <c r="E30" s="278">
        <v>200</v>
      </c>
      <c r="F30" s="278">
        <v>1000</v>
      </c>
      <c r="G30" s="278" t="s">
        <v>161</v>
      </c>
      <c r="H30" s="424" t="s">
        <v>563</v>
      </c>
      <c r="I30" s="3" t="s">
        <v>466</v>
      </c>
      <c r="J30" s="3" t="s">
        <v>467</v>
      </c>
      <c r="K30" s="3" t="s">
        <v>389</v>
      </c>
      <c r="L30" s="3" t="s">
        <v>495</v>
      </c>
      <c r="M30" s="3">
        <v>1</v>
      </c>
      <c r="N30" s="3" t="s">
        <v>386</v>
      </c>
      <c r="O30" s="3">
        <v>26</v>
      </c>
      <c r="P30" s="3" t="s">
        <v>342</v>
      </c>
      <c r="Q30" s="389" t="s">
        <v>386</v>
      </c>
      <c r="R30" s="3">
        <v>200</v>
      </c>
      <c r="S30" s="3">
        <v>8</v>
      </c>
      <c r="T30" s="483">
        <v>1600</v>
      </c>
      <c r="U30" s="482">
        <v>46638</v>
      </c>
      <c r="V30" s="270">
        <v>42656</v>
      </c>
      <c r="W30" s="270" t="s">
        <v>386</v>
      </c>
      <c r="X30" s="270">
        <v>42656</v>
      </c>
      <c r="Y30" s="62">
        <v>0</v>
      </c>
      <c r="Z30" s="62">
        <v>0</v>
      </c>
      <c r="AA30" s="256">
        <v>42656</v>
      </c>
      <c r="AB30" s="3"/>
      <c r="AC30" s="62">
        <v>7943.76</v>
      </c>
      <c r="AD30" s="62" t="s">
        <v>386</v>
      </c>
      <c r="AE30" s="62">
        <v>12690.16</v>
      </c>
      <c r="AF30" s="62">
        <v>618.51200000000006</v>
      </c>
      <c r="AG30" s="192">
        <v>0</v>
      </c>
      <c r="AH30" s="62">
        <v>388.2692489764583</v>
      </c>
      <c r="AI30" s="62">
        <v>125.63039615946765</v>
      </c>
      <c r="AJ30" s="62"/>
      <c r="AK30" s="62">
        <v>0</v>
      </c>
      <c r="AL30" s="578">
        <f t="shared" si="2"/>
        <v>21766.331645135924</v>
      </c>
      <c r="AM30" s="578">
        <f t="shared" si="3"/>
        <v>42656</v>
      </c>
      <c r="AN30" s="578">
        <f t="shared" si="4"/>
        <v>64422.331645135928</v>
      </c>
    </row>
    <row r="31" spans="1:44" x14ac:dyDescent="0.2">
      <c r="A31" s="394" t="s">
        <v>1000</v>
      </c>
      <c r="B31" s="500">
        <v>280</v>
      </c>
      <c r="C31" s="500">
        <v>633</v>
      </c>
      <c r="D31" s="500"/>
      <c r="E31" s="500">
        <v>430</v>
      </c>
      <c r="F31" s="500">
        <v>2210</v>
      </c>
      <c r="G31" s="500" t="s">
        <v>161</v>
      </c>
      <c r="H31" s="500" t="s">
        <v>920</v>
      </c>
      <c r="I31" s="394" t="s">
        <v>973</v>
      </c>
      <c r="J31" s="394" t="s">
        <v>454</v>
      </c>
      <c r="K31" s="394" t="s">
        <v>389</v>
      </c>
      <c r="L31" s="394" t="s">
        <v>988</v>
      </c>
      <c r="M31" s="394">
        <v>1</v>
      </c>
      <c r="N31" s="394" t="s">
        <v>386</v>
      </c>
      <c r="O31" s="394">
        <v>26</v>
      </c>
      <c r="P31" s="394" t="s">
        <v>342</v>
      </c>
      <c r="Q31" s="400" t="s">
        <v>386</v>
      </c>
      <c r="R31" s="394">
        <v>200</v>
      </c>
      <c r="S31" s="394">
        <v>8</v>
      </c>
      <c r="T31" s="483">
        <v>1600</v>
      </c>
      <c r="U31" s="482">
        <v>64411</v>
      </c>
      <c r="V31" s="270">
        <v>65699</v>
      </c>
      <c r="W31" s="270" t="s">
        <v>386</v>
      </c>
      <c r="X31" s="270">
        <v>65699</v>
      </c>
      <c r="Y31" s="62">
        <v>0</v>
      </c>
      <c r="Z31" s="62">
        <v>0</v>
      </c>
      <c r="AA31" s="256">
        <v>65699</v>
      </c>
      <c r="AB31" s="3"/>
      <c r="AC31" s="62">
        <v>7943.76</v>
      </c>
      <c r="AD31" s="62" t="s">
        <v>386</v>
      </c>
      <c r="AE31" s="62">
        <v>19545.452499999999</v>
      </c>
      <c r="AF31" s="62">
        <v>952.63550000000009</v>
      </c>
      <c r="AG31" s="192">
        <v>0</v>
      </c>
      <c r="AH31" s="62">
        <v>598.0143798880423</v>
      </c>
      <c r="AI31" s="62"/>
      <c r="AJ31" s="62"/>
      <c r="AK31" s="62">
        <v>0</v>
      </c>
      <c r="AL31" s="578">
        <f t="shared" si="2"/>
        <v>29039.862379888044</v>
      </c>
      <c r="AM31" s="578">
        <f t="shared" si="3"/>
        <v>65699</v>
      </c>
      <c r="AN31" s="578">
        <f t="shared" si="4"/>
        <v>94738.862379888044</v>
      </c>
    </row>
    <row r="32" spans="1:44" x14ac:dyDescent="0.2">
      <c r="A32" s="474" t="s">
        <v>924</v>
      </c>
      <c r="B32" s="425">
        <v>100</v>
      </c>
      <c r="C32" s="425" t="s">
        <v>145</v>
      </c>
      <c r="D32" s="425"/>
      <c r="E32" s="425">
        <v>100</v>
      </c>
      <c r="F32" s="425">
        <v>2410</v>
      </c>
      <c r="G32" s="425" t="s">
        <v>173</v>
      </c>
      <c r="H32" s="425" t="s">
        <v>920</v>
      </c>
      <c r="I32" s="474" t="s">
        <v>974</v>
      </c>
      <c r="J32" s="474" t="s">
        <v>918</v>
      </c>
      <c r="K32" s="474" t="s">
        <v>384</v>
      </c>
      <c r="L32" s="474" t="s">
        <v>909</v>
      </c>
      <c r="M32" s="474">
        <v>1</v>
      </c>
      <c r="N32" s="474" t="s">
        <v>386</v>
      </c>
      <c r="O32" s="474">
        <v>26</v>
      </c>
      <c r="P32" s="474" t="s">
        <v>342</v>
      </c>
      <c r="Q32" s="487" t="s">
        <v>386</v>
      </c>
      <c r="R32" s="474">
        <v>200</v>
      </c>
      <c r="S32" s="474">
        <v>8</v>
      </c>
      <c r="T32" s="483">
        <v>1600</v>
      </c>
      <c r="U32" s="482">
        <v>70000</v>
      </c>
      <c r="V32" s="486">
        <v>58893</v>
      </c>
      <c r="W32" s="270" t="s">
        <v>386</v>
      </c>
      <c r="X32" s="270">
        <v>58893</v>
      </c>
      <c r="Y32" s="62">
        <v>0</v>
      </c>
      <c r="Z32" s="62">
        <v>0</v>
      </c>
      <c r="AA32" s="256">
        <v>58893</v>
      </c>
      <c r="AB32" s="3"/>
      <c r="AC32" s="62">
        <v>7943.76</v>
      </c>
      <c r="AD32" s="62" t="s">
        <v>386</v>
      </c>
      <c r="AE32" s="62">
        <v>17520.6675</v>
      </c>
      <c r="AF32" s="62">
        <v>853.94850000000008</v>
      </c>
      <c r="AG32" s="192">
        <v>0</v>
      </c>
      <c r="AH32" s="62">
        <v>536.06388034439601</v>
      </c>
      <c r="AI32" s="62">
        <v>173.45158760829727</v>
      </c>
      <c r="AJ32" s="62"/>
      <c r="AK32" s="62">
        <v>0</v>
      </c>
      <c r="AL32" s="578">
        <f t="shared" si="2"/>
        <v>27027.89146795269</v>
      </c>
      <c r="AM32" s="578">
        <f t="shared" si="3"/>
        <v>58893</v>
      </c>
      <c r="AN32" s="578">
        <f t="shared" si="4"/>
        <v>85920.891467952693</v>
      </c>
    </row>
    <row r="33" spans="1:40" x14ac:dyDescent="0.2">
      <c r="A33" s="3" t="s">
        <v>386</v>
      </c>
      <c r="B33" s="278">
        <v>100</v>
      </c>
      <c r="C33" s="278" t="s">
        <v>145</v>
      </c>
      <c r="D33" s="278"/>
      <c r="E33" s="278">
        <v>100</v>
      </c>
      <c r="F33" s="278" t="s">
        <v>465</v>
      </c>
      <c r="G33" s="278" t="s">
        <v>173</v>
      </c>
      <c r="H33" s="278" t="s">
        <v>920</v>
      </c>
      <c r="I33" s="3" t="s">
        <v>561</v>
      </c>
      <c r="J33" s="3" t="s">
        <v>561</v>
      </c>
      <c r="K33" s="3" t="s">
        <v>384</v>
      </c>
      <c r="L33" s="3" t="s">
        <v>457</v>
      </c>
      <c r="M33" s="3">
        <v>1</v>
      </c>
      <c r="N33" s="3" t="s">
        <v>386</v>
      </c>
      <c r="O33" s="3">
        <v>26</v>
      </c>
      <c r="P33" s="3" t="s">
        <v>342</v>
      </c>
      <c r="Q33" s="389" t="s">
        <v>386</v>
      </c>
      <c r="R33" s="3">
        <v>200</v>
      </c>
      <c r="S33" s="3">
        <v>8</v>
      </c>
      <c r="T33" s="483">
        <v>1600</v>
      </c>
      <c r="U33" s="482">
        <v>45000</v>
      </c>
      <c r="V33" s="270">
        <v>36000</v>
      </c>
      <c r="W33" s="270" t="s">
        <v>386</v>
      </c>
      <c r="X33" s="270">
        <v>36000</v>
      </c>
      <c r="Y33" s="62">
        <v>0</v>
      </c>
      <c r="Z33" s="62">
        <v>0</v>
      </c>
      <c r="AA33" s="256">
        <v>36000</v>
      </c>
      <c r="AB33" s="3"/>
      <c r="AC33" s="62">
        <v>7943.76</v>
      </c>
      <c r="AD33" s="62" t="s">
        <v>386</v>
      </c>
      <c r="AE33" s="62">
        <v>10710</v>
      </c>
      <c r="AF33" s="62">
        <v>522</v>
      </c>
      <c r="AG33" s="192">
        <v>0</v>
      </c>
      <c r="AH33" s="62">
        <v>327.68409984884892</v>
      </c>
      <c r="AI33" s="62">
        <v>106.02715354793781</v>
      </c>
      <c r="AJ33" s="62"/>
      <c r="AK33" s="62">
        <v>0</v>
      </c>
      <c r="AL33" s="578">
        <f t="shared" si="2"/>
        <v>19609.471253396787</v>
      </c>
      <c r="AM33" s="578">
        <f t="shared" si="3"/>
        <v>36000</v>
      </c>
      <c r="AN33" s="578">
        <f t="shared" si="4"/>
        <v>55609.471253396783</v>
      </c>
    </row>
    <row r="34" spans="1:40" x14ac:dyDescent="0.2">
      <c r="A34" s="3"/>
      <c r="B34" s="278">
        <v>250</v>
      </c>
      <c r="C34" s="424" t="s">
        <v>145</v>
      </c>
      <c r="D34" s="278"/>
      <c r="E34" s="278">
        <v>200</v>
      </c>
      <c r="F34" s="278">
        <v>1000</v>
      </c>
      <c r="G34" s="278" t="s">
        <v>161</v>
      </c>
      <c r="H34" s="278" t="s">
        <v>497</v>
      </c>
      <c r="I34" s="3" t="s">
        <v>561</v>
      </c>
      <c r="J34" s="3" t="s">
        <v>499</v>
      </c>
      <c r="K34" s="3" t="s">
        <v>389</v>
      </c>
      <c r="L34" s="3" t="s">
        <v>495</v>
      </c>
      <c r="M34" s="3">
        <v>1</v>
      </c>
      <c r="N34" s="3" t="s">
        <v>386</v>
      </c>
      <c r="O34" s="3">
        <v>26</v>
      </c>
      <c r="P34" s="3" t="s">
        <v>342</v>
      </c>
      <c r="Q34" s="389" t="s">
        <v>386</v>
      </c>
      <c r="R34" s="3">
        <v>200</v>
      </c>
      <c r="S34" s="3">
        <v>8</v>
      </c>
      <c r="T34" s="483">
        <v>1600</v>
      </c>
      <c r="U34" s="482">
        <v>55000</v>
      </c>
      <c r="V34" s="270">
        <v>55000</v>
      </c>
      <c r="W34" s="270" t="s">
        <v>386</v>
      </c>
      <c r="X34" s="270">
        <v>55000</v>
      </c>
      <c r="Y34" s="62">
        <v>0</v>
      </c>
      <c r="Z34" s="62">
        <v>0</v>
      </c>
      <c r="AA34" s="256">
        <v>55000</v>
      </c>
      <c r="AB34" s="3"/>
      <c r="AC34" s="62">
        <v>7943.76</v>
      </c>
      <c r="AD34" s="62" t="s">
        <v>386</v>
      </c>
      <c r="AE34" s="62">
        <v>16362.5</v>
      </c>
      <c r="AF34" s="62">
        <v>797.5</v>
      </c>
      <c r="AG34" s="192">
        <v>0</v>
      </c>
      <c r="AH34" s="62">
        <v>500.62848588018579</v>
      </c>
      <c r="AI34" s="62">
        <v>161.98592903157166</v>
      </c>
      <c r="AJ34" s="62"/>
      <c r="AK34" s="62">
        <v>0</v>
      </c>
      <c r="AL34" s="578">
        <f t="shared" si="2"/>
        <v>25766.374414911759</v>
      </c>
      <c r="AM34" s="578">
        <f t="shared" si="3"/>
        <v>55000</v>
      </c>
      <c r="AN34" s="578">
        <f t="shared" si="4"/>
        <v>80766.374414911756</v>
      </c>
    </row>
    <row r="35" spans="1:40" x14ac:dyDescent="0.2">
      <c r="A35" s="3"/>
      <c r="B35" s="278">
        <v>100</v>
      </c>
      <c r="C35" s="278" t="s">
        <v>145</v>
      </c>
      <c r="D35" s="278"/>
      <c r="E35" s="278">
        <v>100</v>
      </c>
      <c r="F35" s="278">
        <v>1000</v>
      </c>
      <c r="G35" s="278" t="s">
        <v>161</v>
      </c>
      <c r="H35" s="424" t="s">
        <v>563</v>
      </c>
      <c r="I35" s="3" t="s">
        <v>561</v>
      </c>
      <c r="J35" s="3" t="s">
        <v>499</v>
      </c>
      <c r="K35" s="3" t="s">
        <v>389</v>
      </c>
      <c r="L35" s="3" t="s">
        <v>498</v>
      </c>
      <c r="M35" s="3">
        <v>1</v>
      </c>
      <c r="N35" s="3" t="s">
        <v>386</v>
      </c>
      <c r="O35" s="3">
        <v>26</v>
      </c>
      <c r="P35" s="3" t="s">
        <v>342</v>
      </c>
      <c r="Q35" s="389" t="s">
        <v>386</v>
      </c>
      <c r="R35" s="3">
        <v>200</v>
      </c>
      <c r="S35" s="3">
        <v>8</v>
      </c>
      <c r="T35" s="483">
        <v>1600</v>
      </c>
      <c r="U35" s="482">
        <v>55000</v>
      </c>
      <c r="V35" s="270">
        <v>55000</v>
      </c>
      <c r="W35" s="270" t="s">
        <v>386</v>
      </c>
      <c r="X35" s="270">
        <v>55000</v>
      </c>
      <c r="Y35" s="62">
        <v>0</v>
      </c>
      <c r="Z35" s="62">
        <v>0</v>
      </c>
      <c r="AA35" s="256">
        <v>55000</v>
      </c>
      <c r="AB35" s="3"/>
      <c r="AC35" s="62">
        <v>7943.76</v>
      </c>
      <c r="AD35" s="62" t="s">
        <v>386</v>
      </c>
      <c r="AE35" s="62">
        <v>16362.5</v>
      </c>
      <c r="AF35" s="62">
        <v>797.5</v>
      </c>
      <c r="AG35" s="192">
        <v>0</v>
      </c>
      <c r="AH35" s="62">
        <v>500.62848588018579</v>
      </c>
      <c r="AI35" s="62">
        <v>161.98592903157166</v>
      </c>
      <c r="AJ35" s="62"/>
      <c r="AK35" s="62">
        <v>0</v>
      </c>
      <c r="AL35" s="578">
        <f t="shared" si="2"/>
        <v>25766.374414911759</v>
      </c>
      <c r="AM35" s="578">
        <f t="shared" si="3"/>
        <v>55000</v>
      </c>
      <c r="AN35" s="578">
        <f t="shared" si="4"/>
        <v>80766.374414911756</v>
      </c>
    </row>
    <row r="36" spans="1:40" x14ac:dyDescent="0.2">
      <c r="A36" s="3"/>
      <c r="B36" s="278">
        <v>100</v>
      </c>
      <c r="C36" s="278" t="s">
        <v>145</v>
      </c>
      <c r="D36" s="278"/>
      <c r="E36" s="278">
        <v>100</v>
      </c>
      <c r="F36" s="278">
        <v>1000</v>
      </c>
      <c r="G36" s="278" t="s">
        <v>169</v>
      </c>
      <c r="H36" s="278" t="s">
        <v>497</v>
      </c>
      <c r="I36" s="3" t="s">
        <v>561</v>
      </c>
      <c r="J36" s="3" t="s">
        <v>499</v>
      </c>
      <c r="K36" s="3" t="s">
        <v>384</v>
      </c>
      <c r="L36" s="3" t="s">
        <v>989</v>
      </c>
      <c r="M36" s="3">
        <v>0.75</v>
      </c>
      <c r="N36" s="3" t="s">
        <v>386</v>
      </c>
      <c r="O36" s="3">
        <v>20</v>
      </c>
      <c r="P36" s="3" t="s">
        <v>342</v>
      </c>
      <c r="Q36" s="389">
        <v>20</v>
      </c>
      <c r="R36" s="3">
        <v>200</v>
      </c>
      <c r="S36" s="3">
        <v>7</v>
      </c>
      <c r="T36" s="483">
        <v>1400</v>
      </c>
      <c r="U36" s="482">
        <v>28000</v>
      </c>
      <c r="V36" s="270">
        <v>28000</v>
      </c>
      <c r="W36" s="270" t="s">
        <v>386</v>
      </c>
      <c r="X36" s="270">
        <v>28000</v>
      </c>
      <c r="Y36" s="62">
        <v>0</v>
      </c>
      <c r="Z36" s="62">
        <v>0</v>
      </c>
      <c r="AA36" s="256">
        <v>28000</v>
      </c>
      <c r="AB36" s="3"/>
      <c r="AC36" s="62">
        <v>7943.76</v>
      </c>
      <c r="AD36" s="62" t="s">
        <v>386</v>
      </c>
      <c r="AE36" s="62">
        <v>8330</v>
      </c>
      <c r="AF36" s="62">
        <v>406</v>
      </c>
      <c r="AG36" s="192">
        <v>0</v>
      </c>
      <c r="AH36" s="62">
        <v>254.86541099354915</v>
      </c>
      <c r="AI36" s="62">
        <v>82.465563870618297</v>
      </c>
      <c r="AJ36" s="62"/>
      <c r="AK36" s="62">
        <v>0</v>
      </c>
      <c r="AL36" s="578">
        <f t="shared" si="2"/>
        <v>17017.090974864168</v>
      </c>
      <c r="AM36" s="578">
        <f t="shared" si="3"/>
        <v>28000</v>
      </c>
      <c r="AN36" s="578">
        <f t="shared" si="4"/>
        <v>45017.090974864172</v>
      </c>
    </row>
    <row r="37" spans="1:40" x14ac:dyDescent="0.2">
      <c r="A37" s="3"/>
      <c r="B37" s="278">
        <v>100</v>
      </c>
      <c r="C37" s="278" t="s">
        <v>145</v>
      </c>
      <c r="D37" s="278"/>
      <c r="E37" s="278">
        <v>100</v>
      </c>
      <c r="F37" s="278">
        <v>1000</v>
      </c>
      <c r="G37" s="278" t="s">
        <v>169</v>
      </c>
      <c r="H37" s="278" t="s">
        <v>497</v>
      </c>
      <c r="I37" s="3" t="s">
        <v>561</v>
      </c>
      <c r="J37" s="3" t="s">
        <v>499</v>
      </c>
      <c r="K37" s="3" t="s">
        <v>384</v>
      </c>
      <c r="L37" s="3" t="s">
        <v>989</v>
      </c>
      <c r="M37" s="3">
        <v>0.75</v>
      </c>
      <c r="N37" s="3" t="s">
        <v>386</v>
      </c>
      <c r="O37" s="3">
        <v>20</v>
      </c>
      <c r="P37" s="3" t="s">
        <v>342</v>
      </c>
      <c r="Q37" s="389">
        <v>20</v>
      </c>
      <c r="R37" s="3">
        <v>200</v>
      </c>
      <c r="S37" s="3">
        <v>7</v>
      </c>
      <c r="T37" s="483">
        <v>1400</v>
      </c>
      <c r="U37" s="482">
        <v>28000</v>
      </c>
      <c r="V37" s="270">
        <v>28000</v>
      </c>
      <c r="W37" s="270" t="s">
        <v>386</v>
      </c>
      <c r="X37" s="270">
        <v>28000</v>
      </c>
      <c r="Y37" s="62">
        <v>0</v>
      </c>
      <c r="Z37" s="62">
        <v>0</v>
      </c>
      <c r="AA37" s="256">
        <v>28000</v>
      </c>
      <c r="AB37" s="3"/>
      <c r="AC37" s="62">
        <v>7943.76</v>
      </c>
      <c r="AD37" s="62" t="s">
        <v>386</v>
      </c>
      <c r="AE37" s="62">
        <v>8330</v>
      </c>
      <c r="AF37" s="62">
        <v>406</v>
      </c>
      <c r="AG37" s="192">
        <v>0</v>
      </c>
      <c r="AH37" s="62">
        <v>254.86541099354915</v>
      </c>
      <c r="AI37" s="62">
        <v>82.465563870618297</v>
      </c>
      <c r="AJ37" s="62"/>
      <c r="AK37" s="62">
        <v>0</v>
      </c>
      <c r="AL37" s="578">
        <f t="shared" si="2"/>
        <v>17017.090974864168</v>
      </c>
      <c r="AM37" s="578">
        <f t="shared" si="3"/>
        <v>28000</v>
      </c>
      <c r="AN37" s="578">
        <f t="shared" si="4"/>
        <v>45017.090974864172</v>
      </c>
    </row>
    <row r="38" spans="1:40" x14ac:dyDescent="0.2">
      <c r="A38" s="3" t="s">
        <v>386</v>
      </c>
      <c r="B38" s="278">
        <v>100</v>
      </c>
      <c r="C38" s="424" t="s">
        <v>145</v>
      </c>
      <c r="D38" s="278"/>
      <c r="E38" s="278">
        <v>100</v>
      </c>
      <c r="F38" s="278" t="s">
        <v>460</v>
      </c>
      <c r="G38" s="278" t="s">
        <v>173</v>
      </c>
      <c r="H38" s="424" t="s">
        <v>497</v>
      </c>
      <c r="I38" s="3" t="s">
        <v>561</v>
      </c>
      <c r="J38" s="3" t="s">
        <v>561</v>
      </c>
      <c r="K38" s="3" t="s">
        <v>384</v>
      </c>
      <c r="L38" s="3" t="s">
        <v>957</v>
      </c>
      <c r="M38" s="3">
        <v>1</v>
      </c>
      <c r="N38" s="3" t="s">
        <v>386</v>
      </c>
      <c r="O38" s="3">
        <v>26</v>
      </c>
      <c r="P38" s="3" t="s">
        <v>342</v>
      </c>
      <c r="Q38" s="389">
        <v>16.350000000000001</v>
      </c>
      <c r="R38" s="3">
        <v>261</v>
      </c>
      <c r="S38" s="3">
        <v>8</v>
      </c>
      <c r="T38" s="483">
        <v>2088</v>
      </c>
      <c r="U38" s="482">
        <v>34138.800000000003</v>
      </c>
      <c r="V38" s="270">
        <v>34138.800000000003</v>
      </c>
      <c r="W38" s="270" t="s">
        <v>386</v>
      </c>
      <c r="X38" s="270">
        <v>34138.800000000003</v>
      </c>
      <c r="Y38" s="62">
        <v>0</v>
      </c>
      <c r="Z38" s="62">
        <v>0</v>
      </c>
      <c r="AA38" s="256">
        <v>34138.800000000003</v>
      </c>
      <c r="AB38" s="3"/>
      <c r="AC38" s="62">
        <v>7943.76</v>
      </c>
      <c r="AD38" s="62" t="s">
        <v>386</v>
      </c>
      <c r="AE38" s="62">
        <v>10156.293</v>
      </c>
      <c r="AF38" s="62">
        <v>495.01260000000008</v>
      </c>
      <c r="AG38" s="192">
        <v>0</v>
      </c>
      <c r="AH38" s="62">
        <v>310.74283188666345</v>
      </c>
      <c r="AI38" s="62">
        <v>100.54554970950943</v>
      </c>
      <c r="AJ38" s="62"/>
      <c r="AK38" s="62">
        <v>0</v>
      </c>
      <c r="AL38" s="578">
        <f t="shared" ref="AL38:AL55" si="5">SUM(AC38:AK38)</f>
        <v>19006.353981596174</v>
      </c>
      <c r="AM38" s="578">
        <f t="shared" si="3"/>
        <v>34138.800000000003</v>
      </c>
      <c r="AN38" s="578">
        <f t="shared" ref="AN38:AN55" si="6">SUM(AL38:AM38)</f>
        <v>53145.153981596173</v>
      </c>
    </row>
    <row r="39" spans="1:40" x14ac:dyDescent="0.2">
      <c r="A39" s="3" t="s">
        <v>386</v>
      </c>
      <c r="B39" s="278">
        <v>100</v>
      </c>
      <c r="C39" s="424" t="s">
        <v>145</v>
      </c>
      <c r="D39" s="500"/>
      <c r="E39" s="500">
        <v>100</v>
      </c>
      <c r="F39" s="500">
        <v>2110</v>
      </c>
      <c r="G39" s="500" t="s">
        <v>167</v>
      </c>
      <c r="H39" s="500" t="s">
        <v>497</v>
      </c>
      <c r="I39" s="394" t="s">
        <v>561</v>
      </c>
      <c r="J39" s="394" t="s">
        <v>499</v>
      </c>
      <c r="K39" s="394" t="s">
        <v>389</v>
      </c>
      <c r="L39" s="394" t="s">
        <v>900</v>
      </c>
      <c r="M39" s="394">
        <v>1</v>
      </c>
      <c r="N39" s="394" t="s">
        <v>386</v>
      </c>
      <c r="O39" s="394">
        <v>26</v>
      </c>
      <c r="P39" s="394" t="s">
        <v>342</v>
      </c>
      <c r="Q39" s="400" t="s">
        <v>386</v>
      </c>
      <c r="R39" s="394">
        <v>200</v>
      </c>
      <c r="S39" s="394">
        <v>8</v>
      </c>
      <c r="T39" s="483">
        <v>1600</v>
      </c>
      <c r="U39" s="482">
        <v>55000</v>
      </c>
      <c r="V39" s="270">
        <v>55000</v>
      </c>
      <c r="W39" s="270" t="s">
        <v>386</v>
      </c>
      <c r="X39" s="270">
        <v>55000</v>
      </c>
      <c r="Y39" s="62">
        <v>0</v>
      </c>
      <c r="Z39" s="62">
        <v>0</v>
      </c>
      <c r="AA39" s="256">
        <v>55000</v>
      </c>
      <c r="AB39" s="3"/>
      <c r="AC39" s="62">
        <v>7943.76</v>
      </c>
      <c r="AD39" s="62" t="s">
        <v>386</v>
      </c>
      <c r="AE39" s="62">
        <v>16362.5</v>
      </c>
      <c r="AF39" s="62">
        <v>797.5</v>
      </c>
      <c r="AG39" s="192">
        <v>0</v>
      </c>
      <c r="AH39" s="62">
        <v>500.62848588018579</v>
      </c>
      <c r="AI39" s="62">
        <v>161.98592903157166</v>
      </c>
      <c r="AJ39" s="62"/>
      <c r="AK39" s="62">
        <v>0</v>
      </c>
      <c r="AL39" s="578">
        <f t="shared" si="5"/>
        <v>25766.374414911759</v>
      </c>
      <c r="AM39" s="578">
        <f t="shared" si="3"/>
        <v>55000</v>
      </c>
      <c r="AN39" s="578">
        <f t="shared" si="6"/>
        <v>80766.374414911756</v>
      </c>
    </row>
    <row r="40" spans="1:40" x14ac:dyDescent="0.2">
      <c r="A40" s="3" t="s">
        <v>386</v>
      </c>
      <c r="B40" s="278">
        <v>100</v>
      </c>
      <c r="C40" s="424" t="s">
        <v>145</v>
      </c>
      <c r="D40" s="278"/>
      <c r="E40" s="278">
        <v>100</v>
      </c>
      <c r="F40" s="278" t="s">
        <v>460</v>
      </c>
      <c r="G40" s="278" t="s">
        <v>173</v>
      </c>
      <c r="H40" s="424" t="s">
        <v>563</v>
      </c>
      <c r="I40" s="3" t="s">
        <v>561</v>
      </c>
      <c r="J40" s="3" t="s">
        <v>561</v>
      </c>
      <c r="K40" s="3" t="s">
        <v>384</v>
      </c>
      <c r="L40" s="3" t="s">
        <v>990</v>
      </c>
      <c r="M40" s="3">
        <v>1</v>
      </c>
      <c r="N40" s="3" t="s">
        <v>386</v>
      </c>
      <c r="O40" s="3">
        <v>26</v>
      </c>
      <c r="P40" s="3" t="s">
        <v>342</v>
      </c>
      <c r="Q40" s="389">
        <v>20</v>
      </c>
      <c r="R40" s="3">
        <v>261</v>
      </c>
      <c r="S40" s="3">
        <v>8</v>
      </c>
      <c r="T40" s="483">
        <v>2088</v>
      </c>
      <c r="U40" s="482">
        <v>41760</v>
      </c>
      <c r="V40" s="270">
        <v>41760</v>
      </c>
      <c r="W40" s="270" t="s">
        <v>386</v>
      </c>
      <c r="X40" s="270">
        <v>41760</v>
      </c>
      <c r="Y40" s="62">
        <v>0</v>
      </c>
      <c r="Z40" s="62">
        <v>0</v>
      </c>
      <c r="AA40" s="256">
        <v>41760</v>
      </c>
      <c r="AB40" s="3"/>
      <c r="AC40" s="62">
        <v>7943.76</v>
      </c>
      <c r="AD40" s="62" t="s">
        <v>386</v>
      </c>
      <c r="AE40" s="62">
        <v>12423.599999999999</v>
      </c>
      <c r="AF40" s="62">
        <v>605.52</v>
      </c>
      <c r="AG40" s="192">
        <v>0</v>
      </c>
      <c r="AH40" s="62">
        <v>380.11355582466473</v>
      </c>
      <c r="AI40" s="62">
        <v>122.99149811560787</v>
      </c>
      <c r="AJ40" s="62"/>
      <c r="AK40" s="62">
        <v>0</v>
      </c>
      <c r="AL40" s="578">
        <f t="shared" si="5"/>
        <v>21475.985053940272</v>
      </c>
      <c r="AM40" s="578">
        <f t="shared" si="3"/>
        <v>41760</v>
      </c>
      <c r="AN40" s="578">
        <f t="shared" si="6"/>
        <v>63235.985053940269</v>
      </c>
    </row>
    <row r="41" spans="1:40" x14ac:dyDescent="0.2">
      <c r="A41" s="3" t="s">
        <v>386</v>
      </c>
      <c r="B41" s="278" t="s">
        <v>462</v>
      </c>
      <c r="C41" s="278" t="s">
        <v>145</v>
      </c>
      <c r="D41" s="278"/>
      <c r="E41" s="278" t="s">
        <v>463</v>
      </c>
      <c r="F41" s="278" t="s">
        <v>461</v>
      </c>
      <c r="G41" s="278" t="s">
        <v>161</v>
      </c>
      <c r="H41" s="424" t="s">
        <v>563</v>
      </c>
      <c r="I41" s="3" t="s">
        <v>561</v>
      </c>
      <c r="J41" s="3" t="s">
        <v>561</v>
      </c>
      <c r="K41" s="3" t="s">
        <v>389</v>
      </c>
      <c r="L41" s="3" t="s">
        <v>495</v>
      </c>
      <c r="M41" s="3">
        <v>1</v>
      </c>
      <c r="N41" s="3" t="s">
        <v>386</v>
      </c>
      <c r="O41" s="3">
        <v>26</v>
      </c>
      <c r="P41" s="3" t="s">
        <v>342</v>
      </c>
      <c r="Q41" s="389" t="s">
        <v>386</v>
      </c>
      <c r="R41" s="3">
        <v>200</v>
      </c>
      <c r="S41" s="3">
        <v>8</v>
      </c>
      <c r="T41" s="483">
        <v>1600</v>
      </c>
      <c r="U41" s="482">
        <v>55000</v>
      </c>
      <c r="V41" s="270">
        <v>55000</v>
      </c>
      <c r="W41" s="270" t="s">
        <v>386</v>
      </c>
      <c r="X41" s="270">
        <v>55000</v>
      </c>
      <c r="Y41" s="62">
        <v>0</v>
      </c>
      <c r="Z41" s="62">
        <v>0</v>
      </c>
      <c r="AA41" s="256">
        <v>55000</v>
      </c>
      <c r="AB41" s="3"/>
      <c r="AC41" s="62">
        <v>7943.76</v>
      </c>
      <c r="AD41" s="62" t="s">
        <v>386</v>
      </c>
      <c r="AE41" s="62">
        <v>16362.5</v>
      </c>
      <c r="AF41" s="62">
        <v>797.5</v>
      </c>
      <c r="AG41" s="192">
        <v>0</v>
      </c>
      <c r="AH41" s="62">
        <v>500.62848588018579</v>
      </c>
      <c r="AI41" s="62">
        <v>161.98592903157166</v>
      </c>
      <c r="AJ41" s="62"/>
      <c r="AK41" s="62">
        <v>0</v>
      </c>
      <c r="AL41" s="578">
        <f t="shared" si="5"/>
        <v>25766.374414911759</v>
      </c>
      <c r="AM41" s="578">
        <f t="shared" si="3"/>
        <v>55000</v>
      </c>
      <c r="AN41" s="578">
        <f t="shared" si="6"/>
        <v>80766.374414911756</v>
      </c>
    </row>
    <row r="42" spans="1:40" x14ac:dyDescent="0.2">
      <c r="A42" s="394" t="s">
        <v>1000</v>
      </c>
      <c r="B42" s="500">
        <v>280</v>
      </c>
      <c r="C42" s="500">
        <v>633</v>
      </c>
      <c r="D42" s="500"/>
      <c r="E42" s="500">
        <v>430</v>
      </c>
      <c r="F42" s="500">
        <v>1000</v>
      </c>
      <c r="G42" s="500" t="s">
        <v>169</v>
      </c>
      <c r="H42" s="500" t="s">
        <v>563</v>
      </c>
      <c r="I42" s="394" t="s">
        <v>561</v>
      </c>
      <c r="J42" s="394" t="s">
        <v>499</v>
      </c>
      <c r="K42" s="394" t="s">
        <v>384</v>
      </c>
      <c r="L42" s="394" t="s">
        <v>989</v>
      </c>
      <c r="M42" s="394">
        <v>0.75</v>
      </c>
      <c r="N42" s="394" t="s">
        <v>386</v>
      </c>
      <c r="O42" s="394">
        <v>20</v>
      </c>
      <c r="P42" s="394" t="s">
        <v>342</v>
      </c>
      <c r="Q42" s="400">
        <v>20</v>
      </c>
      <c r="R42" s="394">
        <v>200</v>
      </c>
      <c r="S42" s="394">
        <v>7</v>
      </c>
      <c r="T42" s="483">
        <v>1400</v>
      </c>
      <c r="U42" s="482">
        <v>28000</v>
      </c>
      <c r="V42" s="270">
        <v>28000</v>
      </c>
      <c r="W42" s="270" t="s">
        <v>386</v>
      </c>
      <c r="X42" s="270">
        <v>28000</v>
      </c>
      <c r="Y42" s="62">
        <v>0</v>
      </c>
      <c r="Z42" s="62">
        <v>0</v>
      </c>
      <c r="AA42" s="256">
        <v>28000</v>
      </c>
      <c r="AB42" s="3"/>
      <c r="AC42" s="62">
        <v>7943.76</v>
      </c>
      <c r="AD42" s="62" t="s">
        <v>386</v>
      </c>
      <c r="AE42" s="62">
        <v>8330</v>
      </c>
      <c r="AF42" s="62">
        <v>406</v>
      </c>
      <c r="AG42" s="192">
        <v>0</v>
      </c>
      <c r="AH42" s="62">
        <v>254.86541099354915</v>
      </c>
      <c r="AI42" s="62">
        <v>82.465563870618297</v>
      </c>
      <c r="AJ42" s="62"/>
      <c r="AK42" s="62">
        <v>0</v>
      </c>
      <c r="AL42" s="578">
        <f t="shared" si="5"/>
        <v>17017.090974864168</v>
      </c>
      <c r="AM42" s="578">
        <f t="shared" si="3"/>
        <v>28000</v>
      </c>
      <c r="AN42" s="578">
        <f t="shared" si="6"/>
        <v>45017.090974864172</v>
      </c>
    </row>
    <row r="43" spans="1:40" x14ac:dyDescent="0.2">
      <c r="A43" s="3"/>
      <c r="B43" s="278">
        <v>100</v>
      </c>
      <c r="C43" s="278" t="s">
        <v>145</v>
      </c>
      <c r="D43" s="278"/>
      <c r="E43" s="278">
        <v>100</v>
      </c>
      <c r="F43" s="278">
        <v>1000</v>
      </c>
      <c r="G43" s="278" t="s">
        <v>169</v>
      </c>
      <c r="H43" s="424" t="s">
        <v>563</v>
      </c>
      <c r="I43" s="3" t="s">
        <v>561</v>
      </c>
      <c r="J43" s="3" t="s">
        <v>499</v>
      </c>
      <c r="K43" s="3" t="s">
        <v>384</v>
      </c>
      <c r="L43" s="3" t="s">
        <v>989</v>
      </c>
      <c r="M43" s="3">
        <v>0.75</v>
      </c>
      <c r="N43" s="3" t="s">
        <v>386</v>
      </c>
      <c r="O43" s="3">
        <v>20</v>
      </c>
      <c r="P43" s="3" t="s">
        <v>342</v>
      </c>
      <c r="Q43" s="389">
        <v>20</v>
      </c>
      <c r="R43" s="3">
        <v>200</v>
      </c>
      <c r="S43" s="3">
        <v>7</v>
      </c>
      <c r="T43" s="483">
        <v>1400</v>
      </c>
      <c r="U43" s="482">
        <v>28000</v>
      </c>
      <c r="V43" s="270">
        <v>28000</v>
      </c>
      <c r="W43" s="270" t="s">
        <v>386</v>
      </c>
      <c r="X43" s="270">
        <v>28000</v>
      </c>
      <c r="Y43" s="62">
        <v>0</v>
      </c>
      <c r="Z43" s="62">
        <v>0</v>
      </c>
      <c r="AA43" s="256">
        <v>28000</v>
      </c>
      <c r="AB43" s="3"/>
      <c r="AC43" s="62">
        <v>7943.76</v>
      </c>
      <c r="AD43" s="62" t="s">
        <v>386</v>
      </c>
      <c r="AE43" s="62">
        <v>8330</v>
      </c>
      <c r="AF43" s="62">
        <v>406</v>
      </c>
      <c r="AG43" s="192">
        <v>0</v>
      </c>
      <c r="AH43" s="62">
        <v>254.86541099354915</v>
      </c>
      <c r="AI43" s="62">
        <v>82.465563870618297</v>
      </c>
      <c r="AJ43" s="62"/>
      <c r="AK43" s="62">
        <v>0</v>
      </c>
      <c r="AL43" s="578">
        <f t="shared" si="5"/>
        <v>17017.090974864168</v>
      </c>
      <c r="AM43" s="578">
        <f t="shared" si="3"/>
        <v>28000</v>
      </c>
      <c r="AN43" s="578">
        <f t="shared" si="6"/>
        <v>45017.090974864172</v>
      </c>
    </row>
    <row r="44" spans="1:40" x14ac:dyDescent="0.2">
      <c r="A44" s="3"/>
      <c r="B44" s="278">
        <v>100</v>
      </c>
      <c r="C44" s="278" t="s">
        <v>145</v>
      </c>
      <c r="D44" s="278"/>
      <c r="E44" s="278">
        <v>100</v>
      </c>
      <c r="F44" s="278">
        <v>1000</v>
      </c>
      <c r="G44" s="278" t="s">
        <v>169</v>
      </c>
      <c r="H44" s="424" t="s">
        <v>563</v>
      </c>
      <c r="I44" s="3" t="s">
        <v>561</v>
      </c>
      <c r="J44" s="3" t="s">
        <v>499</v>
      </c>
      <c r="K44" s="3" t="s">
        <v>384</v>
      </c>
      <c r="L44" s="3" t="s">
        <v>989</v>
      </c>
      <c r="M44" s="3">
        <v>0.75</v>
      </c>
      <c r="N44" s="3" t="s">
        <v>386</v>
      </c>
      <c r="O44" s="3">
        <v>20</v>
      </c>
      <c r="P44" s="3" t="s">
        <v>342</v>
      </c>
      <c r="Q44" s="389">
        <v>20</v>
      </c>
      <c r="R44" s="3">
        <v>200</v>
      </c>
      <c r="S44" s="3">
        <v>7</v>
      </c>
      <c r="T44" s="483">
        <v>1400</v>
      </c>
      <c r="U44" s="482">
        <v>28000</v>
      </c>
      <c r="V44" s="270">
        <v>28000</v>
      </c>
      <c r="W44" s="270" t="s">
        <v>386</v>
      </c>
      <c r="X44" s="270">
        <v>28000</v>
      </c>
      <c r="Y44" s="62">
        <v>0</v>
      </c>
      <c r="Z44" s="62">
        <v>0</v>
      </c>
      <c r="AA44" s="256">
        <v>28000</v>
      </c>
      <c r="AB44" s="3"/>
      <c r="AC44" s="62">
        <v>7943.76</v>
      </c>
      <c r="AD44" s="62" t="s">
        <v>386</v>
      </c>
      <c r="AE44" s="62">
        <v>8330</v>
      </c>
      <c r="AF44" s="62">
        <v>406</v>
      </c>
      <c r="AG44" s="192">
        <v>0</v>
      </c>
      <c r="AH44" s="62">
        <v>254.86541099354915</v>
      </c>
      <c r="AI44" s="62">
        <v>82.465563870618297</v>
      </c>
      <c r="AJ44" s="62"/>
      <c r="AK44" s="62">
        <v>0</v>
      </c>
      <c r="AL44" s="578">
        <f t="shared" si="5"/>
        <v>17017.090974864168</v>
      </c>
      <c r="AM44" s="578">
        <f t="shared" si="3"/>
        <v>28000</v>
      </c>
      <c r="AN44" s="578">
        <f t="shared" si="6"/>
        <v>45017.090974864172</v>
      </c>
    </row>
    <row r="45" spans="1:40" x14ac:dyDescent="0.2">
      <c r="A45" s="3" t="s">
        <v>386</v>
      </c>
      <c r="B45" s="278">
        <v>100</v>
      </c>
      <c r="C45" s="278" t="s">
        <v>145</v>
      </c>
      <c r="D45" s="278"/>
      <c r="E45" s="278">
        <v>100</v>
      </c>
      <c r="F45" s="278">
        <v>1000</v>
      </c>
      <c r="G45" s="278" t="s">
        <v>169</v>
      </c>
      <c r="H45" s="278" t="s">
        <v>563</v>
      </c>
      <c r="I45" s="3" t="s">
        <v>561</v>
      </c>
      <c r="J45" s="3" t="s">
        <v>561</v>
      </c>
      <c r="K45" s="3" t="s">
        <v>384</v>
      </c>
      <c r="L45" s="3" t="s">
        <v>989</v>
      </c>
      <c r="M45" s="3">
        <v>0.75</v>
      </c>
      <c r="N45" s="3" t="s">
        <v>386</v>
      </c>
      <c r="O45" s="3">
        <v>20</v>
      </c>
      <c r="P45" s="3" t="s">
        <v>342</v>
      </c>
      <c r="Q45" s="389">
        <v>20</v>
      </c>
      <c r="R45" s="3">
        <v>200</v>
      </c>
      <c r="S45" s="3">
        <v>7</v>
      </c>
      <c r="T45" s="483">
        <v>1400</v>
      </c>
      <c r="U45" s="482">
        <v>28000</v>
      </c>
      <c r="V45" s="270">
        <v>28000</v>
      </c>
      <c r="W45" s="270" t="s">
        <v>386</v>
      </c>
      <c r="X45" s="270">
        <v>28000</v>
      </c>
      <c r="Y45" s="62">
        <v>0</v>
      </c>
      <c r="Z45" s="62">
        <v>0</v>
      </c>
      <c r="AA45" s="256">
        <v>28000</v>
      </c>
      <c r="AB45" s="3"/>
      <c r="AC45" s="62">
        <v>7943.76</v>
      </c>
      <c r="AD45" s="62" t="s">
        <v>386</v>
      </c>
      <c r="AE45" s="62">
        <v>8330</v>
      </c>
      <c r="AF45" s="62">
        <v>406</v>
      </c>
      <c r="AG45" s="192">
        <v>0</v>
      </c>
      <c r="AH45" s="62">
        <v>254.86541099354915</v>
      </c>
      <c r="AI45" s="62">
        <v>82.465563870618297</v>
      </c>
      <c r="AJ45" s="62"/>
      <c r="AK45" s="62">
        <v>0</v>
      </c>
      <c r="AL45" s="578">
        <f t="shared" si="5"/>
        <v>17017.090974864168</v>
      </c>
      <c r="AM45" s="578">
        <f t="shared" si="3"/>
        <v>28000</v>
      </c>
      <c r="AN45" s="578">
        <f t="shared" si="6"/>
        <v>45017.090974864172</v>
      </c>
    </row>
    <row r="46" spans="1:40" x14ac:dyDescent="0.2">
      <c r="A46" s="394" t="s">
        <v>998</v>
      </c>
      <c r="B46" s="500">
        <v>280</v>
      </c>
      <c r="C46" s="500">
        <v>741</v>
      </c>
      <c r="D46" s="500"/>
      <c r="E46" s="500">
        <v>100</v>
      </c>
      <c r="F46" s="500">
        <v>2110</v>
      </c>
      <c r="G46" s="500" t="s">
        <v>167</v>
      </c>
      <c r="H46" s="501" t="s">
        <v>563</v>
      </c>
      <c r="I46" s="394" t="s">
        <v>561</v>
      </c>
      <c r="J46" s="394" t="s">
        <v>499</v>
      </c>
      <c r="K46" s="394" t="s">
        <v>389</v>
      </c>
      <c r="L46" s="394" t="s">
        <v>901</v>
      </c>
      <c r="M46" s="394">
        <v>1</v>
      </c>
      <c r="N46" s="394" t="s">
        <v>386</v>
      </c>
      <c r="O46" s="394">
        <v>26</v>
      </c>
      <c r="P46" s="394" t="s">
        <v>342</v>
      </c>
      <c r="Q46" s="400" t="s">
        <v>386</v>
      </c>
      <c r="R46" s="394">
        <v>200</v>
      </c>
      <c r="S46" s="394">
        <v>8</v>
      </c>
      <c r="T46" s="483">
        <v>1600</v>
      </c>
      <c r="U46" s="482">
        <v>55000</v>
      </c>
      <c r="V46" s="270">
        <v>55000</v>
      </c>
      <c r="W46" s="270" t="s">
        <v>386</v>
      </c>
      <c r="X46" s="270">
        <v>55000</v>
      </c>
      <c r="Y46" s="62">
        <v>0</v>
      </c>
      <c r="Z46" s="62">
        <v>0</v>
      </c>
      <c r="AA46" s="256">
        <v>55000</v>
      </c>
      <c r="AB46" s="3"/>
      <c r="AC46" s="62">
        <v>7943.76</v>
      </c>
      <c r="AD46" s="62" t="s">
        <v>386</v>
      </c>
      <c r="AE46" s="62">
        <v>16362.5</v>
      </c>
      <c r="AF46" s="62">
        <v>797.5</v>
      </c>
      <c r="AG46" s="192">
        <v>0</v>
      </c>
      <c r="AH46" s="62">
        <v>500.62848588018579</v>
      </c>
      <c r="AI46" s="62">
        <v>161.98592903157166</v>
      </c>
      <c r="AJ46" s="62"/>
      <c r="AK46" s="62">
        <v>0</v>
      </c>
      <c r="AL46" s="578">
        <f t="shared" si="5"/>
        <v>25766.374414911759</v>
      </c>
      <c r="AM46" s="578">
        <f t="shared" si="3"/>
        <v>55000</v>
      </c>
      <c r="AN46" s="578">
        <f t="shared" si="6"/>
        <v>80766.374414911756</v>
      </c>
    </row>
    <row r="47" spans="1:40" x14ac:dyDescent="0.2">
      <c r="A47" s="3"/>
      <c r="B47" s="278">
        <v>100</v>
      </c>
      <c r="C47" s="278" t="s">
        <v>145</v>
      </c>
      <c r="D47" s="278"/>
      <c r="E47" s="278">
        <v>100</v>
      </c>
      <c r="F47" s="278">
        <v>1000</v>
      </c>
      <c r="G47" s="278" t="s">
        <v>161</v>
      </c>
      <c r="H47" s="278" t="s">
        <v>497</v>
      </c>
      <c r="I47" s="3" t="s">
        <v>561</v>
      </c>
      <c r="J47" s="3" t="s">
        <v>499</v>
      </c>
      <c r="K47" s="3" t="s">
        <v>389</v>
      </c>
      <c r="L47" s="3" t="s">
        <v>498</v>
      </c>
      <c r="M47" s="3">
        <v>1</v>
      </c>
      <c r="N47" s="3" t="s">
        <v>386</v>
      </c>
      <c r="O47" s="3">
        <v>26</v>
      </c>
      <c r="P47" s="3" t="s">
        <v>342</v>
      </c>
      <c r="Q47" s="389" t="s">
        <v>386</v>
      </c>
      <c r="R47" s="3">
        <v>200</v>
      </c>
      <c r="S47" s="3">
        <v>8</v>
      </c>
      <c r="T47" s="483">
        <v>1600</v>
      </c>
      <c r="U47" s="482">
        <v>55000</v>
      </c>
      <c r="V47" s="270">
        <v>55000</v>
      </c>
      <c r="W47" s="270" t="s">
        <v>386</v>
      </c>
      <c r="X47" s="270">
        <v>55000</v>
      </c>
      <c r="Y47" s="62">
        <v>0</v>
      </c>
      <c r="Z47" s="62">
        <v>0</v>
      </c>
      <c r="AA47" s="256">
        <v>55000</v>
      </c>
      <c r="AB47" s="3"/>
      <c r="AC47" s="62">
        <v>7943.76</v>
      </c>
      <c r="AD47" s="62" t="s">
        <v>386</v>
      </c>
      <c r="AE47" s="62">
        <v>16362.5</v>
      </c>
      <c r="AF47" s="62">
        <v>797.5</v>
      </c>
      <c r="AG47" s="192">
        <v>0</v>
      </c>
      <c r="AH47" s="62">
        <v>500.62848588018579</v>
      </c>
      <c r="AI47" s="62">
        <v>161.98592903157166</v>
      </c>
      <c r="AJ47" s="62"/>
      <c r="AK47" s="62">
        <v>0</v>
      </c>
      <c r="AL47" s="578">
        <f t="shared" si="5"/>
        <v>25766.374414911759</v>
      </c>
      <c r="AM47" s="578">
        <f t="shared" si="3"/>
        <v>55000</v>
      </c>
      <c r="AN47" s="578">
        <f t="shared" si="6"/>
        <v>80766.374414911756</v>
      </c>
    </row>
    <row r="48" spans="1:40" x14ac:dyDescent="0.2">
      <c r="A48" s="3"/>
      <c r="B48" s="278">
        <v>100</v>
      </c>
      <c r="C48" s="278" t="s">
        <v>145</v>
      </c>
      <c r="D48" s="278"/>
      <c r="E48" s="278">
        <v>100</v>
      </c>
      <c r="F48" s="278">
        <v>1000</v>
      </c>
      <c r="G48" s="278" t="s">
        <v>161</v>
      </c>
      <c r="H48" s="278" t="s">
        <v>497</v>
      </c>
      <c r="I48" s="3" t="s">
        <v>561</v>
      </c>
      <c r="J48" s="3" t="s">
        <v>499</v>
      </c>
      <c r="K48" s="3" t="s">
        <v>389</v>
      </c>
      <c r="L48" s="3" t="s">
        <v>498</v>
      </c>
      <c r="M48" s="3">
        <v>1</v>
      </c>
      <c r="N48" s="3" t="s">
        <v>386</v>
      </c>
      <c r="O48" s="3">
        <v>26</v>
      </c>
      <c r="P48" s="3" t="s">
        <v>342</v>
      </c>
      <c r="Q48" s="389" t="s">
        <v>386</v>
      </c>
      <c r="R48" s="3">
        <v>200</v>
      </c>
      <c r="S48" s="3">
        <v>8</v>
      </c>
      <c r="T48" s="483">
        <v>1600</v>
      </c>
      <c r="U48" s="482">
        <v>55000</v>
      </c>
      <c r="V48" s="270">
        <v>55000</v>
      </c>
      <c r="W48" s="270" t="s">
        <v>386</v>
      </c>
      <c r="X48" s="270">
        <v>55000</v>
      </c>
      <c r="Y48" s="62">
        <v>0</v>
      </c>
      <c r="Z48" s="62">
        <v>0</v>
      </c>
      <c r="AA48" s="256">
        <v>55000</v>
      </c>
      <c r="AB48" s="3"/>
      <c r="AC48" s="62">
        <v>7943.76</v>
      </c>
      <c r="AD48" s="62" t="s">
        <v>386</v>
      </c>
      <c r="AE48" s="62">
        <v>16362.5</v>
      </c>
      <c r="AF48" s="62">
        <v>797.5</v>
      </c>
      <c r="AG48" s="192">
        <v>0</v>
      </c>
      <c r="AH48" s="62">
        <v>500.62848588018579</v>
      </c>
      <c r="AI48" s="62">
        <v>161.98592903157166</v>
      </c>
      <c r="AJ48" s="62"/>
      <c r="AK48" s="62">
        <v>0</v>
      </c>
      <c r="AL48" s="578">
        <f t="shared" si="5"/>
        <v>25766.374414911759</v>
      </c>
      <c r="AM48" s="578">
        <f t="shared" si="3"/>
        <v>55000</v>
      </c>
      <c r="AN48" s="578">
        <f t="shared" si="6"/>
        <v>80766.374414911756</v>
      </c>
    </row>
    <row r="49" spans="1:44" x14ac:dyDescent="0.2">
      <c r="A49" s="3"/>
      <c r="B49" s="278">
        <v>100</v>
      </c>
      <c r="C49" s="278" t="s">
        <v>145</v>
      </c>
      <c r="D49" s="278"/>
      <c r="E49" s="278">
        <v>100</v>
      </c>
      <c r="F49" s="278">
        <v>1000</v>
      </c>
      <c r="G49" s="278" t="s">
        <v>161</v>
      </c>
      <c r="H49" s="278" t="s">
        <v>497</v>
      </c>
      <c r="I49" s="3" t="s">
        <v>561</v>
      </c>
      <c r="J49" s="3" t="s">
        <v>499</v>
      </c>
      <c r="K49" s="3" t="s">
        <v>389</v>
      </c>
      <c r="L49" s="3" t="s">
        <v>498</v>
      </c>
      <c r="M49" s="3">
        <v>1</v>
      </c>
      <c r="N49" s="3" t="s">
        <v>386</v>
      </c>
      <c r="O49" s="3">
        <v>26</v>
      </c>
      <c r="P49" s="3" t="s">
        <v>342</v>
      </c>
      <c r="Q49" s="389" t="s">
        <v>386</v>
      </c>
      <c r="R49" s="3">
        <v>200</v>
      </c>
      <c r="S49" s="3">
        <v>8</v>
      </c>
      <c r="T49" s="483">
        <v>1600</v>
      </c>
      <c r="U49" s="482">
        <v>55000</v>
      </c>
      <c r="V49" s="270">
        <v>55000</v>
      </c>
      <c r="W49" s="270" t="s">
        <v>386</v>
      </c>
      <c r="X49" s="270">
        <v>55000</v>
      </c>
      <c r="Y49" s="62">
        <v>0</v>
      </c>
      <c r="Z49" s="62">
        <v>0</v>
      </c>
      <c r="AA49" s="256">
        <v>55000</v>
      </c>
      <c r="AB49" s="3"/>
      <c r="AC49" s="62">
        <v>7943.76</v>
      </c>
      <c r="AD49" s="62" t="s">
        <v>386</v>
      </c>
      <c r="AE49" s="62">
        <v>16362.5</v>
      </c>
      <c r="AF49" s="62">
        <v>797.5</v>
      </c>
      <c r="AG49" s="192">
        <v>0</v>
      </c>
      <c r="AH49" s="62">
        <v>500.62848588018579</v>
      </c>
      <c r="AI49" s="62">
        <v>161.98592903157166</v>
      </c>
      <c r="AJ49" s="62"/>
      <c r="AK49" s="62">
        <v>0</v>
      </c>
      <c r="AL49" s="578">
        <f t="shared" si="5"/>
        <v>25766.374414911759</v>
      </c>
      <c r="AM49" s="578">
        <f t="shared" si="3"/>
        <v>55000</v>
      </c>
      <c r="AN49" s="578">
        <f t="shared" si="6"/>
        <v>80766.374414911756</v>
      </c>
    </row>
    <row r="50" spans="1:44" x14ac:dyDescent="0.2">
      <c r="A50" s="3"/>
      <c r="B50" s="278">
        <v>100</v>
      </c>
      <c r="C50" s="424" t="s">
        <v>145</v>
      </c>
      <c r="D50" s="278"/>
      <c r="E50" s="278">
        <v>100</v>
      </c>
      <c r="F50" s="278">
        <v>2410</v>
      </c>
      <c r="G50" s="488" t="s">
        <v>165</v>
      </c>
      <c r="H50" s="278" t="s">
        <v>497</v>
      </c>
      <c r="I50" s="3" t="s">
        <v>561</v>
      </c>
      <c r="J50" s="3" t="s">
        <v>499</v>
      </c>
      <c r="K50" s="3" t="s">
        <v>389</v>
      </c>
      <c r="L50" s="3" t="s">
        <v>904</v>
      </c>
      <c r="M50" s="3">
        <v>1</v>
      </c>
      <c r="N50" s="3"/>
      <c r="O50" s="3">
        <v>26</v>
      </c>
      <c r="P50" s="3" t="s">
        <v>342</v>
      </c>
      <c r="Q50" s="389" t="s">
        <v>386</v>
      </c>
      <c r="R50" s="3">
        <v>261</v>
      </c>
      <c r="S50" s="3">
        <v>8</v>
      </c>
      <c r="T50" s="483">
        <v>2088</v>
      </c>
      <c r="U50" s="482">
        <v>89000</v>
      </c>
      <c r="V50" s="486">
        <v>84500</v>
      </c>
      <c r="W50" s="270" t="s">
        <v>386</v>
      </c>
      <c r="X50" s="270">
        <v>84500</v>
      </c>
      <c r="Y50" s="62">
        <v>0</v>
      </c>
      <c r="Z50" s="62">
        <v>0</v>
      </c>
      <c r="AA50" s="256">
        <v>84500</v>
      </c>
      <c r="AB50" s="3"/>
      <c r="AC50" s="62">
        <v>7943.76</v>
      </c>
      <c r="AD50" s="62" t="s">
        <v>386</v>
      </c>
      <c r="AE50" s="62">
        <v>25138.75</v>
      </c>
      <c r="AF50" s="62">
        <v>1225.25</v>
      </c>
      <c r="AG50" s="192">
        <v>0</v>
      </c>
      <c r="AH50" s="62">
        <v>769.14740103410361</v>
      </c>
      <c r="AI50" s="62">
        <v>248.86929096668737</v>
      </c>
      <c r="AJ50" s="62"/>
      <c r="AK50" s="62">
        <v>0</v>
      </c>
      <c r="AL50" s="578">
        <f t="shared" si="5"/>
        <v>35325.776692000793</v>
      </c>
      <c r="AM50" s="578">
        <f t="shared" si="3"/>
        <v>84500</v>
      </c>
      <c r="AN50" s="578">
        <f t="shared" si="6"/>
        <v>119825.7766920008</v>
      </c>
    </row>
    <row r="51" spans="1:44" x14ac:dyDescent="0.2">
      <c r="A51" s="474" t="s">
        <v>924</v>
      </c>
      <c r="B51" s="425">
        <v>100</v>
      </c>
      <c r="C51" s="425" t="s">
        <v>145</v>
      </c>
      <c r="D51" s="425"/>
      <c r="E51" s="425">
        <v>100</v>
      </c>
      <c r="F51" s="425">
        <v>2410</v>
      </c>
      <c r="G51" s="425" t="s">
        <v>173</v>
      </c>
      <c r="H51" s="425" t="s">
        <v>497</v>
      </c>
      <c r="I51" s="474" t="s">
        <v>561</v>
      </c>
      <c r="J51" s="474" t="s">
        <v>499</v>
      </c>
      <c r="K51" s="474" t="s">
        <v>384</v>
      </c>
      <c r="L51" s="474" t="s">
        <v>907</v>
      </c>
      <c r="M51" s="474">
        <v>1</v>
      </c>
      <c r="N51" s="474" t="s">
        <v>386</v>
      </c>
      <c r="O51" s="474">
        <v>26</v>
      </c>
      <c r="P51" s="474" t="s">
        <v>342</v>
      </c>
      <c r="Q51" s="487" t="s">
        <v>386</v>
      </c>
      <c r="R51" s="474">
        <v>200</v>
      </c>
      <c r="S51" s="474">
        <v>8</v>
      </c>
      <c r="T51" s="483">
        <v>1600</v>
      </c>
      <c r="U51" s="482">
        <v>35400</v>
      </c>
      <c r="V51" s="270">
        <v>31182.69</v>
      </c>
      <c r="W51" s="270" t="s">
        <v>386</v>
      </c>
      <c r="X51" s="270">
        <v>31182.69</v>
      </c>
      <c r="Y51" s="62">
        <v>0</v>
      </c>
      <c r="Z51" s="62">
        <v>0</v>
      </c>
      <c r="AA51" s="256">
        <v>31182.69</v>
      </c>
      <c r="AB51" s="3"/>
      <c r="AC51" s="62">
        <v>7943.76</v>
      </c>
      <c r="AD51" s="62" t="s">
        <v>386</v>
      </c>
      <c r="AE51" s="62">
        <v>9276.8502749999989</v>
      </c>
      <c r="AF51" s="62">
        <v>452.14900499999999</v>
      </c>
      <c r="AG51" s="192">
        <v>0</v>
      </c>
      <c r="AH51" s="62">
        <v>283.83532509765837</v>
      </c>
      <c r="AI51" s="62">
        <v>91.839218351881797</v>
      </c>
      <c r="AJ51" s="62"/>
      <c r="AK51" s="62">
        <v>0</v>
      </c>
      <c r="AL51" s="578">
        <f t="shared" si="5"/>
        <v>18048.433823449537</v>
      </c>
      <c r="AM51" s="578">
        <f t="shared" si="3"/>
        <v>31182.69</v>
      </c>
      <c r="AN51" s="578">
        <f t="shared" si="6"/>
        <v>49231.123823449539</v>
      </c>
    </row>
    <row r="52" spans="1:44" x14ac:dyDescent="0.2">
      <c r="A52" s="3"/>
      <c r="B52" s="278">
        <v>100</v>
      </c>
      <c r="C52" s="278" t="s">
        <v>145</v>
      </c>
      <c r="D52" s="278"/>
      <c r="E52" s="278">
        <v>100</v>
      </c>
      <c r="F52" s="278" t="s">
        <v>465</v>
      </c>
      <c r="G52" s="278" t="s">
        <v>167</v>
      </c>
      <c r="H52" s="278" t="s">
        <v>920</v>
      </c>
      <c r="I52" s="3" t="s">
        <v>561</v>
      </c>
      <c r="J52" s="3" t="s">
        <v>561</v>
      </c>
      <c r="K52" s="3" t="s">
        <v>393</v>
      </c>
      <c r="L52" s="3" t="s">
        <v>908</v>
      </c>
      <c r="M52" s="3">
        <v>1</v>
      </c>
      <c r="N52" s="3" t="s">
        <v>386</v>
      </c>
      <c r="O52" s="3">
        <v>26</v>
      </c>
      <c r="P52" s="3" t="s">
        <v>342</v>
      </c>
      <c r="Q52" s="389" t="s">
        <v>386</v>
      </c>
      <c r="R52" s="3">
        <v>261</v>
      </c>
      <c r="S52" s="3">
        <v>8</v>
      </c>
      <c r="T52" s="483">
        <v>2088</v>
      </c>
      <c r="U52" s="482">
        <v>57704</v>
      </c>
      <c r="V52" s="270">
        <v>57704</v>
      </c>
      <c r="W52" s="270" t="s">
        <v>386</v>
      </c>
      <c r="X52" s="270">
        <v>57704</v>
      </c>
      <c r="Y52" s="62">
        <v>0</v>
      </c>
      <c r="Z52" s="62">
        <v>0</v>
      </c>
      <c r="AA52" s="256">
        <v>57704</v>
      </c>
      <c r="AB52" s="3"/>
      <c r="AC52" s="62">
        <v>7943.76</v>
      </c>
      <c r="AD52" s="62" t="s">
        <v>386</v>
      </c>
      <c r="AE52" s="62">
        <v>17166.939999999999</v>
      </c>
      <c r="AF52" s="62">
        <v>836.70800000000008</v>
      </c>
      <c r="AG52" s="192">
        <v>0</v>
      </c>
      <c r="AH52" s="62">
        <v>525.24120271327718</v>
      </c>
      <c r="AI52" s="62">
        <v>169.94974634250565</v>
      </c>
      <c r="AJ52" s="62"/>
      <c r="AK52" s="62">
        <v>0</v>
      </c>
      <c r="AL52" s="578">
        <f t="shared" si="5"/>
        <v>26642.59894905578</v>
      </c>
      <c r="AM52" s="578">
        <f t="shared" si="3"/>
        <v>57704</v>
      </c>
      <c r="AN52" s="578">
        <f t="shared" si="6"/>
        <v>84346.598949055784</v>
      </c>
    </row>
    <row r="53" spans="1:44" x14ac:dyDescent="0.2">
      <c r="A53" s="474" t="s">
        <v>924</v>
      </c>
      <c r="B53" s="425">
        <v>100</v>
      </c>
      <c r="C53" s="425" t="s">
        <v>145</v>
      </c>
      <c r="D53" s="425"/>
      <c r="E53" s="425">
        <v>100</v>
      </c>
      <c r="F53" s="425">
        <v>2110</v>
      </c>
      <c r="G53" s="425" t="s">
        <v>167</v>
      </c>
      <c r="H53" s="425" t="s">
        <v>920</v>
      </c>
      <c r="I53" s="474" t="s">
        <v>561</v>
      </c>
      <c r="J53" s="474" t="s">
        <v>499</v>
      </c>
      <c r="K53" s="474" t="s">
        <v>921</v>
      </c>
      <c r="L53" s="474" t="s">
        <v>910</v>
      </c>
      <c r="M53" s="474"/>
      <c r="N53" s="474"/>
      <c r="O53" s="474"/>
      <c r="P53" s="474"/>
      <c r="Q53" s="487"/>
      <c r="R53" s="474"/>
      <c r="S53" s="474"/>
      <c r="T53" s="483"/>
      <c r="U53" s="482">
        <v>0</v>
      </c>
      <c r="V53" s="270">
        <v>0</v>
      </c>
      <c r="W53" s="270" t="s">
        <v>386</v>
      </c>
      <c r="X53" s="270" t="s">
        <v>386</v>
      </c>
      <c r="Y53" s="62">
        <v>0</v>
      </c>
      <c r="Z53" s="62">
        <v>0</v>
      </c>
      <c r="AA53" s="256">
        <v>0</v>
      </c>
      <c r="AB53" s="3"/>
      <c r="AC53" s="62" t="s">
        <v>386</v>
      </c>
      <c r="AD53" s="62" t="s">
        <v>386</v>
      </c>
      <c r="AE53" s="62" t="s">
        <v>386</v>
      </c>
      <c r="AF53" s="62" t="s">
        <v>386</v>
      </c>
      <c r="AG53" s="192">
        <v>0</v>
      </c>
      <c r="AH53" s="62" t="s">
        <v>386</v>
      </c>
      <c r="AI53" s="62">
        <v>0</v>
      </c>
      <c r="AJ53" s="62"/>
      <c r="AK53" s="62">
        <v>0</v>
      </c>
      <c r="AL53" s="578">
        <f t="shared" si="5"/>
        <v>0</v>
      </c>
      <c r="AM53" s="578">
        <f t="shared" si="3"/>
        <v>0</v>
      </c>
      <c r="AN53" s="578">
        <f t="shared" si="6"/>
        <v>0</v>
      </c>
    </row>
    <row r="54" spans="1:44" x14ac:dyDescent="0.2">
      <c r="A54" s="3" t="s">
        <v>386</v>
      </c>
      <c r="B54" s="278">
        <v>280</v>
      </c>
      <c r="C54" s="278">
        <v>633</v>
      </c>
      <c r="D54" s="278"/>
      <c r="E54" s="278">
        <v>430</v>
      </c>
      <c r="F54" s="278" t="s">
        <v>461</v>
      </c>
      <c r="G54" s="278" t="s">
        <v>161</v>
      </c>
      <c r="H54" s="424" t="s">
        <v>497</v>
      </c>
      <c r="I54" s="3" t="s">
        <v>561</v>
      </c>
      <c r="J54" s="3" t="s">
        <v>561</v>
      </c>
      <c r="K54" s="3" t="s">
        <v>389</v>
      </c>
      <c r="L54" s="3" t="s">
        <v>991</v>
      </c>
      <c r="M54" s="3">
        <v>1</v>
      </c>
      <c r="N54" s="3" t="s">
        <v>386</v>
      </c>
      <c r="O54" s="3">
        <v>26</v>
      </c>
      <c r="P54" s="3" t="s">
        <v>342</v>
      </c>
      <c r="Q54" s="389" t="s">
        <v>386</v>
      </c>
      <c r="R54" s="3">
        <v>200</v>
      </c>
      <c r="S54" s="3">
        <v>8</v>
      </c>
      <c r="T54" s="483">
        <v>1600</v>
      </c>
      <c r="U54" s="482">
        <v>55000</v>
      </c>
      <c r="V54" s="270">
        <v>55000</v>
      </c>
      <c r="W54" s="270" t="s">
        <v>386</v>
      </c>
      <c r="X54" s="270">
        <v>55000</v>
      </c>
      <c r="Y54" s="62">
        <v>0</v>
      </c>
      <c r="Z54" s="62">
        <v>0</v>
      </c>
      <c r="AA54" s="256">
        <v>55000</v>
      </c>
      <c r="AB54" s="3"/>
      <c r="AC54" s="62">
        <v>7943.76</v>
      </c>
      <c r="AD54" s="62" t="s">
        <v>386</v>
      </c>
      <c r="AE54" s="62">
        <v>16362.5</v>
      </c>
      <c r="AF54" s="62">
        <v>797.5</v>
      </c>
      <c r="AG54" s="192">
        <v>0</v>
      </c>
      <c r="AH54" s="62">
        <v>500.62848588018579</v>
      </c>
      <c r="AI54" s="62">
        <v>161.98592903157166</v>
      </c>
      <c r="AJ54" s="62"/>
      <c r="AK54" s="62">
        <v>0</v>
      </c>
      <c r="AL54" s="578">
        <f t="shared" si="5"/>
        <v>25766.374414911759</v>
      </c>
      <c r="AM54" s="578">
        <f t="shared" si="3"/>
        <v>55000</v>
      </c>
      <c r="AN54" s="578">
        <f t="shared" si="6"/>
        <v>80766.374414911756</v>
      </c>
    </row>
    <row r="55" spans="1:44" x14ac:dyDescent="0.2">
      <c r="A55" s="311"/>
      <c r="B55" s="380"/>
      <c r="C55" s="380"/>
      <c r="D55" s="380"/>
      <c r="E55" s="380"/>
      <c r="F55" s="380"/>
      <c r="G55" s="380"/>
      <c r="H55" s="380"/>
      <c r="I55" s="311"/>
      <c r="J55" s="311"/>
      <c r="K55" s="311"/>
      <c r="L55" s="313"/>
      <c r="M55" s="311"/>
      <c r="N55" s="311"/>
      <c r="O55" s="311"/>
      <c r="P55" s="381"/>
      <c r="Q55" s="311"/>
      <c r="R55" s="311"/>
      <c r="S55" s="311"/>
      <c r="T55" s="483"/>
      <c r="U55" s="269">
        <v>0</v>
      </c>
      <c r="V55" s="270">
        <v>0</v>
      </c>
      <c r="W55" s="270" t="s">
        <v>386</v>
      </c>
      <c r="X55" s="270" t="s">
        <v>386</v>
      </c>
      <c r="Y55" s="381"/>
      <c r="Z55" s="381"/>
      <c r="AA55" s="256">
        <v>0</v>
      </c>
      <c r="AB55" s="311"/>
      <c r="AC55" s="381" t="s">
        <v>386</v>
      </c>
      <c r="AD55" s="381" t="s">
        <v>386</v>
      </c>
      <c r="AE55" s="381" t="s">
        <v>386</v>
      </c>
      <c r="AF55" s="381" t="s">
        <v>386</v>
      </c>
      <c r="AG55" s="391"/>
      <c r="AH55" s="381"/>
      <c r="AI55" s="381"/>
      <c r="AJ55" s="381"/>
      <c r="AK55" s="381"/>
      <c r="AL55" s="256">
        <f t="shared" si="5"/>
        <v>0</v>
      </c>
      <c r="AM55" s="256">
        <f t="shared" si="3"/>
        <v>0</v>
      </c>
      <c r="AN55" s="256">
        <f t="shared" si="6"/>
        <v>0</v>
      </c>
      <c r="AO55" s="3"/>
      <c r="AP55" s="3"/>
      <c r="AQ55" s="3"/>
      <c r="AR55" s="3"/>
    </row>
    <row r="56" spans="1:44" x14ac:dyDescent="0.2">
      <c r="A56" s="3" t="s">
        <v>386</v>
      </c>
      <c r="B56" s="278" t="s">
        <v>468</v>
      </c>
      <c r="C56" s="278" t="s">
        <v>145</v>
      </c>
      <c r="D56" s="278"/>
      <c r="E56" s="278" t="s">
        <v>689</v>
      </c>
      <c r="F56" s="278" t="s">
        <v>461</v>
      </c>
      <c r="G56" s="278" t="s">
        <v>161</v>
      </c>
      <c r="H56" s="278"/>
      <c r="I56" s="3" t="s">
        <v>810</v>
      </c>
      <c r="J56" s="3" t="s">
        <v>810</v>
      </c>
      <c r="K56" s="3" t="s">
        <v>389</v>
      </c>
      <c r="L56" s="3" t="s">
        <v>810</v>
      </c>
      <c r="M56" s="3" t="s">
        <v>386</v>
      </c>
      <c r="N56" s="3" t="s">
        <v>386</v>
      </c>
      <c r="O56" s="3" t="s">
        <v>386</v>
      </c>
      <c r="P56" s="3" t="s">
        <v>386</v>
      </c>
      <c r="Q56" s="3" t="s">
        <v>386</v>
      </c>
      <c r="R56" s="3" t="s">
        <v>386</v>
      </c>
      <c r="S56" s="3" t="s">
        <v>386</v>
      </c>
      <c r="T56" s="263" t="s">
        <v>386</v>
      </c>
      <c r="U56" s="269">
        <v>0</v>
      </c>
      <c r="V56" s="270">
        <v>0</v>
      </c>
      <c r="W56" s="270" t="s">
        <v>386</v>
      </c>
      <c r="X56" s="270" t="s">
        <v>386</v>
      </c>
      <c r="Y56" s="62">
        <v>0</v>
      </c>
      <c r="Z56" s="62">
        <v>0</v>
      </c>
      <c r="AA56" s="256">
        <v>0</v>
      </c>
      <c r="AB56" s="3"/>
      <c r="AC56" s="62" t="s">
        <v>386</v>
      </c>
      <c r="AD56" s="62" t="s">
        <v>386</v>
      </c>
      <c r="AE56" s="62" t="s">
        <v>386</v>
      </c>
      <c r="AF56" s="62" t="s">
        <v>386</v>
      </c>
      <c r="AG56" s="192">
        <v>0</v>
      </c>
      <c r="AH56" s="62" t="s">
        <v>386</v>
      </c>
      <c r="AI56" s="62">
        <v>0</v>
      </c>
      <c r="AJ56" s="62"/>
      <c r="AK56" s="62">
        <v>0</v>
      </c>
      <c r="AL56" s="578">
        <f t="shared" ref="AL56:AL71" si="7">SUM(AC56:AK56)</f>
        <v>0</v>
      </c>
      <c r="AM56" s="578">
        <f t="shared" si="3"/>
        <v>0</v>
      </c>
      <c r="AN56" s="578">
        <f t="shared" ref="AN56:AN71" si="8">SUM(AL56:AM56)</f>
        <v>0</v>
      </c>
    </row>
    <row r="57" spans="1:44" x14ac:dyDescent="0.2">
      <c r="A57" s="3" t="s">
        <v>386</v>
      </c>
      <c r="B57" s="278" t="s">
        <v>135</v>
      </c>
      <c r="C57" s="278" t="s">
        <v>247</v>
      </c>
      <c r="D57" s="278"/>
      <c r="E57" s="278" t="s">
        <v>473</v>
      </c>
      <c r="F57" s="278" t="s">
        <v>461</v>
      </c>
      <c r="G57" s="278" t="s">
        <v>161</v>
      </c>
      <c r="H57" s="278"/>
      <c r="I57" s="3" t="s">
        <v>810</v>
      </c>
      <c r="J57" s="3" t="s">
        <v>816</v>
      </c>
      <c r="K57" s="3" t="s">
        <v>389</v>
      </c>
      <c r="L57" s="3" t="s">
        <v>817</v>
      </c>
      <c r="M57" s="3" t="s">
        <v>386</v>
      </c>
      <c r="N57" s="3" t="s">
        <v>386</v>
      </c>
      <c r="O57" s="3" t="s">
        <v>386</v>
      </c>
      <c r="P57" s="3" t="s">
        <v>386</v>
      </c>
      <c r="Q57" s="3" t="s">
        <v>386</v>
      </c>
      <c r="R57" s="3" t="s">
        <v>386</v>
      </c>
      <c r="S57" s="3" t="s">
        <v>386</v>
      </c>
      <c r="T57" s="263" t="s">
        <v>386</v>
      </c>
      <c r="U57" s="269">
        <v>0</v>
      </c>
      <c r="V57" s="270">
        <v>0</v>
      </c>
      <c r="W57" s="270" t="s">
        <v>386</v>
      </c>
      <c r="X57" s="270" t="s">
        <v>386</v>
      </c>
      <c r="Y57" s="62">
        <v>0</v>
      </c>
      <c r="Z57" s="62">
        <v>0</v>
      </c>
      <c r="AA57" s="256">
        <v>0</v>
      </c>
      <c r="AB57" s="3"/>
      <c r="AC57" s="62" t="s">
        <v>386</v>
      </c>
      <c r="AD57" s="62" t="s">
        <v>386</v>
      </c>
      <c r="AE57" s="62" t="s">
        <v>386</v>
      </c>
      <c r="AF57" s="62" t="s">
        <v>386</v>
      </c>
      <c r="AG57" s="192">
        <v>0</v>
      </c>
      <c r="AH57" s="62" t="s">
        <v>386</v>
      </c>
      <c r="AI57" s="62">
        <v>0</v>
      </c>
      <c r="AJ57" s="62"/>
      <c r="AK57" s="62">
        <v>0</v>
      </c>
      <c r="AL57" s="578">
        <f t="shared" si="7"/>
        <v>0</v>
      </c>
      <c r="AM57" s="578">
        <f t="shared" si="3"/>
        <v>0</v>
      </c>
      <c r="AN57" s="578">
        <f t="shared" si="8"/>
        <v>0</v>
      </c>
    </row>
    <row r="58" spans="1:44" x14ac:dyDescent="0.2">
      <c r="A58" s="3" t="s">
        <v>386</v>
      </c>
      <c r="B58" s="278" t="s">
        <v>468</v>
      </c>
      <c r="C58" s="278" t="s">
        <v>145</v>
      </c>
      <c r="D58" s="278"/>
      <c r="E58" s="278" t="s">
        <v>468</v>
      </c>
      <c r="F58" s="278" t="s">
        <v>461</v>
      </c>
      <c r="G58" s="278" t="s">
        <v>163</v>
      </c>
      <c r="H58" s="424"/>
      <c r="I58" s="3" t="s">
        <v>562</v>
      </c>
      <c r="J58" s="3" t="s">
        <v>562</v>
      </c>
      <c r="K58" s="3" t="s">
        <v>389</v>
      </c>
      <c r="L58" s="3" t="s">
        <v>562</v>
      </c>
      <c r="M58" s="3">
        <v>0</v>
      </c>
      <c r="N58" s="3" t="s">
        <v>386</v>
      </c>
      <c r="O58" s="3" t="s">
        <v>386</v>
      </c>
      <c r="P58" s="3" t="s">
        <v>7</v>
      </c>
      <c r="Q58" s="3" t="s">
        <v>386</v>
      </c>
      <c r="R58" s="3" t="s">
        <v>386</v>
      </c>
      <c r="S58" s="3" t="s">
        <v>386</v>
      </c>
      <c r="T58" s="263" t="s">
        <v>386</v>
      </c>
      <c r="U58" s="269">
        <v>0</v>
      </c>
      <c r="V58" s="270">
        <v>0</v>
      </c>
      <c r="W58" s="270" t="s">
        <v>386</v>
      </c>
      <c r="X58" s="270">
        <v>0</v>
      </c>
      <c r="Y58" s="62">
        <v>0</v>
      </c>
      <c r="Z58" s="62">
        <v>0</v>
      </c>
      <c r="AA58" s="256">
        <v>0</v>
      </c>
      <c r="AB58" s="3"/>
      <c r="AC58" s="62" t="s">
        <v>386</v>
      </c>
      <c r="AD58" s="62">
        <v>0</v>
      </c>
      <c r="AE58" s="62" t="s">
        <v>386</v>
      </c>
      <c r="AF58" s="62" t="s">
        <v>386</v>
      </c>
      <c r="AG58" s="192">
        <v>0</v>
      </c>
      <c r="AH58" s="62" t="s">
        <v>386</v>
      </c>
      <c r="AI58" s="62">
        <v>0</v>
      </c>
      <c r="AJ58" s="62"/>
      <c r="AK58" s="62">
        <v>0</v>
      </c>
      <c r="AL58" s="578">
        <f t="shared" si="7"/>
        <v>0</v>
      </c>
      <c r="AM58" s="578">
        <f t="shared" si="3"/>
        <v>0</v>
      </c>
      <c r="AN58" s="578">
        <f t="shared" si="8"/>
        <v>0</v>
      </c>
    </row>
    <row r="59" spans="1:44" x14ac:dyDescent="0.2">
      <c r="A59" s="311"/>
      <c r="B59" s="380"/>
      <c r="C59" s="380"/>
      <c r="D59" s="380"/>
      <c r="E59" s="380"/>
      <c r="F59" s="380"/>
      <c r="G59" s="380"/>
      <c r="H59" s="380"/>
      <c r="I59" s="311"/>
      <c r="J59" s="311"/>
      <c r="K59" s="311"/>
      <c r="L59" s="313"/>
      <c r="M59" s="311"/>
      <c r="N59" s="311"/>
      <c r="O59" s="311"/>
      <c r="P59" s="381"/>
      <c r="Q59" s="311"/>
      <c r="R59" s="311"/>
      <c r="S59" s="311"/>
      <c r="T59" s="263"/>
      <c r="U59" s="269">
        <v>0</v>
      </c>
      <c r="V59" s="270">
        <v>0</v>
      </c>
      <c r="W59" s="270" t="s">
        <v>386</v>
      </c>
      <c r="X59" s="270" t="s">
        <v>386</v>
      </c>
      <c r="Y59" s="381"/>
      <c r="Z59" s="381"/>
      <c r="AA59" s="256">
        <v>0</v>
      </c>
      <c r="AB59" s="311"/>
      <c r="AC59" s="381" t="s">
        <v>386</v>
      </c>
      <c r="AD59" s="381" t="s">
        <v>386</v>
      </c>
      <c r="AE59" s="381" t="s">
        <v>386</v>
      </c>
      <c r="AF59" s="381" t="s">
        <v>386</v>
      </c>
      <c r="AG59" s="391"/>
      <c r="AH59" s="381"/>
      <c r="AI59" s="381"/>
      <c r="AJ59" s="381"/>
      <c r="AK59" s="381"/>
      <c r="AL59" s="256">
        <f t="shared" ref="AL59" si="9">SUM(AC59:AK59)</f>
        <v>0</v>
      </c>
      <c r="AM59" s="256">
        <f t="shared" si="3"/>
        <v>0</v>
      </c>
      <c r="AN59" s="256">
        <f t="shared" ref="AN59" si="10">SUM(AL59:AM59)</f>
        <v>0</v>
      </c>
      <c r="AO59" s="3"/>
      <c r="AP59" s="3"/>
      <c r="AQ59" s="3"/>
      <c r="AR59" s="3"/>
    </row>
    <row r="60" spans="1:44" x14ac:dyDescent="0.2">
      <c r="A60" s="394" t="s">
        <v>386</v>
      </c>
      <c r="B60" s="500" t="s">
        <v>135</v>
      </c>
      <c r="C60" s="500" t="s">
        <v>249</v>
      </c>
      <c r="D60" s="500"/>
      <c r="E60" s="500" t="s">
        <v>468</v>
      </c>
      <c r="F60" s="500" t="s">
        <v>461</v>
      </c>
      <c r="G60" s="500" t="s">
        <v>161</v>
      </c>
      <c r="H60" s="500"/>
      <c r="I60" s="394" t="s">
        <v>863</v>
      </c>
      <c r="J60" s="394" t="s">
        <v>386</v>
      </c>
      <c r="K60" s="394" t="s">
        <v>386</v>
      </c>
      <c r="L60" s="394" t="s">
        <v>863</v>
      </c>
      <c r="M60" s="394" t="s">
        <v>386</v>
      </c>
      <c r="N60" s="394" t="s">
        <v>386</v>
      </c>
      <c r="O60" s="394" t="s">
        <v>386</v>
      </c>
      <c r="P60" s="394" t="s">
        <v>7</v>
      </c>
      <c r="Q60" s="394" t="s">
        <v>386</v>
      </c>
      <c r="R60" s="394" t="s">
        <v>386</v>
      </c>
      <c r="S60" s="394" t="s">
        <v>386</v>
      </c>
      <c r="T60" s="263" t="s">
        <v>386</v>
      </c>
      <c r="U60" s="269">
        <v>0</v>
      </c>
      <c r="V60" s="270">
        <v>23456.35</v>
      </c>
      <c r="W60" s="270" t="s">
        <v>386</v>
      </c>
      <c r="X60" s="270">
        <v>23456.35</v>
      </c>
      <c r="Y60" s="476">
        <v>0</v>
      </c>
      <c r="Z60" s="476">
        <v>0</v>
      </c>
      <c r="AA60" s="256">
        <v>23456.35</v>
      </c>
      <c r="AB60" s="3"/>
      <c r="AC60" s="476" t="s">
        <v>386</v>
      </c>
      <c r="AD60" s="476"/>
      <c r="AE60" s="476" t="s">
        <v>386</v>
      </c>
      <c r="AF60" s="389">
        <v>340.117075</v>
      </c>
      <c r="AG60" s="192">
        <v>0</v>
      </c>
      <c r="AH60" s="389">
        <v>213.50758154137628</v>
      </c>
      <c r="AI60" s="389">
        <v>69.08361175344919</v>
      </c>
      <c r="AJ60" s="476"/>
      <c r="AK60" s="476">
        <v>0</v>
      </c>
      <c r="AL60" s="578">
        <f t="shared" si="7"/>
        <v>622.70826829482542</v>
      </c>
      <c r="AM60" s="578">
        <f t="shared" si="3"/>
        <v>23456.35</v>
      </c>
      <c r="AN60" s="578">
        <f t="shared" si="8"/>
        <v>24079.058268294822</v>
      </c>
    </row>
    <row r="61" spans="1:44" x14ac:dyDescent="0.2">
      <c r="A61" s="3" t="s">
        <v>386</v>
      </c>
      <c r="B61" s="278" t="s">
        <v>135</v>
      </c>
      <c r="C61" s="278" t="s">
        <v>864</v>
      </c>
      <c r="D61" s="278"/>
      <c r="E61" s="278" t="s">
        <v>557</v>
      </c>
      <c r="F61" s="278" t="s">
        <v>558</v>
      </c>
      <c r="G61" s="278" t="s">
        <v>173</v>
      </c>
      <c r="H61" s="278"/>
      <c r="I61" s="3" t="s">
        <v>895</v>
      </c>
      <c r="J61" s="3" t="s">
        <v>386</v>
      </c>
      <c r="K61" s="3" t="s">
        <v>386</v>
      </c>
      <c r="L61" s="3" t="s">
        <v>895</v>
      </c>
      <c r="M61" s="475" t="s">
        <v>386</v>
      </c>
      <c r="N61" s="475" t="s">
        <v>386</v>
      </c>
      <c r="O61" s="475" t="s">
        <v>386</v>
      </c>
      <c r="P61" s="475" t="s">
        <v>386</v>
      </c>
      <c r="Q61" s="475" t="s">
        <v>386</v>
      </c>
      <c r="R61" s="475" t="s">
        <v>386</v>
      </c>
      <c r="S61" s="475" t="s">
        <v>386</v>
      </c>
      <c r="T61" s="263" t="s">
        <v>386</v>
      </c>
      <c r="U61" s="269">
        <v>0</v>
      </c>
      <c r="V61" s="270">
        <v>0</v>
      </c>
      <c r="W61" s="270" t="s">
        <v>386</v>
      </c>
      <c r="X61" s="270" t="s">
        <v>386</v>
      </c>
      <c r="Y61" s="476">
        <v>0</v>
      </c>
      <c r="Z61" s="476">
        <v>0</v>
      </c>
      <c r="AA61" s="256">
        <v>0</v>
      </c>
      <c r="AB61" s="3"/>
      <c r="AC61" s="476" t="s">
        <v>386</v>
      </c>
      <c r="AD61" s="476" t="s">
        <v>386</v>
      </c>
      <c r="AE61" s="476" t="s">
        <v>386</v>
      </c>
      <c r="AF61" s="389" t="s">
        <v>386</v>
      </c>
      <c r="AG61" s="192">
        <v>0</v>
      </c>
      <c r="AH61" s="389" t="s">
        <v>386</v>
      </c>
      <c r="AI61" s="389">
        <v>0</v>
      </c>
      <c r="AJ61" s="476"/>
      <c r="AK61" s="476">
        <v>0</v>
      </c>
      <c r="AL61" s="578">
        <f t="shared" si="7"/>
        <v>0</v>
      </c>
      <c r="AM61" s="578">
        <f t="shared" si="3"/>
        <v>0</v>
      </c>
      <c r="AN61" s="578">
        <f t="shared" si="8"/>
        <v>0</v>
      </c>
    </row>
    <row r="62" spans="1:44" x14ac:dyDescent="0.2">
      <c r="A62" s="394" t="s">
        <v>386</v>
      </c>
      <c r="B62" s="500" t="s">
        <v>135</v>
      </c>
      <c r="C62" s="500" t="s">
        <v>864</v>
      </c>
      <c r="D62" s="500"/>
      <c r="E62" s="500" t="s">
        <v>557</v>
      </c>
      <c r="F62" s="500" t="s">
        <v>465</v>
      </c>
      <c r="G62" s="500" t="s">
        <v>173</v>
      </c>
      <c r="H62" s="500"/>
      <c r="I62" s="394" t="s">
        <v>895</v>
      </c>
      <c r="J62" s="394" t="s">
        <v>386</v>
      </c>
      <c r="K62" s="394" t="s">
        <v>386</v>
      </c>
      <c r="L62" s="394" t="s">
        <v>895</v>
      </c>
      <c r="M62" s="394" t="s">
        <v>386</v>
      </c>
      <c r="N62" s="394" t="s">
        <v>386</v>
      </c>
      <c r="O62" s="394" t="s">
        <v>386</v>
      </c>
      <c r="P62" s="394" t="s">
        <v>7</v>
      </c>
      <c r="Q62" s="394" t="s">
        <v>386</v>
      </c>
      <c r="R62" s="394" t="s">
        <v>386</v>
      </c>
      <c r="S62" s="394" t="s">
        <v>386</v>
      </c>
      <c r="T62" s="263" t="s">
        <v>386</v>
      </c>
      <c r="U62" s="269">
        <v>0</v>
      </c>
      <c r="V62" s="270">
        <v>6683</v>
      </c>
      <c r="W62" s="270" t="s">
        <v>386</v>
      </c>
      <c r="X62" s="270">
        <v>6683</v>
      </c>
      <c r="Y62" s="476">
        <v>0</v>
      </c>
      <c r="Z62" s="476">
        <v>0</v>
      </c>
      <c r="AA62" s="256">
        <v>6683</v>
      </c>
      <c r="AB62" s="3"/>
      <c r="AC62" s="476" t="s">
        <v>386</v>
      </c>
      <c r="AD62" s="476"/>
      <c r="AE62" s="476" t="s">
        <v>386</v>
      </c>
      <c r="AF62" s="389">
        <v>96.903500000000008</v>
      </c>
      <c r="AG62" s="192">
        <v>0</v>
      </c>
      <c r="AH62" s="389">
        <v>60.83091220249603</v>
      </c>
      <c r="AI62" s="389">
        <v>19.682762976690789</v>
      </c>
      <c r="AJ62" s="476"/>
      <c r="AK62" s="476">
        <v>0</v>
      </c>
      <c r="AL62" s="578">
        <f t="shared" si="7"/>
        <v>177.41717517918681</v>
      </c>
      <c r="AM62" s="578">
        <f t="shared" si="3"/>
        <v>6683</v>
      </c>
      <c r="AN62" s="578">
        <f t="shared" si="8"/>
        <v>6860.4171751791864</v>
      </c>
    </row>
    <row r="63" spans="1:44" x14ac:dyDescent="0.2">
      <c r="A63" s="311"/>
      <c r="B63" s="380"/>
      <c r="C63" s="380"/>
      <c r="D63" s="380"/>
      <c r="E63" s="380"/>
      <c r="F63" s="380"/>
      <c r="G63" s="380"/>
      <c r="H63" s="380"/>
      <c r="I63" s="311"/>
      <c r="J63" s="311"/>
      <c r="K63" s="311"/>
      <c r="L63" s="313"/>
      <c r="M63" s="311"/>
      <c r="N63" s="311"/>
      <c r="O63" s="311"/>
      <c r="P63" s="381"/>
      <c r="Q63" s="311"/>
      <c r="R63" s="311"/>
      <c r="S63" s="311"/>
      <c r="T63" s="263"/>
      <c r="U63" s="269">
        <v>0</v>
      </c>
      <c r="V63" s="270">
        <v>0</v>
      </c>
      <c r="W63" s="270" t="s">
        <v>386</v>
      </c>
      <c r="X63" s="270" t="s">
        <v>386</v>
      </c>
      <c r="Y63" s="381"/>
      <c r="Z63" s="381"/>
      <c r="AA63" s="256">
        <v>0</v>
      </c>
      <c r="AB63" s="311"/>
      <c r="AC63" s="381" t="s">
        <v>386</v>
      </c>
      <c r="AD63" s="381" t="s">
        <v>386</v>
      </c>
      <c r="AE63" s="381" t="s">
        <v>386</v>
      </c>
      <c r="AF63" s="381" t="s">
        <v>386</v>
      </c>
      <c r="AG63" s="391"/>
      <c r="AH63" s="381"/>
      <c r="AI63" s="381"/>
      <c r="AJ63" s="381"/>
      <c r="AK63" s="381"/>
      <c r="AL63" s="256">
        <f t="shared" ref="AL63" si="11">SUM(AC63:AK63)</f>
        <v>0</v>
      </c>
      <c r="AM63" s="256">
        <f t="shared" si="3"/>
        <v>0</v>
      </c>
      <c r="AN63" s="256">
        <f t="shared" ref="AN63" si="12">SUM(AL63:AM63)</f>
        <v>0</v>
      </c>
      <c r="AO63" s="3"/>
      <c r="AP63" s="3"/>
      <c r="AQ63" s="3"/>
      <c r="AR63" s="3"/>
    </row>
    <row r="64" spans="1:44" x14ac:dyDescent="0.2">
      <c r="A64" s="3" t="s">
        <v>386</v>
      </c>
      <c r="B64" s="278" t="s">
        <v>135</v>
      </c>
      <c r="C64" s="278" t="s">
        <v>242</v>
      </c>
      <c r="D64" s="278"/>
      <c r="E64" s="278" t="s">
        <v>532</v>
      </c>
      <c r="F64" s="278" t="s">
        <v>461</v>
      </c>
      <c r="G64" s="278" t="s">
        <v>161</v>
      </c>
      <c r="H64" s="278"/>
      <c r="I64" s="3" t="s">
        <v>856</v>
      </c>
      <c r="J64" s="3" t="s">
        <v>857</v>
      </c>
      <c r="K64" s="3" t="s">
        <v>386</v>
      </c>
      <c r="L64" s="3" t="s">
        <v>858</v>
      </c>
      <c r="M64" s="475" t="s">
        <v>386</v>
      </c>
      <c r="N64" s="475" t="s">
        <v>386</v>
      </c>
      <c r="O64" s="475" t="s">
        <v>386</v>
      </c>
      <c r="P64" s="475" t="s">
        <v>386</v>
      </c>
      <c r="Q64" s="475" t="s">
        <v>386</v>
      </c>
      <c r="R64" s="475" t="s">
        <v>386</v>
      </c>
      <c r="S64" s="475" t="s">
        <v>386</v>
      </c>
      <c r="T64" s="263" t="s">
        <v>386</v>
      </c>
      <c r="U64" s="269">
        <v>0</v>
      </c>
      <c r="V64" s="270">
        <v>0</v>
      </c>
      <c r="W64" s="270" t="s">
        <v>386</v>
      </c>
      <c r="X64" s="270" t="s">
        <v>386</v>
      </c>
      <c r="Y64" s="476">
        <v>0</v>
      </c>
      <c r="Z64" s="476">
        <v>0</v>
      </c>
      <c r="AA64" s="256">
        <v>0</v>
      </c>
      <c r="AB64" s="3"/>
      <c r="AC64" s="476" t="s">
        <v>386</v>
      </c>
      <c r="AD64" s="476" t="s">
        <v>386</v>
      </c>
      <c r="AE64" s="476" t="s">
        <v>386</v>
      </c>
      <c r="AF64" s="476" t="s">
        <v>386</v>
      </c>
      <c r="AG64" s="192">
        <v>0</v>
      </c>
      <c r="AH64" s="476" t="s">
        <v>386</v>
      </c>
      <c r="AI64" s="476">
        <v>0</v>
      </c>
      <c r="AJ64" s="476"/>
      <c r="AK64" s="476">
        <v>0</v>
      </c>
      <c r="AL64" s="578">
        <f t="shared" si="7"/>
        <v>0</v>
      </c>
      <c r="AM64" s="578">
        <f t="shared" si="3"/>
        <v>0</v>
      </c>
      <c r="AN64" s="578">
        <f t="shared" si="8"/>
        <v>0</v>
      </c>
    </row>
    <row r="65" spans="1:44" x14ac:dyDescent="0.2">
      <c r="A65" s="3" t="s">
        <v>386</v>
      </c>
      <c r="B65" s="278" t="s">
        <v>135</v>
      </c>
      <c r="C65" s="278" t="s">
        <v>242</v>
      </c>
      <c r="D65" s="278"/>
      <c r="E65" s="278" t="s">
        <v>532</v>
      </c>
      <c r="F65" s="278" t="s">
        <v>534</v>
      </c>
      <c r="G65" s="278" t="s">
        <v>161</v>
      </c>
      <c r="H65" s="278"/>
      <c r="I65" s="3" t="s">
        <v>856</v>
      </c>
      <c r="J65" s="3" t="s">
        <v>857</v>
      </c>
      <c r="K65" s="3" t="s">
        <v>386</v>
      </c>
      <c r="L65" s="3" t="s">
        <v>858</v>
      </c>
      <c r="M65" s="475" t="s">
        <v>386</v>
      </c>
      <c r="N65" s="475" t="s">
        <v>386</v>
      </c>
      <c r="O65" s="475" t="s">
        <v>386</v>
      </c>
      <c r="P65" s="475" t="s">
        <v>386</v>
      </c>
      <c r="Q65" s="475" t="s">
        <v>386</v>
      </c>
      <c r="R65" s="475" t="s">
        <v>386</v>
      </c>
      <c r="S65" s="475" t="s">
        <v>386</v>
      </c>
      <c r="T65" s="263" t="s">
        <v>386</v>
      </c>
      <c r="U65" s="269">
        <v>0</v>
      </c>
      <c r="V65" s="270">
        <v>0</v>
      </c>
      <c r="W65" s="270" t="s">
        <v>386</v>
      </c>
      <c r="X65" s="270" t="s">
        <v>386</v>
      </c>
      <c r="Y65" s="476">
        <v>0</v>
      </c>
      <c r="Z65" s="476">
        <v>0</v>
      </c>
      <c r="AA65" s="256">
        <v>0</v>
      </c>
      <c r="AB65" s="3"/>
      <c r="AC65" s="476" t="s">
        <v>386</v>
      </c>
      <c r="AD65" s="476" t="s">
        <v>386</v>
      </c>
      <c r="AE65" s="476" t="s">
        <v>386</v>
      </c>
      <c r="AF65" s="476" t="s">
        <v>386</v>
      </c>
      <c r="AG65" s="192">
        <v>0</v>
      </c>
      <c r="AH65" s="476" t="s">
        <v>386</v>
      </c>
      <c r="AI65" s="476">
        <v>0</v>
      </c>
      <c r="AJ65" s="476"/>
      <c r="AK65" s="476">
        <v>0</v>
      </c>
      <c r="AL65" s="578">
        <f t="shared" si="7"/>
        <v>0</v>
      </c>
      <c r="AM65" s="578">
        <f t="shared" si="3"/>
        <v>0</v>
      </c>
      <c r="AN65" s="578">
        <f t="shared" si="8"/>
        <v>0</v>
      </c>
    </row>
    <row r="66" spans="1:44" x14ac:dyDescent="0.2">
      <c r="A66" s="3" t="s">
        <v>386</v>
      </c>
      <c r="B66" s="278" t="s">
        <v>135</v>
      </c>
      <c r="C66" s="278" t="s">
        <v>242</v>
      </c>
      <c r="D66" s="278"/>
      <c r="E66" s="278" t="s">
        <v>532</v>
      </c>
      <c r="F66" s="278" t="s">
        <v>461</v>
      </c>
      <c r="G66" s="278" t="s">
        <v>169</v>
      </c>
      <c r="H66" s="278"/>
      <c r="I66" s="3" t="s">
        <v>856</v>
      </c>
      <c r="J66" s="3" t="s">
        <v>857</v>
      </c>
      <c r="K66" s="3" t="s">
        <v>386</v>
      </c>
      <c r="L66" s="3" t="s">
        <v>858</v>
      </c>
      <c r="M66" s="475" t="s">
        <v>386</v>
      </c>
      <c r="N66" s="475" t="s">
        <v>386</v>
      </c>
      <c r="O66" s="475" t="s">
        <v>386</v>
      </c>
      <c r="P66" s="475" t="s">
        <v>386</v>
      </c>
      <c r="Q66" s="475" t="s">
        <v>386</v>
      </c>
      <c r="R66" s="475" t="s">
        <v>386</v>
      </c>
      <c r="S66" s="475" t="s">
        <v>386</v>
      </c>
      <c r="T66" s="263" t="s">
        <v>386</v>
      </c>
      <c r="U66" s="269">
        <v>0</v>
      </c>
      <c r="V66" s="270">
        <v>0</v>
      </c>
      <c r="W66" s="270" t="s">
        <v>386</v>
      </c>
      <c r="X66" s="270" t="s">
        <v>386</v>
      </c>
      <c r="Y66" s="476">
        <v>0</v>
      </c>
      <c r="Z66" s="476">
        <v>0</v>
      </c>
      <c r="AA66" s="256">
        <v>0</v>
      </c>
      <c r="AB66" s="3"/>
      <c r="AC66" s="476" t="s">
        <v>386</v>
      </c>
      <c r="AD66" s="476" t="s">
        <v>386</v>
      </c>
      <c r="AE66" s="476" t="s">
        <v>386</v>
      </c>
      <c r="AF66" s="476" t="s">
        <v>386</v>
      </c>
      <c r="AG66" s="192">
        <v>0</v>
      </c>
      <c r="AH66" s="476" t="s">
        <v>386</v>
      </c>
      <c r="AI66" s="476">
        <v>0</v>
      </c>
      <c r="AJ66" s="476"/>
      <c r="AK66" s="476">
        <v>0</v>
      </c>
      <c r="AL66" s="578">
        <f t="shared" si="7"/>
        <v>0</v>
      </c>
      <c r="AM66" s="578">
        <f t="shared" si="3"/>
        <v>0</v>
      </c>
      <c r="AN66" s="578">
        <f t="shared" si="8"/>
        <v>0</v>
      </c>
    </row>
    <row r="67" spans="1:44" x14ac:dyDescent="0.2">
      <c r="A67" s="3" t="s">
        <v>386</v>
      </c>
      <c r="B67" s="278" t="s">
        <v>135</v>
      </c>
      <c r="C67" s="278" t="s">
        <v>242</v>
      </c>
      <c r="D67" s="278"/>
      <c r="E67" s="278" t="s">
        <v>532</v>
      </c>
      <c r="F67" s="278" t="s">
        <v>464</v>
      </c>
      <c r="G67" s="278" t="s">
        <v>165</v>
      </c>
      <c r="H67" s="278"/>
      <c r="I67" s="3" t="s">
        <v>856</v>
      </c>
      <c r="J67" s="3" t="s">
        <v>857</v>
      </c>
      <c r="K67" s="3" t="s">
        <v>386</v>
      </c>
      <c r="L67" s="3" t="s">
        <v>858</v>
      </c>
      <c r="M67" s="475" t="s">
        <v>386</v>
      </c>
      <c r="N67" s="475" t="s">
        <v>386</v>
      </c>
      <c r="O67" s="475" t="s">
        <v>386</v>
      </c>
      <c r="P67" s="475" t="s">
        <v>386</v>
      </c>
      <c r="Q67" s="475" t="s">
        <v>386</v>
      </c>
      <c r="R67" s="475" t="s">
        <v>386</v>
      </c>
      <c r="S67" s="475" t="s">
        <v>386</v>
      </c>
      <c r="T67" s="263" t="s">
        <v>386</v>
      </c>
      <c r="U67" s="269">
        <v>0</v>
      </c>
      <c r="V67" s="270">
        <v>0</v>
      </c>
      <c r="W67" s="270" t="s">
        <v>386</v>
      </c>
      <c r="X67" s="270" t="s">
        <v>386</v>
      </c>
      <c r="Y67" s="476">
        <v>0</v>
      </c>
      <c r="Z67" s="476">
        <v>0</v>
      </c>
      <c r="AA67" s="256">
        <v>0</v>
      </c>
      <c r="AB67" s="3"/>
      <c r="AC67" s="476" t="s">
        <v>386</v>
      </c>
      <c r="AD67" s="476" t="s">
        <v>386</v>
      </c>
      <c r="AE67" s="476" t="s">
        <v>386</v>
      </c>
      <c r="AF67" s="476" t="s">
        <v>386</v>
      </c>
      <c r="AG67" s="192">
        <v>0</v>
      </c>
      <c r="AH67" s="476" t="s">
        <v>386</v>
      </c>
      <c r="AI67" s="476">
        <v>0</v>
      </c>
      <c r="AJ67" s="476"/>
      <c r="AK67" s="476">
        <v>0</v>
      </c>
      <c r="AL67" s="578">
        <f t="shared" si="7"/>
        <v>0</v>
      </c>
      <c r="AM67" s="578">
        <f t="shared" si="3"/>
        <v>0</v>
      </c>
      <c r="AN67" s="578">
        <f t="shared" si="8"/>
        <v>0</v>
      </c>
    </row>
    <row r="68" spans="1:44" x14ac:dyDescent="0.2">
      <c r="A68" s="3" t="s">
        <v>386</v>
      </c>
      <c r="B68" s="278" t="s">
        <v>135</v>
      </c>
      <c r="C68" s="278" t="s">
        <v>242</v>
      </c>
      <c r="D68" s="278"/>
      <c r="E68" s="278" t="s">
        <v>532</v>
      </c>
      <c r="F68" s="278" t="s">
        <v>556</v>
      </c>
      <c r="G68" s="278" t="s">
        <v>167</v>
      </c>
      <c r="H68" s="278"/>
      <c r="I68" s="3" t="s">
        <v>856</v>
      </c>
      <c r="J68" s="3" t="s">
        <v>857</v>
      </c>
      <c r="K68" s="3" t="s">
        <v>386</v>
      </c>
      <c r="L68" s="3" t="s">
        <v>858</v>
      </c>
      <c r="M68" s="475" t="s">
        <v>386</v>
      </c>
      <c r="N68" s="475" t="s">
        <v>386</v>
      </c>
      <c r="O68" s="475" t="s">
        <v>386</v>
      </c>
      <c r="P68" s="475" t="s">
        <v>386</v>
      </c>
      <c r="Q68" s="475" t="s">
        <v>386</v>
      </c>
      <c r="R68" s="475" t="s">
        <v>386</v>
      </c>
      <c r="S68" s="475" t="s">
        <v>386</v>
      </c>
      <c r="T68" s="263" t="s">
        <v>386</v>
      </c>
      <c r="U68" s="269">
        <v>0</v>
      </c>
      <c r="V68" s="270">
        <v>0</v>
      </c>
      <c r="W68" s="270" t="s">
        <v>386</v>
      </c>
      <c r="X68" s="270" t="s">
        <v>386</v>
      </c>
      <c r="Y68" s="476">
        <v>0</v>
      </c>
      <c r="Z68" s="476">
        <v>0</v>
      </c>
      <c r="AA68" s="256">
        <v>0</v>
      </c>
      <c r="AB68" s="3"/>
      <c r="AC68" s="476" t="s">
        <v>386</v>
      </c>
      <c r="AD68" s="476" t="s">
        <v>386</v>
      </c>
      <c r="AE68" s="476" t="s">
        <v>386</v>
      </c>
      <c r="AF68" s="476" t="s">
        <v>386</v>
      </c>
      <c r="AG68" s="192">
        <v>0</v>
      </c>
      <c r="AH68" s="476" t="s">
        <v>386</v>
      </c>
      <c r="AI68" s="476">
        <v>0</v>
      </c>
      <c r="AJ68" s="476"/>
      <c r="AK68" s="476">
        <v>0</v>
      </c>
      <c r="AL68" s="578">
        <f t="shared" si="7"/>
        <v>0</v>
      </c>
      <c r="AM68" s="578">
        <f t="shared" si="3"/>
        <v>0</v>
      </c>
      <c r="AN68" s="578">
        <f t="shared" si="8"/>
        <v>0</v>
      </c>
    </row>
    <row r="69" spans="1:44" x14ac:dyDescent="0.2">
      <c r="A69" s="3" t="s">
        <v>386</v>
      </c>
      <c r="B69" s="278" t="s">
        <v>135</v>
      </c>
      <c r="C69" s="278" t="s">
        <v>242</v>
      </c>
      <c r="D69" s="278"/>
      <c r="E69" s="278" t="s">
        <v>532</v>
      </c>
      <c r="F69" s="278" t="s">
        <v>485</v>
      </c>
      <c r="G69" s="424" t="s">
        <v>167</v>
      </c>
      <c r="H69" s="278"/>
      <c r="I69" s="3" t="s">
        <v>856</v>
      </c>
      <c r="J69" s="3" t="s">
        <v>857</v>
      </c>
      <c r="K69" s="3" t="s">
        <v>386</v>
      </c>
      <c r="L69" s="3" t="s">
        <v>858</v>
      </c>
      <c r="M69" s="475" t="s">
        <v>386</v>
      </c>
      <c r="N69" s="475" t="s">
        <v>386</v>
      </c>
      <c r="O69" s="475" t="s">
        <v>386</v>
      </c>
      <c r="P69" s="475" t="s">
        <v>386</v>
      </c>
      <c r="Q69" s="475" t="s">
        <v>386</v>
      </c>
      <c r="R69" s="475" t="s">
        <v>386</v>
      </c>
      <c r="S69" s="475" t="s">
        <v>386</v>
      </c>
      <c r="T69" s="263" t="s">
        <v>386</v>
      </c>
      <c r="U69" s="269">
        <v>0</v>
      </c>
      <c r="V69" s="270">
        <v>0</v>
      </c>
      <c r="W69" s="270" t="s">
        <v>386</v>
      </c>
      <c r="X69" s="270" t="s">
        <v>386</v>
      </c>
      <c r="Y69" s="476">
        <v>0</v>
      </c>
      <c r="Z69" s="476">
        <v>0</v>
      </c>
      <c r="AA69" s="256">
        <v>0</v>
      </c>
      <c r="AB69" s="3"/>
      <c r="AC69" s="476" t="s">
        <v>386</v>
      </c>
      <c r="AD69" s="476" t="s">
        <v>386</v>
      </c>
      <c r="AE69" s="476" t="s">
        <v>386</v>
      </c>
      <c r="AF69" s="476" t="s">
        <v>386</v>
      </c>
      <c r="AG69" s="192">
        <v>0</v>
      </c>
      <c r="AH69" s="476" t="s">
        <v>386</v>
      </c>
      <c r="AI69" s="476">
        <v>0</v>
      </c>
      <c r="AJ69" s="476"/>
      <c r="AK69" s="476">
        <v>0</v>
      </c>
      <c r="AL69" s="578">
        <f t="shared" si="7"/>
        <v>0</v>
      </c>
      <c r="AM69" s="578">
        <f t="shared" si="3"/>
        <v>0</v>
      </c>
      <c r="AN69" s="578">
        <f t="shared" si="8"/>
        <v>0</v>
      </c>
    </row>
    <row r="70" spans="1:44" x14ac:dyDescent="0.2">
      <c r="A70" s="3" t="s">
        <v>386</v>
      </c>
      <c r="B70" s="278" t="s">
        <v>135</v>
      </c>
      <c r="C70" s="278" t="s">
        <v>242</v>
      </c>
      <c r="D70" s="278"/>
      <c r="E70" s="278" t="s">
        <v>532</v>
      </c>
      <c r="F70" s="278" t="s">
        <v>465</v>
      </c>
      <c r="G70" s="278" t="s">
        <v>173</v>
      </c>
      <c r="H70" s="278"/>
      <c r="I70" s="3" t="s">
        <v>856</v>
      </c>
      <c r="J70" s="3" t="s">
        <v>857</v>
      </c>
      <c r="K70" s="3" t="s">
        <v>386</v>
      </c>
      <c r="L70" s="3" t="s">
        <v>858</v>
      </c>
      <c r="M70" s="475" t="s">
        <v>386</v>
      </c>
      <c r="N70" s="475" t="s">
        <v>386</v>
      </c>
      <c r="O70" s="475" t="s">
        <v>386</v>
      </c>
      <c r="P70" s="475" t="s">
        <v>386</v>
      </c>
      <c r="Q70" s="475" t="s">
        <v>386</v>
      </c>
      <c r="R70" s="475" t="s">
        <v>386</v>
      </c>
      <c r="S70" s="475" t="s">
        <v>386</v>
      </c>
      <c r="T70" s="263" t="s">
        <v>386</v>
      </c>
      <c r="U70" s="269">
        <v>0</v>
      </c>
      <c r="V70" s="270">
        <v>0</v>
      </c>
      <c r="W70" s="270" t="s">
        <v>386</v>
      </c>
      <c r="X70" s="270" t="s">
        <v>386</v>
      </c>
      <c r="Y70" s="476">
        <v>0</v>
      </c>
      <c r="Z70" s="476">
        <v>0</v>
      </c>
      <c r="AA70" s="256">
        <v>0</v>
      </c>
      <c r="AB70" s="3"/>
      <c r="AC70" s="476" t="s">
        <v>386</v>
      </c>
      <c r="AD70" s="476" t="s">
        <v>386</v>
      </c>
      <c r="AE70" s="476" t="s">
        <v>386</v>
      </c>
      <c r="AF70" s="476" t="s">
        <v>386</v>
      </c>
      <c r="AG70" s="192">
        <v>0</v>
      </c>
      <c r="AH70" s="476" t="s">
        <v>386</v>
      </c>
      <c r="AI70" s="476">
        <v>0</v>
      </c>
      <c r="AJ70" s="476"/>
      <c r="AK70" s="476">
        <v>0</v>
      </c>
      <c r="AL70" s="578">
        <f t="shared" si="7"/>
        <v>0</v>
      </c>
      <c r="AM70" s="578">
        <f t="shared" ref="AM70:AM75" si="13">AA70</f>
        <v>0</v>
      </c>
      <c r="AN70" s="578">
        <f t="shared" si="8"/>
        <v>0</v>
      </c>
    </row>
    <row r="71" spans="1:44" x14ac:dyDescent="0.2">
      <c r="A71" s="3" t="s">
        <v>386</v>
      </c>
      <c r="B71" s="278" t="s">
        <v>135</v>
      </c>
      <c r="C71" s="278" t="s">
        <v>242</v>
      </c>
      <c r="D71" s="278"/>
      <c r="E71" s="278" t="s">
        <v>532</v>
      </c>
      <c r="F71" s="278" t="s">
        <v>558</v>
      </c>
      <c r="G71" s="278" t="s">
        <v>173</v>
      </c>
      <c r="H71" s="278"/>
      <c r="I71" s="3" t="s">
        <v>856</v>
      </c>
      <c r="J71" s="3" t="s">
        <v>857</v>
      </c>
      <c r="K71" s="3" t="s">
        <v>386</v>
      </c>
      <c r="L71" s="3" t="s">
        <v>858</v>
      </c>
      <c r="M71" s="475" t="s">
        <v>386</v>
      </c>
      <c r="N71" s="475" t="s">
        <v>386</v>
      </c>
      <c r="O71" s="475" t="s">
        <v>386</v>
      </c>
      <c r="P71" s="475" t="s">
        <v>386</v>
      </c>
      <c r="Q71" s="475" t="s">
        <v>386</v>
      </c>
      <c r="R71" s="475" t="s">
        <v>386</v>
      </c>
      <c r="S71" s="475" t="s">
        <v>386</v>
      </c>
      <c r="T71" s="263" t="s">
        <v>386</v>
      </c>
      <c r="U71" s="269">
        <v>0</v>
      </c>
      <c r="V71" s="270">
        <v>0</v>
      </c>
      <c r="W71" s="270" t="s">
        <v>386</v>
      </c>
      <c r="X71" s="270" t="s">
        <v>386</v>
      </c>
      <c r="Y71" s="476">
        <v>0</v>
      </c>
      <c r="Z71" s="476">
        <v>0</v>
      </c>
      <c r="AA71" s="256">
        <v>0</v>
      </c>
      <c r="AB71" s="3"/>
      <c r="AC71" s="476" t="s">
        <v>386</v>
      </c>
      <c r="AD71" s="476" t="s">
        <v>386</v>
      </c>
      <c r="AE71" s="476" t="s">
        <v>386</v>
      </c>
      <c r="AF71" s="476" t="s">
        <v>386</v>
      </c>
      <c r="AG71" s="192">
        <v>0</v>
      </c>
      <c r="AH71" s="476" t="s">
        <v>386</v>
      </c>
      <c r="AI71" s="476">
        <v>0</v>
      </c>
      <c r="AJ71" s="476"/>
      <c r="AK71" s="476">
        <v>0</v>
      </c>
      <c r="AL71" s="578">
        <f t="shared" si="7"/>
        <v>0</v>
      </c>
      <c r="AM71" s="578">
        <f t="shared" si="13"/>
        <v>0</v>
      </c>
      <c r="AN71" s="578">
        <f t="shared" si="8"/>
        <v>0</v>
      </c>
    </row>
    <row r="72" spans="1:44" x14ac:dyDescent="0.2">
      <c r="A72" s="311"/>
      <c r="B72" s="380"/>
      <c r="C72" s="380"/>
      <c r="D72" s="380"/>
      <c r="E72" s="380"/>
      <c r="F72" s="380"/>
      <c r="G72" s="380"/>
      <c r="H72" s="380"/>
      <c r="I72" s="311"/>
      <c r="J72" s="311"/>
      <c r="K72" s="311"/>
      <c r="L72" s="313"/>
      <c r="M72" s="311"/>
      <c r="N72" s="311"/>
      <c r="O72" s="311"/>
      <c r="P72" s="381"/>
      <c r="Q72" s="311"/>
      <c r="R72" s="311"/>
      <c r="S72" s="311"/>
      <c r="T72" s="263"/>
      <c r="U72" s="269">
        <v>0</v>
      </c>
      <c r="V72" s="270">
        <v>0</v>
      </c>
      <c r="W72" s="270" t="s">
        <v>386</v>
      </c>
      <c r="X72" s="270" t="s">
        <v>386</v>
      </c>
      <c r="Y72" s="381"/>
      <c r="Z72" s="381"/>
      <c r="AA72" s="256">
        <v>0</v>
      </c>
      <c r="AB72" s="311"/>
      <c r="AC72" s="381" t="s">
        <v>386</v>
      </c>
      <c r="AD72" s="381" t="s">
        <v>386</v>
      </c>
      <c r="AE72" s="381" t="s">
        <v>386</v>
      </c>
      <c r="AF72" s="381" t="s">
        <v>386</v>
      </c>
      <c r="AG72" s="391"/>
      <c r="AH72" s="381"/>
      <c r="AI72" s="381"/>
      <c r="AJ72" s="381"/>
      <c r="AK72" s="381"/>
      <c r="AL72" s="256">
        <f t="shared" ref="AL72" si="14">SUM(AC72:AK72)</f>
        <v>0</v>
      </c>
      <c r="AM72" s="256">
        <f t="shared" si="13"/>
        <v>0</v>
      </c>
      <c r="AN72" s="256">
        <f t="shared" ref="AN72" si="15">SUM(AL72:AM72)</f>
        <v>0</v>
      </c>
      <c r="AO72" s="3"/>
      <c r="AP72" s="3"/>
      <c r="AQ72" s="3"/>
      <c r="AR72" s="3"/>
    </row>
    <row r="73" spans="1:44" x14ac:dyDescent="0.2">
      <c r="A73" s="474" t="s">
        <v>924</v>
      </c>
      <c r="B73" s="425">
        <v>100</v>
      </c>
      <c r="C73" s="425" t="s">
        <v>145</v>
      </c>
      <c r="D73" s="425"/>
      <c r="E73" s="425">
        <v>100</v>
      </c>
      <c r="F73" s="425">
        <v>1000</v>
      </c>
      <c r="G73" s="425" t="s">
        <v>161</v>
      </c>
      <c r="H73" s="425"/>
      <c r="I73" s="474" t="s">
        <v>925</v>
      </c>
      <c r="J73" s="474"/>
      <c r="K73" s="474"/>
      <c r="L73" s="474" t="s">
        <v>925</v>
      </c>
      <c r="M73" s="474" t="s">
        <v>386</v>
      </c>
      <c r="N73" s="474" t="s">
        <v>386</v>
      </c>
      <c r="O73" s="474" t="s">
        <v>386</v>
      </c>
      <c r="P73" s="474" t="s">
        <v>7</v>
      </c>
      <c r="Q73" s="474" t="s">
        <v>386</v>
      </c>
      <c r="R73" s="474" t="s">
        <v>386</v>
      </c>
      <c r="S73" s="474" t="s">
        <v>386</v>
      </c>
      <c r="T73" s="263" t="s">
        <v>386</v>
      </c>
      <c r="U73" s="269">
        <v>0</v>
      </c>
      <c r="V73" s="270">
        <v>14000</v>
      </c>
      <c r="W73" s="270" t="s">
        <v>386</v>
      </c>
      <c r="X73" s="270">
        <v>14000</v>
      </c>
      <c r="Y73" s="62">
        <v>0</v>
      </c>
      <c r="Z73" s="62">
        <v>0</v>
      </c>
      <c r="AA73" s="256">
        <v>14000</v>
      </c>
      <c r="AB73" s="3"/>
      <c r="AC73" s="476"/>
      <c r="AD73" s="476"/>
      <c r="AE73" s="476"/>
      <c r="AF73" s="62">
        <v>203</v>
      </c>
      <c r="AG73" s="192">
        <v>0</v>
      </c>
      <c r="AH73" s="62">
        <v>127.43270549677457</v>
      </c>
      <c r="AI73" s="62">
        <v>41.232781935309148</v>
      </c>
      <c r="AJ73" s="476"/>
      <c r="AK73" s="476">
        <v>0</v>
      </c>
      <c r="AL73" s="578">
        <f t="shared" ref="AL73:AL75" si="16">SUM(AC73:AK73)</f>
        <v>371.66548743208375</v>
      </c>
      <c r="AM73" s="578">
        <f t="shared" si="13"/>
        <v>14000</v>
      </c>
      <c r="AN73" s="578">
        <f t="shared" ref="AN73:AN75" si="17">SUM(AL73:AM73)</f>
        <v>14371.665487432083</v>
      </c>
    </row>
    <row r="74" spans="1:44" x14ac:dyDescent="0.2">
      <c r="A74" s="474" t="s">
        <v>924</v>
      </c>
      <c r="B74" s="425">
        <v>100</v>
      </c>
      <c r="C74" s="425" t="s">
        <v>145</v>
      </c>
      <c r="D74" s="425"/>
      <c r="E74" s="425">
        <v>100</v>
      </c>
      <c r="F74" s="425">
        <v>1000</v>
      </c>
      <c r="G74" s="425" t="s">
        <v>161</v>
      </c>
      <c r="H74" s="425"/>
      <c r="I74" s="474" t="s">
        <v>925</v>
      </c>
      <c r="J74" s="474"/>
      <c r="K74" s="474"/>
      <c r="L74" s="474" t="s">
        <v>925</v>
      </c>
      <c r="M74" s="474" t="s">
        <v>386</v>
      </c>
      <c r="N74" s="474" t="s">
        <v>386</v>
      </c>
      <c r="O74" s="474" t="s">
        <v>386</v>
      </c>
      <c r="P74" s="474" t="s">
        <v>7</v>
      </c>
      <c r="Q74" s="474" t="s">
        <v>386</v>
      </c>
      <c r="R74" s="474" t="s">
        <v>386</v>
      </c>
      <c r="S74" s="474" t="s">
        <v>386</v>
      </c>
      <c r="T74" s="263"/>
      <c r="U74" s="269">
        <v>0</v>
      </c>
      <c r="V74" s="270">
        <v>63900</v>
      </c>
      <c r="W74" s="270" t="s">
        <v>386</v>
      </c>
      <c r="X74" s="270">
        <v>63900</v>
      </c>
      <c r="Y74" s="62"/>
      <c r="Z74" s="62"/>
      <c r="AA74" s="256">
        <v>63900</v>
      </c>
      <c r="AB74" s="3"/>
      <c r="AC74" s="476"/>
      <c r="AD74" s="476"/>
      <c r="AE74" s="476"/>
      <c r="AF74" s="62">
        <v>926.55000000000007</v>
      </c>
      <c r="AG74" s="192">
        <v>0</v>
      </c>
      <c r="AH74" s="62">
        <v>581.63927723170684</v>
      </c>
      <c r="AI74" s="62">
        <v>188.19819754758961</v>
      </c>
      <c r="AJ74" s="476"/>
      <c r="AK74" s="476">
        <v>0</v>
      </c>
      <c r="AL74" s="578">
        <f t="shared" si="16"/>
        <v>1696.3874747792966</v>
      </c>
      <c r="AM74" s="578">
        <f t="shared" si="13"/>
        <v>63900</v>
      </c>
      <c r="AN74" s="578">
        <f t="shared" si="17"/>
        <v>65596.387474779302</v>
      </c>
    </row>
    <row r="75" spans="1:44" x14ac:dyDescent="0.2">
      <c r="A75" s="474" t="s">
        <v>924</v>
      </c>
      <c r="B75" s="425">
        <v>100</v>
      </c>
      <c r="C75" s="425" t="s">
        <v>145</v>
      </c>
      <c r="D75" s="425"/>
      <c r="E75" s="425">
        <v>100</v>
      </c>
      <c r="F75" s="425">
        <v>1000</v>
      </c>
      <c r="G75" s="425" t="s">
        <v>161</v>
      </c>
      <c r="H75" s="425"/>
      <c r="I75" s="474" t="s">
        <v>925</v>
      </c>
      <c r="J75" s="474"/>
      <c r="K75" s="474"/>
      <c r="L75" s="474" t="s">
        <v>925</v>
      </c>
      <c r="M75" s="474" t="s">
        <v>386</v>
      </c>
      <c r="N75" s="474" t="s">
        <v>386</v>
      </c>
      <c r="O75" s="474" t="s">
        <v>386</v>
      </c>
      <c r="P75" s="474" t="s">
        <v>7</v>
      </c>
      <c r="Q75" s="474" t="s">
        <v>386</v>
      </c>
      <c r="R75" s="474" t="s">
        <v>386</v>
      </c>
      <c r="S75" s="474" t="s">
        <v>386</v>
      </c>
      <c r="T75" s="263"/>
      <c r="U75" s="269">
        <v>0</v>
      </c>
      <c r="V75" s="270">
        <v>2500</v>
      </c>
      <c r="W75" s="270"/>
      <c r="X75" s="270">
        <v>2500</v>
      </c>
      <c r="Y75" s="62"/>
      <c r="Z75" s="62"/>
      <c r="AA75" s="256">
        <v>2500</v>
      </c>
      <c r="AB75" s="3"/>
      <c r="AC75" s="476"/>
      <c r="AD75" s="476"/>
      <c r="AE75" s="476"/>
      <c r="AF75" s="62">
        <v>36.25</v>
      </c>
      <c r="AG75" s="192">
        <v>0</v>
      </c>
      <c r="AH75" s="62">
        <v>22.755840267281172</v>
      </c>
      <c r="AI75" s="62">
        <v>7.3629967741623483</v>
      </c>
      <c r="AJ75" s="476"/>
      <c r="AK75" s="476">
        <v>0</v>
      </c>
      <c r="AL75" s="578">
        <f t="shared" si="16"/>
        <v>66.368837041443527</v>
      </c>
      <c r="AM75" s="578">
        <f t="shared" si="13"/>
        <v>2500</v>
      </c>
      <c r="AN75" s="578">
        <f t="shared" si="17"/>
        <v>2566.3688370414434</v>
      </c>
    </row>
    <row r="76" spans="1:44" x14ac:dyDescent="0.2">
      <c r="A76" s="264" t="s">
        <v>386</v>
      </c>
      <c r="B76" s="350" t="s">
        <v>386</v>
      </c>
      <c r="C76" s="350" t="s">
        <v>386</v>
      </c>
      <c r="D76" s="350"/>
      <c r="E76" s="350" t="s">
        <v>386</v>
      </c>
      <c r="F76" s="350" t="s">
        <v>386</v>
      </c>
      <c r="G76" s="350" t="s">
        <v>386</v>
      </c>
      <c r="H76" s="350"/>
      <c r="I76" s="264" t="s">
        <v>386</v>
      </c>
      <c r="J76" s="264" t="s">
        <v>386</v>
      </c>
      <c r="K76" s="264" t="s">
        <v>386</v>
      </c>
      <c r="L76" s="264" t="s">
        <v>386</v>
      </c>
      <c r="M76" s="267" t="s">
        <v>386</v>
      </c>
      <c r="N76" s="264" t="s">
        <v>386</v>
      </c>
      <c r="O76" s="264" t="s">
        <v>386</v>
      </c>
      <c r="P76" s="264" t="s">
        <v>386</v>
      </c>
      <c r="Q76" s="264" t="s">
        <v>386</v>
      </c>
      <c r="R76" s="264" t="s">
        <v>386</v>
      </c>
      <c r="S76" s="264" t="s">
        <v>386</v>
      </c>
      <c r="T76" s="263" t="str">
        <f t="shared" ref="T76" si="18">+IF(R76="","",R76*S76)</f>
        <v/>
      </c>
      <c r="U76" s="269"/>
      <c r="V76" s="270" t="str">
        <f t="shared" ref="V76" si="19">IF($U76="","",$U76*(1+$V$1))</f>
        <v/>
      </c>
      <c r="W76" s="270" t="str">
        <f t="shared" ref="W76" si="20">+IF(P76="EE",+V76*$W$1,"")</f>
        <v/>
      </c>
      <c r="X76" s="270" t="str">
        <f t="shared" ref="X76" si="21">_xlfn.IFS(P76="ER",V76,P76="EE",W76,P76="N",V76,P76="","")</f>
        <v/>
      </c>
      <c r="Y76" s="62">
        <v>0</v>
      </c>
      <c r="Z76" s="62">
        <v>0</v>
      </c>
      <c r="AA76" s="256">
        <f t="shared" ref="AA76" si="22">SUM(X76:Z76)</f>
        <v>0</v>
      </c>
      <c r="AB76" s="3"/>
      <c r="AC76" s="62" t="s">
        <v>386</v>
      </c>
      <c r="AD76" s="62" t="str">
        <f t="shared" ref="AD76" si="23">_xlfn.IFS(P76="N",$AD$1*AA76,P76="EE","",P76="ER","",P76="","")</f>
        <v/>
      </c>
      <c r="AE76" s="62" t="str">
        <f t="shared" ref="AE76" si="24">_xlfn.IFS(P76="EE",X76*$AE$1,P76="ER",X76*$AE$2,P76="N","",P76="","")</f>
        <v/>
      </c>
      <c r="AF76" s="62" t="str">
        <f t="shared" ref="AF76" si="25">+IF(AA76&gt;1,AA76*$AF$1,"")</f>
        <v/>
      </c>
      <c r="AG76" s="192">
        <v>0</v>
      </c>
      <c r="AH76" s="62" t="str">
        <f t="shared" ref="AH76" si="26">+IF(AA76&gt;1,AA76*$AH$1,"")</f>
        <v/>
      </c>
      <c r="AI76" s="62">
        <f t="shared" ref="AI76" si="27">+_xlfn.IFS(F76&lt;2300,(AA76*$AI$1),F76&gt;=2300,(AA76*$AI$2),F76="","")</f>
        <v>0</v>
      </c>
      <c r="AJ76" s="62"/>
      <c r="AK76" s="62">
        <v>0</v>
      </c>
      <c r="AL76" s="256">
        <f t="shared" ref="AL76" si="28">SUM(AC76:AK76)</f>
        <v>0</v>
      </c>
      <c r="AM76" s="256">
        <f t="shared" ref="AM76" si="29">AA76</f>
        <v>0</v>
      </c>
      <c r="AN76" s="256">
        <f t="shared" ref="AN76" si="30">SUM(AL76:AM76)</f>
        <v>0</v>
      </c>
    </row>
    <row r="77" spans="1:44" ht="13.5" thickBot="1" x14ac:dyDescent="0.25">
      <c r="A77" s="259"/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61">
        <f>SUM(M6:M76)</f>
        <v>45</v>
      </c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8">
        <f>SUM(Y6:Y76)</f>
        <v>0</v>
      </c>
      <c r="Z77" s="258">
        <f>SUM(Z6:Z76)</f>
        <v>0</v>
      </c>
      <c r="AA77" s="258">
        <f>SUM(AA6:AA76)</f>
        <v>2737592.1396940001</v>
      </c>
      <c r="AB77" s="5"/>
      <c r="AC77" s="257">
        <f t="shared" ref="AC77:AN77" si="31">SUM(AC6:AC76)</f>
        <v>373356.72000000026</v>
      </c>
      <c r="AD77" s="257">
        <f t="shared" si="31"/>
        <v>0</v>
      </c>
      <c r="AE77" s="257">
        <f t="shared" si="31"/>
        <v>724973.10292756977</v>
      </c>
      <c r="AF77" s="257">
        <f t="shared" si="31"/>
        <v>39695.086025562996</v>
      </c>
      <c r="AG77" s="257">
        <f t="shared" si="31"/>
        <v>0</v>
      </c>
      <c r="AH77" s="257">
        <f t="shared" si="31"/>
        <v>24918.483779136448</v>
      </c>
      <c r="AI77" s="257">
        <f t="shared" si="31"/>
        <v>7869.25622738937</v>
      </c>
      <c r="AJ77" s="257">
        <f t="shared" si="31"/>
        <v>0</v>
      </c>
      <c r="AK77" s="257">
        <f t="shared" si="31"/>
        <v>0</v>
      </c>
      <c r="AL77" s="257">
        <f t="shared" si="31"/>
        <v>1170812.6489596588</v>
      </c>
      <c r="AM77" s="257">
        <f t="shared" si="31"/>
        <v>2737592.1396940001</v>
      </c>
      <c r="AN77" s="257">
        <f t="shared" si="31"/>
        <v>3908404.7886536596</v>
      </c>
    </row>
    <row r="78" spans="1:44" ht="13.5" thickTop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62"/>
      <c r="AN78" s="3"/>
    </row>
    <row r="79" spans="1:44" ht="13.5" thickBot="1" x14ac:dyDescent="0.25">
      <c r="A79" s="259"/>
      <c r="B79" s="259"/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62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5"/>
      <c r="Z79" s="5"/>
      <c r="AA79" s="258">
        <f>SUBTOTAL(9,AA6:AA76)</f>
        <v>2737592.1396940001</v>
      </c>
      <c r="AB79" s="258"/>
      <c r="AC79" s="258">
        <f t="shared" ref="AC79:AN79" si="32">SUBTOTAL(9,AC6:AC76)</f>
        <v>373356.72000000026</v>
      </c>
      <c r="AD79" s="258">
        <f t="shared" si="32"/>
        <v>0</v>
      </c>
      <c r="AE79" s="258">
        <f t="shared" si="32"/>
        <v>724973.10292756977</v>
      </c>
      <c r="AF79" s="258">
        <f t="shared" si="32"/>
        <v>39695.086025562996</v>
      </c>
      <c r="AG79" s="258">
        <f t="shared" si="32"/>
        <v>0</v>
      </c>
      <c r="AH79" s="258">
        <f t="shared" si="32"/>
        <v>24918.483779136448</v>
      </c>
      <c r="AI79" s="258">
        <f t="shared" si="32"/>
        <v>7869.25622738937</v>
      </c>
      <c r="AJ79" s="258">
        <f t="shared" si="32"/>
        <v>0</v>
      </c>
      <c r="AK79" s="258">
        <f t="shared" si="32"/>
        <v>0</v>
      </c>
      <c r="AL79" s="258">
        <f t="shared" si="32"/>
        <v>1170812.6489596588</v>
      </c>
      <c r="AM79" s="258">
        <f t="shared" si="32"/>
        <v>2737592.1396940001</v>
      </c>
      <c r="AN79" s="258">
        <f t="shared" si="32"/>
        <v>3908404.7886536596</v>
      </c>
    </row>
    <row r="80" spans="1:44" ht="13.5" thickTop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55"/>
      <c r="AM82" s="355"/>
      <c r="AN82" s="3"/>
    </row>
    <row r="83" spans="1:40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55"/>
      <c r="AN83" s="3"/>
    </row>
    <row r="84" spans="1:40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</sheetData>
  <autoFilter ref="B3:H76" xr:uid="{5D3DA323-200D-4BA4-9B17-DCFC3248C857}"/>
  <mergeCells count="1">
    <mergeCell ref="P1:P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F2766-5D1D-478D-B533-CA37A277F5E8}">
  <sheetPr codeName="Sheet16"/>
  <dimension ref="A1:WWF144"/>
  <sheetViews>
    <sheetView topLeftCell="A78" zoomScale="90" zoomScaleNormal="90" workbookViewId="0">
      <selection activeCell="AC159" sqref="AC159"/>
    </sheetView>
  </sheetViews>
  <sheetFormatPr defaultColWidth="9.140625" defaultRowHeight="12.75" outlineLevelRow="1" x14ac:dyDescent="0.2"/>
  <cols>
    <col min="1" max="3" width="9.140625" style="3"/>
    <col min="4" max="4" width="1.7109375" style="3" customWidth="1"/>
    <col min="5" max="7" width="9.140625" style="3"/>
    <col min="8" max="8" width="5.28515625" style="3" bestFit="1" customWidth="1"/>
    <col min="9" max="12" width="9.140625" style="3" hidden="1" customWidth="1"/>
    <col min="13" max="13" width="3.5703125" style="3" bestFit="1" customWidth="1"/>
    <col min="14" max="26" width="0" style="3" hidden="1" customWidth="1"/>
    <col min="27" max="27" width="12.42578125" style="3" bestFit="1" customWidth="1"/>
    <col min="28" max="28" width="1.7109375" style="3" customWidth="1"/>
    <col min="29" max="29" width="11" style="3" bestFit="1" customWidth="1"/>
    <col min="30" max="30" width="9" style="3" bestFit="1" customWidth="1"/>
    <col min="31" max="31" width="11" style="3" bestFit="1" customWidth="1"/>
    <col min="32" max="32" width="10" style="3" bestFit="1" customWidth="1"/>
    <col min="33" max="33" width="9.28515625" style="3" bestFit="1" customWidth="1"/>
    <col min="34" max="34" width="13.28515625" style="3" bestFit="1" customWidth="1"/>
    <col min="35" max="35" width="13.5703125" style="3" bestFit="1" customWidth="1"/>
    <col min="36" max="36" width="7.85546875" style="3" bestFit="1" customWidth="1"/>
    <col min="37" max="37" width="7.28515625" style="3" bestFit="1" customWidth="1"/>
    <col min="38" max="38" width="12.42578125" style="3" bestFit="1" customWidth="1"/>
    <col min="39" max="40" width="12.5703125" style="3" bestFit="1" customWidth="1"/>
    <col min="41" max="16384" width="9.140625" style="3"/>
  </cols>
  <sheetData>
    <row r="1" spans="1:16152" s="233" customFormat="1" x14ac:dyDescent="0.2">
      <c r="A1" s="652" t="str">
        <f>'# of Students'!A1</f>
        <v>Beacon Academy of Nevada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947" t="s">
        <v>339</v>
      </c>
      <c r="Q1" s="653"/>
      <c r="R1" s="653"/>
      <c r="S1" s="654"/>
      <c r="T1" s="654"/>
      <c r="U1" s="654"/>
      <c r="V1" s="655"/>
      <c r="W1" s="656">
        <v>1.153586</v>
      </c>
      <c r="X1" s="654"/>
      <c r="Y1" s="654"/>
      <c r="Z1" s="654"/>
      <c r="AA1" s="654"/>
      <c r="AB1" s="654"/>
      <c r="AC1" s="657">
        <f>IF('Employee Detail FY21'!AC1="","",'Employee Detail FY21'!AC1)</f>
        <v>7943.76</v>
      </c>
      <c r="AD1" s="658">
        <v>6.2E-2</v>
      </c>
      <c r="AE1" s="658">
        <v>0.155</v>
      </c>
      <c r="AF1" s="658">
        <v>1.4500000000000001E-2</v>
      </c>
      <c r="AG1" s="654"/>
      <c r="AH1" s="659">
        <f>'Employee Detail FY21'!AH1</f>
        <v>9.1023361069124693E-3</v>
      </c>
      <c r="AI1" s="659">
        <v>2.0209115643897075E-3</v>
      </c>
      <c r="AJ1" s="654"/>
      <c r="AK1" s="654"/>
      <c r="AL1" s="654"/>
      <c r="AM1" s="654"/>
      <c r="AN1" s="654"/>
    </row>
    <row r="2" spans="1:16152" s="233" customFormat="1" x14ac:dyDescent="0.2">
      <c r="A2" s="660" t="s">
        <v>315</v>
      </c>
      <c r="B2" s="661"/>
      <c r="C2" s="661" t="str">
        <f>'# of Students'!D6</f>
        <v>FY2223</v>
      </c>
      <c r="D2" s="661"/>
      <c r="E2" s="653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947"/>
      <c r="Q2" s="661"/>
      <c r="R2" s="661"/>
      <c r="S2" s="654"/>
      <c r="T2" s="654"/>
      <c r="U2" s="654"/>
      <c r="V2" s="654"/>
      <c r="W2" s="654"/>
      <c r="X2" s="654"/>
      <c r="Y2" s="654"/>
      <c r="Z2" s="654"/>
      <c r="AA2" s="654"/>
      <c r="AB2" s="654"/>
      <c r="AC2" s="654"/>
      <c r="AD2" s="654"/>
      <c r="AE2" s="658">
        <v>0.29749999999999999</v>
      </c>
      <c r="AF2" s="654"/>
      <c r="AG2" s="654"/>
      <c r="AH2" s="654"/>
      <c r="AI2" s="659">
        <v>2.0209115643897075E-3</v>
      </c>
      <c r="AJ2" s="654"/>
      <c r="AK2" s="654"/>
      <c r="AL2" s="654"/>
      <c r="AM2" s="654"/>
      <c r="AN2" s="654"/>
    </row>
    <row r="3" spans="1:16152" s="243" customFormat="1" ht="57.75" customHeight="1" x14ac:dyDescent="0.2">
      <c r="A3" s="662"/>
      <c r="B3" s="663" t="s">
        <v>117</v>
      </c>
      <c r="C3" s="663" t="s">
        <v>316</v>
      </c>
      <c r="D3" s="663"/>
      <c r="E3" s="663" t="s">
        <v>119</v>
      </c>
      <c r="F3" s="663" t="s">
        <v>120</v>
      </c>
      <c r="G3" s="663" t="s">
        <v>121</v>
      </c>
      <c r="H3" s="663" t="s">
        <v>373</v>
      </c>
      <c r="I3" s="664" t="s">
        <v>317</v>
      </c>
      <c r="J3" s="664" t="s">
        <v>318</v>
      </c>
      <c r="K3" s="664" t="s">
        <v>319</v>
      </c>
      <c r="L3" s="664" t="s">
        <v>320</v>
      </c>
      <c r="M3" s="665" t="s">
        <v>321</v>
      </c>
      <c r="N3" s="666" t="s">
        <v>322</v>
      </c>
      <c r="O3" s="666" t="s">
        <v>323</v>
      </c>
      <c r="P3" s="947"/>
      <c r="Q3" s="665" t="s">
        <v>324</v>
      </c>
      <c r="R3" s="665" t="s">
        <v>325</v>
      </c>
      <c r="S3" s="665" t="s">
        <v>326</v>
      </c>
      <c r="T3" s="665" t="s">
        <v>337</v>
      </c>
      <c r="U3" s="667" t="s">
        <v>327</v>
      </c>
      <c r="V3" s="667" t="s">
        <v>328</v>
      </c>
      <c r="W3" s="667" t="s">
        <v>338</v>
      </c>
      <c r="X3" s="667" t="s">
        <v>329</v>
      </c>
      <c r="Y3" s="667" t="s">
        <v>330</v>
      </c>
      <c r="Z3" s="668" t="s">
        <v>331</v>
      </c>
      <c r="AA3" s="668" t="s">
        <v>332</v>
      </c>
      <c r="AB3" s="669"/>
      <c r="AC3" s="668" t="s">
        <v>333</v>
      </c>
      <c r="AD3" s="668" t="s">
        <v>179</v>
      </c>
      <c r="AE3" s="668" t="s">
        <v>181</v>
      </c>
      <c r="AF3" s="668" t="s">
        <v>183</v>
      </c>
      <c r="AG3" s="668" t="s">
        <v>334</v>
      </c>
      <c r="AH3" s="668" t="s">
        <v>187</v>
      </c>
      <c r="AI3" s="668" t="s">
        <v>189</v>
      </c>
      <c r="AJ3" s="668" t="s">
        <v>335</v>
      </c>
      <c r="AK3" s="668" t="s">
        <v>193</v>
      </c>
      <c r="AL3" s="668" t="s">
        <v>195</v>
      </c>
      <c r="AM3" s="668" t="s">
        <v>332</v>
      </c>
      <c r="AN3" s="668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x14ac:dyDescent="0.2">
      <c r="A4" s="670"/>
      <c r="B4" s="671"/>
      <c r="C4" s="671"/>
      <c r="D4" s="671"/>
      <c r="E4" s="671"/>
      <c r="F4" s="671"/>
      <c r="G4" s="671"/>
      <c r="H4" s="671"/>
      <c r="I4" s="672"/>
      <c r="J4" s="672"/>
      <c r="K4" s="672"/>
      <c r="L4" s="672"/>
      <c r="M4" s="673"/>
      <c r="N4" s="674"/>
      <c r="O4" s="674"/>
      <c r="P4" s="673"/>
      <c r="Q4" s="671"/>
      <c r="R4" s="673"/>
      <c r="S4" s="673"/>
      <c r="T4" s="673"/>
      <c r="U4" s="675"/>
      <c r="V4" s="675"/>
      <c r="W4" s="675" t="s">
        <v>340</v>
      </c>
      <c r="X4" s="675"/>
      <c r="Y4" s="675">
        <v>150</v>
      </c>
      <c r="Z4" s="675">
        <v>160</v>
      </c>
      <c r="AA4" s="676"/>
      <c r="AB4" s="676"/>
      <c r="AC4" s="675">
        <v>210</v>
      </c>
      <c r="AD4" s="675">
        <v>220</v>
      </c>
      <c r="AE4" s="675">
        <v>230</v>
      </c>
      <c r="AF4" s="675">
        <v>240</v>
      </c>
      <c r="AG4" s="675">
        <v>250</v>
      </c>
      <c r="AH4" s="675">
        <v>260</v>
      </c>
      <c r="AI4" s="675">
        <v>270</v>
      </c>
      <c r="AJ4" s="675">
        <v>280</v>
      </c>
      <c r="AK4" s="675">
        <v>290</v>
      </c>
      <c r="AL4" s="675"/>
      <c r="AM4" s="675"/>
      <c r="AN4" s="675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x14ac:dyDescent="0.2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54"/>
      <c r="AI5" s="654"/>
      <c r="AJ5" s="654"/>
      <c r="AK5" s="654"/>
      <c r="AL5" s="654"/>
      <c r="AM5" s="654"/>
      <c r="AN5" s="654"/>
    </row>
    <row r="6" spans="1:16152" x14ac:dyDescent="0.2">
      <c r="A6" s="264" t="str">
        <f>IF('Employee Detail FY21'!A6="","",'Employee Detail FY21'!A6)</f>
        <v/>
      </c>
      <c r="B6" s="646" t="str">
        <f>IF('Employee Detail FY21'!B6="","",'Employee Detail FY21'!B6)</f>
        <v/>
      </c>
      <c r="C6" s="646" t="str">
        <f>IF('Employee Detail FY21'!C6="","",'Employee Detail FY21'!C6)</f>
        <v/>
      </c>
      <c r="D6" s="646"/>
      <c r="E6" s="646" t="str">
        <f>IF('Employee Detail FY21'!E6="","",'Employee Detail FY21'!E6)</f>
        <v/>
      </c>
      <c r="F6" s="646" t="str">
        <f>IF('Employee Detail FY21'!F6="","",'Employee Detail FY21'!F6)</f>
        <v/>
      </c>
      <c r="G6" s="646" t="str">
        <f>IF('Employee Detail FY21'!G6="","",'Employee Detail FY21'!G6)</f>
        <v/>
      </c>
      <c r="H6" s="646"/>
      <c r="I6" s="264" t="str">
        <f>IF('Employee Detail FY21'!I6="","",'Employee Detail FY21'!I6)</f>
        <v/>
      </c>
      <c r="J6" s="264" t="str">
        <f>IF('Employee Detail FY21'!J6="","",'Employee Detail FY21'!J6)</f>
        <v/>
      </c>
      <c r="K6" s="264" t="str">
        <f>IF('Employee Detail FY21'!K6="","",'Employee Detail FY21'!K6)</f>
        <v/>
      </c>
      <c r="L6" s="264" t="str">
        <f>IF('Employee Detail FY21'!L6="","",'Employee Detail FY21'!L6)</f>
        <v/>
      </c>
      <c r="M6" s="267" t="str">
        <f>IF('Employee Detail FY21'!M6="","",'Employee Detail FY21'!M6)</f>
        <v/>
      </c>
      <c r="N6" s="264" t="str">
        <f>IF('Employee Detail FY21'!N6="","",'Employee Detail FY21'!N6)</f>
        <v/>
      </c>
      <c r="O6" s="264" t="str">
        <f>IF('Employee Detail FY21'!O6="","",'Employee Detail FY21'!O6)</f>
        <v/>
      </c>
      <c r="P6" s="264" t="str">
        <f>IF('Employee Detail FY21'!P6="","",'Employee Detail FY21'!P6)</f>
        <v/>
      </c>
      <c r="Q6" s="264" t="str">
        <f>IF('Employee Detail FY21'!Q6="","",'Employee Detail FY21'!Q6)</f>
        <v/>
      </c>
      <c r="R6" s="264" t="str">
        <f>IF('Employee Detail FY21'!R6="","",'Employee Detail FY21'!R6)</f>
        <v/>
      </c>
      <c r="S6" s="264" t="str">
        <f>IF('Employee Detail FY21'!S6="","",'Employee Detail FY21'!S6)</f>
        <v/>
      </c>
      <c r="T6" s="263" t="str">
        <f>+IF(R6="","",R6*S6)</f>
        <v/>
      </c>
      <c r="U6" s="269" t="str">
        <f>IF('Employee Detail FY21'!U6="","",'Employee Detail FY21'!U6)</f>
        <v/>
      </c>
      <c r="V6" s="270" t="str">
        <f>IF($U6="","",$U6*(1+$V$1))</f>
        <v/>
      </c>
      <c r="W6" s="270" t="str">
        <f t="shared" ref="W6" si="0">+IF(P6="EE",+V6*$W$1,"")</f>
        <v/>
      </c>
      <c r="X6" s="270" t="str">
        <f t="shared" ref="X6" si="1">_xlfn.IFS(P6="ER",V6,P6="EE",W6,P6="N",V6,P6="","")</f>
        <v/>
      </c>
      <c r="Y6" s="62">
        <v>0</v>
      </c>
      <c r="Z6" s="62">
        <v>0</v>
      </c>
      <c r="AA6" s="256">
        <f t="shared" ref="AA6" si="2">SUM(X6:Z6)</f>
        <v>0</v>
      </c>
      <c r="AC6" s="62" t="str">
        <f>IF('Employee Detail FY21'!AC6="","",'Employee Detail FY21'!AC6)</f>
        <v/>
      </c>
      <c r="AD6" s="62" t="str">
        <f t="shared" ref="AD6" si="3">_xlfn.IFS(P6="N",$AD$1*AA6,P6="EE","",P6="ER","",P6="","")</f>
        <v/>
      </c>
      <c r="AE6" s="62" t="str">
        <f t="shared" ref="AE6" si="4">_xlfn.IFS(P6="EE",X6*$AE$1,P6="ER",X6*$AE$2,P6="N","",P6="","")</f>
        <v/>
      </c>
      <c r="AF6" s="62" t="str">
        <f t="shared" ref="AF6" si="5">+IF(AA6&gt;1,AA6*$AF$1,"")</f>
        <v/>
      </c>
      <c r="AG6" s="192">
        <v>0</v>
      </c>
      <c r="AH6" s="62" t="str">
        <f t="shared" ref="AH6" si="6">+IF(AA6&gt;1,AA6*$AH$1,"")</f>
        <v/>
      </c>
      <c r="AI6" s="62">
        <f t="shared" ref="AI6" si="7">+_xlfn.IFS(F6&lt;2300,(AA6*$AI$1),F6&gt;=2300,(AA6*$AI$2),F6="","")</f>
        <v>0</v>
      </c>
      <c r="AJ6" s="62"/>
      <c r="AK6" s="62">
        <v>0</v>
      </c>
      <c r="AL6" s="256">
        <f t="shared" ref="AL6" si="8">SUM(AC6:AK6)</f>
        <v>0</v>
      </c>
      <c r="AM6" s="256">
        <f t="shared" ref="AM6" si="9">AA6</f>
        <v>0</v>
      </c>
      <c r="AN6" s="256">
        <f t="shared" ref="AN6" si="10">SUM(AL6:AM6)</f>
        <v>0</v>
      </c>
    </row>
    <row r="7" spans="1:16152" outlineLevel="1" x14ac:dyDescent="0.2">
      <c r="B7" s="647" t="s">
        <v>468</v>
      </c>
      <c r="C7" s="647" t="s">
        <v>145</v>
      </c>
      <c r="D7" s="647"/>
      <c r="E7" s="647" t="s">
        <v>468</v>
      </c>
      <c r="F7" s="647">
        <v>1000</v>
      </c>
      <c r="G7" s="647" t="s">
        <v>161</v>
      </c>
      <c r="H7" s="647"/>
      <c r="AA7" s="256">
        <f>SUMIFS('Employee Detail FY22'!$AA$6:$AA$132,'Employee Detail FY22'!$B$6:$B$132,$B7,'Employee Detail FY22'!$C$6:$C$132,$C7,'Employee Detail FY22'!$E$6:$E$132,$E7,'Employee Detail FY22'!$F$6:$F$132,$F7,'Employee Detail FY22'!$G$6:$G$132,$G7)</f>
        <v>326359.74187799997</v>
      </c>
      <c r="AB7" s="62"/>
      <c r="AC7" s="399">
        <f>SUMIFS('Employee Detail FY22'!$AC$6:$AC$132,'Employee Detail FY22'!$B$6:$B$132,$B7,'Employee Detail FY22'!$C$6:$C$132,$C7,'Employee Detail FY22'!$E$6:$E$132,$E7,'Employee Detail FY22'!$F$6:$F$132,$F7,'Employee Detail FY22'!$G$6:$G$132,$G7)</f>
        <v>47662.560000000005</v>
      </c>
      <c r="AD7" s="62">
        <f>SUMIFS('Employee Detail FY22'!$AD$6:$AD$132,'Employee Detail FY22'!$B$6:$B$132,$B7,'Employee Detail FY22'!$C$6:$C$132,$C7,'Employee Detail FY22'!$E$6:$E$132,$E7,'Employee Detail FY22'!$F$6:$F$132,$F7,'Employee Detail FY22'!$G$6:$G$132,$G7)</f>
        <v>0</v>
      </c>
      <c r="AE7" s="62">
        <f>SUMIFS('Employee Detail FY22'!$AE$6:$AE$132,'Employee Detail FY22'!$B$6:$B$132,$B7,'Employee Detail FY22'!$C$6:$C$132,$C7,'Employee Detail FY22'!$E$6:$E$132,$E7,'Employee Detail FY22'!$F$6:$F$132,$F7,'Employee Detail FY22'!$G$6:$G$132,$G7)</f>
        <v>82638.712491089987</v>
      </c>
      <c r="AF7" s="62">
        <f>SUMIFS('Employee Detail FY22'!$AF$6:$AF$132,'Employee Detail FY22'!$B$6:$B$132,$B7,'Employee Detail FY22'!$C$6:$C$132,$C7,'Employee Detail FY22'!$E$6:$E$132,$E7,'Employee Detail FY22'!$F$6:$F$132,$F7,'Employee Detail FY22'!$G$6:$G$132,$G7)</f>
        <v>4732.2162572309999</v>
      </c>
      <c r="AG7" s="269">
        <v>0</v>
      </c>
      <c r="AH7" s="62">
        <f>SUMIFS('Employee Detail FY22'!$AH$6:$AH$132,'Employee Detail FY22'!$B$6:$B$132,$B7,'Employee Detail FY22'!$C$6:$C$132,$C7,'Employee Detail FY22'!$E$6:$E$132,$E7,'Employee Detail FY22'!$F$6:$F$132,$F7,'Employee Detail FY22'!$G$6:$G$132,$G7)</f>
        <v>2970.6360623387532</v>
      </c>
      <c r="AI7" s="62">
        <f>SUMIFS('Employee Detail FY22'!$AI$6:$AI$132,'Employee Detail FY22'!$B$6:$B$132,$B7,'Employee Detail FY22'!$C$6:$C$132,$C7,'Employee Detail FY22'!$E$6:$E$132,$E7,'Employee Detail FY22'!$F$6:$F$132,$F7,'Employee Detail FY22'!$G$6:$G$132,$G7)</f>
        <v>659.54417651249014</v>
      </c>
      <c r="AJ7" s="62">
        <v>0</v>
      </c>
      <c r="AK7" s="62">
        <v>0</v>
      </c>
      <c r="AL7" s="256">
        <f t="shared" ref="AL7:AL67" si="11">SUM(AC7:AK7)</f>
        <v>138663.66898717222</v>
      </c>
      <c r="AM7" s="256">
        <f t="shared" ref="AM7:AM67" si="12">AA7</f>
        <v>326359.74187799997</v>
      </c>
      <c r="AN7" s="256">
        <f t="shared" ref="AN7:AN67" si="13">SUM(AL7:AM7)</f>
        <v>465023.41086517216</v>
      </c>
    </row>
    <row r="8" spans="1:16152" outlineLevel="1" x14ac:dyDescent="0.2">
      <c r="B8" s="647" t="s">
        <v>468</v>
      </c>
      <c r="C8" s="647" t="s">
        <v>145</v>
      </c>
      <c r="D8" s="647"/>
      <c r="E8" s="647" t="s">
        <v>468</v>
      </c>
      <c r="F8" s="647">
        <v>1000</v>
      </c>
      <c r="G8" s="651" t="s">
        <v>169</v>
      </c>
      <c r="H8" s="647"/>
      <c r="AA8" s="256">
        <f>SUMIFS('Employee Detail FY22'!$AA$6:$AA$132,'Employee Detail FY22'!$B$6:$B$132,$B8,'Employee Detail FY22'!$C$6:$C$132,$C8,'Employee Detail FY22'!$E$6:$E$132,$E8,'Employee Detail FY22'!$F$6:$F$132,$F8,'Employee Detail FY22'!$G$6:$G$132,$G8)</f>
        <v>192251.83600000001</v>
      </c>
      <c r="AB8" s="62"/>
      <c r="AC8" s="399">
        <f>SUMIFS('Employee Detail FY22'!$AC$6:$AC$132,'Employee Detail FY22'!$B$6:$B$132,$B8,'Employee Detail FY22'!$C$6:$C$132,$C8,'Employee Detail FY22'!$E$6:$E$132,$E8,'Employee Detail FY22'!$F$6:$F$132,$F8,'Employee Detail FY22'!$G$6:$G$132,$G8)</f>
        <v>39718.800000000003</v>
      </c>
      <c r="AD8" s="62">
        <f>SUMIFS('Employee Detail FY22'!$AD$6:$AD$132,'Employee Detail FY22'!$B$6:$B$132,$B8,'Employee Detail FY22'!$C$6:$C$132,$C8,'Employee Detail FY22'!$E$6:$E$132,$E8,'Employee Detail FY22'!$F$6:$F$132,$F8,'Employee Detail FY22'!$G$6:$G$132,$G8)</f>
        <v>0</v>
      </c>
      <c r="AE8" s="62">
        <f>SUMIFS('Employee Detail FY22'!$AE$6:$AE$132,'Employee Detail FY22'!$B$6:$B$132,$B8,'Employee Detail FY22'!$C$6:$C$132,$C8,'Employee Detail FY22'!$E$6:$E$132,$E8,'Employee Detail FY22'!$F$6:$F$132,$F8,'Employee Detail FY22'!$G$6:$G$132,$G8)</f>
        <v>36482.284580000007</v>
      </c>
      <c r="AF8" s="62">
        <f>SUMIFS('Employee Detail FY22'!$AF$6:$AF$132,'Employee Detail FY22'!$B$6:$B$132,$B8,'Employee Detail FY22'!$C$6:$C$132,$C8,'Employee Detail FY22'!$E$6:$E$132,$E8,'Employee Detail FY22'!$F$6:$F$132,$F8,'Employee Detail FY22'!$G$6:$G$132,$G8)</f>
        <v>2787.6516220000003</v>
      </c>
      <c r="AG8" s="269">
        <v>0</v>
      </c>
      <c r="AH8" s="62">
        <f>SUMIFS('Employee Detail FY22'!$AH$6:$AH$132,'Employee Detail FY22'!$B$6:$B$132,$B8,'Employee Detail FY22'!$C$6:$C$132,$C8,'Employee Detail FY22'!$E$6:$E$132,$E8,'Employee Detail FY22'!$F$6:$F$132,$F8,'Employee Detail FY22'!$G$6:$G$132,$G8)</f>
        <v>1749.9408284430147</v>
      </c>
      <c r="AI8" s="62">
        <f>SUMIFS('Employee Detail FY22'!$AI$6:$AI$132,'Employee Detail FY22'!$B$6:$B$132,$B8,'Employee Detail FY22'!$C$6:$C$132,$C8,'Employee Detail FY22'!$E$6:$E$132,$E8,'Employee Detail FY22'!$F$6:$F$132,$F8,'Employee Detail FY22'!$G$6:$G$132,$G8)</f>
        <v>388.5239586475534</v>
      </c>
      <c r="AJ8" s="62">
        <v>0</v>
      </c>
      <c r="AK8" s="62">
        <v>0</v>
      </c>
      <c r="AL8" s="256">
        <f t="shared" ref="AL8" si="14">SUM(AC8:AK8)</f>
        <v>81127.200989090576</v>
      </c>
      <c r="AM8" s="256">
        <f t="shared" ref="AM8" si="15">AA8</f>
        <v>192251.83600000001</v>
      </c>
      <c r="AN8" s="256">
        <f t="shared" ref="AN8" si="16">SUM(AL8:AM8)</f>
        <v>273379.03698909061</v>
      </c>
    </row>
    <row r="9" spans="1:16152" outlineLevel="1" x14ac:dyDescent="0.2">
      <c r="B9" s="647" t="s">
        <v>135</v>
      </c>
      <c r="C9" s="647" t="s">
        <v>923</v>
      </c>
      <c r="D9" s="647"/>
      <c r="E9" s="647">
        <v>100</v>
      </c>
      <c r="F9" s="647" t="s">
        <v>461</v>
      </c>
      <c r="G9" s="647" t="s">
        <v>161</v>
      </c>
      <c r="H9" s="647"/>
      <c r="AA9" s="256">
        <f>SUMIFS('Employee Detail FY22'!$AA$6:$AA$132,'Employee Detail FY22'!$B$6:$B$132,$B9,'Employee Detail FY22'!$C$6:$C$132,$C9,'Employee Detail FY22'!$E$6:$E$132,$E9,'Employee Detail FY22'!$F$6:$F$132,$F9,'Employee Detail FY22'!$G$6:$G$132,$G9)</f>
        <v>62173.671055999999</v>
      </c>
      <c r="AB9" s="62"/>
      <c r="AC9" s="399">
        <f>SUMIFS('Employee Detail FY22'!$AC$6:$AC$132,'Employee Detail FY22'!$B$6:$B$132,$B9,'Employee Detail FY22'!$C$6:$C$132,$C9,'Employee Detail FY22'!$E$6:$E$132,$E9,'Employee Detail FY22'!$F$6:$F$132,$F9,'Employee Detail FY22'!$G$6:$G$132,$G9)</f>
        <v>7943.76</v>
      </c>
      <c r="AD9" s="62">
        <f>SUMIFS('Employee Detail FY22'!$AD$6:$AD$132,'Employee Detail FY22'!$B$6:$B$132,$B9,'Employee Detail FY22'!$C$6:$C$132,$C9,'Employee Detail FY22'!$E$6:$E$132,$E9,'Employee Detail FY22'!$F$6:$F$132,$F9,'Employee Detail FY22'!$G$6:$G$132,$G9)</f>
        <v>0</v>
      </c>
      <c r="AE9" s="62">
        <f>SUMIFS('Employee Detail FY22'!$AE$6:$AE$132,'Employee Detail FY22'!$B$6:$B$132,$B9,'Employee Detail FY22'!$C$6:$C$132,$C9,'Employee Detail FY22'!$E$6:$E$132,$E9,'Employee Detail FY22'!$F$6:$F$132,$F9,'Employee Detail FY22'!$G$6:$G$132,$G9)</f>
        <v>9636.9190136800007</v>
      </c>
      <c r="AF9" s="62">
        <f>SUMIFS('Employee Detail FY22'!$AF$6:$AF$132,'Employee Detail FY22'!$B$6:$B$132,$B9,'Employee Detail FY22'!$C$6:$C$132,$C9,'Employee Detail FY22'!$E$6:$E$132,$E9,'Employee Detail FY22'!$F$6:$F$132,$F9,'Employee Detail FY22'!$G$6:$G$132,$G9)</f>
        <v>901.51823031200001</v>
      </c>
      <c r="AG9" s="269">
        <v>0</v>
      </c>
      <c r="AH9" s="62">
        <f>SUMIFS('Employee Detail FY22'!$AH$6:$AH$132,'Employee Detail FY22'!$B$6:$B$132,$B9,'Employee Detail FY22'!$C$6:$C$132,$C9,'Employee Detail FY22'!$E$6:$E$132,$E9,'Employee Detail FY22'!$F$6:$F$132,$F9,'Employee Detail FY22'!$G$6:$G$132,$G9)</f>
        <v>565.92565095232749</v>
      </c>
      <c r="AI9" s="62">
        <f>SUMIFS('Employee Detail FY22'!$AI$6:$AI$132,'Employee Detail FY22'!$B$6:$B$132,$B9,'Employee Detail FY22'!$C$6:$C$132,$C9,'Employee Detail FY22'!$E$6:$E$132,$E9,'Employee Detail FY22'!$F$6:$F$132,$F9,'Employee Detail FY22'!$G$6:$G$132,$G9)</f>
        <v>125.64749083763203</v>
      </c>
      <c r="AJ9" s="62">
        <v>0</v>
      </c>
      <c r="AK9" s="62">
        <v>0</v>
      </c>
      <c r="AL9" s="256">
        <f t="shared" si="11"/>
        <v>19173.770385781958</v>
      </c>
      <c r="AM9" s="256">
        <f t="shared" si="12"/>
        <v>62173.671055999999</v>
      </c>
      <c r="AN9" s="256">
        <f t="shared" si="13"/>
        <v>81347.441441781964</v>
      </c>
    </row>
    <row r="10" spans="1:16152" outlineLevel="1" x14ac:dyDescent="0.2">
      <c r="B10" s="647" t="s">
        <v>135</v>
      </c>
      <c r="C10" s="647" t="s">
        <v>923</v>
      </c>
      <c r="D10" s="647"/>
      <c r="E10" s="647">
        <v>100</v>
      </c>
      <c r="F10" s="647">
        <v>1000</v>
      </c>
      <c r="G10" s="647" t="s">
        <v>1043</v>
      </c>
      <c r="H10" s="647"/>
      <c r="AA10" s="256">
        <f>SUMIFS('Employee Detail FY22'!$AA$6:$AA$132,'Employee Detail FY22'!$B$6:$B$132,$B10,'Employee Detail FY22'!$C$6:$C$132,$C10,'Employee Detail FY22'!$E$6:$E$132,$E10,'Employee Detail FY22'!$F$6:$F$132,$F10,'Employee Detail FY22'!$G$6:$G$132,$G10)</f>
        <v>66900</v>
      </c>
      <c r="AB10" s="62"/>
      <c r="AC10" s="399">
        <f>SUMIFS('Employee Detail FY22'!$AC$6:$AC$132,'Employee Detail FY22'!$B$6:$B$132,$B10,'Employee Detail FY22'!$C$6:$C$132,$C10,'Employee Detail FY22'!$E$6:$E$132,$E10,'Employee Detail FY22'!$F$6:$F$132,$F10,'Employee Detail FY22'!$G$6:$G$132,$G10)</f>
        <v>0</v>
      </c>
      <c r="AD10" s="62">
        <f>SUMIFS('Employee Detail FY22'!$AD$6:$AD$132,'Employee Detail FY22'!$B$6:$B$132,$B10,'Employee Detail FY22'!$C$6:$C$132,$C10,'Employee Detail FY22'!$E$6:$E$132,$E10,'Employee Detail FY22'!$F$6:$F$132,$F10,'Employee Detail FY22'!$G$6:$G$132,$G10)</f>
        <v>0</v>
      </c>
      <c r="AE10" s="62">
        <f>SUMIFS('Employee Detail FY22'!$AE$6:$AE$132,'Employee Detail FY22'!$B$6:$B$132,$B10,'Employee Detail FY22'!$C$6:$C$132,$C10,'Employee Detail FY22'!$E$6:$E$132,$E10,'Employee Detail FY22'!$F$6:$F$132,$F10,'Employee Detail FY22'!$G$6:$G$132,$G10)</f>
        <v>0</v>
      </c>
      <c r="AF10" s="62">
        <f>SUMIFS('Employee Detail FY22'!$AF$6:$AF$132,'Employee Detail FY22'!$B$6:$B$132,$B10,'Employee Detail FY22'!$C$6:$C$132,$C10,'Employee Detail FY22'!$E$6:$E$132,$E10,'Employee Detail FY22'!$F$6:$F$132,$F10,'Employee Detail FY22'!$G$6:$G$132,$G10)</f>
        <v>970.05000000000007</v>
      </c>
      <c r="AG10" s="269">
        <v>0</v>
      </c>
      <c r="AH10" s="62">
        <f>SUMIFS('Employee Detail FY22'!$AH$6:$AH$132,'Employee Detail FY22'!$B$6:$B$132,$B10,'Employee Detail FY22'!$C$6:$C$132,$C10,'Employee Detail FY22'!$E$6:$E$132,$E10,'Employee Detail FY22'!$F$6:$F$132,$F10,'Employee Detail FY22'!$G$6:$G$132,$G10)</f>
        <v>608.94628555244424</v>
      </c>
      <c r="AI10" s="62">
        <f>SUMIFS('Employee Detail FY22'!$AI$6:$AI$132,'Employee Detail FY22'!$B$6:$B$132,$B10,'Employee Detail FY22'!$C$6:$C$132,$C10,'Employee Detail FY22'!$E$6:$E$132,$E10,'Employee Detail FY22'!$F$6:$F$132,$F10,'Employee Detail FY22'!$G$6:$G$132,$G10)</f>
        <v>135.19898365767145</v>
      </c>
      <c r="AJ10" s="62">
        <v>0</v>
      </c>
      <c r="AK10" s="62">
        <v>0</v>
      </c>
      <c r="AL10" s="256">
        <f t="shared" si="11"/>
        <v>1714.1952692101158</v>
      </c>
      <c r="AM10" s="256">
        <f t="shared" si="12"/>
        <v>66900</v>
      </c>
      <c r="AN10" s="256">
        <f t="shared" si="13"/>
        <v>68614.195269210119</v>
      </c>
    </row>
    <row r="11" spans="1:16152" outlineLevel="1" x14ac:dyDescent="0.2">
      <c r="B11" s="647" t="s">
        <v>135</v>
      </c>
      <c r="C11" s="647" t="s">
        <v>249</v>
      </c>
      <c r="D11" s="647"/>
      <c r="E11" s="647" t="s">
        <v>468</v>
      </c>
      <c r="F11" s="647" t="s">
        <v>461</v>
      </c>
      <c r="G11" s="647" t="s">
        <v>1043</v>
      </c>
      <c r="H11" s="647"/>
      <c r="AA11" s="256">
        <f>SUMIFS('Employee Detail FY22'!$AA$6:$AA$132,'Employee Detail FY22'!$B$6:$B$132,$B11,'Employee Detail FY22'!$C$6:$C$132,$C11,'Employee Detail FY22'!$E$6:$E$132,$E11,'Employee Detail FY22'!$F$6:$F$132,$F11,'Employee Detail FY22'!$G$6:$G$132,$G11)</f>
        <v>24051.34</v>
      </c>
      <c r="AB11" s="62"/>
      <c r="AC11" s="399">
        <f>SUMIFS('Employee Detail FY22'!$AC$6:$AC$132,'Employee Detail FY22'!$B$6:$B$132,$B11,'Employee Detail FY22'!$C$6:$C$132,$C11,'Employee Detail FY22'!$E$6:$E$132,$E11,'Employee Detail FY22'!$F$6:$F$132,$F11,'Employee Detail FY22'!$G$6:$G$132,$G11)</f>
        <v>0</v>
      </c>
      <c r="AD11" s="62">
        <f>SUMIFS('Employee Detail FY22'!$AD$6:$AD$132,'Employee Detail FY22'!$B$6:$B$132,$B11,'Employee Detail FY22'!$C$6:$C$132,$C11,'Employee Detail FY22'!$E$6:$E$132,$E11,'Employee Detail FY22'!$F$6:$F$132,$F11,'Employee Detail FY22'!$G$6:$G$132,$G11)</f>
        <v>0</v>
      </c>
      <c r="AE11" s="62">
        <f>SUMIFS('Employee Detail FY22'!$AE$6:$AE$132,'Employee Detail FY22'!$B$6:$B$132,$B11,'Employee Detail FY22'!$C$6:$C$132,$C11,'Employee Detail FY22'!$E$6:$E$132,$E11,'Employee Detail FY22'!$F$6:$F$132,$F11,'Employee Detail FY22'!$G$6:$G$132,$G11)</f>
        <v>0</v>
      </c>
      <c r="AF11" s="62">
        <f>SUMIFS('Employee Detail FY22'!$AF$6:$AF$132,'Employee Detail FY22'!$B$6:$B$132,$B11,'Employee Detail FY22'!$C$6:$C$132,$C11,'Employee Detail FY22'!$E$6:$E$132,$E11,'Employee Detail FY22'!$F$6:$F$132,$F11,'Employee Detail FY22'!$G$6:$G$132,$G11)</f>
        <v>348.74443000000002</v>
      </c>
      <c r="AG11" s="269">
        <v>0</v>
      </c>
      <c r="AH11" s="62">
        <f>SUMIFS('Employee Detail FY22'!$AH$6:$AH$132,'Employee Detail FY22'!$B$6:$B$132,$B11,'Employee Detail FY22'!$C$6:$C$132,$C11,'Employee Detail FY22'!$E$6:$E$132,$E11,'Employee Detail FY22'!$F$6:$F$132,$F11,'Employee Detail FY22'!$G$6:$G$132,$G11)</f>
        <v>218.92338050162815</v>
      </c>
      <c r="AI11" s="62">
        <f>SUMIFS('Employee Detail FY22'!$AI$6:$AI$132,'Employee Detail FY22'!$B$6:$B$132,$B11,'Employee Detail FY22'!$C$6:$C$132,$C11,'Employee Detail FY22'!$E$6:$E$132,$E11,'Employee Detail FY22'!$F$6:$F$132,$F11,'Employee Detail FY22'!$G$6:$G$132,$G11)</f>
        <v>48.605631145068749</v>
      </c>
      <c r="AJ11" s="62">
        <v>0</v>
      </c>
      <c r="AK11" s="62">
        <v>0</v>
      </c>
      <c r="AL11" s="256">
        <f t="shared" si="11"/>
        <v>616.27344164669694</v>
      </c>
      <c r="AM11" s="256">
        <f t="shared" si="12"/>
        <v>24051.34</v>
      </c>
      <c r="AN11" s="256">
        <f t="shared" si="13"/>
        <v>24667.613441646696</v>
      </c>
    </row>
    <row r="12" spans="1:16152" outlineLevel="1" x14ac:dyDescent="0.2">
      <c r="B12" s="647"/>
      <c r="C12" s="647"/>
      <c r="D12" s="647"/>
      <c r="E12" s="647"/>
      <c r="F12" s="647"/>
      <c r="G12" s="647"/>
      <c r="H12" s="647"/>
      <c r="AA12" s="256">
        <f>SUMIFS('Employee Detail FY22'!$AA$6:$AA$132,'Employee Detail FY22'!$B$6:$B$132,$B12,'Employee Detail FY22'!$C$6:$C$132,$C12,'Employee Detail FY22'!$E$6:$E$132,$E12,'Employee Detail FY22'!$F$6:$F$132,$F12,'Employee Detail FY22'!$G$6:$G$132,$G12)</f>
        <v>0</v>
      </c>
      <c r="AB12" s="62"/>
      <c r="AC12" s="62">
        <f>SUMIFS('Employee Detail FY22'!$AC$6:$AC$132,'Employee Detail FY22'!$B$6:$B$132,$B12,'Employee Detail FY22'!$C$6:$C$132,$C12,'Employee Detail FY22'!$E$6:$E$132,$E12,'Employee Detail FY22'!$F$6:$F$132,$F12,'Employee Detail FY22'!$G$6:$G$132,$G12)</f>
        <v>0</v>
      </c>
      <c r="AD12" s="62">
        <f>SUMIFS('Employee Detail FY22'!$AD$6:$AD$132,'Employee Detail FY22'!$B$6:$B$132,$B12,'Employee Detail FY22'!$C$6:$C$132,$C12,'Employee Detail FY22'!$E$6:$E$132,$E12,'Employee Detail FY22'!$F$6:$F$132,$F12,'Employee Detail FY22'!$G$6:$G$132,$G12)</f>
        <v>0</v>
      </c>
      <c r="AE12" s="62">
        <f>SUMIFS('Employee Detail FY22'!$AE$6:$AE$132,'Employee Detail FY22'!$B$6:$B$132,$B12,'Employee Detail FY22'!$C$6:$C$132,$C12,'Employee Detail FY22'!$E$6:$E$132,$E12,'Employee Detail FY22'!$F$6:$F$132,$F12,'Employee Detail FY22'!$G$6:$G$132,$G12)</f>
        <v>0</v>
      </c>
      <c r="AF12" s="62">
        <f>SUMIFS('Employee Detail FY22'!$AF$6:$AF$132,'Employee Detail FY22'!$B$6:$B$132,$B12,'Employee Detail FY22'!$C$6:$C$132,$C12,'Employee Detail FY22'!$E$6:$E$132,$E12,'Employee Detail FY22'!$F$6:$F$132,$F12,'Employee Detail FY22'!$G$6:$G$132,$G12)</f>
        <v>0</v>
      </c>
      <c r="AG12" s="269">
        <v>0</v>
      </c>
      <c r="AH12" s="62">
        <f>SUMIFS('Employee Detail FY22'!$AH$6:$AH$132,'Employee Detail FY22'!$B$6:$B$132,$B12,'Employee Detail FY22'!$C$6:$C$132,$C12,'Employee Detail FY22'!$E$6:$E$132,$E12,'Employee Detail FY22'!$F$6:$F$132,$F12,'Employee Detail FY22'!$G$6:$G$132,$G12)</f>
        <v>0</v>
      </c>
      <c r="AI12" s="62">
        <f>SUMIFS('Employee Detail FY22'!$AI$6:$AI$132,'Employee Detail FY22'!$B$6:$B$132,$B12,'Employee Detail FY22'!$C$6:$C$132,$C12,'Employee Detail FY22'!$E$6:$E$132,$E12,'Employee Detail FY22'!$F$6:$F$132,$F12,'Employee Detail FY22'!$G$6:$G$132,$G12)</f>
        <v>0</v>
      </c>
      <c r="AJ12" s="62">
        <v>0</v>
      </c>
      <c r="AK12" s="62">
        <v>0</v>
      </c>
      <c r="AL12" s="256">
        <f t="shared" si="11"/>
        <v>0</v>
      </c>
      <c r="AM12" s="256">
        <f t="shared" si="12"/>
        <v>0</v>
      </c>
      <c r="AN12" s="256">
        <f t="shared" si="13"/>
        <v>0</v>
      </c>
    </row>
    <row r="13" spans="1:16152" outlineLevel="1" x14ac:dyDescent="0.2">
      <c r="B13" s="647" t="s">
        <v>468</v>
      </c>
      <c r="C13" s="647" t="s">
        <v>145</v>
      </c>
      <c r="D13" s="647"/>
      <c r="E13" s="647" t="s">
        <v>468</v>
      </c>
      <c r="F13" s="647" t="s">
        <v>461</v>
      </c>
      <c r="G13" s="647" t="s">
        <v>163</v>
      </c>
      <c r="H13" s="647"/>
      <c r="AA13" s="256">
        <f>SUMIFS('Employee Detail FY22'!$AA$6:$AA$132,'Employee Detail FY22'!$B$6:$B$132,$B13,'Employee Detail FY22'!$C$6:$C$132,$C13,'Employee Detail FY22'!$E$6:$E$132,$E13,'Employee Detail FY22'!$F$6:$F$132,$F13,'Employee Detail FY22'!$G$6:$G$132,$G13)</f>
        <v>0</v>
      </c>
      <c r="AB13" s="62"/>
      <c r="AC13" s="399">
        <f>SUMIFS('Employee Detail FY22'!$AC$6:$AC$132,'Employee Detail FY22'!$B$6:$B$132,$B13,'Employee Detail FY22'!$C$6:$C$132,$C13,'Employee Detail FY22'!$E$6:$E$132,$E13,'Employee Detail FY22'!$F$6:$F$132,$F13,'Employee Detail FY22'!$G$6:$G$132,$G13)</f>
        <v>0</v>
      </c>
      <c r="AD13" s="62">
        <f>SUMIFS('Employee Detail FY22'!$AD$6:$AD$132,'Employee Detail FY22'!$B$6:$B$132,$B13,'Employee Detail FY22'!$C$6:$C$132,$C13,'Employee Detail FY22'!$E$6:$E$132,$E13,'Employee Detail FY22'!$F$6:$F$132,$F13,'Employee Detail FY22'!$G$6:$G$132,$G13)</f>
        <v>0</v>
      </c>
      <c r="AE13" s="62">
        <f>SUMIFS('Employee Detail FY22'!$AE$6:$AE$132,'Employee Detail FY22'!$B$6:$B$132,$B13,'Employee Detail FY22'!$C$6:$C$132,$C13,'Employee Detail FY22'!$E$6:$E$132,$E13,'Employee Detail FY22'!$F$6:$F$132,$F13,'Employee Detail FY22'!$G$6:$G$132,$G13)</f>
        <v>0</v>
      </c>
      <c r="AF13" s="62">
        <f>SUMIFS('Employee Detail FY22'!$AF$6:$AF$132,'Employee Detail FY22'!$B$6:$B$132,$B13,'Employee Detail FY22'!$C$6:$C$132,$C13,'Employee Detail FY22'!$E$6:$E$132,$E13,'Employee Detail FY22'!$F$6:$F$132,$F13,'Employee Detail FY22'!$G$6:$G$132,$G13)</f>
        <v>0</v>
      </c>
      <c r="AG13" s="269">
        <v>0</v>
      </c>
      <c r="AH13" s="62">
        <f>SUMIFS('Employee Detail FY22'!$AH$6:$AH$132,'Employee Detail FY22'!$B$6:$B$132,$B13,'Employee Detail FY22'!$C$6:$C$132,$C13,'Employee Detail FY22'!$E$6:$E$132,$E13,'Employee Detail FY22'!$F$6:$F$132,$F13,'Employee Detail FY22'!$G$6:$G$132,$G13)</f>
        <v>0</v>
      </c>
      <c r="AI13" s="62">
        <f>SUMIFS('Employee Detail FY22'!$AI$6:$AI$132,'Employee Detail FY22'!$B$6:$B$132,$B13,'Employee Detail FY22'!$C$6:$C$132,$C13,'Employee Detail FY22'!$E$6:$E$132,$E13,'Employee Detail FY22'!$F$6:$F$132,$F13,'Employee Detail FY22'!$G$6:$G$132,$G13)</f>
        <v>0</v>
      </c>
      <c r="AJ13" s="62">
        <v>0</v>
      </c>
      <c r="AK13" s="62">
        <v>0</v>
      </c>
      <c r="AL13" s="256">
        <f t="shared" si="11"/>
        <v>0</v>
      </c>
      <c r="AM13" s="256">
        <f t="shared" si="12"/>
        <v>0</v>
      </c>
      <c r="AN13" s="256">
        <f t="shared" si="13"/>
        <v>0</v>
      </c>
    </row>
    <row r="14" spans="1:16152" outlineLevel="1" x14ac:dyDescent="0.2">
      <c r="B14" s="647"/>
      <c r="C14" s="647"/>
      <c r="D14" s="647"/>
      <c r="E14" s="647"/>
      <c r="F14" s="647"/>
      <c r="G14" s="647"/>
      <c r="H14" s="647"/>
      <c r="AA14" s="256">
        <f>SUMIFS('Employee Detail FY22'!$AA$6:$AA$132,'Employee Detail FY22'!$B$6:$B$132,$B14,'Employee Detail FY22'!$C$6:$C$132,$C14,'Employee Detail FY22'!$E$6:$E$132,$E14,'Employee Detail FY22'!$F$6:$F$132,$F14,'Employee Detail FY22'!$G$6:$G$132,$G14)</f>
        <v>0</v>
      </c>
      <c r="AB14" s="62"/>
      <c r="AC14" s="62">
        <f>SUMIFS('Employee Detail FY22'!$AC$6:$AC$132,'Employee Detail FY22'!$B$6:$B$132,$B14,'Employee Detail FY22'!$C$6:$C$132,$C14,'Employee Detail FY22'!$E$6:$E$132,$E14,'Employee Detail FY22'!$F$6:$F$132,$F14,'Employee Detail FY22'!$G$6:$G$132,$G14)</f>
        <v>0</v>
      </c>
      <c r="AD14" s="62">
        <f>SUMIFS('Employee Detail FY22'!$AD$6:$AD$132,'Employee Detail FY22'!$B$6:$B$132,$B14,'Employee Detail FY22'!$C$6:$C$132,$C14,'Employee Detail FY22'!$E$6:$E$132,$E14,'Employee Detail FY22'!$F$6:$F$132,$F14,'Employee Detail FY22'!$G$6:$G$132,$G14)</f>
        <v>0</v>
      </c>
      <c r="AE14" s="62">
        <f>SUMIFS('Employee Detail FY22'!$AE$6:$AE$132,'Employee Detail FY22'!$B$6:$B$132,$B14,'Employee Detail FY22'!$C$6:$C$132,$C14,'Employee Detail FY22'!$E$6:$E$132,$E14,'Employee Detail FY22'!$F$6:$F$132,$F14,'Employee Detail FY22'!$G$6:$G$132,$G14)</f>
        <v>0</v>
      </c>
      <c r="AF14" s="62">
        <f>SUMIFS('Employee Detail FY22'!$AF$6:$AF$132,'Employee Detail FY22'!$B$6:$B$132,$B14,'Employee Detail FY22'!$C$6:$C$132,$C14,'Employee Detail FY22'!$E$6:$E$132,$E14,'Employee Detail FY22'!$F$6:$F$132,$F14,'Employee Detail FY22'!$G$6:$G$132,$G14)</f>
        <v>0</v>
      </c>
      <c r="AG14" s="269">
        <v>0</v>
      </c>
      <c r="AH14" s="62">
        <f>SUMIFS('Employee Detail FY22'!$AH$6:$AH$132,'Employee Detail FY22'!$B$6:$B$132,$B14,'Employee Detail FY22'!$C$6:$C$132,$C14,'Employee Detail FY22'!$E$6:$E$132,$E14,'Employee Detail FY22'!$F$6:$F$132,$F14,'Employee Detail FY22'!$G$6:$G$132,$G14)</f>
        <v>0</v>
      </c>
      <c r="AI14" s="62">
        <f>SUMIFS('Employee Detail FY22'!$AI$6:$AI$132,'Employee Detail FY22'!$B$6:$B$132,$B14,'Employee Detail FY22'!$C$6:$C$132,$C14,'Employee Detail FY22'!$E$6:$E$132,$E14,'Employee Detail FY22'!$F$6:$F$132,$F14,'Employee Detail FY22'!$G$6:$G$132,$G14)</f>
        <v>0</v>
      </c>
      <c r="AJ14" s="62">
        <v>0</v>
      </c>
      <c r="AK14" s="62">
        <v>0</v>
      </c>
      <c r="AL14" s="256">
        <f t="shared" si="11"/>
        <v>0</v>
      </c>
      <c r="AM14" s="256">
        <f t="shared" si="12"/>
        <v>0</v>
      </c>
      <c r="AN14" s="256">
        <f t="shared" si="13"/>
        <v>0</v>
      </c>
    </row>
    <row r="15" spans="1:16152" outlineLevel="1" x14ac:dyDescent="0.2">
      <c r="B15" s="647" t="s">
        <v>468</v>
      </c>
      <c r="C15" s="647" t="s">
        <v>145</v>
      </c>
      <c r="D15" s="647"/>
      <c r="E15" s="647" t="s">
        <v>689</v>
      </c>
      <c r="F15" s="647" t="s">
        <v>461</v>
      </c>
      <c r="G15" s="647" t="s">
        <v>161</v>
      </c>
      <c r="H15" s="647"/>
      <c r="AA15" s="256">
        <f>SUMIFS('Employee Detail FY22'!$AA$6:$AA$132,'Employee Detail FY22'!$B$6:$B$132,$B15,'Employee Detail FY22'!$C$6:$C$132,$C15,'Employee Detail FY22'!$E$6:$E$132,$E15,'Employee Detail FY22'!$F$6:$F$132,$F15,'Employee Detail FY22'!$G$6:$G$132,$G15)</f>
        <v>0</v>
      </c>
      <c r="AB15" s="62"/>
      <c r="AC15" s="62">
        <f>SUMIFS('Employee Detail FY22'!$AC$6:$AC$132,'Employee Detail FY22'!$B$6:$B$132,$B15,'Employee Detail FY22'!$C$6:$C$132,$C15,'Employee Detail FY22'!$E$6:$E$132,$E15,'Employee Detail FY22'!$F$6:$F$132,$F15,'Employee Detail FY22'!$G$6:$G$132,$G15)</f>
        <v>0</v>
      </c>
      <c r="AD15" s="62">
        <f>SUMIFS('Employee Detail FY22'!$AD$6:$AD$132,'Employee Detail FY22'!$B$6:$B$132,$B15,'Employee Detail FY22'!$C$6:$C$132,$C15,'Employee Detail FY22'!$E$6:$E$132,$E15,'Employee Detail FY22'!$F$6:$F$132,$F15,'Employee Detail FY22'!$G$6:$G$132,$G15)</f>
        <v>0</v>
      </c>
      <c r="AE15" s="62">
        <f>SUMIFS('Employee Detail FY22'!$AE$6:$AE$132,'Employee Detail FY22'!$B$6:$B$132,$B15,'Employee Detail FY22'!$C$6:$C$132,$C15,'Employee Detail FY22'!$E$6:$E$132,$E15,'Employee Detail FY22'!$F$6:$F$132,$F15,'Employee Detail FY22'!$G$6:$G$132,$G15)</f>
        <v>0</v>
      </c>
      <c r="AF15" s="62">
        <f>SUMIFS('Employee Detail FY22'!$AF$6:$AF$132,'Employee Detail FY22'!$B$6:$B$132,$B15,'Employee Detail FY22'!$C$6:$C$132,$C15,'Employee Detail FY22'!$E$6:$E$132,$E15,'Employee Detail FY22'!$F$6:$F$132,$F15,'Employee Detail FY22'!$G$6:$G$132,$G15)</f>
        <v>0</v>
      </c>
      <c r="AG15" s="269">
        <v>0</v>
      </c>
      <c r="AH15" s="62">
        <f>SUMIFS('Employee Detail FY22'!$AH$6:$AH$132,'Employee Detail FY22'!$B$6:$B$132,$B15,'Employee Detail FY22'!$C$6:$C$132,$C15,'Employee Detail FY22'!$E$6:$E$132,$E15,'Employee Detail FY22'!$F$6:$F$132,$F15,'Employee Detail FY22'!$G$6:$G$132,$G15)</f>
        <v>0</v>
      </c>
      <c r="AI15" s="62">
        <f>SUMIFS('Employee Detail FY22'!$AI$6:$AI$132,'Employee Detail FY22'!$B$6:$B$132,$B15,'Employee Detail FY22'!$C$6:$C$132,$C15,'Employee Detail FY22'!$E$6:$E$132,$E15,'Employee Detail FY22'!$F$6:$F$132,$F15,'Employee Detail FY22'!$G$6:$G$132,$G15)</f>
        <v>0</v>
      </c>
      <c r="AJ15" s="62">
        <v>0</v>
      </c>
      <c r="AK15" s="62">
        <v>0</v>
      </c>
      <c r="AL15" s="256">
        <f t="shared" si="11"/>
        <v>0</v>
      </c>
      <c r="AM15" s="256">
        <f t="shared" si="12"/>
        <v>0</v>
      </c>
      <c r="AN15" s="256">
        <f t="shared" si="13"/>
        <v>0</v>
      </c>
    </row>
    <row r="16" spans="1:16152" outlineLevel="1" x14ac:dyDescent="0.2">
      <c r="B16" s="647"/>
      <c r="C16" s="647"/>
      <c r="D16" s="647"/>
      <c r="E16" s="647"/>
      <c r="F16" s="647"/>
      <c r="G16" s="647"/>
      <c r="H16" s="647"/>
      <c r="AA16" s="256">
        <f>SUMIFS('Employee Detail FY22'!$AA$6:$AA$132,'Employee Detail FY22'!$B$6:$B$132,$B16,'Employee Detail FY22'!$C$6:$C$132,$C16,'Employee Detail FY22'!$E$6:$E$132,$E16,'Employee Detail FY22'!$F$6:$F$132,$F16,'Employee Detail FY22'!$G$6:$G$132,$G16)</f>
        <v>0</v>
      </c>
      <c r="AB16" s="62"/>
      <c r="AC16" s="62">
        <f>SUMIFS('Employee Detail FY22'!$AC$6:$AC$132,'Employee Detail FY22'!$B$6:$B$132,$B16,'Employee Detail FY22'!$C$6:$C$132,$C16,'Employee Detail FY22'!$E$6:$E$132,$E16,'Employee Detail FY22'!$F$6:$F$132,$F16,'Employee Detail FY22'!$G$6:$G$132,$G16)</f>
        <v>0</v>
      </c>
      <c r="AD16" s="62">
        <f>SUMIFS('Employee Detail FY22'!$AD$6:$AD$132,'Employee Detail FY22'!$B$6:$B$132,$B16,'Employee Detail FY22'!$C$6:$C$132,$C16,'Employee Detail FY22'!$E$6:$E$132,$E16,'Employee Detail FY22'!$F$6:$F$132,$F16,'Employee Detail FY22'!$G$6:$G$132,$G16)</f>
        <v>0</v>
      </c>
      <c r="AE16" s="62">
        <f>SUMIFS('Employee Detail FY22'!$AE$6:$AE$132,'Employee Detail FY22'!$B$6:$B$132,$B16,'Employee Detail FY22'!$C$6:$C$132,$C16,'Employee Detail FY22'!$E$6:$E$132,$E16,'Employee Detail FY22'!$F$6:$F$132,$F16,'Employee Detail FY22'!$G$6:$G$132,$G16)</f>
        <v>0</v>
      </c>
      <c r="AF16" s="62">
        <f>SUMIFS('Employee Detail FY22'!$AF$6:$AF$132,'Employee Detail FY22'!$B$6:$B$132,$B16,'Employee Detail FY22'!$C$6:$C$132,$C16,'Employee Detail FY22'!$E$6:$E$132,$E16,'Employee Detail FY22'!$F$6:$F$132,$F16,'Employee Detail FY22'!$G$6:$G$132,$G16)</f>
        <v>0</v>
      </c>
      <c r="AG16" s="269">
        <v>0</v>
      </c>
      <c r="AH16" s="62">
        <f>SUMIFS('Employee Detail FY22'!$AH$6:$AH$132,'Employee Detail FY22'!$B$6:$B$132,$B16,'Employee Detail FY22'!$C$6:$C$132,$C16,'Employee Detail FY22'!$E$6:$E$132,$E16,'Employee Detail FY22'!$F$6:$F$132,$F16,'Employee Detail FY22'!$G$6:$G$132,$G16)</f>
        <v>0</v>
      </c>
      <c r="AI16" s="62">
        <f>SUMIFS('Employee Detail FY22'!$AI$6:$AI$132,'Employee Detail FY22'!$B$6:$B$132,$B16,'Employee Detail FY22'!$C$6:$C$132,$C16,'Employee Detail FY22'!$E$6:$E$132,$E16,'Employee Detail FY22'!$F$6:$F$132,$F16,'Employee Detail FY22'!$G$6:$G$132,$G16)</f>
        <v>0</v>
      </c>
      <c r="AJ16" s="62">
        <v>0</v>
      </c>
      <c r="AK16" s="62">
        <v>0</v>
      </c>
      <c r="AL16" s="256">
        <f t="shared" si="11"/>
        <v>0</v>
      </c>
      <c r="AM16" s="256">
        <f t="shared" si="12"/>
        <v>0</v>
      </c>
      <c r="AN16" s="256">
        <f t="shared" si="13"/>
        <v>0</v>
      </c>
    </row>
    <row r="17" spans="2:40" outlineLevel="1" x14ac:dyDescent="0.2">
      <c r="B17" s="647" t="s">
        <v>468</v>
      </c>
      <c r="C17" s="647" t="s">
        <v>145</v>
      </c>
      <c r="D17" s="647"/>
      <c r="E17" s="647" t="s">
        <v>468</v>
      </c>
      <c r="F17" s="647" t="s">
        <v>465</v>
      </c>
      <c r="G17" s="647" t="s">
        <v>167</v>
      </c>
      <c r="H17" s="647"/>
      <c r="AA17" s="256">
        <f>SUMIFS('Employee Detail FY22'!$AA$6:$AA$132,'Employee Detail FY22'!$B$6:$B$132,$B17,'Employee Detail FY22'!$C$6:$C$132,$C17,'Employee Detail FY22'!$E$6:$E$132,$E17,'Employee Detail FY22'!$F$6:$F$132,$F17,'Employee Detail FY22'!$G$6:$G$132,$G17)</f>
        <v>100045.96652</v>
      </c>
      <c r="AB17" s="62"/>
      <c r="AC17" s="399">
        <f>SUMIFS('Employee Detail FY22'!$AC$6:$AC$132,'Employee Detail FY22'!$B$6:$B$132,$B17,'Employee Detail FY22'!$C$6:$C$132,$C17,'Employee Detail FY22'!$E$6:$E$132,$E17,'Employee Detail FY22'!$F$6:$F$132,$F17,'Employee Detail FY22'!$G$6:$G$132,$G17)</f>
        <v>15887.52</v>
      </c>
      <c r="AD17" s="62">
        <f>SUMIFS('Employee Detail FY22'!$AD$6:$AD$132,'Employee Detail FY22'!$B$6:$B$132,$B17,'Employee Detail FY22'!$C$6:$C$132,$C17,'Employee Detail FY22'!$E$6:$E$132,$E17,'Employee Detail FY22'!$F$6:$F$132,$F17,'Employee Detail FY22'!$G$6:$G$132,$G17)</f>
        <v>0</v>
      </c>
      <c r="AE17" s="62">
        <f>SUMIFS('Employee Detail FY22'!$AE$6:$AE$132,'Employee Detail FY22'!$B$6:$B$132,$B17,'Employee Detail FY22'!$C$6:$C$132,$C17,'Employee Detail FY22'!$E$6:$E$132,$E17,'Employee Detail FY22'!$F$6:$F$132,$F17,'Employee Detail FY22'!$G$6:$G$132,$G17)</f>
        <v>22889.0523106</v>
      </c>
      <c r="AF17" s="62">
        <f>SUMIFS('Employee Detail FY22'!$AF$6:$AF$132,'Employee Detail FY22'!$B$6:$B$132,$B17,'Employee Detail FY22'!$C$6:$C$132,$C17,'Employee Detail FY22'!$E$6:$E$132,$E17,'Employee Detail FY22'!$F$6:$F$132,$F17,'Employee Detail FY22'!$G$6:$G$132,$G17)</f>
        <v>1450.6665145400002</v>
      </c>
      <c r="AG17" s="269">
        <v>0</v>
      </c>
      <c r="AH17" s="62">
        <f>SUMIFS('Employee Detail FY22'!$AH$6:$AH$132,'Employee Detail FY22'!$B$6:$B$132,$B17,'Employee Detail FY22'!$C$6:$C$132,$C17,'Employee Detail FY22'!$E$6:$E$132,$E17,'Employee Detail FY22'!$F$6:$F$132,$F17,'Employee Detail FY22'!$G$6:$G$132,$G17)</f>
        <v>910.65201340595206</v>
      </c>
      <c r="AI17" s="62">
        <f>SUMIFS('Employee Detail FY22'!$AI$6:$AI$132,'Employee Detail FY22'!$B$6:$B$132,$B17,'Employee Detail FY22'!$C$6:$C$132,$C17,'Employee Detail FY22'!$E$6:$E$132,$E17,'Employee Detail FY22'!$F$6:$F$132,$F17,'Employee Detail FY22'!$G$6:$G$132,$G17)</f>
        <v>202.18405071081349</v>
      </c>
      <c r="AJ17" s="62">
        <v>0</v>
      </c>
      <c r="AK17" s="62">
        <v>0</v>
      </c>
      <c r="AL17" s="256">
        <f t="shared" si="11"/>
        <v>41340.074889256764</v>
      </c>
      <c r="AM17" s="256">
        <f t="shared" si="12"/>
        <v>100045.96652</v>
      </c>
      <c r="AN17" s="256">
        <f t="shared" si="13"/>
        <v>141386.04140925675</v>
      </c>
    </row>
    <row r="18" spans="2:40" outlineLevel="1" x14ac:dyDescent="0.2">
      <c r="B18" s="647" t="s">
        <v>135</v>
      </c>
      <c r="C18" s="647" t="s">
        <v>923</v>
      </c>
      <c r="D18" s="647"/>
      <c r="E18" s="647" t="s">
        <v>468</v>
      </c>
      <c r="F18" s="647" t="s">
        <v>465</v>
      </c>
      <c r="G18" s="647" t="s">
        <v>173</v>
      </c>
      <c r="H18" s="647"/>
      <c r="AA18" s="256">
        <f>SUMIFS('Employee Detail FY22'!$AA$6:$AA$132,'Employee Detail FY22'!$B$6:$B$132,$B18,'Employee Detail FY22'!$C$6:$C$132,$C18,'Employee Detail FY22'!$E$6:$E$132,$E18,'Employee Detail FY22'!$F$6:$F$132,$F18,'Employee Detail FY22'!$G$6:$G$132,$G18)</f>
        <v>41350.400000000001</v>
      </c>
      <c r="AB18" s="62"/>
      <c r="AC18" s="399">
        <f>SUMIFS('Employee Detail FY22'!$AC$6:$AC$132,'Employee Detail FY22'!$B$6:$B$132,$B18,'Employee Detail FY22'!$C$6:$C$132,$C18,'Employee Detail FY22'!$E$6:$E$132,$E18,'Employee Detail FY22'!$F$6:$F$132,$F18,'Employee Detail FY22'!$G$6:$G$132,$G18)</f>
        <v>7943.76</v>
      </c>
      <c r="AD18" s="62">
        <f>SUMIFS('Employee Detail FY22'!$AD$6:$AD$132,'Employee Detail FY22'!$B$6:$B$132,$B18,'Employee Detail FY22'!$C$6:$C$132,$C18,'Employee Detail FY22'!$E$6:$E$132,$E18,'Employee Detail FY22'!$F$6:$F$132,$F18,'Employee Detail FY22'!$G$6:$G$132,$G18)</f>
        <v>0</v>
      </c>
      <c r="AE18" s="62">
        <f>SUMIFS('Employee Detail FY22'!$AE$6:$AE$132,'Employee Detail FY22'!$B$6:$B$132,$B18,'Employee Detail FY22'!$C$6:$C$132,$C18,'Employee Detail FY22'!$E$6:$E$132,$E18,'Employee Detail FY22'!$F$6:$F$132,$F18,'Employee Detail FY22'!$G$6:$G$132,$G18)</f>
        <v>12301.744000000001</v>
      </c>
      <c r="AF18" s="62">
        <f>SUMIFS('Employee Detail FY22'!$AF$6:$AF$132,'Employee Detail FY22'!$B$6:$B$132,$B18,'Employee Detail FY22'!$C$6:$C$132,$C18,'Employee Detail FY22'!$E$6:$E$132,$E18,'Employee Detail FY22'!$F$6:$F$132,$F18,'Employee Detail FY22'!$G$6:$G$132,$G18)</f>
        <v>599.58080000000007</v>
      </c>
      <c r="AG18" s="269">
        <v>0</v>
      </c>
      <c r="AH18" s="62">
        <f>SUMIFS('Employee Detail FY22'!$AH$6:$AH$132,'Employee Detail FY22'!$B$6:$B$132,$B18,'Employee Detail FY22'!$C$6:$C$132,$C18,'Employee Detail FY22'!$E$6:$E$132,$E18,'Employee Detail FY22'!$F$6:$F$132,$F18,'Employee Detail FY22'!$G$6:$G$132,$G18)</f>
        <v>376.38523895527339</v>
      </c>
      <c r="AI18" s="62">
        <f>SUMIFS('Employee Detail FY22'!$AI$6:$AI$132,'Employee Detail FY22'!$B$6:$B$132,$B18,'Employee Detail FY22'!$C$6:$C$132,$C18,'Employee Detail FY22'!$E$6:$E$132,$E18,'Employee Detail FY22'!$F$6:$F$132,$F18,'Employee Detail FY22'!$G$6:$G$132,$G18)</f>
        <v>83.565501552140162</v>
      </c>
      <c r="AJ18" s="62">
        <v>0</v>
      </c>
      <c r="AK18" s="62">
        <v>0</v>
      </c>
      <c r="AL18" s="256">
        <f t="shared" si="11"/>
        <v>21305.035540507415</v>
      </c>
      <c r="AM18" s="256">
        <f t="shared" si="12"/>
        <v>41350.400000000001</v>
      </c>
      <c r="AN18" s="256">
        <f t="shared" si="13"/>
        <v>62655.435540507417</v>
      </c>
    </row>
    <row r="19" spans="2:40" outlineLevel="1" x14ac:dyDescent="0.2">
      <c r="B19" s="647" t="s">
        <v>135</v>
      </c>
      <c r="C19" s="647" t="s">
        <v>923</v>
      </c>
      <c r="D19" s="647"/>
      <c r="E19" s="647" t="s">
        <v>468</v>
      </c>
      <c r="F19" s="647" t="s">
        <v>465</v>
      </c>
      <c r="G19" s="647" t="s">
        <v>167</v>
      </c>
      <c r="H19" s="647"/>
      <c r="AA19" s="256">
        <f>SUMIFS('Employee Detail FY22'!$AA$6:$AA$132,'Employee Detail FY22'!$B$6:$B$132,$B19,'Employee Detail FY22'!$C$6:$C$132,$C19,'Employee Detail FY22'!$E$6:$E$132,$E19,'Employee Detail FY22'!$F$6:$F$132,$F19,'Employee Detail FY22'!$G$6:$G$132,$G19)</f>
        <v>58199.567285999998</v>
      </c>
      <c r="AB19" s="62"/>
      <c r="AC19" s="399">
        <f>SUMIFS('Employee Detail FY22'!$AC$6:$AC$132,'Employee Detail FY22'!$B$6:$B$132,$B19,'Employee Detail FY22'!$C$6:$C$132,$C19,'Employee Detail FY22'!$E$6:$E$132,$E19,'Employee Detail FY22'!$F$6:$F$132,$F19,'Employee Detail FY22'!$G$6:$G$132,$G19)</f>
        <v>7943.76</v>
      </c>
      <c r="AD19" s="62">
        <f>SUMIFS('Employee Detail FY22'!$AD$6:$AD$132,'Employee Detail FY22'!$B$6:$B$132,$B19,'Employee Detail FY22'!$C$6:$C$132,$C19,'Employee Detail FY22'!$E$6:$E$132,$E19,'Employee Detail FY22'!$F$6:$F$132,$F19,'Employee Detail FY22'!$G$6:$G$132,$G19)</f>
        <v>0</v>
      </c>
      <c r="AE19" s="62">
        <f>SUMIFS('Employee Detail FY22'!$AE$6:$AE$132,'Employee Detail FY22'!$B$6:$B$132,$B19,'Employee Detail FY22'!$C$6:$C$132,$C19,'Employee Detail FY22'!$E$6:$E$132,$E19,'Employee Detail FY22'!$F$6:$F$132,$F19,'Employee Detail FY22'!$G$6:$G$132,$G19)</f>
        <v>9020.9329293299998</v>
      </c>
      <c r="AF19" s="62">
        <f>SUMIFS('Employee Detail FY22'!$AF$6:$AF$132,'Employee Detail FY22'!$B$6:$B$132,$B19,'Employee Detail FY22'!$C$6:$C$132,$C19,'Employee Detail FY22'!$E$6:$E$132,$E19,'Employee Detail FY22'!$F$6:$F$132,$F19,'Employee Detail FY22'!$G$6:$G$132,$G19)</f>
        <v>843.893725647</v>
      </c>
      <c r="AG19" s="269">
        <v>0</v>
      </c>
      <c r="AH19" s="62">
        <f>SUMIFS('Employee Detail FY22'!$AH$6:$AH$132,'Employee Detail FY22'!$B$6:$B$132,$B19,'Employee Detail FY22'!$C$6:$C$132,$C19,'Employee Detail FY22'!$E$6:$E$132,$E19,'Employee Detail FY22'!$F$6:$F$132,$F19,'Employee Detail FY22'!$G$6:$G$132,$G19)</f>
        <v>529.75202271403953</v>
      </c>
      <c r="AI19" s="62">
        <f>SUMIFS('Employee Detail FY22'!$AI$6:$AI$132,'Employee Detail FY22'!$B$6:$B$132,$B19,'Employee Detail FY22'!$C$6:$C$132,$C19,'Employee Detail FY22'!$E$6:$E$132,$E19,'Employee Detail FY22'!$F$6:$F$132,$F19,'Employee Detail FY22'!$G$6:$G$132,$G19)</f>
        <v>117.6161785707543</v>
      </c>
      <c r="AJ19" s="62">
        <v>0</v>
      </c>
      <c r="AK19" s="62">
        <v>0</v>
      </c>
      <c r="AL19" s="256">
        <f t="shared" si="11"/>
        <v>18455.954856261797</v>
      </c>
      <c r="AM19" s="256">
        <f t="shared" si="12"/>
        <v>58199.567285999998</v>
      </c>
      <c r="AN19" s="256">
        <f t="shared" si="13"/>
        <v>76655.522142261791</v>
      </c>
    </row>
    <row r="20" spans="2:40" outlineLevel="1" x14ac:dyDescent="0.2">
      <c r="B20" s="647" t="s">
        <v>135</v>
      </c>
      <c r="C20" s="647" t="s">
        <v>1030</v>
      </c>
      <c r="D20" s="647"/>
      <c r="E20" s="647" t="s">
        <v>468</v>
      </c>
      <c r="F20" s="647" t="s">
        <v>465</v>
      </c>
      <c r="G20" s="647" t="s">
        <v>167</v>
      </c>
      <c r="H20" s="647"/>
      <c r="AA20" s="256">
        <f>SUMIFS('Employee Detail FY22'!$AA$6:$AA$132,'Employee Detail FY22'!$B$6:$B$132,$B20,'Employee Detail FY22'!$C$6:$C$132,$C20,'Employee Detail FY22'!$E$6:$E$132,$E20,'Employee Detail FY22'!$F$6:$F$132,$F20,'Employee Detail FY22'!$G$6:$G$132,$G20)</f>
        <v>138625.27603400001</v>
      </c>
      <c r="AB20" s="62"/>
      <c r="AC20" s="399">
        <f>SUMIFS('Employee Detail FY22'!$AC$6:$AC$132,'Employee Detail FY22'!$B$6:$B$132,$B20,'Employee Detail FY22'!$C$6:$C$132,$C20,'Employee Detail FY22'!$E$6:$E$132,$E20,'Employee Detail FY22'!$F$6:$F$132,$F20,'Employee Detail FY22'!$G$6:$G$132,$G20)</f>
        <v>15887.52</v>
      </c>
      <c r="AD20" s="62">
        <f>SUMIFS('Employee Detail FY22'!$AD$6:$AD$132,'Employee Detail FY22'!$B$6:$B$132,$B20,'Employee Detail FY22'!$C$6:$C$132,$C20,'Employee Detail FY22'!$E$6:$E$132,$E20,'Employee Detail FY22'!$F$6:$F$132,$F20,'Employee Detail FY22'!$G$6:$G$132,$G20)</f>
        <v>0</v>
      </c>
      <c r="AE20" s="62">
        <f>SUMIFS('Employee Detail FY22'!$AE$6:$AE$132,'Employee Detail FY22'!$B$6:$B$132,$B20,'Employee Detail FY22'!$C$6:$C$132,$C20,'Employee Detail FY22'!$E$6:$E$132,$E20,'Employee Detail FY22'!$F$6:$F$132,$F20,'Employee Detail FY22'!$G$6:$G$132,$G20)</f>
        <v>21486.917785270001</v>
      </c>
      <c r="AF20" s="62">
        <f>SUMIFS('Employee Detail FY22'!$AF$6:$AF$132,'Employee Detail FY22'!$B$6:$B$132,$B20,'Employee Detail FY22'!$C$6:$C$132,$C20,'Employee Detail FY22'!$E$6:$E$132,$E20,'Employee Detail FY22'!$F$6:$F$132,$F20,'Employee Detail FY22'!$G$6:$G$132,$G20)</f>
        <v>2010.0665024930004</v>
      </c>
      <c r="AG20" s="269">
        <v>0</v>
      </c>
      <c r="AH20" s="62">
        <f>SUMIFS('Employee Detail FY22'!$AH$6:$AH$132,'Employee Detail FY22'!$B$6:$B$132,$B20,'Employee Detail FY22'!$C$6:$C$132,$C20,'Employee Detail FY22'!$E$6:$E$132,$E20,'Employee Detail FY22'!$F$6:$F$132,$F20,'Employee Detail FY22'!$G$6:$G$132,$G20)</f>
        <v>1261.8138553749861</v>
      </c>
      <c r="AI20" s="62">
        <f>SUMIFS('Employee Detail FY22'!$AI$6:$AI$132,'Employee Detail FY22'!$B$6:$B$132,$B20,'Employee Detail FY22'!$C$6:$C$132,$C20,'Employee Detail FY22'!$E$6:$E$132,$E20,'Employee Detail FY22'!$F$6:$F$132,$F20,'Employee Detail FY22'!$G$6:$G$132,$G20)</f>
        <v>280.14942345382599</v>
      </c>
      <c r="AJ20" s="62">
        <v>0</v>
      </c>
      <c r="AK20" s="62">
        <v>0</v>
      </c>
      <c r="AL20" s="256">
        <f t="shared" si="11"/>
        <v>40926.467566591811</v>
      </c>
      <c r="AM20" s="256">
        <f t="shared" si="12"/>
        <v>138625.27603400001</v>
      </c>
      <c r="AN20" s="256">
        <f t="shared" si="13"/>
        <v>179551.74360059181</v>
      </c>
    </row>
    <row r="21" spans="2:40" outlineLevel="1" x14ac:dyDescent="0.2">
      <c r="B21" s="647" t="s">
        <v>468</v>
      </c>
      <c r="C21" s="647" t="s">
        <v>145</v>
      </c>
      <c r="D21" s="647"/>
      <c r="E21" s="647" t="s">
        <v>468</v>
      </c>
      <c r="F21" s="647" t="s">
        <v>556</v>
      </c>
      <c r="G21" s="647" t="s">
        <v>167</v>
      </c>
      <c r="H21" s="647"/>
      <c r="AA21" s="256">
        <f>SUMIFS('Employee Detail FY22'!$AA$6:$AA$132,'Employee Detail FY22'!$B$6:$B$132,$B21,'Employee Detail FY22'!$C$6:$C$132,$C21,'Employee Detail FY22'!$E$6:$E$132,$E21,'Employee Detail FY22'!$F$6:$F$132,$F21,'Employee Detail FY22'!$G$6:$G$132,$G21)</f>
        <v>73312.697472</v>
      </c>
      <c r="AB21" s="62"/>
      <c r="AC21" s="399">
        <f>SUMIFS('Employee Detail FY22'!$AC$6:$AC$132,'Employee Detail FY22'!$B$6:$B$132,$B21,'Employee Detail FY22'!$C$6:$C$132,$C21,'Employee Detail FY22'!$E$6:$E$132,$E21,'Employee Detail FY22'!$F$6:$F$132,$F21,'Employee Detail FY22'!$G$6:$G$132,$G21)</f>
        <v>7943.76</v>
      </c>
      <c r="AD21" s="62">
        <f>SUMIFS('Employee Detail FY22'!$AD$6:$AD$132,'Employee Detail FY22'!$B$6:$B$132,$B21,'Employee Detail FY22'!$C$6:$C$132,$C21,'Employee Detail FY22'!$E$6:$E$132,$E21,'Employee Detail FY22'!$F$6:$F$132,$F21,'Employee Detail FY22'!$G$6:$G$132,$G21)</f>
        <v>0</v>
      </c>
      <c r="AE21" s="62">
        <f>SUMIFS('Employee Detail FY22'!$AE$6:$AE$132,'Employee Detail FY22'!$B$6:$B$132,$B21,'Employee Detail FY22'!$C$6:$C$132,$C21,'Employee Detail FY22'!$E$6:$E$132,$E21,'Employee Detail FY22'!$F$6:$F$132,$F21,'Employee Detail FY22'!$G$6:$G$132,$G21)</f>
        <v>11363.468108159999</v>
      </c>
      <c r="AF21" s="62">
        <f>SUMIFS('Employee Detail FY22'!$AF$6:$AF$132,'Employee Detail FY22'!$B$6:$B$132,$B21,'Employee Detail FY22'!$C$6:$C$132,$C21,'Employee Detail FY22'!$E$6:$E$132,$E21,'Employee Detail FY22'!$F$6:$F$132,$F21,'Employee Detail FY22'!$G$6:$G$132,$G21)</f>
        <v>1063.0341133440002</v>
      </c>
      <c r="AG21" s="269">
        <v>0</v>
      </c>
      <c r="AH21" s="62">
        <f>SUMIFS('Employee Detail FY22'!$AH$6:$AH$132,'Employee Detail FY22'!$B$6:$B$132,$B21,'Employee Detail FY22'!$C$6:$C$132,$C21,'Employee Detail FY22'!$E$6:$E$132,$E21,'Employee Detail FY22'!$F$6:$F$132,$F21,'Employee Detail FY22'!$G$6:$G$132,$G21)</f>
        <v>667.31681329453613</v>
      </c>
      <c r="AI21" s="62">
        <f>SUMIFS('Employee Detail FY22'!$AI$6:$AI$132,'Employee Detail FY22'!$B$6:$B$132,$B21,'Employee Detail FY22'!$C$6:$C$132,$C21,'Employee Detail FY22'!$E$6:$E$132,$E21,'Employee Detail FY22'!$F$6:$F$132,$F21,'Employee Detail FY22'!$G$6:$G$132,$G21)</f>
        <v>148.15847813776887</v>
      </c>
      <c r="AJ21" s="62">
        <v>0</v>
      </c>
      <c r="AK21" s="62">
        <v>0</v>
      </c>
      <c r="AL21" s="256">
        <f t="shared" si="11"/>
        <v>21185.737512936306</v>
      </c>
      <c r="AM21" s="256">
        <f t="shared" si="12"/>
        <v>73312.697472</v>
      </c>
      <c r="AN21" s="256">
        <f t="shared" si="13"/>
        <v>94498.434984936306</v>
      </c>
    </row>
    <row r="22" spans="2:40" outlineLevel="1" x14ac:dyDescent="0.2">
      <c r="B22" s="647"/>
      <c r="C22" s="647"/>
      <c r="D22" s="647"/>
      <c r="E22" s="647"/>
      <c r="F22" s="647"/>
      <c r="G22" s="647"/>
      <c r="H22" s="647"/>
      <c r="AA22" s="256">
        <f>SUMIFS('Employee Detail FY22'!$AA$6:$AA$132,'Employee Detail FY22'!$B$6:$B$132,$B22,'Employee Detail FY22'!$C$6:$C$132,$C22,'Employee Detail FY22'!$E$6:$E$132,$E22,'Employee Detail FY22'!$F$6:$F$132,$F22,'Employee Detail FY22'!$G$6:$G$132,$G22)</f>
        <v>0</v>
      </c>
      <c r="AB22" s="62"/>
      <c r="AC22" s="62">
        <f>SUMIFS('Employee Detail FY22'!$AC$6:$AC$132,'Employee Detail FY22'!$B$6:$B$132,$B22,'Employee Detail FY22'!$C$6:$C$132,$C22,'Employee Detail FY22'!$E$6:$E$132,$E22,'Employee Detail FY22'!$F$6:$F$132,$F22,'Employee Detail FY22'!$G$6:$G$132,$G22)</f>
        <v>0</v>
      </c>
      <c r="AD22" s="62">
        <f>SUMIFS('Employee Detail FY22'!$AD$6:$AD$132,'Employee Detail FY22'!$B$6:$B$132,$B22,'Employee Detail FY22'!$C$6:$C$132,$C22,'Employee Detail FY22'!$E$6:$E$132,$E22,'Employee Detail FY22'!$F$6:$F$132,$F22,'Employee Detail FY22'!$G$6:$G$132,$G22)</f>
        <v>0</v>
      </c>
      <c r="AE22" s="62">
        <f>SUMIFS('Employee Detail FY22'!$AE$6:$AE$132,'Employee Detail FY22'!$B$6:$B$132,$B22,'Employee Detail FY22'!$C$6:$C$132,$C22,'Employee Detail FY22'!$E$6:$E$132,$E22,'Employee Detail FY22'!$F$6:$F$132,$F22,'Employee Detail FY22'!$G$6:$G$132,$G22)</f>
        <v>0</v>
      </c>
      <c r="AF22" s="62">
        <f>SUMIFS('Employee Detail FY22'!$AF$6:$AF$132,'Employee Detail FY22'!$B$6:$B$132,$B22,'Employee Detail FY22'!$C$6:$C$132,$C22,'Employee Detail FY22'!$E$6:$E$132,$E22,'Employee Detail FY22'!$F$6:$F$132,$F22,'Employee Detail FY22'!$G$6:$G$132,$G22)</f>
        <v>0</v>
      </c>
      <c r="AG22" s="269">
        <v>0</v>
      </c>
      <c r="AH22" s="62">
        <f>SUMIFS('Employee Detail FY22'!$AH$6:$AH$132,'Employee Detail FY22'!$B$6:$B$132,$B22,'Employee Detail FY22'!$C$6:$C$132,$C22,'Employee Detail FY22'!$E$6:$E$132,$E22,'Employee Detail FY22'!$F$6:$F$132,$F22,'Employee Detail FY22'!$G$6:$G$132,$G22)</f>
        <v>0</v>
      </c>
      <c r="AI22" s="62">
        <f>SUMIFS('Employee Detail FY22'!$AI$6:$AI$132,'Employee Detail FY22'!$B$6:$B$132,$B22,'Employee Detail FY22'!$C$6:$C$132,$C22,'Employee Detail FY22'!$E$6:$E$132,$E22,'Employee Detail FY22'!$F$6:$F$132,$F22,'Employee Detail FY22'!$G$6:$G$132,$G22)</f>
        <v>0</v>
      </c>
      <c r="AJ22" s="62">
        <v>0</v>
      </c>
      <c r="AK22" s="62">
        <v>0</v>
      </c>
      <c r="AL22" s="256">
        <f t="shared" si="11"/>
        <v>0</v>
      </c>
      <c r="AM22" s="256">
        <f t="shared" si="12"/>
        <v>0</v>
      </c>
      <c r="AN22" s="256">
        <f t="shared" si="13"/>
        <v>0</v>
      </c>
    </row>
    <row r="23" spans="2:40" outlineLevel="1" x14ac:dyDescent="0.2">
      <c r="B23" s="647" t="s">
        <v>468</v>
      </c>
      <c r="C23" s="647" t="s">
        <v>145</v>
      </c>
      <c r="D23" s="647"/>
      <c r="E23" s="647" t="s">
        <v>468</v>
      </c>
      <c r="F23" s="647" t="s">
        <v>558</v>
      </c>
      <c r="G23" s="647" t="s">
        <v>173</v>
      </c>
      <c r="H23" s="647"/>
      <c r="AA23" s="256">
        <f>SUMIFS('Employee Detail FY22'!$AA$6:$AA$132,'Employee Detail FY22'!$B$6:$B$132,$B23,'Employee Detail FY22'!$C$6:$C$132,$C23,'Employee Detail FY22'!$E$6:$E$132,$E23,'Employee Detail FY22'!$F$6:$F$132,$F23,'Employee Detail FY22'!$G$6:$G$132,$G23)</f>
        <v>50757.784</v>
      </c>
      <c r="AB23" s="62"/>
      <c r="AC23" s="399">
        <f>SUMIFS('Employee Detail FY22'!$AC$6:$AC$132,'Employee Detail FY22'!$B$6:$B$132,$B23,'Employee Detail FY22'!$C$6:$C$132,$C23,'Employee Detail FY22'!$E$6:$E$132,$E23,'Employee Detail FY22'!$F$6:$F$132,$F23,'Employee Detail FY22'!$G$6:$G$132,$G23)</f>
        <v>7943.76</v>
      </c>
      <c r="AD23" s="62">
        <f>SUMIFS('Employee Detail FY22'!$AD$6:$AD$132,'Employee Detail FY22'!$B$6:$B$132,$B23,'Employee Detail FY22'!$C$6:$C$132,$C23,'Employee Detail FY22'!$E$6:$E$132,$E23,'Employee Detail FY22'!$F$6:$F$132,$F23,'Employee Detail FY22'!$G$6:$G$132,$G23)</f>
        <v>0</v>
      </c>
      <c r="AE23" s="62">
        <f>SUMIFS('Employee Detail FY22'!$AE$6:$AE$132,'Employee Detail FY22'!$B$6:$B$132,$B23,'Employee Detail FY22'!$C$6:$C$132,$C23,'Employee Detail FY22'!$E$6:$E$132,$E23,'Employee Detail FY22'!$F$6:$F$132,$F23,'Employee Detail FY22'!$G$6:$G$132,$G23)</f>
        <v>7867.4565199999997</v>
      </c>
      <c r="AF23" s="62">
        <f>SUMIFS('Employee Detail FY22'!$AF$6:$AF$132,'Employee Detail FY22'!$B$6:$B$132,$B23,'Employee Detail FY22'!$C$6:$C$132,$C23,'Employee Detail FY22'!$E$6:$E$132,$E23,'Employee Detail FY22'!$F$6:$F$132,$F23,'Employee Detail FY22'!$G$6:$G$132,$G23)</f>
        <v>735.98786800000005</v>
      </c>
      <c r="AG23" s="269">
        <v>0</v>
      </c>
      <c r="AH23" s="62">
        <f>SUMIFS('Employee Detail FY22'!$AH$6:$AH$132,'Employee Detail FY22'!$B$6:$B$132,$B23,'Employee Detail FY22'!$C$6:$C$132,$C23,'Employee Detail FY22'!$E$6:$E$132,$E23,'Employee Detail FY22'!$F$6:$F$132,$F23,'Employee Detail FY22'!$G$6:$G$132,$G23)</f>
        <v>462.01441001006401</v>
      </c>
      <c r="AI23" s="62">
        <f>SUMIFS('Employee Detail FY22'!$AI$6:$AI$132,'Employee Detail FY22'!$B$6:$B$132,$B23,'Employee Detail FY22'!$C$6:$C$132,$C23,'Employee Detail FY22'!$E$6:$E$132,$E23,'Employee Detail FY22'!$F$6:$F$132,$F23,'Employee Detail FY22'!$G$6:$G$132,$G23)</f>
        <v>102.57699266839487</v>
      </c>
      <c r="AJ23" s="62">
        <v>0</v>
      </c>
      <c r="AK23" s="62">
        <v>0</v>
      </c>
      <c r="AL23" s="256">
        <f t="shared" si="11"/>
        <v>17111.795790678454</v>
      </c>
      <c r="AM23" s="256">
        <f t="shared" si="12"/>
        <v>50757.784</v>
      </c>
      <c r="AN23" s="256">
        <f t="shared" si="13"/>
        <v>67869.579790678457</v>
      </c>
    </row>
    <row r="24" spans="2:40" outlineLevel="1" x14ac:dyDescent="0.2">
      <c r="B24" s="647"/>
      <c r="C24" s="647"/>
      <c r="D24" s="647"/>
      <c r="E24" s="647"/>
      <c r="F24" s="647"/>
      <c r="G24" s="647"/>
      <c r="H24" s="647"/>
      <c r="AA24" s="256">
        <f>SUMIFS('Employee Detail FY22'!$AA$6:$AA$132,'Employee Detail FY22'!$B$6:$B$132,$B24,'Employee Detail FY22'!$C$6:$C$132,$C24,'Employee Detail FY22'!$E$6:$E$132,$E24,'Employee Detail FY22'!$F$6:$F$132,$F24,'Employee Detail FY22'!$G$6:$G$132,$G24)</f>
        <v>0</v>
      </c>
      <c r="AB24" s="62"/>
      <c r="AC24" s="62">
        <f>SUMIFS('Employee Detail FY22'!$AC$6:$AC$132,'Employee Detail FY22'!$B$6:$B$132,$B24,'Employee Detail FY22'!$C$6:$C$132,$C24,'Employee Detail FY22'!$E$6:$E$132,$E24,'Employee Detail FY22'!$F$6:$F$132,$F24,'Employee Detail FY22'!$G$6:$G$132,$G24)</f>
        <v>0</v>
      </c>
      <c r="AD24" s="62">
        <f>SUMIFS('Employee Detail FY22'!$AD$6:$AD$132,'Employee Detail FY22'!$B$6:$B$132,$B24,'Employee Detail FY22'!$C$6:$C$132,$C24,'Employee Detail FY22'!$E$6:$E$132,$E24,'Employee Detail FY22'!$F$6:$F$132,$F24,'Employee Detail FY22'!$G$6:$G$132,$G24)</f>
        <v>0</v>
      </c>
      <c r="AE24" s="62">
        <f>SUMIFS('Employee Detail FY22'!$AE$6:$AE$132,'Employee Detail FY22'!$B$6:$B$132,$B24,'Employee Detail FY22'!$C$6:$C$132,$C24,'Employee Detail FY22'!$E$6:$E$132,$E24,'Employee Detail FY22'!$F$6:$F$132,$F24,'Employee Detail FY22'!$G$6:$G$132,$G24)</f>
        <v>0</v>
      </c>
      <c r="AF24" s="62">
        <f>SUMIFS('Employee Detail FY22'!$AF$6:$AF$132,'Employee Detail FY22'!$B$6:$B$132,$B24,'Employee Detail FY22'!$C$6:$C$132,$C24,'Employee Detail FY22'!$E$6:$E$132,$E24,'Employee Detail FY22'!$F$6:$F$132,$F24,'Employee Detail FY22'!$G$6:$G$132,$G24)</f>
        <v>0</v>
      </c>
      <c r="AG24" s="269">
        <v>0</v>
      </c>
      <c r="AH24" s="62">
        <f>SUMIFS('Employee Detail FY22'!$AH$6:$AH$132,'Employee Detail FY22'!$B$6:$B$132,$B24,'Employee Detail FY22'!$C$6:$C$132,$C24,'Employee Detail FY22'!$E$6:$E$132,$E24,'Employee Detail FY22'!$F$6:$F$132,$F24,'Employee Detail FY22'!$G$6:$G$132,$G24)</f>
        <v>0</v>
      </c>
      <c r="AI24" s="62">
        <f>SUMIFS('Employee Detail FY22'!$AI$6:$AI$132,'Employee Detail FY22'!$B$6:$B$132,$B24,'Employee Detail FY22'!$C$6:$C$132,$C24,'Employee Detail FY22'!$E$6:$E$132,$E24,'Employee Detail FY22'!$F$6:$F$132,$F24,'Employee Detail FY22'!$G$6:$G$132,$G24)</f>
        <v>0</v>
      </c>
      <c r="AJ24" s="62">
        <v>0</v>
      </c>
      <c r="AK24" s="62">
        <v>0</v>
      </c>
      <c r="AL24" s="256">
        <f t="shared" si="11"/>
        <v>0</v>
      </c>
      <c r="AM24" s="256">
        <f t="shared" si="12"/>
        <v>0</v>
      </c>
      <c r="AN24" s="256">
        <f t="shared" si="13"/>
        <v>0</v>
      </c>
    </row>
    <row r="25" spans="2:40" outlineLevel="1" x14ac:dyDescent="0.2">
      <c r="B25" s="647" t="s">
        <v>468</v>
      </c>
      <c r="C25" s="647" t="s">
        <v>145</v>
      </c>
      <c r="D25" s="647"/>
      <c r="E25" s="647" t="s">
        <v>468</v>
      </c>
      <c r="F25" s="647" t="s">
        <v>464</v>
      </c>
      <c r="G25" s="647" t="s">
        <v>165</v>
      </c>
      <c r="H25" s="647"/>
      <c r="AA25" s="256">
        <f>SUMIFS('Employee Detail FY22'!$AA$6:$AA$132,'Employee Detail FY22'!$B$6:$B$132,$B25,'Employee Detail FY22'!$C$6:$C$132,$C25,'Employee Detail FY22'!$E$6:$E$132,$E25,'Employee Detail FY22'!$F$6:$F$132,$F25,'Employee Detail FY22'!$G$6:$G$132,$G25)</f>
        <v>265740</v>
      </c>
      <c r="AB25" s="62"/>
      <c r="AC25" s="399">
        <f>SUMIFS('Employee Detail FY22'!$AC$6:$AC$132,'Employee Detail FY22'!$B$6:$B$132,$B25,'Employee Detail FY22'!$C$6:$C$132,$C25,'Employee Detail FY22'!$E$6:$E$132,$E25,'Employee Detail FY22'!$F$6:$F$132,$F25,'Employee Detail FY22'!$G$6:$G$132,$G25)</f>
        <v>15887.52</v>
      </c>
      <c r="AD25" s="62">
        <f>SUMIFS('Employee Detail FY22'!$AD$6:$AD$132,'Employee Detail FY22'!$B$6:$B$132,$B25,'Employee Detail FY22'!$C$6:$C$132,$C25,'Employee Detail FY22'!$E$6:$E$132,$E25,'Employee Detail FY22'!$F$6:$F$132,$F25,'Employee Detail FY22'!$G$6:$G$132,$G25)</f>
        <v>0</v>
      </c>
      <c r="AE25" s="62">
        <f>SUMIFS('Employee Detail FY22'!$AE$6:$AE$132,'Employee Detail FY22'!$B$6:$B$132,$B25,'Employee Detail FY22'!$C$6:$C$132,$C25,'Employee Detail FY22'!$E$6:$E$132,$E25,'Employee Detail FY22'!$F$6:$F$132,$F25,'Employee Detail FY22'!$G$6:$G$132,$G25)</f>
        <v>79057.649999999994</v>
      </c>
      <c r="AF25" s="62">
        <f>SUMIFS('Employee Detail FY22'!$AF$6:$AF$132,'Employee Detail FY22'!$B$6:$B$132,$B25,'Employee Detail FY22'!$C$6:$C$132,$C25,'Employee Detail FY22'!$E$6:$E$132,$E25,'Employee Detail FY22'!$F$6:$F$132,$F25,'Employee Detail FY22'!$G$6:$G$132,$G25)</f>
        <v>3853.2300000000005</v>
      </c>
      <c r="AG25" s="269">
        <v>0</v>
      </c>
      <c r="AH25" s="62">
        <f>SUMIFS('Employee Detail FY22'!$AH$6:$AH$132,'Employee Detail FY22'!$B$6:$B$132,$B25,'Employee Detail FY22'!$C$6:$C$132,$C25,'Employee Detail FY22'!$E$6:$E$132,$E25,'Employee Detail FY22'!$F$6:$F$132,$F25,'Employee Detail FY22'!$G$6:$G$132,$G25)</f>
        <v>2418.8547970509198</v>
      </c>
      <c r="AI25" s="62">
        <f>SUMIFS('Employee Detail FY22'!$AI$6:$AI$132,'Employee Detail FY22'!$B$6:$B$132,$B25,'Employee Detail FY22'!$C$6:$C$132,$C25,'Employee Detail FY22'!$E$6:$E$132,$E25,'Employee Detail FY22'!$F$6:$F$132,$F25,'Employee Detail FY22'!$G$6:$G$132,$G25)</f>
        <v>537.03703912092089</v>
      </c>
      <c r="AJ25" s="62">
        <v>0</v>
      </c>
      <c r="AK25" s="62">
        <v>0</v>
      </c>
      <c r="AL25" s="256">
        <f t="shared" si="11"/>
        <v>101754.29183617183</v>
      </c>
      <c r="AM25" s="256">
        <f t="shared" si="12"/>
        <v>265740</v>
      </c>
      <c r="AN25" s="256">
        <f t="shared" si="13"/>
        <v>367494.29183617182</v>
      </c>
    </row>
    <row r="26" spans="2:40" outlineLevel="1" x14ac:dyDescent="0.2">
      <c r="B26" s="647"/>
      <c r="C26" s="647"/>
      <c r="D26" s="647"/>
      <c r="E26" s="647"/>
      <c r="F26" s="647"/>
      <c r="G26" s="647"/>
      <c r="H26" s="647"/>
      <c r="AA26" s="256">
        <f>SUMIFS('Employee Detail FY22'!$AA$6:$AA$132,'Employee Detail FY22'!$B$6:$B$132,$B26,'Employee Detail FY22'!$C$6:$C$132,$C26,'Employee Detail FY22'!$E$6:$E$132,$E26,'Employee Detail FY22'!$F$6:$F$132,$F26,'Employee Detail FY22'!$G$6:$G$132,$G26)</f>
        <v>0</v>
      </c>
      <c r="AB26" s="62"/>
      <c r="AC26" s="62">
        <f>SUMIFS('Employee Detail FY22'!$AC$6:$AC$132,'Employee Detail FY22'!$B$6:$B$132,$B26,'Employee Detail FY22'!$C$6:$C$132,$C26,'Employee Detail FY22'!$E$6:$E$132,$E26,'Employee Detail FY22'!$F$6:$F$132,$F26,'Employee Detail FY22'!$G$6:$G$132,$G26)</f>
        <v>0</v>
      </c>
      <c r="AD26" s="62">
        <f>SUMIFS('Employee Detail FY22'!$AD$6:$AD$132,'Employee Detail FY22'!$B$6:$B$132,$B26,'Employee Detail FY22'!$C$6:$C$132,$C26,'Employee Detail FY22'!$E$6:$E$132,$E26,'Employee Detail FY22'!$F$6:$F$132,$F26,'Employee Detail FY22'!$G$6:$G$132,$G26)</f>
        <v>0</v>
      </c>
      <c r="AE26" s="62">
        <f>SUMIFS('Employee Detail FY22'!$AE$6:$AE$132,'Employee Detail FY22'!$B$6:$B$132,$B26,'Employee Detail FY22'!$C$6:$C$132,$C26,'Employee Detail FY22'!$E$6:$E$132,$E26,'Employee Detail FY22'!$F$6:$F$132,$F26,'Employee Detail FY22'!$G$6:$G$132,$G26)</f>
        <v>0</v>
      </c>
      <c r="AF26" s="62">
        <f>SUMIFS('Employee Detail FY22'!$AF$6:$AF$132,'Employee Detail FY22'!$B$6:$B$132,$B26,'Employee Detail FY22'!$C$6:$C$132,$C26,'Employee Detail FY22'!$E$6:$E$132,$E26,'Employee Detail FY22'!$F$6:$F$132,$F26,'Employee Detail FY22'!$G$6:$G$132,$G26)</f>
        <v>0</v>
      </c>
      <c r="AG26" s="269">
        <v>0</v>
      </c>
      <c r="AH26" s="62">
        <f>SUMIFS('Employee Detail FY22'!$AH$6:$AH$132,'Employee Detail FY22'!$B$6:$B$132,$B26,'Employee Detail FY22'!$C$6:$C$132,$C26,'Employee Detail FY22'!$E$6:$E$132,$E26,'Employee Detail FY22'!$F$6:$F$132,$F26,'Employee Detail FY22'!$G$6:$G$132,$G26)</f>
        <v>0</v>
      </c>
      <c r="AI26" s="62">
        <f>SUMIFS('Employee Detail FY22'!$AI$6:$AI$132,'Employee Detail FY22'!$B$6:$B$132,$B26,'Employee Detail FY22'!$C$6:$C$132,$C26,'Employee Detail FY22'!$E$6:$E$132,$E26,'Employee Detail FY22'!$F$6:$F$132,$F26,'Employee Detail FY22'!$G$6:$G$132,$G26)</f>
        <v>0</v>
      </c>
      <c r="AJ26" s="62">
        <v>0</v>
      </c>
      <c r="AK26" s="62">
        <v>0</v>
      </c>
      <c r="AL26" s="256">
        <f t="shared" si="11"/>
        <v>0</v>
      </c>
      <c r="AM26" s="256">
        <f t="shared" si="12"/>
        <v>0</v>
      </c>
      <c r="AN26" s="256">
        <f t="shared" si="13"/>
        <v>0</v>
      </c>
    </row>
    <row r="27" spans="2:40" outlineLevel="1" x14ac:dyDescent="0.2">
      <c r="B27" s="647" t="s">
        <v>468</v>
      </c>
      <c r="C27" s="647" t="s">
        <v>145</v>
      </c>
      <c r="D27" s="647"/>
      <c r="E27" s="647" t="s">
        <v>468</v>
      </c>
      <c r="F27" s="647" t="s">
        <v>460</v>
      </c>
      <c r="G27" s="647" t="s">
        <v>173</v>
      </c>
      <c r="H27" s="647"/>
      <c r="AA27" s="256">
        <f>SUMIFS('Employee Detail FY22'!$AA$6:$AA$132,'Employee Detail FY22'!$B$6:$B$132,$B27,'Employee Detail FY22'!$C$6:$C$132,$C27,'Employee Detail FY22'!$E$6:$E$132,$E27,'Employee Detail FY22'!$F$6:$F$132,$F27,'Employee Detail FY22'!$G$6:$G$132,$G27)</f>
        <v>142002.122</v>
      </c>
      <c r="AB27" s="62"/>
      <c r="AC27" s="399">
        <f>SUMIFS('Employee Detail FY22'!$AC$6:$AC$132,'Employee Detail FY22'!$B$6:$B$132,$B27,'Employee Detail FY22'!$C$6:$C$132,$C27,'Employee Detail FY22'!$E$6:$E$132,$E27,'Employee Detail FY22'!$F$6:$F$132,$F27,'Employee Detail FY22'!$G$6:$G$132,$G27)</f>
        <v>35746.92</v>
      </c>
      <c r="AD27" s="62">
        <f>SUMIFS('Employee Detail FY22'!$AD$6:$AD$132,'Employee Detail FY22'!$B$6:$B$132,$B27,'Employee Detail FY22'!$C$6:$C$132,$C27,'Employee Detail FY22'!$E$6:$E$132,$E27,'Employee Detail FY22'!$F$6:$F$132,$F27,'Employee Detail FY22'!$G$6:$G$132,$G27)</f>
        <v>0</v>
      </c>
      <c r="AE27" s="62">
        <f>SUMIFS('Employee Detail FY22'!$AE$6:$AE$132,'Employee Detail FY22'!$B$6:$B$132,$B27,'Employee Detail FY22'!$C$6:$C$132,$C27,'Employee Detail FY22'!$E$6:$E$132,$E27,'Employee Detail FY22'!$F$6:$F$132,$F27,'Employee Detail FY22'!$G$6:$G$132,$G27)</f>
        <v>29587.908909999998</v>
      </c>
      <c r="AF27" s="62">
        <f>SUMIFS('Employee Detail FY22'!$AF$6:$AF$132,'Employee Detail FY22'!$B$6:$B$132,$B27,'Employee Detail FY22'!$C$6:$C$132,$C27,'Employee Detail FY22'!$E$6:$E$132,$E27,'Employee Detail FY22'!$F$6:$F$132,$F27,'Employee Detail FY22'!$G$6:$G$132,$G27)</f>
        <v>2059.030769</v>
      </c>
      <c r="AG27" s="269">
        <v>0</v>
      </c>
      <c r="AH27" s="62">
        <f>SUMIFS('Employee Detail FY22'!$AH$6:$AH$132,'Employee Detail FY22'!$B$6:$B$132,$B27,'Employee Detail FY22'!$C$6:$C$132,$C27,'Employee Detail FY22'!$E$6:$E$132,$E27,'Employee Detail FY22'!$F$6:$F$132,$F27,'Employee Detail FY22'!$G$6:$G$132,$G27)</f>
        <v>1292.5510423387893</v>
      </c>
      <c r="AI27" s="62">
        <f>SUMIFS('Employee Detail FY22'!$AI$6:$AI$132,'Employee Detail FY22'!$B$6:$B$132,$B27,'Employee Detail FY22'!$C$6:$C$132,$C27,'Employee Detail FY22'!$E$6:$E$132,$E27,'Employee Detail FY22'!$F$6:$F$132,$F27,'Employee Detail FY22'!$G$6:$G$132,$G27)</f>
        <v>286.97373051767806</v>
      </c>
      <c r="AJ27" s="62">
        <v>0</v>
      </c>
      <c r="AK27" s="62">
        <v>0</v>
      </c>
      <c r="AL27" s="256">
        <f t="shared" si="11"/>
        <v>68973.384451856473</v>
      </c>
      <c r="AM27" s="256">
        <f t="shared" si="12"/>
        <v>142002.122</v>
      </c>
      <c r="AN27" s="256">
        <f t="shared" si="13"/>
        <v>210975.50645185646</v>
      </c>
    </row>
    <row r="28" spans="2:40" outlineLevel="1" x14ac:dyDescent="0.2">
      <c r="B28" s="647" t="s">
        <v>135</v>
      </c>
      <c r="C28" s="647" t="s">
        <v>923</v>
      </c>
      <c r="D28" s="647"/>
      <c r="E28" s="647">
        <v>100</v>
      </c>
      <c r="F28" s="647" t="s">
        <v>460</v>
      </c>
      <c r="G28" s="647" t="s">
        <v>173</v>
      </c>
      <c r="H28" s="647"/>
      <c r="AA28" s="256">
        <f>SUMIFS('Employee Detail FY22'!$AA$6:$AA$132,'Employee Detail FY22'!$B$6:$B$132,$B28,'Employee Detail FY22'!$C$6:$C$132,$C28,'Employee Detail FY22'!$E$6:$E$132,$E28,'Employee Detail FY22'!$F$6:$F$132,$F28,'Employee Detail FY22'!$G$6:$G$132,$G28)</f>
        <v>58893</v>
      </c>
      <c r="AB28" s="62"/>
      <c r="AC28" s="399">
        <f>SUMIFS('Employee Detail FY22'!$AC$6:$AC$132,'Employee Detail FY22'!$B$6:$B$132,$B28,'Employee Detail FY22'!$C$6:$C$132,$C28,'Employee Detail FY22'!$E$6:$E$132,$E28,'Employee Detail FY22'!$F$6:$F$132,$F28,'Employee Detail FY22'!$G$6:$G$132,$G28)</f>
        <v>7943.76</v>
      </c>
      <c r="AD28" s="62">
        <f>SUMIFS('Employee Detail FY22'!$AD$6:$AD$132,'Employee Detail FY22'!$B$6:$B$132,$B28,'Employee Detail FY22'!$C$6:$C$132,$C28,'Employee Detail FY22'!$E$6:$E$132,$E28,'Employee Detail FY22'!$F$6:$F$132,$F28,'Employee Detail FY22'!$G$6:$G$132,$G28)</f>
        <v>0</v>
      </c>
      <c r="AE28" s="62">
        <f>SUMIFS('Employee Detail FY22'!$AE$6:$AE$132,'Employee Detail FY22'!$B$6:$B$132,$B28,'Employee Detail FY22'!$C$6:$C$132,$C28,'Employee Detail FY22'!$E$6:$E$132,$E28,'Employee Detail FY22'!$F$6:$F$132,$F28,'Employee Detail FY22'!$G$6:$G$132,$G28)</f>
        <v>17520.6675</v>
      </c>
      <c r="AF28" s="62">
        <f>SUMIFS('Employee Detail FY22'!$AF$6:$AF$132,'Employee Detail FY22'!$B$6:$B$132,$B28,'Employee Detail FY22'!$C$6:$C$132,$C28,'Employee Detail FY22'!$E$6:$E$132,$E28,'Employee Detail FY22'!$F$6:$F$132,$F28,'Employee Detail FY22'!$G$6:$G$132,$G28)</f>
        <v>853.94850000000008</v>
      </c>
      <c r="AG28" s="269">
        <v>0</v>
      </c>
      <c r="AH28" s="62">
        <f>SUMIFS('Employee Detail FY22'!$AH$6:$AH$132,'Employee Detail FY22'!$B$6:$B$132,$B28,'Employee Detail FY22'!$C$6:$C$132,$C28,'Employee Detail FY22'!$E$6:$E$132,$E28,'Employee Detail FY22'!$F$6:$F$132,$F28,'Employee Detail FY22'!$G$6:$G$132,$G28)</f>
        <v>536.06388034439601</v>
      </c>
      <c r="AI28" s="62">
        <f>SUMIFS('Employee Detail FY22'!$AI$6:$AI$132,'Employee Detail FY22'!$B$6:$B$132,$B28,'Employee Detail FY22'!$C$6:$C$132,$C28,'Employee Detail FY22'!$E$6:$E$132,$E28,'Employee Detail FY22'!$F$6:$F$132,$F28,'Employee Detail FY22'!$G$6:$G$132,$G28)</f>
        <v>119.01754476160305</v>
      </c>
      <c r="AJ28" s="62">
        <v>0</v>
      </c>
      <c r="AK28" s="62">
        <v>0</v>
      </c>
      <c r="AL28" s="256">
        <f t="shared" si="11"/>
        <v>26973.457425105993</v>
      </c>
      <c r="AM28" s="256">
        <f t="shared" si="12"/>
        <v>58893</v>
      </c>
      <c r="AN28" s="256">
        <f t="shared" si="13"/>
        <v>85866.457425105997</v>
      </c>
    </row>
    <row r="29" spans="2:40" outlineLevel="1" x14ac:dyDescent="0.2">
      <c r="B29" s="647"/>
      <c r="C29" s="647"/>
      <c r="D29" s="647"/>
      <c r="E29" s="647"/>
      <c r="F29" s="647"/>
      <c r="G29" s="647"/>
      <c r="H29" s="647"/>
      <c r="AA29" s="256">
        <f>SUMIFS('Employee Detail FY22'!$AA$6:$AA$132,'Employee Detail FY22'!$B$6:$B$132,$B29,'Employee Detail FY22'!$C$6:$C$132,$C29,'Employee Detail FY22'!$E$6:$E$132,$E29,'Employee Detail FY22'!$F$6:$F$132,$F29,'Employee Detail FY22'!$G$6:$G$132,$G29)</f>
        <v>0</v>
      </c>
      <c r="AB29" s="62"/>
      <c r="AC29" s="62">
        <f>SUMIFS('Employee Detail FY22'!$AC$6:$AC$132,'Employee Detail FY22'!$B$6:$B$132,$B29,'Employee Detail FY22'!$C$6:$C$132,$C29,'Employee Detail FY22'!$E$6:$E$132,$E29,'Employee Detail FY22'!$F$6:$F$132,$F29,'Employee Detail FY22'!$G$6:$G$132,$G29)</f>
        <v>0</v>
      </c>
      <c r="AD29" s="62">
        <f>SUMIFS('Employee Detail FY22'!$AD$6:$AD$132,'Employee Detail FY22'!$B$6:$B$132,$B29,'Employee Detail FY22'!$C$6:$C$132,$C29,'Employee Detail FY22'!$E$6:$E$132,$E29,'Employee Detail FY22'!$F$6:$F$132,$F29,'Employee Detail FY22'!$G$6:$G$132,$G29)</f>
        <v>0</v>
      </c>
      <c r="AE29" s="62">
        <f>SUMIFS('Employee Detail FY22'!$AE$6:$AE$132,'Employee Detail FY22'!$B$6:$B$132,$B29,'Employee Detail FY22'!$C$6:$C$132,$C29,'Employee Detail FY22'!$E$6:$E$132,$E29,'Employee Detail FY22'!$F$6:$F$132,$F29,'Employee Detail FY22'!$G$6:$G$132,$G29)</f>
        <v>0</v>
      </c>
      <c r="AF29" s="62">
        <f>SUMIFS('Employee Detail FY22'!$AF$6:$AF$132,'Employee Detail FY22'!$B$6:$B$132,$B29,'Employee Detail FY22'!$C$6:$C$132,$C29,'Employee Detail FY22'!$E$6:$E$132,$E29,'Employee Detail FY22'!$F$6:$F$132,$F29,'Employee Detail FY22'!$G$6:$G$132,$G29)</f>
        <v>0</v>
      </c>
      <c r="AG29" s="269">
        <v>0</v>
      </c>
      <c r="AH29" s="62">
        <f>SUMIFS('Employee Detail FY22'!$AH$6:$AH$132,'Employee Detail FY22'!$B$6:$B$132,$B29,'Employee Detail FY22'!$C$6:$C$132,$C29,'Employee Detail FY22'!$E$6:$E$132,$E29,'Employee Detail FY22'!$F$6:$F$132,$F29,'Employee Detail FY22'!$G$6:$G$132,$G29)</f>
        <v>0</v>
      </c>
      <c r="AI29" s="62">
        <f>SUMIFS('Employee Detail FY22'!$AI$6:$AI$132,'Employee Detail FY22'!$B$6:$B$132,$B29,'Employee Detail FY22'!$C$6:$C$132,$C29,'Employee Detail FY22'!$E$6:$E$132,$E29,'Employee Detail FY22'!$F$6:$F$132,$F29,'Employee Detail FY22'!$G$6:$G$132,$G29)</f>
        <v>0</v>
      </c>
      <c r="AJ29" s="62">
        <v>0</v>
      </c>
      <c r="AK29" s="62">
        <v>0</v>
      </c>
      <c r="AL29" s="256">
        <f t="shared" si="11"/>
        <v>0</v>
      </c>
      <c r="AM29" s="256">
        <f t="shared" si="12"/>
        <v>0</v>
      </c>
      <c r="AN29" s="256">
        <f t="shared" si="13"/>
        <v>0</v>
      </c>
    </row>
    <row r="30" spans="2:40" outlineLevel="1" x14ac:dyDescent="0.2">
      <c r="B30" s="647" t="s">
        <v>468</v>
      </c>
      <c r="C30" s="647" t="s">
        <v>145</v>
      </c>
      <c r="D30" s="647"/>
      <c r="E30" s="647" t="s">
        <v>468</v>
      </c>
      <c r="F30" s="647" t="s">
        <v>458</v>
      </c>
      <c r="G30" s="647" t="s">
        <v>171</v>
      </c>
      <c r="H30" s="647"/>
      <c r="AA30" s="256">
        <f>SUMIFS('Employee Detail FY22'!$AA$6:$AA$132,'Employee Detail FY22'!$B$6:$B$132,$B30,'Employee Detail FY22'!$C$6:$C$132,$C30,'Employee Detail FY22'!$E$6:$E$132,$E30,'Employee Detail FY22'!$F$6:$F$132,$F30,'Employee Detail FY22'!$G$6:$G$132,$G30)</f>
        <v>98500</v>
      </c>
      <c r="AB30" s="62"/>
      <c r="AC30" s="399">
        <f>SUMIFS('Employee Detail FY22'!$AC$6:$AC$132,'Employee Detail FY22'!$B$6:$B$132,$B30,'Employee Detail FY22'!$C$6:$C$132,$C30,'Employee Detail FY22'!$E$6:$E$132,$E30,'Employee Detail FY22'!$F$6:$F$132,$F30,'Employee Detail FY22'!$G$6:$G$132,$G30)</f>
        <v>7943.76</v>
      </c>
      <c r="AD30" s="62">
        <f>SUMIFS('Employee Detail FY22'!$AD$6:$AD$132,'Employee Detail FY22'!$B$6:$B$132,$B30,'Employee Detail FY22'!$C$6:$C$132,$C30,'Employee Detail FY22'!$E$6:$E$132,$E30,'Employee Detail FY22'!$F$6:$F$132,$F30,'Employee Detail FY22'!$G$6:$G$132,$G30)</f>
        <v>0</v>
      </c>
      <c r="AE30" s="62">
        <f>SUMIFS('Employee Detail FY22'!$AE$6:$AE$132,'Employee Detail FY22'!$B$6:$B$132,$B30,'Employee Detail FY22'!$C$6:$C$132,$C30,'Employee Detail FY22'!$E$6:$E$132,$E30,'Employee Detail FY22'!$F$6:$F$132,$F30,'Employee Detail FY22'!$G$6:$G$132,$G30)</f>
        <v>29303.75</v>
      </c>
      <c r="AF30" s="62">
        <f>SUMIFS('Employee Detail FY22'!$AF$6:$AF$132,'Employee Detail FY22'!$B$6:$B$132,$B30,'Employee Detail FY22'!$C$6:$C$132,$C30,'Employee Detail FY22'!$E$6:$E$132,$E30,'Employee Detail FY22'!$F$6:$F$132,$F30,'Employee Detail FY22'!$G$6:$G$132,$G30)</f>
        <v>1428.25</v>
      </c>
      <c r="AG30" s="269">
        <v>0</v>
      </c>
      <c r="AH30" s="62">
        <f>SUMIFS('Employee Detail FY22'!$AH$6:$AH$132,'Employee Detail FY22'!$B$6:$B$132,$B30,'Employee Detail FY22'!$C$6:$C$132,$C30,'Employee Detail FY22'!$E$6:$E$132,$E30,'Employee Detail FY22'!$F$6:$F$132,$F30,'Employee Detail FY22'!$G$6:$G$132,$G30)</f>
        <v>896.5801065308782</v>
      </c>
      <c r="AI30" s="62">
        <f>SUMIFS('Employee Detail FY22'!$AI$6:$AI$132,'Employee Detail FY22'!$B$6:$B$132,$B30,'Employee Detail FY22'!$C$6:$C$132,$C30,'Employee Detail FY22'!$E$6:$E$132,$E30,'Employee Detail FY22'!$F$6:$F$132,$F30,'Employee Detail FY22'!$G$6:$G$132,$G30)</f>
        <v>199.05978909238618</v>
      </c>
      <c r="AJ30" s="62">
        <v>0</v>
      </c>
      <c r="AK30" s="62">
        <v>0</v>
      </c>
      <c r="AL30" s="256">
        <f t="shared" si="11"/>
        <v>39771.399895623268</v>
      </c>
      <c r="AM30" s="256">
        <f t="shared" si="12"/>
        <v>98500</v>
      </c>
      <c r="AN30" s="256">
        <f t="shared" si="13"/>
        <v>138271.39989562327</v>
      </c>
    </row>
    <row r="31" spans="2:40" outlineLevel="1" x14ac:dyDescent="0.2">
      <c r="B31" s="647" t="s">
        <v>468</v>
      </c>
      <c r="C31" s="647" t="s">
        <v>145</v>
      </c>
      <c r="D31" s="647"/>
      <c r="E31" s="647" t="s">
        <v>468</v>
      </c>
      <c r="F31" s="647" t="s">
        <v>479</v>
      </c>
      <c r="G31" s="647" t="s">
        <v>173</v>
      </c>
      <c r="H31" s="647"/>
      <c r="AA31" s="256">
        <f>SUMIFS('Employee Detail FY22'!$AA$6:$AA$132,'Employee Detail FY22'!$B$6:$B$132,$B31,'Employee Detail FY22'!$C$6:$C$132,$C31,'Employee Detail FY22'!$E$6:$E$132,$E31,'Employee Detail FY22'!$F$6:$F$132,$F31,'Employee Detail FY22'!$G$6:$G$132,$G31)</f>
        <v>50000</v>
      </c>
      <c r="AB31" s="62"/>
      <c r="AC31" s="399">
        <f>SUMIFS('Employee Detail FY22'!$AC$6:$AC$132,'Employee Detail FY22'!$B$6:$B$132,$B31,'Employee Detail FY22'!$C$6:$C$132,$C31,'Employee Detail FY22'!$E$6:$E$132,$E31,'Employee Detail FY22'!$F$6:$F$132,$F31,'Employee Detail FY22'!$G$6:$G$132,$G31)</f>
        <v>7943.76</v>
      </c>
      <c r="AD31" s="62">
        <f>SUMIFS('Employee Detail FY22'!$AD$6:$AD$132,'Employee Detail FY22'!$B$6:$B$132,$B31,'Employee Detail FY22'!$C$6:$C$132,$C31,'Employee Detail FY22'!$E$6:$E$132,$E31,'Employee Detail FY22'!$F$6:$F$132,$F31,'Employee Detail FY22'!$G$6:$G$132,$G31)</f>
        <v>0</v>
      </c>
      <c r="AE31" s="62">
        <f>SUMIFS('Employee Detail FY22'!$AE$6:$AE$132,'Employee Detail FY22'!$B$6:$B$132,$B31,'Employee Detail FY22'!$C$6:$C$132,$C31,'Employee Detail FY22'!$E$6:$E$132,$E31,'Employee Detail FY22'!$F$6:$F$132,$F31,'Employee Detail FY22'!$G$6:$G$132,$G31)</f>
        <v>14875</v>
      </c>
      <c r="AF31" s="62">
        <f>SUMIFS('Employee Detail FY22'!$AF$6:$AF$132,'Employee Detail FY22'!$B$6:$B$132,$B31,'Employee Detail FY22'!$C$6:$C$132,$C31,'Employee Detail FY22'!$E$6:$E$132,$E31,'Employee Detail FY22'!$F$6:$F$132,$F31,'Employee Detail FY22'!$G$6:$G$132,$G31)</f>
        <v>725</v>
      </c>
      <c r="AG31" s="269">
        <v>0</v>
      </c>
      <c r="AH31" s="62">
        <f>SUMIFS('Employee Detail FY22'!$AH$6:$AH$132,'Employee Detail FY22'!$B$6:$B$132,$B31,'Employee Detail FY22'!$C$6:$C$132,$C31,'Employee Detail FY22'!$E$6:$E$132,$E31,'Employee Detail FY22'!$F$6:$F$132,$F31,'Employee Detail FY22'!$G$6:$G$132,$G31)</f>
        <v>455.11680534562345</v>
      </c>
      <c r="AI31" s="62">
        <f>SUMIFS('Employee Detail FY22'!$AI$6:$AI$132,'Employee Detail FY22'!$B$6:$B$132,$B31,'Employee Detail FY22'!$C$6:$C$132,$C31,'Employee Detail FY22'!$E$6:$E$132,$E31,'Employee Detail FY22'!$F$6:$F$132,$F31,'Employee Detail FY22'!$G$6:$G$132,$G31)</f>
        <v>101.04557821948538</v>
      </c>
      <c r="AJ31" s="62">
        <v>0</v>
      </c>
      <c r="AK31" s="62">
        <v>0</v>
      </c>
      <c r="AL31" s="256">
        <f t="shared" si="11"/>
        <v>24099.92238356511</v>
      </c>
      <c r="AM31" s="256">
        <f t="shared" si="12"/>
        <v>50000</v>
      </c>
      <c r="AN31" s="256">
        <f t="shared" si="13"/>
        <v>74099.922383565106</v>
      </c>
    </row>
    <row r="32" spans="2:40" outlineLevel="1" x14ac:dyDescent="0.2">
      <c r="B32" s="647" t="s">
        <v>468</v>
      </c>
      <c r="C32" s="647" t="s">
        <v>145</v>
      </c>
      <c r="D32" s="647"/>
      <c r="E32" s="647" t="s">
        <v>468</v>
      </c>
      <c r="F32" s="647" t="s">
        <v>459</v>
      </c>
      <c r="G32" s="647" t="s">
        <v>173</v>
      </c>
      <c r="H32" s="647"/>
      <c r="AA32" s="256">
        <f>SUMIFS('Employee Detail FY22'!$AA$6:$AA$132,'Employee Detail FY22'!$B$6:$B$132,$B32,'Employee Detail FY22'!$C$6:$C$132,$C32,'Employee Detail FY22'!$E$6:$E$132,$E32,'Employee Detail FY22'!$F$6:$F$132,$F32,'Employee Detail FY22'!$G$6:$G$132,$G32)</f>
        <v>102669.15399999999</v>
      </c>
      <c r="AB32" s="62"/>
      <c r="AC32" s="399">
        <f>SUMIFS('Employee Detail FY22'!$AC$6:$AC$132,'Employee Detail FY22'!$B$6:$B$132,$B32,'Employee Detail FY22'!$C$6:$C$132,$C32,'Employee Detail FY22'!$E$6:$E$132,$E32,'Employee Detail FY22'!$F$6:$F$132,$F32,'Employee Detail FY22'!$G$6:$G$132,$G32)</f>
        <v>7943.76</v>
      </c>
      <c r="AD32" s="62">
        <f>SUMIFS('Employee Detail FY22'!$AD$6:$AD$132,'Employee Detail FY22'!$B$6:$B$132,$B32,'Employee Detail FY22'!$C$6:$C$132,$C32,'Employee Detail FY22'!$E$6:$E$132,$E32,'Employee Detail FY22'!$F$6:$F$132,$F32,'Employee Detail FY22'!$G$6:$G$132,$G32)</f>
        <v>0</v>
      </c>
      <c r="AE32" s="62">
        <f>SUMIFS('Employee Detail FY22'!$AE$6:$AE$132,'Employee Detail FY22'!$B$6:$B$132,$B32,'Employee Detail FY22'!$C$6:$C$132,$C32,'Employee Detail FY22'!$E$6:$E$132,$E32,'Employee Detail FY22'!$F$6:$F$132,$F32,'Employee Detail FY22'!$G$6:$G$132,$G32)</f>
        <v>15913.718869999999</v>
      </c>
      <c r="AF32" s="62">
        <f>SUMIFS('Employee Detail FY22'!$AF$6:$AF$132,'Employee Detail FY22'!$B$6:$B$132,$B32,'Employee Detail FY22'!$C$6:$C$132,$C32,'Employee Detail FY22'!$E$6:$E$132,$E32,'Employee Detail FY22'!$F$6:$F$132,$F32,'Employee Detail FY22'!$G$6:$G$132,$G32)</f>
        <v>1488.7027330000001</v>
      </c>
      <c r="AG32" s="269">
        <v>0</v>
      </c>
      <c r="AH32" s="62">
        <f>SUMIFS('Employee Detail FY22'!$AH$6:$AH$132,'Employee Detail FY22'!$B$6:$B$132,$B32,'Employee Detail FY22'!$C$6:$C$132,$C32,'Employee Detail FY22'!$E$6:$E$132,$E32,'Employee Detail FY22'!$F$6:$F$132,$F32,'Employee Detail FY22'!$G$6:$G$132,$G32)</f>
        <v>934.52914752035667</v>
      </c>
      <c r="AI32" s="62">
        <f>SUMIFS('Employee Detail FY22'!$AI$6:$AI$132,'Employee Detail FY22'!$B$6:$B$132,$B32,'Employee Detail FY22'!$C$6:$C$132,$C32,'Employee Detail FY22'!$E$6:$E$132,$E32,'Employee Detail FY22'!$F$6:$F$132,$F32,'Employee Detail FY22'!$G$6:$G$132,$G32)</f>
        <v>207.4852806247078</v>
      </c>
      <c r="AJ32" s="62">
        <v>0</v>
      </c>
      <c r="AK32" s="62">
        <v>0</v>
      </c>
      <c r="AL32" s="256">
        <f t="shared" si="11"/>
        <v>26488.19603114506</v>
      </c>
      <c r="AM32" s="256">
        <f t="shared" si="12"/>
        <v>102669.15399999999</v>
      </c>
      <c r="AN32" s="256">
        <f t="shared" si="13"/>
        <v>129157.35003114506</v>
      </c>
    </row>
    <row r="33" spans="1:40" outlineLevel="1" x14ac:dyDescent="0.2">
      <c r="A33" s="397"/>
      <c r="B33" s="650"/>
      <c r="C33" s="650"/>
      <c r="D33" s="650"/>
      <c r="E33" s="650"/>
      <c r="F33" s="650"/>
      <c r="G33" s="650"/>
      <c r="H33" s="647"/>
      <c r="AA33" s="256">
        <f>SUMIFS('Employee Detail FY22'!$AA$6:$AA$132,'Employee Detail FY22'!$B$6:$B$132,$B33,'Employee Detail FY22'!$C$6:$C$132,$C33,'Employee Detail FY22'!$E$6:$E$132,$E33,'Employee Detail FY22'!$F$6:$F$132,$F33,'Employee Detail FY22'!$G$6:$G$132,$G33)</f>
        <v>0</v>
      </c>
      <c r="AB33" s="62"/>
      <c r="AC33" s="62">
        <f>SUMIFS('Employee Detail FY22'!$AC$6:$AC$132,'Employee Detail FY22'!$B$6:$B$132,$B33,'Employee Detail FY22'!$C$6:$C$132,$C33,'Employee Detail FY22'!$E$6:$E$132,$E33,'Employee Detail FY22'!$F$6:$F$132,$F33,'Employee Detail FY22'!$G$6:$G$132,$G33)</f>
        <v>0</v>
      </c>
      <c r="AD33" s="62">
        <f>SUMIFS('Employee Detail FY22'!$AD$6:$AD$132,'Employee Detail FY22'!$B$6:$B$132,$B33,'Employee Detail FY22'!$C$6:$C$132,$C33,'Employee Detail FY22'!$E$6:$E$132,$E33,'Employee Detail FY22'!$F$6:$F$132,$F33,'Employee Detail FY22'!$G$6:$G$132,$G33)</f>
        <v>0</v>
      </c>
      <c r="AE33" s="62">
        <f>SUMIFS('Employee Detail FY22'!$AE$6:$AE$132,'Employee Detail FY22'!$B$6:$B$132,$B33,'Employee Detail FY22'!$C$6:$C$132,$C33,'Employee Detail FY22'!$E$6:$E$132,$E33,'Employee Detail FY22'!$F$6:$F$132,$F33,'Employee Detail FY22'!$G$6:$G$132,$G33)</f>
        <v>0</v>
      </c>
      <c r="AF33" s="62">
        <f>SUMIFS('Employee Detail FY22'!$AF$6:$AF$132,'Employee Detail FY22'!$B$6:$B$132,$B33,'Employee Detail FY22'!$C$6:$C$132,$C33,'Employee Detail FY22'!$E$6:$E$132,$E33,'Employee Detail FY22'!$F$6:$F$132,$F33,'Employee Detail FY22'!$G$6:$G$132,$G33)</f>
        <v>0</v>
      </c>
      <c r="AG33" s="269">
        <v>0</v>
      </c>
      <c r="AH33" s="62">
        <f>SUMIFS('Employee Detail FY22'!$AH$6:$AH$132,'Employee Detail FY22'!$B$6:$B$132,$B33,'Employee Detail FY22'!$C$6:$C$132,$C33,'Employee Detail FY22'!$E$6:$E$132,$E33,'Employee Detail FY22'!$F$6:$F$132,$F33,'Employee Detail FY22'!$G$6:$G$132,$G33)</f>
        <v>0</v>
      </c>
      <c r="AI33" s="62">
        <f>SUMIFS('Employee Detail FY22'!$AI$6:$AI$132,'Employee Detail FY22'!$B$6:$B$132,$B33,'Employee Detail FY22'!$C$6:$C$132,$C33,'Employee Detail FY22'!$E$6:$E$132,$E33,'Employee Detail FY22'!$F$6:$F$132,$F33,'Employee Detail FY22'!$G$6:$G$132,$G33)</f>
        <v>0</v>
      </c>
      <c r="AJ33" s="62">
        <v>0</v>
      </c>
      <c r="AK33" s="62">
        <v>0</v>
      </c>
      <c r="AL33" s="256">
        <f t="shared" si="11"/>
        <v>0</v>
      </c>
      <c r="AM33" s="256">
        <f t="shared" si="12"/>
        <v>0</v>
      </c>
      <c r="AN33" s="256">
        <f t="shared" si="13"/>
        <v>0</v>
      </c>
    </row>
    <row r="34" spans="1:40" outlineLevel="1" x14ac:dyDescent="0.2">
      <c r="B34" s="647" t="s">
        <v>462</v>
      </c>
      <c r="C34" s="647" t="s">
        <v>145</v>
      </c>
      <c r="D34" s="647"/>
      <c r="E34" s="647" t="s">
        <v>463</v>
      </c>
      <c r="F34" s="647">
        <v>1000</v>
      </c>
      <c r="G34" s="647" t="s">
        <v>161</v>
      </c>
      <c r="H34" s="647"/>
      <c r="AA34" s="256">
        <f>SUMIFS('Employee Detail FY22'!$AA$6:$AA$132,'Employee Detail FY22'!$B$6:$B$132,$B34,'Employee Detail FY22'!$C$6:$C$132,$C34,'Employee Detail FY22'!$E$6:$E$132,$E34,'Employee Detail FY22'!$F$6:$F$132,$F34,'Employee Detail FY22'!$G$6:$G$132,$G34)</f>
        <v>187866</v>
      </c>
      <c r="AB34" s="62"/>
      <c r="AC34" s="399">
        <f>SUMIFS('Employee Detail FY22'!$AC$6:$AC$132,'Employee Detail FY22'!$B$6:$B$132,$B34,'Employee Detail FY22'!$C$6:$C$132,$C34,'Employee Detail FY22'!$E$6:$E$132,$E34,'Employee Detail FY22'!$F$6:$F$132,$F34,'Employee Detail FY22'!$G$6:$G$132,$G34)</f>
        <v>23831.279999999999</v>
      </c>
      <c r="AD34" s="62">
        <f>SUMIFS('Employee Detail FY22'!$AD$6:$AD$132,'Employee Detail FY22'!$B$6:$B$132,$B34,'Employee Detail FY22'!$C$6:$C$132,$C34,'Employee Detail FY22'!$E$6:$E$132,$E34,'Employee Detail FY22'!$F$6:$F$132,$F34,'Employee Detail FY22'!$G$6:$G$132,$G34)</f>
        <v>0</v>
      </c>
      <c r="AE34" s="62">
        <f>SUMIFS('Employee Detail FY22'!$AE$6:$AE$132,'Employee Detail FY22'!$B$6:$B$132,$B34,'Employee Detail FY22'!$C$6:$C$132,$C34,'Employee Detail FY22'!$E$6:$E$132,$E34,'Employee Detail FY22'!$F$6:$F$132,$F34,'Employee Detail FY22'!$G$6:$G$132,$G34)</f>
        <v>55890.134999999995</v>
      </c>
      <c r="AF34" s="62">
        <f>SUMIFS('Employee Detail FY22'!$AF$6:$AF$132,'Employee Detail FY22'!$B$6:$B$132,$B34,'Employee Detail FY22'!$C$6:$C$132,$C34,'Employee Detail FY22'!$E$6:$E$132,$E34,'Employee Detail FY22'!$F$6:$F$132,$F34,'Employee Detail FY22'!$G$6:$G$132,$G34)</f>
        <v>2724.0570000000002</v>
      </c>
      <c r="AG34" s="269">
        <v>0</v>
      </c>
      <c r="AH34" s="62">
        <f>SUMIFS('Employee Detail FY22'!$AH$6:$AH$132,'Employee Detail FY22'!$B$6:$B$132,$B34,'Employee Detail FY22'!$C$6:$C$132,$C34,'Employee Detail FY22'!$E$6:$E$132,$E34,'Employee Detail FY22'!$F$6:$F$132,$F34,'Employee Detail FY22'!$G$6:$G$132,$G34)</f>
        <v>1710.0194750612179</v>
      </c>
      <c r="AI34" s="62">
        <f>SUMIFS('Employee Detail FY22'!$AI$6:$AI$132,'Employee Detail FY22'!$B$6:$B$132,$B34,'Employee Detail FY22'!$C$6:$C$132,$C34,'Employee Detail FY22'!$E$6:$E$132,$E34,'Employee Detail FY22'!$F$6:$F$132,$F34,'Employee Detail FY22'!$G$6:$G$132,$G34)</f>
        <v>379.66057195563678</v>
      </c>
      <c r="AJ34" s="62">
        <v>0</v>
      </c>
      <c r="AK34" s="62">
        <v>0</v>
      </c>
      <c r="AL34" s="256">
        <f t="shared" si="11"/>
        <v>84535.152047016847</v>
      </c>
      <c r="AM34" s="256">
        <f t="shared" si="12"/>
        <v>187866</v>
      </c>
      <c r="AN34" s="256">
        <f t="shared" si="13"/>
        <v>272401.15204701683</v>
      </c>
    </row>
    <row r="35" spans="1:40" outlineLevel="1" x14ac:dyDescent="0.2">
      <c r="B35" s="647" t="s">
        <v>135</v>
      </c>
      <c r="C35" s="647" t="s">
        <v>247</v>
      </c>
      <c r="D35" s="647"/>
      <c r="E35" s="647">
        <v>200</v>
      </c>
      <c r="F35" s="647">
        <v>1000</v>
      </c>
      <c r="G35" s="647" t="s">
        <v>161</v>
      </c>
      <c r="H35" s="647"/>
      <c r="AA35" s="256">
        <f>SUMIFS('Employee Detail FY22'!$AA$6:$AA$132,'Employee Detail FY22'!$B$6:$B$132,$B35,'Employee Detail FY22'!$C$6:$C$132,$C35,'Employee Detail FY22'!$E$6:$E$132,$E35,'Employee Detail FY22'!$F$6:$F$132,$F35,'Employee Detail FY22'!$G$6:$G$132,$G35)</f>
        <v>110294</v>
      </c>
      <c r="AB35" s="62"/>
      <c r="AC35" s="399">
        <f>SUMIFS('Employee Detail FY22'!$AC$6:$AC$132,'Employee Detail FY22'!$B$6:$B$132,$B35,'Employee Detail FY22'!$C$6:$C$132,$C35,'Employee Detail FY22'!$E$6:$E$132,$E35,'Employee Detail FY22'!$F$6:$F$132,$F35,'Employee Detail FY22'!$G$6:$G$132,$G35)</f>
        <v>15887.52</v>
      </c>
      <c r="AD35" s="62">
        <f>SUMIFS('Employee Detail FY22'!$AD$6:$AD$132,'Employee Detail FY22'!$B$6:$B$132,$B35,'Employee Detail FY22'!$C$6:$C$132,$C35,'Employee Detail FY22'!$E$6:$E$132,$E35,'Employee Detail FY22'!$F$6:$F$132,$F35,'Employee Detail FY22'!$G$6:$G$132,$G35)</f>
        <v>0</v>
      </c>
      <c r="AE35" s="62">
        <f>SUMIFS('Employee Detail FY22'!$AE$6:$AE$132,'Employee Detail FY22'!$B$6:$B$132,$B35,'Employee Detail FY22'!$C$6:$C$132,$C35,'Employee Detail FY22'!$E$6:$E$132,$E35,'Employee Detail FY22'!$F$6:$F$132,$F35,'Employee Detail FY22'!$G$6:$G$132,$G35)</f>
        <v>32812.464999999997</v>
      </c>
      <c r="AF35" s="62">
        <f>SUMIFS('Employee Detail FY22'!$AF$6:$AF$132,'Employee Detail FY22'!$B$6:$B$132,$B35,'Employee Detail FY22'!$C$6:$C$132,$C35,'Employee Detail FY22'!$E$6:$E$132,$E35,'Employee Detail FY22'!$F$6:$F$132,$F35,'Employee Detail FY22'!$G$6:$G$132,$G35)</f>
        <v>1599.2629999999999</v>
      </c>
      <c r="AG35" s="269">
        <v>0</v>
      </c>
      <c r="AH35" s="62">
        <f>SUMIFS('Employee Detail FY22'!$AH$6:$AH$132,'Employee Detail FY22'!$B$6:$B$132,$B35,'Employee Detail FY22'!$C$6:$C$132,$C35,'Employee Detail FY22'!$E$6:$E$132,$E35,'Employee Detail FY22'!$F$6:$F$132,$F35,'Employee Detail FY22'!$G$6:$G$132,$G35)</f>
        <v>1003.9330585758039</v>
      </c>
      <c r="AI35" s="62">
        <f>SUMIFS('Employee Detail FY22'!$AI$6:$AI$132,'Employee Detail FY22'!$B$6:$B$132,$B35,'Employee Detail FY22'!$C$6:$C$132,$C35,'Employee Detail FY22'!$E$6:$E$132,$E35,'Employee Detail FY22'!$F$6:$F$132,$F35,'Employee Detail FY22'!$G$6:$G$132,$G35)</f>
        <v>222.8944200827984</v>
      </c>
      <c r="AJ35" s="62">
        <v>0</v>
      </c>
      <c r="AK35" s="62">
        <v>0</v>
      </c>
      <c r="AL35" s="256">
        <f t="shared" si="11"/>
        <v>51526.075478658604</v>
      </c>
      <c r="AM35" s="256">
        <f t="shared" si="12"/>
        <v>110294</v>
      </c>
      <c r="AN35" s="256">
        <f t="shared" si="13"/>
        <v>161820.0754786586</v>
      </c>
    </row>
    <row r="36" spans="1:40" outlineLevel="1" x14ac:dyDescent="0.2">
      <c r="B36" s="647"/>
      <c r="C36" s="647"/>
      <c r="D36" s="647"/>
      <c r="E36" s="647"/>
      <c r="F36" s="647"/>
      <c r="G36" s="647"/>
      <c r="H36" s="647"/>
      <c r="AA36" s="256">
        <f>SUMIFS('Employee Detail FY22'!$AA$6:$AA$132,'Employee Detail FY22'!$B$6:$B$132,$B36,'Employee Detail FY22'!$C$6:$C$132,$C36,'Employee Detail FY22'!$E$6:$E$132,$E36,'Employee Detail FY22'!$F$6:$F$132,$F36,'Employee Detail FY22'!$G$6:$G$132,$G36)</f>
        <v>0</v>
      </c>
      <c r="AB36" s="62"/>
      <c r="AC36" s="62">
        <f>SUMIFS('Employee Detail FY22'!$AC$6:$AC$132,'Employee Detail FY22'!$B$6:$B$132,$B36,'Employee Detail FY22'!$C$6:$C$132,$C36,'Employee Detail FY22'!$E$6:$E$132,$E36,'Employee Detail FY22'!$F$6:$F$132,$F36,'Employee Detail FY22'!$G$6:$G$132,$G36)</f>
        <v>0</v>
      </c>
      <c r="AD36" s="62">
        <f>SUMIFS('Employee Detail FY22'!$AD$6:$AD$132,'Employee Detail FY22'!$B$6:$B$132,$B36,'Employee Detail FY22'!$C$6:$C$132,$C36,'Employee Detail FY22'!$E$6:$E$132,$E36,'Employee Detail FY22'!$F$6:$F$132,$F36,'Employee Detail FY22'!$G$6:$G$132,$G36)</f>
        <v>0</v>
      </c>
      <c r="AE36" s="62">
        <f>SUMIFS('Employee Detail FY22'!$AE$6:$AE$132,'Employee Detail FY22'!$B$6:$B$132,$B36,'Employee Detail FY22'!$C$6:$C$132,$C36,'Employee Detail FY22'!$E$6:$E$132,$E36,'Employee Detail FY22'!$F$6:$F$132,$F36,'Employee Detail FY22'!$G$6:$G$132,$G36)</f>
        <v>0</v>
      </c>
      <c r="AF36" s="62">
        <f>SUMIFS('Employee Detail FY22'!$AF$6:$AF$132,'Employee Detail FY22'!$B$6:$B$132,$B36,'Employee Detail FY22'!$C$6:$C$132,$C36,'Employee Detail FY22'!$E$6:$E$132,$E36,'Employee Detail FY22'!$F$6:$F$132,$F36,'Employee Detail FY22'!$G$6:$G$132,$G36)</f>
        <v>0</v>
      </c>
      <c r="AG36" s="269">
        <v>0</v>
      </c>
      <c r="AH36" s="62">
        <f>SUMIFS('Employee Detail FY22'!$AH$6:$AH$132,'Employee Detail FY22'!$B$6:$B$132,$B36,'Employee Detail FY22'!$C$6:$C$132,$C36,'Employee Detail FY22'!$E$6:$E$132,$E36,'Employee Detail FY22'!$F$6:$F$132,$F36,'Employee Detail FY22'!$G$6:$G$132,$G36)</f>
        <v>0</v>
      </c>
      <c r="AI36" s="62">
        <f>SUMIFS('Employee Detail FY22'!$AI$6:$AI$132,'Employee Detail FY22'!$B$6:$B$132,$B36,'Employee Detail FY22'!$C$6:$C$132,$C36,'Employee Detail FY22'!$E$6:$E$132,$E36,'Employee Detail FY22'!$F$6:$F$132,$F36,'Employee Detail FY22'!$G$6:$G$132,$G36)</f>
        <v>0</v>
      </c>
      <c r="AJ36" s="62">
        <v>0</v>
      </c>
      <c r="AK36" s="62">
        <v>0</v>
      </c>
      <c r="AL36" s="256">
        <f t="shared" si="11"/>
        <v>0</v>
      </c>
      <c r="AM36" s="256">
        <f t="shared" si="12"/>
        <v>0</v>
      </c>
      <c r="AN36" s="256">
        <f t="shared" si="13"/>
        <v>0</v>
      </c>
    </row>
    <row r="37" spans="1:40" outlineLevel="1" x14ac:dyDescent="0.2">
      <c r="B37" s="647" t="s">
        <v>462</v>
      </c>
      <c r="C37" s="647" t="s">
        <v>132</v>
      </c>
      <c r="D37" s="647"/>
      <c r="E37" s="647" t="s">
        <v>463</v>
      </c>
      <c r="F37" s="647">
        <v>2130</v>
      </c>
      <c r="G37" s="647" t="s">
        <v>167</v>
      </c>
      <c r="H37" s="647"/>
      <c r="AA37" s="256">
        <f>SUMIFS('Employee Detail FY22'!$AA$6:$AA$132,'Employee Detail FY22'!$B$6:$B$132,$B37,'Employee Detail FY22'!$C$6:$C$132,$C37,'Employee Detail FY22'!$E$6:$E$132,$E37,'Employee Detail FY22'!$F$6:$F$132,$F37,'Employee Detail FY22'!$G$6:$G$132,$G37)</f>
        <v>23580</v>
      </c>
      <c r="AB37" s="62"/>
      <c r="AC37" s="399">
        <f>SUMIFS('Employee Detail FY22'!$AC$6:$AC$132,'Employee Detail FY22'!$B$6:$B$132,$B37,'Employee Detail FY22'!$C$6:$C$132,$C37,'Employee Detail FY22'!$E$6:$E$132,$E37,'Employee Detail FY22'!$F$6:$F$132,$F37,'Employee Detail FY22'!$G$6:$G$132,$G37)</f>
        <v>0</v>
      </c>
      <c r="AD37" s="62">
        <f>SUMIFS('Employee Detail FY22'!$AD$6:$AD$132,'Employee Detail FY22'!$B$6:$B$132,$B37,'Employee Detail FY22'!$C$6:$C$132,$C37,'Employee Detail FY22'!$E$6:$E$132,$E37,'Employee Detail FY22'!$F$6:$F$132,$F37,'Employee Detail FY22'!$G$6:$G$132,$G37)</f>
        <v>1461.96</v>
      </c>
      <c r="AE37" s="62">
        <f>SUMIFS('Employee Detail FY22'!$AE$6:$AE$132,'Employee Detail FY22'!$B$6:$B$132,$B37,'Employee Detail FY22'!$C$6:$C$132,$C37,'Employee Detail FY22'!$E$6:$E$132,$E37,'Employee Detail FY22'!$F$6:$F$132,$F37,'Employee Detail FY22'!$G$6:$G$132,$G37)</f>
        <v>0</v>
      </c>
      <c r="AF37" s="62">
        <f>SUMIFS('Employee Detail FY22'!$AF$6:$AF$132,'Employee Detail FY22'!$B$6:$B$132,$B37,'Employee Detail FY22'!$C$6:$C$132,$C37,'Employee Detail FY22'!$E$6:$E$132,$E37,'Employee Detail FY22'!$F$6:$F$132,$F37,'Employee Detail FY22'!$G$6:$G$132,$G37)</f>
        <v>341.91</v>
      </c>
      <c r="AG37" s="269">
        <v>0</v>
      </c>
      <c r="AH37" s="62">
        <f>SUMIFS('Employee Detail FY22'!$AH$6:$AH$132,'Employee Detail FY22'!$B$6:$B$132,$B37,'Employee Detail FY22'!$C$6:$C$132,$C37,'Employee Detail FY22'!$E$6:$E$132,$E37,'Employee Detail FY22'!$F$6:$F$132,$F37,'Employee Detail FY22'!$G$6:$G$132,$G37)</f>
        <v>214.63308540099604</v>
      </c>
      <c r="AI37" s="62">
        <f>SUMIFS('Employee Detail FY22'!$AI$6:$AI$132,'Employee Detail FY22'!$B$6:$B$132,$B37,'Employee Detail FY22'!$C$6:$C$132,$C37,'Employee Detail FY22'!$E$6:$E$132,$E37,'Employee Detail FY22'!$F$6:$F$132,$F37,'Employee Detail FY22'!$G$6:$G$132,$G37)</f>
        <v>47.653094688309302</v>
      </c>
      <c r="AJ37" s="62">
        <v>0</v>
      </c>
      <c r="AK37" s="62">
        <v>0</v>
      </c>
      <c r="AL37" s="256">
        <f t="shared" si="11"/>
        <v>2066.1561800893055</v>
      </c>
      <c r="AM37" s="256">
        <f t="shared" si="12"/>
        <v>23580</v>
      </c>
      <c r="AN37" s="256">
        <f t="shared" si="13"/>
        <v>25646.156180089307</v>
      </c>
    </row>
    <row r="38" spans="1:40" outlineLevel="1" x14ac:dyDescent="0.2">
      <c r="B38" s="647" t="s">
        <v>462</v>
      </c>
      <c r="C38" s="647" t="s">
        <v>132</v>
      </c>
      <c r="D38" s="647"/>
      <c r="E38" s="647" t="s">
        <v>463</v>
      </c>
      <c r="F38" s="647">
        <v>2140</v>
      </c>
      <c r="G38" s="647" t="s">
        <v>167</v>
      </c>
      <c r="H38" s="647"/>
      <c r="AA38" s="256">
        <f>SUMIFS('Employee Detail FY22'!$AA$6:$AA$132,'Employee Detail FY22'!$B$6:$B$132,$B38,'Employee Detail FY22'!$C$6:$C$132,$C38,'Employee Detail FY22'!$E$6:$E$132,$E38,'Employee Detail FY22'!$F$6:$F$132,$F38,'Employee Detail FY22'!$G$6:$G$132,$G38)</f>
        <v>82037.268389999997</v>
      </c>
      <c r="AB38" s="62"/>
      <c r="AC38" s="399">
        <f>SUMIFS('Employee Detail FY22'!$AC$6:$AC$132,'Employee Detail FY22'!$B$6:$B$132,$B38,'Employee Detail FY22'!$C$6:$C$132,$C38,'Employee Detail FY22'!$E$6:$E$132,$E38,'Employee Detail FY22'!$F$6:$F$132,$F38,'Employee Detail FY22'!$G$6:$G$132,$G38)</f>
        <v>7943.76</v>
      </c>
      <c r="AD38" s="62">
        <f>SUMIFS('Employee Detail FY22'!$AD$6:$AD$132,'Employee Detail FY22'!$B$6:$B$132,$B38,'Employee Detail FY22'!$C$6:$C$132,$C38,'Employee Detail FY22'!$E$6:$E$132,$E38,'Employee Detail FY22'!$F$6:$F$132,$F38,'Employee Detail FY22'!$G$6:$G$132,$G38)</f>
        <v>0</v>
      </c>
      <c r="AE38" s="62">
        <f>SUMIFS('Employee Detail FY22'!$AE$6:$AE$132,'Employee Detail FY22'!$B$6:$B$132,$B38,'Employee Detail FY22'!$C$6:$C$132,$C38,'Employee Detail FY22'!$E$6:$E$132,$E38,'Employee Detail FY22'!$F$6:$F$132,$F38,'Employee Detail FY22'!$G$6:$G$132,$G38)</f>
        <v>12715.776600449999</v>
      </c>
      <c r="AF38" s="62">
        <f>SUMIFS('Employee Detail FY22'!$AF$6:$AF$132,'Employee Detail FY22'!$B$6:$B$132,$B38,'Employee Detail FY22'!$C$6:$C$132,$C38,'Employee Detail FY22'!$E$6:$E$132,$E38,'Employee Detail FY22'!$F$6:$F$132,$F38,'Employee Detail FY22'!$G$6:$G$132,$G38)</f>
        <v>1189.5403916550001</v>
      </c>
      <c r="AG38" s="269">
        <v>0</v>
      </c>
      <c r="AH38" s="62">
        <f>SUMIFS('Employee Detail FY22'!$AH$6:$AH$132,'Employee Detail FY22'!$B$6:$B$132,$B38,'Employee Detail FY22'!$C$6:$C$132,$C38,'Employee Detail FY22'!$E$6:$E$132,$E38,'Employee Detail FY22'!$F$6:$F$132,$F38,'Employee Detail FY22'!$G$6:$G$132,$G38)</f>
        <v>746.73079017876591</v>
      </c>
      <c r="AI38" s="62">
        <f>SUMIFS('Employee Detail FY22'!$AI$6:$AI$132,'Employee Detail FY22'!$B$6:$B$132,$B38,'Employee Detail FY22'!$C$6:$C$132,$C38,'Employee Detail FY22'!$E$6:$E$132,$E38,'Employee Detail FY22'!$F$6:$F$132,$F38,'Employee Detail FY22'!$G$6:$G$132,$G38)</f>
        <v>165.7900644002932</v>
      </c>
      <c r="AJ38" s="62">
        <v>0</v>
      </c>
      <c r="AK38" s="62">
        <v>0</v>
      </c>
      <c r="AL38" s="256">
        <f t="shared" si="11"/>
        <v>22761.597846684057</v>
      </c>
      <c r="AM38" s="256">
        <f t="shared" si="12"/>
        <v>82037.268389999997</v>
      </c>
      <c r="AN38" s="256">
        <f t="shared" si="13"/>
        <v>104798.86623668406</v>
      </c>
    </row>
    <row r="39" spans="1:40" outlineLevel="1" x14ac:dyDescent="0.2">
      <c r="B39" s="647"/>
      <c r="C39" s="647"/>
      <c r="D39" s="647"/>
      <c r="E39" s="647"/>
      <c r="F39" s="647"/>
      <c r="G39" s="647"/>
      <c r="H39" s="647"/>
      <c r="AA39" s="256">
        <f>SUMIFS('Employee Detail FY22'!$AA$6:$AA$132,'Employee Detail FY22'!$B$6:$B$132,$B39,'Employee Detail FY22'!$C$6:$C$132,$C39,'Employee Detail FY22'!$E$6:$E$132,$E39,'Employee Detail FY22'!$F$6:$F$132,$F39,'Employee Detail FY22'!$G$6:$G$132,$G39)</f>
        <v>0</v>
      </c>
      <c r="AB39" s="62"/>
      <c r="AC39" s="62">
        <f>SUMIFS('Employee Detail FY22'!$AC$6:$AC$132,'Employee Detail FY22'!$B$6:$B$132,$B39,'Employee Detail FY22'!$C$6:$C$132,$C39,'Employee Detail FY22'!$E$6:$E$132,$E39,'Employee Detail FY22'!$F$6:$F$132,$F39,'Employee Detail FY22'!$G$6:$G$132,$G39)</f>
        <v>0</v>
      </c>
      <c r="AD39" s="62">
        <f>SUMIFS('Employee Detail FY22'!$AD$6:$AD$132,'Employee Detail FY22'!$B$6:$B$132,$B39,'Employee Detail FY22'!$C$6:$C$132,$C39,'Employee Detail FY22'!$E$6:$E$132,$E39,'Employee Detail FY22'!$F$6:$F$132,$F39,'Employee Detail FY22'!$G$6:$G$132,$G39)</f>
        <v>0</v>
      </c>
      <c r="AE39" s="62">
        <f>SUMIFS('Employee Detail FY22'!$AE$6:$AE$132,'Employee Detail FY22'!$B$6:$B$132,$B39,'Employee Detail FY22'!$C$6:$C$132,$C39,'Employee Detail FY22'!$E$6:$E$132,$E39,'Employee Detail FY22'!$F$6:$F$132,$F39,'Employee Detail FY22'!$G$6:$G$132,$G39)</f>
        <v>0</v>
      </c>
      <c r="AF39" s="62">
        <f>SUMIFS('Employee Detail FY22'!$AF$6:$AF$132,'Employee Detail FY22'!$B$6:$B$132,$B39,'Employee Detail FY22'!$C$6:$C$132,$C39,'Employee Detail FY22'!$E$6:$E$132,$E39,'Employee Detail FY22'!$F$6:$F$132,$F39,'Employee Detail FY22'!$G$6:$G$132,$G39)</f>
        <v>0</v>
      </c>
      <c r="AG39" s="269">
        <v>0</v>
      </c>
      <c r="AH39" s="62">
        <f>SUMIFS('Employee Detail FY22'!$AH$6:$AH$132,'Employee Detail FY22'!$B$6:$B$132,$B39,'Employee Detail FY22'!$C$6:$C$132,$C39,'Employee Detail FY22'!$E$6:$E$132,$E39,'Employee Detail FY22'!$F$6:$F$132,$F39,'Employee Detail FY22'!$G$6:$G$132,$G39)</f>
        <v>0</v>
      </c>
      <c r="AI39" s="62">
        <f>SUMIFS('Employee Detail FY22'!$AI$6:$AI$132,'Employee Detail FY22'!$B$6:$B$132,$B39,'Employee Detail FY22'!$C$6:$C$132,$C39,'Employee Detail FY22'!$E$6:$E$132,$E39,'Employee Detail FY22'!$F$6:$F$132,$F39,'Employee Detail FY22'!$G$6:$G$132,$G39)</f>
        <v>0</v>
      </c>
      <c r="AJ39" s="62">
        <v>0</v>
      </c>
      <c r="AK39" s="62">
        <v>0</v>
      </c>
      <c r="AL39" s="256">
        <f t="shared" si="11"/>
        <v>0</v>
      </c>
      <c r="AM39" s="256">
        <f t="shared" si="12"/>
        <v>0</v>
      </c>
      <c r="AN39" s="256">
        <f t="shared" si="13"/>
        <v>0</v>
      </c>
    </row>
    <row r="40" spans="1:40" outlineLevel="1" x14ac:dyDescent="0.2">
      <c r="B40" s="647" t="s">
        <v>462</v>
      </c>
      <c r="C40" s="647">
        <v>205</v>
      </c>
      <c r="D40" s="647"/>
      <c r="E40" s="647" t="s">
        <v>463</v>
      </c>
      <c r="F40" s="647">
        <v>2410</v>
      </c>
      <c r="G40" s="647" t="s">
        <v>173</v>
      </c>
      <c r="H40" s="647"/>
      <c r="AA40" s="256">
        <f>SUMIFS('Employee Detail FY22'!$AA$6:$AA$132,'Employee Detail FY22'!$B$6:$B$132,$B40,'Employee Detail FY22'!$C$6:$C$132,$C40,'Employee Detail FY22'!$E$6:$E$132,$E40,'Employee Detail FY22'!$F$6:$F$132,$F40,'Employee Detail FY22'!$G$6:$G$132,$G40)</f>
        <v>46429.529327999997</v>
      </c>
      <c r="AB40" s="62"/>
      <c r="AC40" s="399">
        <f>SUMIFS('Employee Detail FY22'!$AC$6:$AC$132,'Employee Detail FY22'!$B$6:$B$132,$B40,'Employee Detail FY22'!$C$6:$C$132,$C40,'Employee Detail FY22'!$E$6:$E$132,$E40,'Employee Detail FY22'!$F$6:$F$132,$F40,'Employee Detail FY22'!$G$6:$G$132,$G40)</f>
        <v>7943.76</v>
      </c>
      <c r="AD40" s="62">
        <f>SUMIFS('Employee Detail FY22'!$AD$6:$AD$132,'Employee Detail FY22'!$B$6:$B$132,$B40,'Employee Detail FY22'!$C$6:$C$132,$C40,'Employee Detail FY22'!$E$6:$E$132,$E40,'Employee Detail FY22'!$F$6:$F$132,$F40,'Employee Detail FY22'!$G$6:$G$132,$G40)</f>
        <v>0</v>
      </c>
      <c r="AE40" s="62">
        <f>SUMIFS('Employee Detail FY22'!$AE$6:$AE$132,'Employee Detail FY22'!$B$6:$B$132,$B40,'Employee Detail FY22'!$C$6:$C$132,$C40,'Employee Detail FY22'!$E$6:$E$132,$E40,'Employee Detail FY22'!$F$6:$F$132,$F40,'Employee Detail FY22'!$G$6:$G$132,$G40)</f>
        <v>7196.5770458399993</v>
      </c>
      <c r="AF40" s="62">
        <f>SUMIFS('Employee Detail FY22'!$AF$6:$AF$132,'Employee Detail FY22'!$B$6:$B$132,$B40,'Employee Detail FY22'!$C$6:$C$132,$C40,'Employee Detail FY22'!$E$6:$E$132,$E40,'Employee Detail FY22'!$F$6:$F$132,$F40,'Employee Detail FY22'!$G$6:$G$132,$G40)</f>
        <v>673.22817525599999</v>
      </c>
      <c r="AG40" s="269">
        <v>0</v>
      </c>
      <c r="AH40" s="62">
        <f>SUMIFS('Employee Detail FY22'!$AH$6:$AH$132,'Employee Detail FY22'!$B$6:$B$132,$B40,'Employee Detail FY22'!$C$6:$C$132,$C40,'Employee Detail FY22'!$E$6:$E$132,$E40,'Employee Detail FY22'!$F$6:$F$132,$F40,'Employee Detail FY22'!$G$6:$G$132,$G40)</f>
        <v>422.61718122920581</v>
      </c>
      <c r="AI40" s="62">
        <f>SUMIFS('Employee Detail FY22'!$AI$6:$AI$132,'Employee Detail FY22'!$B$6:$B$132,$B40,'Employee Detail FY22'!$C$6:$C$132,$C40,'Employee Detail FY22'!$E$6:$E$132,$E40,'Employee Detail FY22'!$F$6:$F$132,$F40,'Employee Detail FY22'!$G$6:$G$132,$G40)</f>
        <v>93.829972748126281</v>
      </c>
      <c r="AJ40" s="62">
        <v>0</v>
      </c>
      <c r="AK40" s="62">
        <v>0</v>
      </c>
      <c r="AL40" s="256">
        <f t="shared" si="11"/>
        <v>16330.012375073329</v>
      </c>
      <c r="AM40" s="256">
        <f t="shared" si="12"/>
        <v>46429.529327999997</v>
      </c>
      <c r="AN40" s="256">
        <f t="shared" si="13"/>
        <v>62759.541703073322</v>
      </c>
    </row>
    <row r="41" spans="1:40" outlineLevel="1" x14ac:dyDescent="0.2">
      <c r="A41" s="397"/>
      <c r="B41" s="650"/>
      <c r="C41" s="650"/>
      <c r="D41" s="650"/>
      <c r="E41" s="650"/>
      <c r="F41" s="650"/>
      <c r="G41" s="650"/>
      <c r="H41" s="647"/>
      <c r="AA41" s="256">
        <f>SUMIFS('Employee Detail FY22'!$AA$6:$AA$132,'Employee Detail FY22'!$B$6:$B$132,$B41,'Employee Detail FY22'!$C$6:$C$132,$C41,'Employee Detail FY22'!$E$6:$E$132,$E41,'Employee Detail FY22'!$F$6:$F$132,$F41,'Employee Detail FY22'!$G$6:$G$132,$G41)</f>
        <v>0</v>
      </c>
      <c r="AB41" s="62"/>
      <c r="AC41" s="62">
        <f>SUMIFS('Employee Detail FY22'!$AC$6:$AC$132,'Employee Detail FY22'!$B$6:$B$132,$B41,'Employee Detail FY22'!$C$6:$C$132,$C41,'Employee Detail FY22'!$E$6:$E$132,$E41,'Employee Detail FY22'!$F$6:$F$132,$F41,'Employee Detail FY22'!$G$6:$G$132,$G41)</f>
        <v>0</v>
      </c>
      <c r="AD41" s="62">
        <f>SUMIFS('Employee Detail FY22'!$AD$6:$AD$132,'Employee Detail FY22'!$B$6:$B$132,$B41,'Employee Detail FY22'!$C$6:$C$132,$C41,'Employee Detail FY22'!$E$6:$E$132,$E41,'Employee Detail FY22'!$F$6:$F$132,$F41,'Employee Detail FY22'!$G$6:$G$132,$G41)</f>
        <v>0</v>
      </c>
      <c r="AE41" s="62">
        <f>SUMIFS('Employee Detail FY22'!$AE$6:$AE$132,'Employee Detail FY22'!$B$6:$B$132,$B41,'Employee Detail FY22'!$C$6:$C$132,$C41,'Employee Detail FY22'!$E$6:$E$132,$E41,'Employee Detail FY22'!$F$6:$F$132,$F41,'Employee Detail FY22'!$G$6:$G$132,$G41)</f>
        <v>0</v>
      </c>
      <c r="AF41" s="62">
        <f>SUMIFS('Employee Detail FY22'!$AF$6:$AF$132,'Employee Detail FY22'!$B$6:$B$132,$B41,'Employee Detail FY22'!$C$6:$C$132,$C41,'Employee Detail FY22'!$E$6:$E$132,$E41,'Employee Detail FY22'!$F$6:$F$132,$F41,'Employee Detail FY22'!$G$6:$G$132,$G41)</f>
        <v>0</v>
      </c>
      <c r="AG41" s="269">
        <v>0</v>
      </c>
      <c r="AH41" s="62">
        <f>SUMIFS('Employee Detail FY22'!$AH$6:$AH$132,'Employee Detail FY22'!$B$6:$B$132,$B41,'Employee Detail FY22'!$C$6:$C$132,$C41,'Employee Detail FY22'!$E$6:$E$132,$E41,'Employee Detail FY22'!$F$6:$F$132,$F41,'Employee Detail FY22'!$G$6:$G$132,$G41)</f>
        <v>0</v>
      </c>
      <c r="AI41" s="62">
        <f>SUMIFS('Employee Detail FY22'!$AI$6:$AI$132,'Employee Detail FY22'!$B$6:$B$132,$B41,'Employee Detail FY22'!$C$6:$C$132,$C41,'Employee Detail FY22'!$E$6:$E$132,$E41,'Employee Detail FY22'!$F$6:$F$132,$F41,'Employee Detail FY22'!$G$6:$G$132,$G41)</f>
        <v>0</v>
      </c>
      <c r="AJ41" s="62">
        <v>0</v>
      </c>
      <c r="AK41" s="62">
        <v>0</v>
      </c>
      <c r="AL41" s="256">
        <f t="shared" si="11"/>
        <v>0</v>
      </c>
      <c r="AM41" s="256">
        <f t="shared" si="12"/>
        <v>0</v>
      </c>
      <c r="AN41" s="256">
        <f t="shared" si="13"/>
        <v>0</v>
      </c>
    </row>
    <row r="42" spans="1:40" outlineLevel="1" x14ac:dyDescent="0.2">
      <c r="B42" s="647" t="s">
        <v>135</v>
      </c>
      <c r="C42" s="647" t="s">
        <v>247</v>
      </c>
      <c r="D42" s="647"/>
      <c r="E42" s="647" t="s">
        <v>473</v>
      </c>
      <c r="F42" s="647" t="s">
        <v>461</v>
      </c>
      <c r="G42" s="647" t="s">
        <v>161</v>
      </c>
      <c r="H42" s="647"/>
      <c r="AA42" s="256">
        <f>SUMIFS('Employee Detail FY22'!$AA$6:$AA$132,'Employee Detail FY22'!$B$6:$B$132,$B42,'Employee Detail FY22'!$C$6:$C$132,$C42,'Employee Detail FY22'!$E$6:$E$132,$E42,'Employee Detail FY22'!$F$6:$F$132,$F42,'Employee Detail FY22'!$G$6:$G$132,$G42)</f>
        <v>0</v>
      </c>
      <c r="AB42" s="62"/>
      <c r="AC42" s="399">
        <f>SUMIFS('Employee Detail FY22'!$AC$6:$AC$132,'Employee Detail FY22'!$B$6:$B$132,$B42,'Employee Detail FY22'!$C$6:$C$132,$C42,'Employee Detail FY22'!$E$6:$E$132,$E42,'Employee Detail FY22'!$F$6:$F$132,$F42,'Employee Detail FY22'!$G$6:$G$132,$G42)</f>
        <v>0</v>
      </c>
      <c r="AD42" s="62">
        <f>SUMIFS('Employee Detail FY22'!$AD$6:$AD$132,'Employee Detail FY22'!$B$6:$B$132,$B42,'Employee Detail FY22'!$C$6:$C$132,$C42,'Employee Detail FY22'!$E$6:$E$132,$E42,'Employee Detail FY22'!$F$6:$F$132,$F42,'Employee Detail FY22'!$G$6:$G$132,$G42)</f>
        <v>0</v>
      </c>
      <c r="AE42" s="62">
        <f>SUMIFS('Employee Detail FY22'!$AE$6:$AE$132,'Employee Detail FY22'!$B$6:$B$132,$B42,'Employee Detail FY22'!$C$6:$C$132,$C42,'Employee Detail FY22'!$E$6:$E$132,$E42,'Employee Detail FY22'!$F$6:$F$132,$F42,'Employee Detail FY22'!$G$6:$G$132,$G42)</f>
        <v>0</v>
      </c>
      <c r="AF42" s="62">
        <f>SUMIFS('Employee Detail FY22'!$AF$6:$AF$132,'Employee Detail FY22'!$B$6:$B$132,$B42,'Employee Detail FY22'!$C$6:$C$132,$C42,'Employee Detail FY22'!$E$6:$E$132,$E42,'Employee Detail FY22'!$F$6:$F$132,$F42,'Employee Detail FY22'!$G$6:$G$132,$G42)</f>
        <v>0</v>
      </c>
      <c r="AG42" s="269">
        <v>0</v>
      </c>
      <c r="AH42" s="62">
        <f>SUMIFS('Employee Detail FY22'!$AH$6:$AH$132,'Employee Detail FY22'!$B$6:$B$132,$B42,'Employee Detail FY22'!$C$6:$C$132,$C42,'Employee Detail FY22'!$E$6:$E$132,$E42,'Employee Detail FY22'!$F$6:$F$132,$F42,'Employee Detail FY22'!$G$6:$G$132,$G42)</f>
        <v>0</v>
      </c>
      <c r="AI42" s="62">
        <f>SUMIFS('Employee Detail FY22'!$AI$6:$AI$132,'Employee Detail FY22'!$B$6:$B$132,$B42,'Employee Detail FY22'!$C$6:$C$132,$C42,'Employee Detail FY22'!$E$6:$E$132,$E42,'Employee Detail FY22'!$F$6:$F$132,$F42,'Employee Detail FY22'!$G$6:$G$132,$G42)</f>
        <v>0</v>
      </c>
      <c r="AJ42" s="62">
        <v>0</v>
      </c>
      <c r="AK42" s="62">
        <v>0</v>
      </c>
      <c r="AL42" s="256">
        <f t="shared" si="11"/>
        <v>0</v>
      </c>
      <c r="AM42" s="256">
        <f t="shared" si="12"/>
        <v>0</v>
      </c>
      <c r="AN42" s="256">
        <f t="shared" si="13"/>
        <v>0</v>
      </c>
    </row>
    <row r="43" spans="1:40" outlineLevel="1" x14ac:dyDescent="0.2">
      <c r="B43" s="647"/>
      <c r="C43" s="647"/>
      <c r="D43" s="647"/>
      <c r="E43" s="647"/>
      <c r="F43" s="647"/>
      <c r="G43" s="647"/>
      <c r="H43" s="647"/>
      <c r="AA43" s="256">
        <f>SUMIFS('Employee Detail FY22'!$AA$6:$AA$132,'Employee Detail FY22'!$B$6:$B$132,$B43,'Employee Detail FY22'!$C$6:$C$132,$C43,'Employee Detail FY22'!$E$6:$E$132,$E43,'Employee Detail FY22'!$F$6:$F$132,$F43,'Employee Detail FY22'!$G$6:$G$132,$G43)</f>
        <v>0</v>
      </c>
      <c r="AB43" s="62"/>
      <c r="AC43" s="62">
        <f>SUMIFS('Employee Detail FY22'!$AC$6:$AC$132,'Employee Detail FY22'!$B$6:$B$132,$B43,'Employee Detail FY22'!$C$6:$C$132,$C43,'Employee Detail FY22'!$E$6:$E$132,$E43,'Employee Detail FY22'!$F$6:$F$132,$F43,'Employee Detail FY22'!$G$6:$G$132,$G43)</f>
        <v>0</v>
      </c>
      <c r="AD43" s="62">
        <f>SUMIFS('Employee Detail FY22'!$AD$6:$AD$132,'Employee Detail FY22'!$B$6:$B$132,$B43,'Employee Detail FY22'!$C$6:$C$132,$C43,'Employee Detail FY22'!$E$6:$E$132,$E43,'Employee Detail FY22'!$F$6:$F$132,$F43,'Employee Detail FY22'!$G$6:$G$132,$G43)</f>
        <v>0</v>
      </c>
      <c r="AE43" s="62">
        <f>SUMIFS('Employee Detail FY22'!$AE$6:$AE$132,'Employee Detail FY22'!$B$6:$B$132,$B43,'Employee Detail FY22'!$C$6:$C$132,$C43,'Employee Detail FY22'!$E$6:$E$132,$E43,'Employee Detail FY22'!$F$6:$F$132,$F43,'Employee Detail FY22'!$G$6:$G$132,$G43)</f>
        <v>0</v>
      </c>
      <c r="AF43" s="62">
        <f>SUMIFS('Employee Detail FY22'!$AF$6:$AF$132,'Employee Detail FY22'!$B$6:$B$132,$B43,'Employee Detail FY22'!$C$6:$C$132,$C43,'Employee Detail FY22'!$E$6:$E$132,$E43,'Employee Detail FY22'!$F$6:$F$132,$F43,'Employee Detail FY22'!$G$6:$G$132,$G43)</f>
        <v>0</v>
      </c>
      <c r="AG43" s="269">
        <v>0</v>
      </c>
      <c r="AH43" s="62">
        <f>SUMIFS('Employee Detail FY22'!$AH$6:$AH$132,'Employee Detail FY22'!$B$6:$B$132,$B43,'Employee Detail FY22'!$C$6:$C$132,$C43,'Employee Detail FY22'!$E$6:$E$132,$E43,'Employee Detail FY22'!$F$6:$F$132,$F43,'Employee Detail FY22'!$G$6:$G$132,$G43)</f>
        <v>0</v>
      </c>
      <c r="AI43" s="62">
        <f>SUMIFS('Employee Detail FY22'!$AI$6:$AI$132,'Employee Detail FY22'!$B$6:$B$132,$B43,'Employee Detail FY22'!$C$6:$C$132,$C43,'Employee Detail FY22'!$E$6:$E$132,$E43,'Employee Detail FY22'!$F$6:$F$132,$F43,'Employee Detail FY22'!$G$6:$G$132,$G43)</f>
        <v>0</v>
      </c>
      <c r="AJ43" s="62">
        <v>0</v>
      </c>
      <c r="AK43" s="62">
        <v>0</v>
      </c>
      <c r="AL43" s="256">
        <f t="shared" si="11"/>
        <v>0</v>
      </c>
      <c r="AM43" s="256">
        <f t="shared" si="12"/>
        <v>0</v>
      </c>
      <c r="AN43" s="256">
        <f t="shared" si="13"/>
        <v>0</v>
      </c>
    </row>
    <row r="44" spans="1:40" outlineLevel="1" x14ac:dyDescent="0.2">
      <c r="B44" s="647" t="s">
        <v>135</v>
      </c>
      <c r="C44" s="647" t="s">
        <v>864</v>
      </c>
      <c r="D44" s="647"/>
      <c r="E44" s="647">
        <v>420</v>
      </c>
      <c r="F44" s="647">
        <v>2120</v>
      </c>
      <c r="G44" s="647" t="s">
        <v>173</v>
      </c>
      <c r="H44" s="647"/>
      <c r="AA44" s="256">
        <f>SUMIFS('Employee Detail FY22'!$AA$6:$AA$132,'Employee Detail FY22'!$B$6:$B$132,$B44,'Employee Detail FY22'!$C$6:$C$132,$C44,'Employee Detail FY22'!$E$6:$E$132,$E44,'Employee Detail FY22'!$F$6:$F$132,$F44,'Employee Detail FY22'!$G$6:$G$132,$G44)</f>
        <v>6683</v>
      </c>
      <c r="AB44" s="62"/>
      <c r="AC44" s="399">
        <f>SUMIFS('Employee Detail FY22'!$AC$6:$AC$132,'Employee Detail FY22'!$B$6:$B$132,$B44,'Employee Detail FY22'!$C$6:$C$132,$C44,'Employee Detail FY22'!$E$6:$E$132,$E44,'Employee Detail FY22'!$F$6:$F$132,$F44,'Employee Detail FY22'!$G$6:$G$132,$G44)</f>
        <v>0</v>
      </c>
      <c r="AD44" s="62">
        <f>SUMIFS('Employee Detail FY22'!$AD$6:$AD$132,'Employee Detail FY22'!$B$6:$B$132,$B44,'Employee Detail FY22'!$C$6:$C$132,$C44,'Employee Detail FY22'!$E$6:$E$132,$E44,'Employee Detail FY22'!$F$6:$F$132,$F44,'Employee Detail FY22'!$G$6:$G$132,$G44)</f>
        <v>0</v>
      </c>
      <c r="AE44" s="62">
        <f>SUMIFS('Employee Detail FY22'!$AE$6:$AE$132,'Employee Detail FY22'!$B$6:$B$132,$B44,'Employee Detail FY22'!$C$6:$C$132,$C44,'Employee Detail FY22'!$E$6:$E$132,$E44,'Employee Detail FY22'!$F$6:$F$132,$F44,'Employee Detail FY22'!$G$6:$G$132,$G44)</f>
        <v>0</v>
      </c>
      <c r="AF44" s="62">
        <f>SUMIFS('Employee Detail FY22'!$AF$6:$AF$132,'Employee Detail FY22'!$B$6:$B$132,$B44,'Employee Detail FY22'!$C$6:$C$132,$C44,'Employee Detail FY22'!$E$6:$E$132,$E44,'Employee Detail FY22'!$F$6:$F$132,$F44,'Employee Detail FY22'!$G$6:$G$132,$G44)</f>
        <v>96.903500000000008</v>
      </c>
      <c r="AG44" s="269">
        <v>0</v>
      </c>
      <c r="AH44" s="62">
        <f>SUMIFS('Employee Detail FY22'!$AH$6:$AH$132,'Employee Detail FY22'!$B$6:$B$132,$B44,'Employee Detail FY22'!$C$6:$C$132,$C44,'Employee Detail FY22'!$E$6:$E$132,$E44,'Employee Detail FY22'!$F$6:$F$132,$F44,'Employee Detail FY22'!$G$6:$G$132,$G44)</f>
        <v>60.83091220249603</v>
      </c>
      <c r="AI44" s="62">
        <f>SUMIFS('Employee Detail FY22'!$AI$6:$AI$132,'Employee Detail FY22'!$B$6:$B$132,$B44,'Employee Detail FY22'!$C$6:$C$132,$C44,'Employee Detail FY22'!$E$6:$E$132,$E44,'Employee Detail FY22'!$F$6:$F$132,$F44,'Employee Detail FY22'!$G$6:$G$132,$G44)</f>
        <v>13.505751984816415</v>
      </c>
      <c r="AJ44" s="62">
        <v>0</v>
      </c>
      <c r="AK44" s="62">
        <v>0</v>
      </c>
      <c r="AL44" s="256">
        <f t="shared" si="11"/>
        <v>171.24016418731244</v>
      </c>
      <c r="AM44" s="256">
        <f t="shared" si="12"/>
        <v>6683</v>
      </c>
      <c r="AN44" s="256">
        <f t="shared" si="13"/>
        <v>6854.2401641873121</v>
      </c>
    </row>
    <row r="45" spans="1:40" outlineLevel="1" x14ac:dyDescent="0.2">
      <c r="B45" s="647" t="s">
        <v>135</v>
      </c>
      <c r="C45" s="647" t="s">
        <v>864</v>
      </c>
      <c r="D45" s="647"/>
      <c r="E45" s="647" t="s">
        <v>557</v>
      </c>
      <c r="F45" s="647" t="s">
        <v>465</v>
      </c>
      <c r="G45" s="647" t="s">
        <v>993</v>
      </c>
      <c r="H45" s="647"/>
      <c r="AA45" s="256">
        <f>SUMIFS('Employee Detail FY22'!$AA$6:$AA$132,'Employee Detail FY22'!$B$6:$B$132,$B45,'Employee Detail FY22'!$C$6:$C$132,$C45,'Employee Detail FY22'!$E$6:$E$132,$E45,'Employee Detail FY22'!$F$6:$F$132,$F45,'Employee Detail FY22'!$G$6:$G$132,$G45)</f>
        <v>0</v>
      </c>
      <c r="AB45" s="62"/>
      <c r="AC45" s="399">
        <f>SUMIFS('Employee Detail FY22'!$AC$6:$AC$132,'Employee Detail FY22'!$B$6:$B$132,$B45,'Employee Detail FY22'!$C$6:$C$132,$C45,'Employee Detail FY22'!$E$6:$E$132,$E45,'Employee Detail FY22'!$F$6:$F$132,$F45,'Employee Detail FY22'!$G$6:$G$132,$G45)</f>
        <v>0</v>
      </c>
      <c r="AD45" s="62">
        <f>SUMIFS('Employee Detail FY22'!$AD$6:$AD$132,'Employee Detail FY22'!$B$6:$B$132,$B45,'Employee Detail FY22'!$C$6:$C$132,$C45,'Employee Detail FY22'!$E$6:$E$132,$E45,'Employee Detail FY22'!$F$6:$F$132,$F45,'Employee Detail FY22'!$G$6:$G$132,$G45)</f>
        <v>0</v>
      </c>
      <c r="AE45" s="62">
        <f>SUMIFS('Employee Detail FY22'!$AE$6:$AE$132,'Employee Detail FY22'!$B$6:$B$132,$B45,'Employee Detail FY22'!$C$6:$C$132,$C45,'Employee Detail FY22'!$E$6:$E$132,$E45,'Employee Detail FY22'!$F$6:$F$132,$F45,'Employee Detail FY22'!$G$6:$G$132,$G45)</f>
        <v>0</v>
      </c>
      <c r="AF45" s="62">
        <f>SUMIFS('Employee Detail FY22'!$AF$6:$AF$132,'Employee Detail FY22'!$B$6:$B$132,$B45,'Employee Detail FY22'!$C$6:$C$132,$C45,'Employee Detail FY22'!$E$6:$E$132,$E45,'Employee Detail FY22'!$F$6:$F$132,$F45,'Employee Detail FY22'!$G$6:$G$132,$G45)</f>
        <v>0</v>
      </c>
      <c r="AG45" s="269">
        <v>0</v>
      </c>
      <c r="AH45" s="62">
        <f>SUMIFS('Employee Detail FY22'!$AH$6:$AH$132,'Employee Detail FY22'!$B$6:$B$132,$B45,'Employee Detail FY22'!$C$6:$C$132,$C45,'Employee Detail FY22'!$E$6:$E$132,$E45,'Employee Detail FY22'!$F$6:$F$132,$F45,'Employee Detail FY22'!$G$6:$G$132,$G45)</f>
        <v>0</v>
      </c>
      <c r="AI45" s="62">
        <f>SUMIFS('Employee Detail FY22'!$AI$6:$AI$132,'Employee Detail FY22'!$B$6:$B$132,$B45,'Employee Detail FY22'!$C$6:$C$132,$C45,'Employee Detail FY22'!$E$6:$E$132,$E45,'Employee Detail FY22'!$F$6:$F$132,$F45,'Employee Detail FY22'!$G$6:$G$132,$G45)</f>
        <v>0</v>
      </c>
      <c r="AJ45" s="62">
        <v>0</v>
      </c>
      <c r="AK45" s="62">
        <v>0</v>
      </c>
      <c r="AL45" s="256">
        <f t="shared" si="11"/>
        <v>0</v>
      </c>
      <c r="AM45" s="256">
        <f t="shared" si="12"/>
        <v>0</v>
      </c>
      <c r="AN45" s="256">
        <f t="shared" si="13"/>
        <v>0</v>
      </c>
    </row>
    <row r="46" spans="1:40" outlineLevel="1" x14ac:dyDescent="0.2">
      <c r="B46" s="647"/>
      <c r="C46" s="647"/>
      <c r="D46" s="647"/>
      <c r="E46" s="647"/>
      <c r="F46" s="647"/>
      <c r="G46" s="647"/>
      <c r="H46" s="647"/>
      <c r="AA46" s="256">
        <f>SUMIFS('Employee Detail FY22'!$AA$6:$AA$132,'Employee Detail FY22'!$B$6:$B$132,$B46,'Employee Detail FY22'!$C$6:$C$132,$C46,'Employee Detail FY22'!$E$6:$E$132,$E46,'Employee Detail FY22'!$F$6:$F$132,$F46,'Employee Detail FY22'!$G$6:$G$132,$G46)</f>
        <v>0</v>
      </c>
      <c r="AB46" s="62"/>
      <c r="AC46" s="62">
        <f>SUMIFS('Employee Detail FY22'!$AC$6:$AC$132,'Employee Detail FY22'!$B$6:$B$132,$B46,'Employee Detail FY22'!$C$6:$C$132,$C46,'Employee Detail FY22'!$E$6:$E$132,$E46,'Employee Detail FY22'!$F$6:$F$132,$F46,'Employee Detail FY22'!$G$6:$G$132,$G46)</f>
        <v>0</v>
      </c>
      <c r="AD46" s="62">
        <f>SUMIFS('Employee Detail FY22'!$AD$6:$AD$132,'Employee Detail FY22'!$B$6:$B$132,$B46,'Employee Detail FY22'!$C$6:$C$132,$C46,'Employee Detail FY22'!$E$6:$E$132,$E46,'Employee Detail FY22'!$F$6:$F$132,$F46,'Employee Detail FY22'!$G$6:$G$132,$G46)</f>
        <v>0</v>
      </c>
      <c r="AE46" s="62">
        <f>SUMIFS('Employee Detail FY22'!$AE$6:$AE$132,'Employee Detail FY22'!$B$6:$B$132,$B46,'Employee Detail FY22'!$C$6:$C$132,$C46,'Employee Detail FY22'!$E$6:$E$132,$E46,'Employee Detail FY22'!$F$6:$F$132,$F46,'Employee Detail FY22'!$G$6:$G$132,$G46)</f>
        <v>0</v>
      </c>
      <c r="AF46" s="62">
        <f>SUMIFS('Employee Detail FY22'!$AF$6:$AF$132,'Employee Detail FY22'!$B$6:$B$132,$B46,'Employee Detail FY22'!$C$6:$C$132,$C46,'Employee Detail FY22'!$E$6:$E$132,$E46,'Employee Detail FY22'!$F$6:$F$132,$F46,'Employee Detail FY22'!$G$6:$G$132,$G46)</f>
        <v>0</v>
      </c>
      <c r="AG46" s="269">
        <v>0</v>
      </c>
      <c r="AH46" s="62">
        <f>SUMIFS('Employee Detail FY22'!$AH$6:$AH$132,'Employee Detail FY22'!$B$6:$B$132,$B46,'Employee Detail FY22'!$C$6:$C$132,$C46,'Employee Detail FY22'!$E$6:$E$132,$E46,'Employee Detail FY22'!$F$6:$F$132,$F46,'Employee Detail FY22'!$G$6:$G$132,$G46)</f>
        <v>0</v>
      </c>
      <c r="AI46" s="62">
        <f>SUMIFS('Employee Detail FY22'!$AI$6:$AI$132,'Employee Detail FY22'!$B$6:$B$132,$B46,'Employee Detail FY22'!$C$6:$C$132,$C46,'Employee Detail FY22'!$E$6:$E$132,$E46,'Employee Detail FY22'!$F$6:$F$132,$F46,'Employee Detail FY22'!$G$6:$G$132,$G46)</f>
        <v>0</v>
      </c>
      <c r="AJ46" s="62">
        <v>0</v>
      </c>
      <c r="AK46" s="62">
        <v>0</v>
      </c>
      <c r="AL46" s="256">
        <f t="shared" si="11"/>
        <v>0</v>
      </c>
      <c r="AM46" s="256">
        <f t="shared" si="12"/>
        <v>0</v>
      </c>
      <c r="AN46" s="256">
        <f t="shared" si="13"/>
        <v>0</v>
      </c>
    </row>
    <row r="47" spans="1:40" outlineLevel="1" x14ac:dyDescent="0.2">
      <c r="B47" s="647" t="s">
        <v>135</v>
      </c>
      <c r="C47" s="647" t="s">
        <v>864</v>
      </c>
      <c r="D47" s="647"/>
      <c r="E47" s="647" t="s">
        <v>557</v>
      </c>
      <c r="F47" s="647" t="s">
        <v>558</v>
      </c>
      <c r="G47" s="647" t="s">
        <v>993</v>
      </c>
      <c r="H47" s="647"/>
      <c r="AA47" s="256">
        <f>SUMIFS('Employee Detail FY22'!$AA$6:$AA$132,'Employee Detail FY22'!$B$6:$B$132,$B47,'Employee Detail FY22'!$C$6:$C$132,$C47,'Employee Detail FY22'!$E$6:$E$132,$E47,'Employee Detail FY22'!$F$6:$F$132,$F47,'Employee Detail FY22'!$G$6:$G$132,$G47)</f>
        <v>0</v>
      </c>
      <c r="AB47" s="62"/>
      <c r="AC47" s="62">
        <f>SUMIFS('Employee Detail FY22'!$AC$6:$AC$132,'Employee Detail FY22'!$B$6:$B$132,$B47,'Employee Detail FY22'!$C$6:$C$132,$C47,'Employee Detail FY22'!$E$6:$E$132,$E47,'Employee Detail FY22'!$F$6:$F$132,$F47,'Employee Detail FY22'!$G$6:$G$132,$G47)</f>
        <v>0</v>
      </c>
      <c r="AD47" s="62">
        <f>SUMIFS('Employee Detail FY22'!$AD$6:$AD$132,'Employee Detail FY22'!$B$6:$B$132,$B47,'Employee Detail FY22'!$C$6:$C$132,$C47,'Employee Detail FY22'!$E$6:$E$132,$E47,'Employee Detail FY22'!$F$6:$F$132,$F47,'Employee Detail FY22'!$G$6:$G$132,$G47)</f>
        <v>0</v>
      </c>
      <c r="AE47" s="62">
        <f>SUMIFS('Employee Detail FY22'!$AE$6:$AE$132,'Employee Detail FY22'!$B$6:$B$132,$B47,'Employee Detail FY22'!$C$6:$C$132,$C47,'Employee Detail FY22'!$E$6:$E$132,$E47,'Employee Detail FY22'!$F$6:$F$132,$F47,'Employee Detail FY22'!$G$6:$G$132,$G47)</f>
        <v>0</v>
      </c>
      <c r="AF47" s="62">
        <f>SUMIFS('Employee Detail FY22'!$AF$6:$AF$132,'Employee Detail FY22'!$B$6:$B$132,$B47,'Employee Detail FY22'!$C$6:$C$132,$C47,'Employee Detail FY22'!$E$6:$E$132,$E47,'Employee Detail FY22'!$F$6:$F$132,$F47,'Employee Detail FY22'!$G$6:$G$132,$G47)</f>
        <v>0</v>
      </c>
      <c r="AG47" s="269">
        <v>0</v>
      </c>
      <c r="AH47" s="62">
        <f>SUMIFS('Employee Detail FY22'!$AH$6:$AH$132,'Employee Detail FY22'!$B$6:$B$132,$B47,'Employee Detail FY22'!$C$6:$C$132,$C47,'Employee Detail FY22'!$E$6:$E$132,$E47,'Employee Detail FY22'!$F$6:$F$132,$F47,'Employee Detail FY22'!$G$6:$G$132,$G47)</f>
        <v>0</v>
      </c>
      <c r="AI47" s="62">
        <f>SUMIFS('Employee Detail FY22'!$AI$6:$AI$132,'Employee Detail FY22'!$B$6:$B$132,$B47,'Employee Detail FY22'!$C$6:$C$132,$C47,'Employee Detail FY22'!$E$6:$E$132,$E47,'Employee Detail FY22'!$F$6:$F$132,$F47,'Employee Detail FY22'!$G$6:$G$132,$G47)</f>
        <v>0</v>
      </c>
      <c r="AJ47" s="62">
        <v>0</v>
      </c>
      <c r="AK47" s="62">
        <v>0</v>
      </c>
      <c r="AL47" s="256">
        <f t="shared" si="11"/>
        <v>0</v>
      </c>
      <c r="AM47" s="256">
        <f t="shared" si="12"/>
        <v>0</v>
      </c>
      <c r="AN47" s="256">
        <f t="shared" si="13"/>
        <v>0</v>
      </c>
    </row>
    <row r="48" spans="1:40" outlineLevel="1" x14ac:dyDescent="0.2">
      <c r="B48" s="647"/>
      <c r="C48" s="647"/>
      <c r="D48" s="647"/>
      <c r="E48" s="647"/>
      <c r="F48" s="647"/>
      <c r="G48" s="647"/>
      <c r="H48" s="647"/>
      <c r="AA48" s="256">
        <f>SUMIFS('Employee Detail FY22'!$AA$6:$AA$132,'Employee Detail FY22'!$B$6:$B$132,$B48,'Employee Detail FY22'!$C$6:$C$132,$C48,'Employee Detail FY22'!$E$6:$E$132,$E48,'Employee Detail FY22'!$F$6:$F$132,$F48,'Employee Detail FY22'!$G$6:$G$132,$G48)</f>
        <v>0</v>
      </c>
      <c r="AB48" s="62"/>
      <c r="AC48" s="62">
        <f>SUMIFS('Employee Detail FY22'!$AC$6:$AC$132,'Employee Detail FY22'!$B$6:$B$132,$B48,'Employee Detail FY22'!$C$6:$C$132,$C48,'Employee Detail FY22'!$E$6:$E$132,$E48,'Employee Detail FY22'!$F$6:$F$132,$F48,'Employee Detail FY22'!$G$6:$G$132,$G48)</f>
        <v>0</v>
      </c>
      <c r="AD48" s="62">
        <f>SUMIFS('Employee Detail FY22'!$AD$6:$AD$132,'Employee Detail FY22'!$B$6:$B$132,$B48,'Employee Detail FY22'!$C$6:$C$132,$C48,'Employee Detail FY22'!$E$6:$E$132,$E48,'Employee Detail FY22'!$F$6:$F$132,$F48,'Employee Detail FY22'!$G$6:$G$132,$G48)</f>
        <v>0</v>
      </c>
      <c r="AE48" s="62">
        <f>SUMIFS('Employee Detail FY22'!$AE$6:$AE$132,'Employee Detail FY22'!$B$6:$B$132,$B48,'Employee Detail FY22'!$C$6:$C$132,$C48,'Employee Detail FY22'!$E$6:$E$132,$E48,'Employee Detail FY22'!$F$6:$F$132,$F48,'Employee Detail FY22'!$G$6:$G$132,$G48)</f>
        <v>0</v>
      </c>
      <c r="AF48" s="62">
        <f>SUMIFS('Employee Detail FY22'!$AF$6:$AF$132,'Employee Detail FY22'!$B$6:$B$132,$B48,'Employee Detail FY22'!$C$6:$C$132,$C48,'Employee Detail FY22'!$E$6:$E$132,$E48,'Employee Detail FY22'!$F$6:$F$132,$F48,'Employee Detail FY22'!$G$6:$G$132,$G48)</f>
        <v>0</v>
      </c>
      <c r="AG48" s="269">
        <v>0</v>
      </c>
      <c r="AH48" s="62">
        <f>SUMIFS('Employee Detail FY22'!$AH$6:$AH$132,'Employee Detail FY22'!$B$6:$B$132,$B48,'Employee Detail FY22'!$C$6:$C$132,$C48,'Employee Detail FY22'!$E$6:$E$132,$E48,'Employee Detail FY22'!$F$6:$F$132,$F48,'Employee Detail FY22'!$G$6:$G$132,$G48)</f>
        <v>0</v>
      </c>
      <c r="AI48" s="62">
        <f>SUMIFS('Employee Detail FY22'!$AI$6:$AI$132,'Employee Detail FY22'!$B$6:$B$132,$B48,'Employee Detail FY22'!$C$6:$C$132,$C48,'Employee Detail FY22'!$E$6:$E$132,$E48,'Employee Detail FY22'!$F$6:$F$132,$F48,'Employee Detail FY22'!$G$6:$G$132,$G48)</f>
        <v>0</v>
      </c>
      <c r="AJ48" s="62">
        <v>0</v>
      </c>
      <c r="AK48" s="62">
        <v>0</v>
      </c>
      <c r="AL48" s="256">
        <f t="shared" si="11"/>
        <v>0</v>
      </c>
      <c r="AM48" s="256">
        <f t="shared" si="12"/>
        <v>0</v>
      </c>
      <c r="AN48" s="256">
        <f t="shared" si="13"/>
        <v>0</v>
      </c>
    </row>
    <row r="49" spans="2:40" outlineLevel="1" x14ac:dyDescent="0.2">
      <c r="B49" s="647" t="s">
        <v>135</v>
      </c>
      <c r="C49" s="647" t="s">
        <v>245</v>
      </c>
      <c r="D49" s="647"/>
      <c r="E49" s="647">
        <v>430</v>
      </c>
      <c r="F49" s="647" t="s">
        <v>461</v>
      </c>
      <c r="G49" s="647" t="s">
        <v>161</v>
      </c>
      <c r="H49" s="647"/>
      <c r="AA49" s="256">
        <f>SUMIFS('Employee Detail FY22'!$AA$6:$AA$132,'Employee Detail FY22'!$B$6:$B$132,$B49,'Employee Detail FY22'!$C$6:$C$132,$C49,'Employee Detail FY22'!$E$6:$E$132,$E49,'Employee Detail FY22'!$F$6:$F$132,$F49,'Employee Detail FY22'!$G$6:$G$132,$G49)</f>
        <v>0</v>
      </c>
      <c r="AB49" s="62"/>
      <c r="AC49" s="399">
        <f>SUMIFS('Employee Detail FY22'!$AC$6:$AC$132,'Employee Detail FY22'!$B$6:$B$132,$B49,'Employee Detail FY22'!$C$6:$C$132,$C49,'Employee Detail FY22'!$E$6:$E$132,$E49,'Employee Detail FY22'!$F$6:$F$132,$F49,'Employee Detail FY22'!$G$6:$G$132,$G49)</f>
        <v>0</v>
      </c>
      <c r="AD49" s="62">
        <f>SUMIFS('Employee Detail FY22'!$AD$6:$AD$132,'Employee Detail FY22'!$B$6:$B$132,$B49,'Employee Detail FY22'!$C$6:$C$132,$C49,'Employee Detail FY22'!$E$6:$E$132,$E49,'Employee Detail FY22'!$F$6:$F$132,$F49,'Employee Detail FY22'!$G$6:$G$132,$G49)</f>
        <v>0</v>
      </c>
      <c r="AE49" s="62">
        <f>SUMIFS('Employee Detail FY22'!$AE$6:$AE$132,'Employee Detail FY22'!$B$6:$B$132,$B49,'Employee Detail FY22'!$C$6:$C$132,$C49,'Employee Detail FY22'!$E$6:$E$132,$E49,'Employee Detail FY22'!$F$6:$F$132,$F49,'Employee Detail FY22'!$G$6:$G$132,$G49)</f>
        <v>0</v>
      </c>
      <c r="AF49" s="62">
        <f>SUMIFS('Employee Detail FY22'!$AF$6:$AF$132,'Employee Detail FY22'!$B$6:$B$132,$B49,'Employee Detail FY22'!$C$6:$C$132,$C49,'Employee Detail FY22'!$E$6:$E$132,$E49,'Employee Detail FY22'!$F$6:$F$132,$F49,'Employee Detail FY22'!$G$6:$G$132,$G49)</f>
        <v>0</v>
      </c>
      <c r="AG49" s="269">
        <v>0</v>
      </c>
      <c r="AH49" s="62">
        <f>SUMIFS('Employee Detail FY22'!$AH$6:$AH$132,'Employee Detail FY22'!$B$6:$B$132,$B49,'Employee Detail FY22'!$C$6:$C$132,$C49,'Employee Detail FY22'!$E$6:$E$132,$E49,'Employee Detail FY22'!$F$6:$F$132,$F49,'Employee Detail FY22'!$G$6:$G$132,$G49)</f>
        <v>0</v>
      </c>
      <c r="AI49" s="62">
        <f>SUMIFS('Employee Detail FY22'!$AI$6:$AI$132,'Employee Detail FY22'!$B$6:$B$132,$B49,'Employee Detail FY22'!$C$6:$C$132,$C49,'Employee Detail FY22'!$E$6:$E$132,$E49,'Employee Detail FY22'!$F$6:$F$132,$F49,'Employee Detail FY22'!$G$6:$G$132,$G49)</f>
        <v>0</v>
      </c>
      <c r="AJ49" s="62">
        <v>0</v>
      </c>
      <c r="AK49" s="62">
        <v>0</v>
      </c>
      <c r="AL49" s="256">
        <f t="shared" si="11"/>
        <v>0</v>
      </c>
      <c r="AM49" s="256">
        <f t="shared" si="12"/>
        <v>0</v>
      </c>
      <c r="AN49" s="256">
        <f t="shared" si="13"/>
        <v>0</v>
      </c>
    </row>
    <row r="50" spans="2:40" outlineLevel="1" x14ac:dyDescent="0.2">
      <c r="B50" s="647" t="s">
        <v>135</v>
      </c>
      <c r="C50" s="647" t="s">
        <v>245</v>
      </c>
      <c r="D50" s="647"/>
      <c r="E50" s="647">
        <v>430</v>
      </c>
      <c r="F50" s="647" t="s">
        <v>461</v>
      </c>
      <c r="G50" s="647" t="s">
        <v>169</v>
      </c>
      <c r="H50" s="647"/>
      <c r="AA50" s="256">
        <f>SUMIFS('Employee Detail FY22'!$AA$6:$AA$132,'Employee Detail FY22'!$B$6:$B$132,$B50,'Employee Detail FY22'!$C$6:$C$132,$C50,'Employee Detail FY22'!$E$6:$E$132,$E50,'Employee Detail FY22'!$F$6:$F$132,$F50,'Employee Detail FY22'!$G$6:$G$132,$G50)</f>
        <v>36337.959000000003</v>
      </c>
      <c r="AB50" s="62"/>
      <c r="AC50" s="399">
        <f>SUMIFS('Employee Detail FY22'!$AC$6:$AC$132,'Employee Detail FY22'!$B$6:$B$132,$B50,'Employee Detail FY22'!$C$6:$C$132,$C50,'Employee Detail FY22'!$E$6:$E$132,$E50,'Employee Detail FY22'!$F$6:$F$132,$F50,'Employee Detail FY22'!$G$6:$G$132,$G50)</f>
        <v>7943.76</v>
      </c>
      <c r="AD50" s="62">
        <f>SUMIFS('Employee Detail FY22'!$AD$6:$AD$132,'Employee Detail FY22'!$B$6:$B$132,$B50,'Employee Detail FY22'!$C$6:$C$132,$C50,'Employee Detail FY22'!$E$6:$E$132,$E50,'Employee Detail FY22'!$F$6:$F$132,$F50,'Employee Detail FY22'!$G$6:$G$132,$G50)</f>
        <v>0</v>
      </c>
      <c r="AE50" s="62">
        <f>SUMIFS('Employee Detail FY22'!$AE$6:$AE$132,'Employee Detail FY22'!$B$6:$B$132,$B50,'Employee Detail FY22'!$C$6:$C$132,$C50,'Employee Detail FY22'!$E$6:$E$132,$E50,'Employee Detail FY22'!$F$6:$F$132,$F50,'Employee Detail FY22'!$G$6:$G$132,$G50)</f>
        <v>5632.3836450000008</v>
      </c>
      <c r="AF50" s="62">
        <f>SUMIFS('Employee Detail FY22'!$AF$6:$AF$132,'Employee Detail FY22'!$B$6:$B$132,$B50,'Employee Detail FY22'!$C$6:$C$132,$C50,'Employee Detail FY22'!$E$6:$E$132,$E50,'Employee Detail FY22'!$F$6:$F$132,$F50,'Employee Detail FY22'!$G$6:$G$132,$G50)</f>
        <v>526.90040550000003</v>
      </c>
      <c r="AG50" s="269">
        <v>0</v>
      </c>
      <c r="AH50" s="62">
        <f>SUMIFS('Employee Detail FY22'!$AH$6:$AH$132,'Employee Detail FY22'!$B$6:$B$132,$B50,'Employee Detail FY22'!$C$6:$C$132,$C50,'Employee Detail FY22'!$E$6:$E$132,$E50,'Employee Detail FY22'!$F$6:$F$132,$F50,'Employee Detail FY22'!$G$6:$G$132,$G50)</f>
        <v>330.76031625720492</v>
      </c>
      <c r="AI50" s="62">
        <f>SUMIFS('Employee Detail FY22'!$AI$6:$AI$132,'Employee Detail FY22'!$B$6:$B$132,$B50,'Employee Detail FY22'!$C$6:$C$132,$C50,'Employee Detail FY22'!$E$6:$E$132,$E50,'Employee Detail FY22'!$F$6:$F$132,$F50,'Employee Detail FY22'!$G$6:$G$132,$G50)</f>
        <v>73.435801569419056</v>
      </c>
      <c r="AJ50" s="62">
        <v>0</v>
      </c>
      <c r="AK50" s="62">
        <v>0</v>
      </c>
      <c r="AL50" s="256">
        <f t="shared" si="11"/>
        <v>14507.240168326625</v>
      </c>
      <c r="AM50" s="256">
        <f t="shared" si="12"/>
        <v>36337.959000000003</v>
      </c>
      <c r="AN50" s="256">
        <f t="shared" si="13"/>
        <v>50845.199168326624</v>
      </c>
    </row>
    <row r="51" spans="2:40" outlineLevel="1" x14ac:dyDescent="0.2">
      <c r="B51" s="647" t="s">
        <v>135</v>
      </c>
      <c r="C51" s="647" t="s">
        <v>242</v>
      </c>
      <c r="D51" s="647"/>
      <c r="E51" s="647" t="s">
        <v>532</v>
      </c>
      <c r="F51" s="647" t="s">
        <v>461</v>
      </c>
      <c r="G51" s="647" t="s">
        <v>171</v>
      </c>
      <c r="H51" s="647"/>
      <c r="AA51" s="256">
        <f>SUMIFS('Employee Detail FY22'!$AA$6:$AA$132,'Employee Detail FY22'!$B$6:$B$132,$B51,'Employee Detail FY22'!$C$6:$C$132,$C51,'Employee Detail FY22'!$E$6:$E$132,$E51,'Employee Detail FY22'!$F$6:$F$132,$F51,'Employee Detail FY22'!$G$6:$G$132,$G51)</f>
        <v>0</v>
      </c>
      <c r="AB51" s="62"/>
      <c r="AC51" s="399">
        <f>SUMIFS('Employee Detail FY22'!$AC$6:$AC$132,'Employee Detail FY22'!$B$6:$B$132,$B51,'Employee Detail FY22'!$C$6:$C$132,$C51,'Employee Detail FY22'!$E$6:$E$132,$E51,'Employee Detail FY22'!$F$6:$F$132,$F51,'Employee Detail FY22'!$G$6:$G$132,$G51)</f>
        <v>0</v>
      </c>
      <c r="AD51" s="62">
        <f>SUMIFS('Employee Detail FY22'!$AD$6:$AD$132,'Employee Detail FY22'!$B$6:$B$132,$B51,'Employee Detail FY22'!$C$6:$C$132,$C51,'Employee Detail FY22'!$E$6:$E$132,$E51,'Employee Detail FY22'!$F$6:$F$132,$F51,'Employee Detail FY22'!$G$6:$G$132,$G51)</f>
        <v>0</v>
      </c>
      <c r="AE51" s="62">
        <f>SUMIFS('Employee Detail FY22'!$AE$6:$AE$132,'Employee Detail FY22'!$B$6:$B$132,$B51,'Employee Detail FY22'!$C$6:$C$132,$C51,'Employee Detail FY22'!$E$6:$E$132,$E51,'Employee Detail FY22'!$F$6:$F$132,$F51,'Employee Detail FY22'!$G$6:$G$132,$G51)</f>
        <v>0</v>
      </c>
      <c r="AF51" s="62">
        <f>SUMIFS('Employee Detail FY22'!$AF$6:$AF$132,'Employee Detail FY22'!$B$6:$B$132,$B51,'Employee Detail FY22'!$C$6:$C$132,$C51,'Employee Detail FY22'!$E$6:$E$132,$E51,'Employee Detail FY22'!$F$6:$F$132,$F51,'Employee Detail FY22'!$G$6:$G$132,$G51)</f>
        <v>0</v>
      </c>
      <c r="AG51" s="269">
        <v>0</v>
      </c>
      <c r="AH51" s="62">
        <f>SUMIFS('Employee Detail FY22'!$AH$6:$AH$132,'Employee Detail FY22'!$B$6:$B$132,$B51,'Employee Detail FY22'!$C$6:$C$132,$C51,'Employee Detail FY22'!$E$6:$E$132,$E51,'Employee Detail FY22'!$F$6:$F$132,$F51,'Employee Detail FY22'!$G$6:$G$132,$G51)</f>
        <v>0</v>
      </c>
      <c r="AI51" s="62">
        <f>SUMIFS('Employee Detail FY22'!$AI$6:$AI$132,'Employee Detail FY22'!$B$6:$B$132,$B51,'Employee Detail FY22'!$C$6:$C$132,$C51,'Employee Detail FY22'!$E$6:$E$132,$E51,'Employee Detail FY22'!$F$6:$F$132,$F51,'Employee Detail FY22'!$G$6:$G$132,$G51)</f>
        <v>0</v>
      </c>
      <c r="AJ51" s="62">
        <v>0</v>
      </c>
      <c r="AK51" s="62">
        <v>0</v>
      </c>
      <c r="AL51" s="256">
        <f t="shared" si="11"/>
        <v>0</v>
      </c>
      <c r="AM51" s="256">
        <f t="shared" si="12"/>
        <v>0</v>
      </c>
      <c r="AN51" s="256">
        <f t="shared" si="13"/>
        <v>0</v>
      </c>
    </row>
    <row r="52" spans="2:40" outlineLevel="1" x14ac:dyDescent="0.2">
      <c r="B52" s="647" t="s">
        <v>135</v>
      </c>
      <c r="C52" s="647" t="s">
        <v>242</v>
      </c>
      <c r="D52" s="647"/>
      <c r="E52" s="647" t="s">
        <v>532</v>
      </c>
      <c r="F52" s="647" t="s">
        <v>461</v>
      </c>
      <c r="G52" s="647" t="s">
        <v>1043</v>
      </c>
      <c r="H52" s="647"/>
      <c r="AA52" s="256">
        <f>SUMIFS('Employee Detail FY22'!$AA$6:$AA$132,'Employee Detail FY22'!$B$6:$B$132,$B52,'Employee Detail FY22'!$C$6:$C$132,$C52,'Employee Detail FY22'!$E$6:$E$132,$E52,'Employee Detail FY22'!$F$6:$F$132,$F52,'Employee Detail FY22'!$G$6:$G$132,$G52)</f>
        <v>6000</v>
      </c>
      <c r="AB52" s="62"/>
      <c r="AC52" s="399">
        <f>SUMIFS('Employee Detail FY22'!$AC$6:$AC$132,'Employee Detail FY22'!$B$6:$B$132,$B52,'Employee Detail FY22'!$C$6:$C$132,$C52,'Employee Detail FY22'!$E$6:$E$132,$E52,'Employee Detail FY22'!$F$6:$F$132,$F52,'Employee Detail FY22'!$G$6:$G$132,$G52)</f>
        <v>0</v>
      </c>
      <c r="AD52" s="62">
        <f>SUMIFS('Employee Detail FY22'!$AD$6:$AD$132,'Employee Detail FY22'!$B$6:$B$132,$B52,'Employee Detail FY22'!$C$6:$C$132,$C52,'Employee Detail FY22'!$E$6:$E$132,$E52,'Employee Detail FY22'!$F$6:$F$132,$F52,'Employee Detail FY22'!$G$6:$G$132,$G52)</f>
        <v>0</v>
      </c>
      <c r="AE52" s="62">
        <f>SUMIFS('Employee Detail FY22'!$AE$6:$AE$132,'Employee Detail FY22'!$B$6:$B$132,$B52,'Employee Detail FY22'!$C$6:$C$132,$C52,'Employee Detail FY22'!$E$6:$E$132,$E52,'Employee Detail FY22'!$F$6:$F$132,$F52,'Employee Detail FY22'!$G$6:$G$132,$G52)</f>
        <v>0</v>
      </c>
      <c r="AF52" s="62">
        <f>SUMIFS('Employee Detail FY22'!$AF$6:$AF$132,'Employee Detail FY22'!$B$6:$B$132,$B52,'Employee Detail FY22'!$C$6:$C$132,$C52,'Employee Detail FY22'!$E$6:$E$132,$E52,'Employee Detail FY22'!$F$6:$F$132,$F52,'Employee Detail FY22'!$G$6:$G$132,$G52)</f>
        <v>87</v>
      </c>
      <c r="AG52" s="269">
        <v>0</v>
      </c>
      <c r="AH52" s="62">
        <f>SUMIFS('Employee Detail FY22'!$AH$6:$AH$132,'Employee Detail FY22'!$B$6:$B$132,$B52,'Employee Detail FY22'!$C$6:$C$132,$C52,'Employee Detail FY22'!$E$6:$E$132,$E52,'Employee Detail FY22'!$F$6:$F$132,$F52,'Employee Detail FY22'!$G$6:$G$132,$G52)</f>
        <v>54.614016641474812</v>
      </c>
      <c r="AI52" s="62">
        <f>SUMIFS('Employee Detail FY22'!$AI$6:$AI$132,'Employee Detail FY22'!$B$6:$B$132,$B52,'Employee Detail FY22'!$C$6:$C$132,$C52,'Employee Detail FY22'!$E$6:$E$132,$E52,'Employee Detail FY22'!$F$6:$F$132,$F52,'Employee Detail FY22'!$G$6:$G$132,$G52)</f>
        <v>12.125469386338246</v>
      </c>
      <c r="AJ52" s="62">
        <v>0</v>
      </c>
      <c r="AK52" s="62">
        <v>0</v>
      </c>
      <c r="AL52" s="256">
        <f t="shared" si="11"/>
        <v>153.73948602781306</v>
      </c>
      <c r="AM52" s="256">
        <f t="shared" si="12"/>
        <v>6000</v>
      </c>
      <c r="AN52" s="256">
        <f t="shared" si="13"/>
        <v>6153.7394860278127</v>
      </c>
    </row>
    <row r="53" spans="2:40" outlineLevel="1" x14ac:dyDescent="0.2">
      <c r="B53" s="647" t="s">
        <v>135</v>
      </c>
      <c r="C53" s="647" t="s">
        <v>242</v>
      </c>
      <c r="D53" s="647"/>
      <c r="E53" s="647" t="s">
        <v>532</v>
      </c>
      <c r="F53" s="647" t="s">
        <v>461</v>
      </c>
      <c r="G53" s="647" t="s">
        <v>1062</v>
      </c>
      <c r="H53" s="647"/>
      <c r="AA53" s="256">
        <f>SUMIFS('Employee Detail FY22'!$AA$6:$AA$132,'Employee Detail FY22'!$B$6:$B$132,$B53,'Employee Detail FY22'!$C$6:$C$132,$C53,'Employee Detail FY22'!$E$6:$E$132,$E53,'Employee Detail FY22'!$F$6:$F$132,$F53,'Employee Detail FY22'!$G$6:$G$132,$G53)</f>
        <v>0</v>
      </c>
      <c r="AB53" s="62"/>
      <c r="AC53" s="399">
        <f>SUMIFS('Employee Detail FY22'!$AC$6:$AC$132,'Employee Detail FY22'!$B$6:$B$132,$B53,'Employee Detail FY22'!$C$6:$C$132,$C53,'Employee Detail FY22'!$E$6:$E$132,$E53,'Employee Detail FY22'!$F$6:$F$132,$F53,'Employee Detail FY22'!$G$6:$G$132,$G53)</f>
        <v>0</v>
      </c>
      <c r="AD53" s="62">
        <f>SUMIFS('Employee Detail FY22'!$AD$6:$AD$132,'Employee Detail FY22'!$B$6:$B$132,$B53,'Employee Detail FY22'!$C$6:$C$132,$C53,'Employee Detail FY22'!$E$6:$E$132,$E53,'Employee Detail FY22'!$F$6:$F$132,$F53,'Employee Detail FY22'!$G$6:$G$132,$G53)</f>
        <v>0</v>
      </c>
      <c r="AE53" s="62">
        <f>SUMIFS('Employee Detail FY22'!$AE$6:$AE$132,'Employee Detail FY22'!$B$6:$B$132,$B53,'Employee Detail FY22'!$C$6:$C$132,$C53,'Employee Detail FY22'!$E$6:$E$132,$E53,'Employee Detail FY22'!$F$6:$F$132,$F53,'Employee Detail FY22'!$G$6:$G$132,$G53)</f>
        <v>0</v>
      </c>
      <c r="AF53" s="62">
        <f>SUMIFS('Employee Detail FY22'!$AF$6:$AF$132,'Employee Detail FY22'!$B$6:$B$132,$B53,'Employee Detail FY22'!$C$6:$C$132,$C53,'Employee Detail FY22'!$E$6:$E$132,$E53,'Employee Detail FY22'!$F$6:$F$132,$F53,'Employee Detail FY22'!$G$6:$G$132,$G53)</f>
        <v>0</v>
      </c>
      <c r="AG53" s="269">
        <v>0</v>
      </c>
      <c r="AH53" s="62">
        <f>SUMIFS('Employee Detail FY22'!$AH$6:$AH$132,'Employee Detail FY22'!$B$6:$B$132,$B53,'Employee Detail FY22'!$C$6:$C$132,$C53,'Employee Detail FY22'!$E$6:$E$132,$E53,'Employee Detail FY22'!$F$6:$F$132,$F53,'Employee Detail FY22'!$G$6:$G$132,$G53)</f>
        <v>0</v>
      </c>
      <c r="AI53" s="62">
        <f>SUMIFS('Employee Detail FY22'!$AI$6:$AI$132,'Employee Detail FY22'!$B$6:$B$132,$B53,'Employee Detail FY22'!$C$6:$C$132,$C53,'Employee Detail FY22'!$E$6:$E$132,$E53,'Employee Detail FY22'!$F$6:$F$132,$F53,'Employee Detail FY22'!$G$6:$G$132,$G53)</f>
        <v>0</v>
      </c>
      <c r="AJ53" s="62">
        <v>0</v>
      </c>
      <c r="AK53" s="62">
        <v>0</v>
      </c>
      <c r="AL53" s="256">
        <f t="shared" si="11"/>
        <v>0</v>
      </c>
      <c r="AM53" s="256">
        <f t="shared" si="12"/>
        <v>0</v>
      </c>
      <c r="AN53" s="256">
        <f t="shared" si="13"/>
        <v>0</v>
      </c>
    </row>
    <row r="54" spans="2:40" outlineLevel="1" x14ac:dyDescent="0.2">
      <c r="B54" s="647"/>
      <c r="C54" s="647"/>
      <c r="D54" s="647"/>
      <c r="E54" s="647"/>
      <c r="F54" s="647"/>
      <c r="G54" s="647"/>
      <c r="H54" s="647"/>
      <c r="AA54" s="256">
        <f>SUMIFS('Employee Detail FY22'!$AA$6:$AA$132,'Employee Detail FY22'!$B$6:$B$132,$B54,'Employee Detail FY22'!$C$6:$C$132,$C54,'Employee Detail FY22'!$E$6:$E$132,$E54,'Employee Detail FY22'!$F$6:$F$132,$F54,'Employee Detail FY22'!$G$6:$G$132,$G54)</f>
        <v>0</v>
      </c>
      <c r="AB54" s="62"/>
      <c r="AC54" s="62">
        <f>SUMIFS('Employee Detail FY22'!$AC$6:$AC$132,'Employee Detail FY22'!$B$6:$B$132,$B54,'Employee Detail FY22'!$C$6:$C$132,$C54,'Employee Detail FY22'!$E$6:$E$132,$E54,'Employee Detail FY22'!$F$6:$F$132,$F54,'Employee Detail FY22'!$G$6:$G$132,$G54)</f>
        <v>0</v>
      </c>
      <c r="AD54" s="62">
        <f>SUMIFS('Employee Detail FY22'!$AD$6:$AD$132,'Employee Detail FY22'!$B$6:$B$132,$B54,'Employee Detail FY22'!$C$6:$C$132,$C54,'Employee Detail FY22'!$E$6:$E$132,$E54,'Employee Detail FY22'!$F$6:$F$132,$F54,'Employee Detail FY22'!$G$6:$G$132,$G54)</f>
        <v>0</v>
      </c>
      <c r="AE54" s="62">
        <f>SUMIFS('Employee Detail FY22'!$AE$6:$AE$132,'Employee Detail FY22'!$B$6:$B$132,$B54,'Employee Detail FY22'!$C$6:$C$132,$C54,'Employee Detail FY22'!$E$6:$E$132,$E54,'Employee Detail FY22'!$F$6:$F$132,$F54,'Employee Detail FY22'!$G$6:$G$132,$G54)</f>
        <v>0</v>
      </c>
      <c r="AF54" s="62">
        <f>SUMIFS('Employee Detail FY22'!$AF$6:$AF$132,'Employee Detail FY22'!$B$6:$B$132,$B54,'Employee Detail FY22'!$C$6:$C$132,$C54,'Employee Detail FY22'!$E$6:$E$132,$E54,'Employee Detail FY22'!$F$6:$F$132,$F54,'Employee Detail FY22'!$G$6:$G$132,$G54)</f>
        <v>0</v>
      </c>
      <c r="AG54" s="269">
        <v>0</v>
      </c>
      <c r="AH54" s="62">
        <f>SUMIFS('Employee Detail FY22'!$AH$6:$AH$132,'Employee Detail FY22'!$B$6:$B$132,$B54,'Employee Detail FY22'!$C$6:$C$132,$C54,'Employee Detail FY22'!$E$6:$E$132,$E54,'Employee Detail FY22'!$F$6:$F$132,$F54,'Employee Detail FY22'!$G$6:$G$132,$G54)</f>
        <v>0</v>
      </c>
      <c r="AI54" s="62">
        <f>SUMIFS('Employee Detail FY22'!$AI$6:$AI$132,'Employee Detail FY22'!$B$6:$B$132,$B54,'Employee Detail FY22'!$C$6:$C$132,$C54,'Employee Detail FY22'!$E$6:$E$132,$E54,'Employee Detail FY22'!$F$6:$F$132,$F54,'Employee Detail FY22'!$G$6:$G$132,$G54)</f>
        <v>0</v>
      </c>
      <c r="AJ54" s="62">
        <v>0</v>
      </c>
      <c r="AK54" s="62">
        <v>0</v>
      </c>
      <c r="AL54" s="256">
        <f t="shared" si="11"/>
        <v>0</v>
      </c>
      <c r="AM54" s="256">
        <f t="shared" si="12"/>
        <v>0</v>
      </c>
      <c r="AN54" s="256">
        <f t="shared" si="13"/>
        <v>0</v>
      </c>
    </row>
    <row r="55" spans="2:40" outlineLevel="1" x14ac:dyDescent="0.2">
      <c r="B55" s="647" t="s">
        <v>135</v>
      </c>
      <c r="C55" s="647" t="s">
        <v>242</v>
      </c>
      <c r="D55" s="647"/>
      <c r="E55" s="647" t="s">
        <v>532</v>
      </c>
      <c r="F55" s="647" t="s">
        <v>465</v>
      </c>
      <c r="G55" s="647" t="s">
        <v>993</v>
      </c>
      <c r="H55" s="647"/>
      <c r="AA55" s="256">
        <f>SUMIFS('Employee Detail FY22'!$AA$6:$AA$132,'Employee Detail FY22'!$B$6:$B$132,$B55,'Employee Detail FY22'!$C$6:$C$132,$C55,'Employee Detail FY22'!$E$6:$E$132,$E55,'Employee Detail FY22'!$F$6:$F$132,$F55,'Employee Detail FY22'!$G$6:$G$132,$G55)</f>
        <v>0</v>
      </c>
      <c r="AB55" s="62"/>
      <c r="AC55" s="399">
        <f>SUMIFS('Employee Detail FY22'!$AC$6:$AC$132,'Employee Detail FY22'!$B$6:$B$132,$B55,'Employee Detail FY22'!$C$6:$C$132,$C55,'Employee Detail FY22'!$E$6:$E$132,$E55,'Employee Detail FY22'!$F$6:$F$132,$F55,'Employee Detail FY22'!$G$6:$G$132,$G55)</f>
        <v>0</v>
      </c>
      <c r="AD55" s="62">
        <f>SUMIFS('Employee Detail FY22'!$AD$6:$AD$132,'Employee Detail FY22'!$B$6:$B$132,$B55,'Employee Detail FY22'!$C$6:$C$132,$C55,'Employee Detail FY22'!$E$6:$E$132,$E55,'Employee Detail FY22'!$F$6:$F$132,$F55,'Employee Detail FY22'!$G$6:$G$132,$G55)</f>
        <v>0</v>
      </c>
      <c r="AE55" s="62">
        <f>SUMIFS('Employee Detail FY22'!$AE$6:$AE$132,'Employee Detail FY22'!$B$6:$B$132,$B55,'Employee Detail FY22'!$C$6:$C$132,$C55,'Employee Detail FY22'!$E$6:$E$132,$E55,'Employee Detail FY22'!$F$6:$F$132,$F55,'Employee Detail FY22'!$G$6:$G$132,$G55)</f>
        <v>0</v>
      </c>
      <c r="AF55" s="62">
        <f>SUMIFS('Employee Detail FY22'!$AF$6:$AF$132,'Employee Detail FY22'!$B$6:$B$132,$B55,'Employee Detail FY22'!$C$6:$C$132,$C55,'Employee Detail FY22'!$E$6:$E$132,$E55,'Employee Detail FY22'!$F$6:$F$132,$F55,'Employee Detail FY22'!$G$6:$G$132,$G55)</f>
        <v>0</v>
      </c>
      <c r="AG55" s="269">
        <v>0</v>
      </c>
      <c r="AH55" s="62">
        <f>SUMIFS('Employee Detail FY22'!$AH$6:$AH$132,'Employee Detail FY22'!$B$6:$B$132,$B55,'Employee Detail FY22'!$C$6:$C$132,$C55,'Employee Detail FY22'!$E$6:$E$132,$E55,'Employee Detail FY22'!$F$6:$F$132,$F55,'Employee Detail FY22'!$G$6:$G$132,$G55)</f>
        <v>0</v>
      </c>
      <c r="AI55" s="62">
        <f>SUMIFS('Employee Detail FY22'!$AI$6:$AI$132,'Employee Detail FY22'!$B$6:$B$132,$B55,'Employee Detail FY22'!$C$6:$C$132,$C55,'Employee Detail FY22'!$E$6:$E$132,$E55,'Employee Detail FY22'!$F$6:$F$132,$F55,'Employee Detail FY22'!$G$6:$G$132,$G55)</f>
        <v>0</v>
      </c>
      <c r="AJ55" s="62">
        <v>0</v>
      </c>
      <c r="AK55" s="62">
        <v>0</v>
      </c>
      <c r="AL55" s="256">
        <f t="shared" si="11"/>
        <v>0</v>
      </c>
      <c r="AM55" s="256">
        <f t="shared" si="12"/>
        <v>0</v>
      </c>
      <c r="AN55" s="256">
        <f t="shared" si="13"/>
        <v>0</v>
      </c>
    </row>
    <row r="56" spans="2:40" outlineLevel="1" x14ac:dyDescent="0.2">
      <c r="B56" s="647" t="s">
        <v>135</v>
      </c>
      <c r="C56" s="647" t="s">
        <v>242</v>
      </c>
      <c r="D56" s="647"/>
      <c r="E56" s="647" t="s">
        <v>532</v>
      </c>
      <c r="F56" s="647" t="s">
        <v>556</v>
      </c>
      <c r="G56" s="647" t="s">
        <v>1046</v>
      </c>
      <c r="H56" s="647"/>
      <c r="AA56" s="256">
        <f>SUMIFS('Employee Detail FY22'!$AA$6:$AA$132,'Employee Detail FY22'!$B$6:$B$132,$B56,'Employee Detail FY22'!$C$6:$C$132,$C56,'Employee Detail FY22'!$E$6:$E$132,$E56,'Employee Detail FY22'!$F$6:$F$132,$F56,'Employee Detail FY22'!$G$6:$G$132,$G56)</f>
        <v>0</v>
      </c>
      <c r="AB56" s="62"/>
      <c r="AC56" s="399">
        <f>SUMIFS('Employee Detail FY22'!$AC$6:$AC$132,'Employee Detail FY22'!$B$6:$B$132,$B56,'Employee Detail FY22'!$C$6:$C$132,$C56,'Employee Detail FY22'!$E$6:$E$132,$E56,'Employee Detail FY22'!$F$6:$F$132,$F56,'Employee Detail FY22'!$G$6:$G$132,$G56)</f>
        <v>0</v>
      </c>
      <c r="AD56" s="62">
        <f>SUMIFS('Employee Detail FY22'!$AD$6:$AD$132,'Employee Detail FY22'!$B$6:$B$132,$B56,'Employee Detail FY22'!$C$6:$C$132,$C56,'Employee Detail FY22'!$E$6:$E$132,$E56,'Employee Detail FY22'!$F$6:$F$132,$F56,'Employee Detail FY22'!$G$6:$G$132,$G56)</f>
        <v>0</v>
      </c>
      <c r="AE56" s="62">
        <f>SUMIFS('Employee Detail FY22'!$AE$6:$AE$132,'Employee Detail FY22'!$B$6:$B$132,$B56,'Employee Detail FY22'!$C$6:$C$132,$C56,'Employee Detail FY22'!$E$6:$E$132,$E56,'Employee Detail FY22'!$F$6:$F$132,$F56,'Employee Detail FY22'!$G$6:$G$132,$G56)</f>
        <v>0</v>
      </c>
      <c r="AF56" s="62">
        <f>SUMIFS('Employee Detail FY22'!$AF$6:$AF$132,'Employee Detail FY22'!$B$6:$B$132,$B56,'Employee Detail FY22'!$C$6:$C$132,$C56,'Employee Detail FY22'!$E$6:$E$132,$E56,'Employee Detail FY22'!$F$6:$F$132,$F56,'Employee Detail FY22'!$G$6:$G$132,$G56)</f>
        <v>0</v>
      </c>
      <c r="AG56" s="269">
        <v>0</v>
      </c>
      <c r="AH56" s="62">
        <f>SUMIFS('Employee Detail FY22'!$AH$6:$AH$132,'Employee Detail FY22'!$B$6:$B$132,$B56,'Employee Detail FY22'!$C$6:$C$132,$C56,'Employee Detail FY22'!$E$6:$E$132,$E56,'Employee Detail FY22'!$F$6:$F$132,$F56,'Employee Detail FY22'!$G$6:$G$132,$G56)</f>
        <v>0</v>
      </c>
      <c r="AI56" s="62">
        <f>SUMIFS('Employee Detail FY22'!$AI$6:$AI$132,'Employee Detail FY22'!$B$6:$B$132,$B56,'Employee Detail FY22'!$C$6:$C$132,$C56,'Employee Detail FY22'!$E$6:$E$132,$E56,'Employee Detail FY22'!$F$6:$F$132,$F56,'Employee Detail FY22'!$G$6:$G$132,$G56)</f>
        <v>0</v>
      </c>
      <c r="AJ56" s="62">
        <v>0</v>
      </c>
      <c r="AK56" s="62">
        <v>0</v>
      </c>
      <c r="AL56" s="256">
        <f t="shared" si="11"/>
        <v>0</v>
      </c>
      <c r="AM56" s="256">
        <f t="shared" si="12"/>
        <v>0</v>
      </c>
      <c r="AN56" s="256">
        <f t="shared" si="13"/>
        <v>0</v>
      </c>
    </row>
    <row r="57" spans="2:40" outlineLevel="1" x14ac:dyDescent="0.2">
      <c r="B57" s="647" t="s">
        <v>135</v>
      </c>
      <c r="C57" s="647" t="s">
        <v>550</v>
      </c>
      <c r="D57" s="647"/>
      <c r="E57" s="647">
        <v>430</v>
      </c>
      <c r="F57" s="647" t="s">
        <v>484</v>
      </c>
      <c r="G57" s="647" t="s">
        <v>167</v>
      </c>
      <c r="H57" s="647"/>
      <c r="AA57" s="256">
        <f>SUMIFS('Employee Detail FY22'!$AA$6:$AA$132,'Employee Detail FY22'!$B$6:$B$132,$B57,'Employee Detail FY22'!$C$6:$C$132,$C57,'Employee Detail FY22'!$E$6:$E$132,$E57,'Employee Detail FY22'!$F$6:$F$132,$F57,'Employee Detail FY22'!$G$6:$G$132,$G57)</f>
        <v>11643.999999999998</v>
      </c>
      <c r="AB57" s="62"/>
      <c r="AC57" s="399">
        <f>SUMIFS('Employee Detail FY22'!$AC$6:$AC$132,'Employee Detail FY22'!$B$6:$B$132,$B57,'Employee Detail FY22'!$C$6:$C$132,$C57,'Employee Detail FY22'!$E$6:$E$132,$E57,'Employee Detail FY22'!$F$6:$F$132,$F57,'Employee Detail FY22'!$G$6:$G$132,$G57)</f>
        <v>0</v>
      </c>
      <c r="AD57" s="62">
        <f>SUMIFS('Employee Detail FY22'!$AD$6:$AD$132,'Employee Detail FY22'!$B$6:$B$132,$B57,'Employee Detail FY22'!$C$6:$C$132,$C57,'Employee Detail FY22'!$E$6:$E$132,$E57,'Employee Detail FY22'!$F$6:$F$132,$F57,'Employee Detail FY22'!$G$6:$G$132,$G57)</f>
        <v>721.92799999999988</v>
      </c>
      <c r="AE57" s="62">
        <f>SUMIFS('Employee Detail FY22'!$AE$6:$AE$132,'Employee Detail FY22'!$B$6:$B$132,$B57,'Employee Detail FY22'!$C$6:$C$132,$C57,'Employee Detail FY22'!$E$6:$E$132,$E57,'Employee Detail FY22'!$F$6:$F$132,$F57,'Employee Detail FY22'!$G$6:$G$132,$G57)</f>
        <v>0</v>
      </c>
      <c r="AF57" s="62">
        <f>SUMIFS('Employee Detail FY22'!$AF$6:$AF$132,'Employee Detail FY22'!$B$6:$B$132,$B57,'Employee Detail FY22'!$C$6:$C$132,$C57,'Employee Detail FY22'!$E$6:$E$132,$E57,'Employee Detail FY22'!$F$6:$F$132,$F57,'Employee Detail FY22'!$G$6:$G$132,$G57)</f>
        <v>168.83799999999999</v>
      </c>
      <c r="AG57" s="269">
        <v>0</v>
      </c>
      <c r="AH57" s="62">
        <f>SUMIFS('Employee Detail FY22'!$AH$6:$AH$132,'Employee Detail FY22'!$B$6:$B$132,$B57,'Employee Detail FY22'!$C$6:$C$132,$C57,'Employee Detail FY22'!$E$6:$E$132,$E57,'Employee Detail FY22'!$F$6:$F$132,$F57,'Employee Detail FY22'!$G$6:$G$132,$G57)</f>
        <v>105.98760162888878</v>
      </c>
      <c r="AI57" s="62">
        <f>SUMIFS('Employee Detail FY22'!$AI$6:$AI$132,'Employee Detail FY22'!$B$6:$B$132,$B57,'Employee Detail FY22'!$C$6:$C$132,$C57,'Employee Detail FY22'!$E$6:$E$132,$E57,'Employee Detail FY22'!$F$6:$F$132,$F57,'Employee Detail FY22'!$G$6:$G$132,$G57)</f>
        <v>23.531494255753749</v>
      </c>
      <c r="AJ57" s="62">
        <v>0</v>
      </c>
      <c r="AK57" s="62">
        <v>0</v>
      </c>
      <c r="AL57" s="256">
        <f t="shared" si="11"/>
        <v>1020.2850958846424</v>
      </c>
      <c r="AM57" s="256">
        <f t="shared" si="12"/>
        <v>11643.999999999998</v>
      </c>
      <c r="AN57" s="256">
        <f t="shared" si="13"/>
        <v>12664.285095884641</v>
      </c>
    </row>
    <row r="58" spans="2:40" outlineLevel="1" x14ac:dyDescent="0.2">
      <c r="B58" s="647" t="s">
        <v>135</v>
      </c>
      <c r="C58" s="647" t="s">
        <v>242</v>
      </c>
      <c r="D58" s="647"/>
      <c r="E58" s="647" t="s">
        <v>532</v>
      </c>
      <c r="F58" s="647" t="s">
        <v>485</v>
      </c>
      <c r="G58" s="647" t="s">
        <v>1046</v>
      </c>
      <c r="H58" s="647"/>
      <c r="AA58" s="256">
        <f>SUMIFS('Employee Detail FY22'!$AA$6:$AA$132,'Employee Detail FY22'!$B$6:$B$132,$B58,'Employee Detail FY22'!$C$6:$C$132,$C58,'Employee Detail FY22'!$E$6:$E$132,$E58,'Employee Detail FY22'!$F$6:$F$132,$F58,'Employee Detail FY22'!$G$6:$G$132,$G58)</f>
        <v>0</v>
      </c>
      <c r="AB58" s="62"/>
      <c r="AC58" s="399">
        <f>SUMIFS('Employee Detail FY22'!$AC$6:$AC$132,'Employee Detail FY22'!$B$6:$B$132,$B58,'Employee Detail FY22'!$C$6:$C$132,$C58,'Employee Detail FY22'!$E$6:$E$132,$E58,'Employee Detail FY22'!$F$6:$F$132,$F58,'Employee Detail FY22'!$G$6:$G$132,$G58)</f>
        <v>0</v>
      </c>
      <c r="AD58" s="62">
        <f>SUMIFS('Employee Detail FY22'!$AD$6:$AD$132,'Employee Detail FY22'!$B$6:$B$132,$B58,'Employee Detail FY22'!$C$6:$C$132,$C58,'Employee Detail FY22'!$E$6:$E$132,$E58,'Employee Detail FY22'!$F$6:$F$132,$F58,'Employee Detail FY22'!$G$6:$G$132,$G58)</f>
        <v>0</v>
      </c>
      <c r="AE58" s="62">
        <f>SUMIFS('Employee Detail FY22'!$AE$6:$AE$132,'Employee Detail FY22'!$B$6:$B$132,$B58,'Employee Detail FY22'!$C$6:$C$132,$C58,'Employee Detail FY22'!$E$6:$E$132,$E58,'Employee Detail FY22'!$F$6:$F$132,$F58,'Employee Detail FY22'!$G$6:$G$132,$G58)</f>
        <v>0</v>
      </c>
      <c r="AF58" s="62">
        <f>SUMIFS('Employee Detail FY22'!$AF$6:$AF$132,'Employee Detail FY22'!$B$6:$B$132,$B58,'Employee Detail FY22'!$C$6:$C$132,$C58,'Employee Detail FY22'!$E$6:$E$132,$E58,'Employee Detail FY22'!$F$6:$F$132,$F58,'Employee Detail FY22'!$G$6:$G$132,$G58)</f>
        <v>0</v>
      </c>
      <c r="AG58" s="269">
        <v>0</v>
      </c>
      <c r="AH58" s="62">
        <f>SUMIFS('Employee Detail FY22'!$AH$6:$AH$132,'Employee Detail FY22'!$B$6:$B$132,$B58,'Employee Detail FY22'!$C$6:$C$132,$C58,'Employee Detail FY22'!$E$6:$E$132,$E58,'Employee Detail FY22'!$F$6:$F$132,$F58,'Employee Detail FY22'!$G$6:$G$132,$G58)</f>
        <v>0</v>
      </c>
      <c r="AI58" s="62">
        <f>SUMIFS('Employee Detail FY22'!$AI$6:$AI$132,'Employee Detail FY22'!$B$6:$B$132,$B58,'Employee Detail FY22'!$C$6:$C$132,$C58,'Employee Detail FY22'!$E$6:$E$132,$E58,'Employee Detail FY22'!$F$6:$F$132,$F58,'Employee Detail FY22'!$G$6:$G$132,$G58)</f>
        <v>0</v>
      </c>
      <c r="AJ58" s="62">
        <v>0</v>
      </c>
      <c r="AK58" s="62">
        <v>0</v>
      </c>
      <c r="AL58" s="256">
        <f t="shared" si="11"/>
        <v>0</v>
      </c>
      <c r="AM58" s="256">
        <f t="shared" si="12"/>
        <v>0</v>
      </c>
      <c r="AN58" s="256">
        <f t="shared" si="13"/>
        <v>0</v>
      </c>
    </row>
    <row r="59" spans="2:40" outlineLevel="1" x14ac:dyDescent="0.2">
      <c r="B59" s="647"/>
      <c r="C59" s="647"/>
      <c r="D59" s="647"/>
      <c r="E59" s="647"/>
      <c r="F59" s="647"/>
      <c r="G59" s="647"/>
      <c r="H59" s="647"/>
      <c r="AA59" s="256">
        <f>SUMIFS('Employee Detail FY22'!$AA$6:$AA$132,'Employee Detail FY22'!$B$6:$B$132,$B59,'Employee Detail FY22'!$C$6:$C$132,$C59,'Employee Detail FY22'!$E$6:$E$132,$E59,'Employee Detail FY22'!$F$6:$F$132,$F59,'Employee Detail FY22'!$G$6:$G$132,$G59)</f>
        <v>0</v>
      </c>
      <c r="AB59" s="62"/>
      <c r="AC59" s="62">
        <f>SUMIFS('Employee Detail FY22'!$AC$6:$AC$132,'Employee Detail FY22'!$B$6:$B$132,$B59,'Employee Detail FY22'!$C$6:$C$132,$C59,'Employee Detail FY22'!$E$6:$E$132,$E59,'Employee Detail FY22'!$F$6:$F$132,$F59,'Employee Detail FY22'!$G$6:$G$132,$G59)</f>
        <v>0</v>
      </c>
      <c r="AD59" s="62">
        <f>SUMIFS('Employee Detail FY22'!$AD$6:$AD$132,'Employee Detail FY22'!$B$6:$B$132,$B59,'Employee Detail FY22'!$C$6:$C$132,$C59,'Employee Detail FY22'!$E$6:$E$132,$E59,'Employee Detail FY22'!$F$6:$F$132,$F59,'Employee Detail FY22'!$G$6:$G$132,$G59)</f>
        <v>0</v>
      </c>
      <c r="AE59" s="62">
        <f>SUMIFS('Employee Detail FY22'!$AE$6:$AE$132,'Employee Detail FY22'!$B$6:$B$132,$B59,'Employee Detail FY22'!$C$6:$C$132,$C59,'Employee Detail FY22'!$E$6:$E$132,$E59,'Employee Detail FY22'!$F$6:$F$132,$F59,'Employee Detail FY22'!$G$6:$G$132,$G59)</f>
        <v>0</v>
      </c>
      <c r="AF59" s="62">
        <f>SUMIFS('Employee Detail FY22'!$AF$6:$AF$132,'Employee Detail FY22'!$B$6:$B$132,$B59,'Employee Detail FY22'!$C$6:$C$132,$C59,'Employee Detail FY22'!$E$6:$E$132,$E59,'Employee Detail FY22'!$F$6:$F$132,$F59,'Employee Detail FY22'!$G$6:$G$132,$G59)</f>
        <v>0</v>
      </c>
      <c r="AG59" s="269">
        <v>0</v>
      </c>
      <c r="AH59" s="62">
        <f>SUMIFS('Employee Detail FY22'!$AH$6:$AH$132,'Employee Detail FY22'!$B$6:$B$132,$B59,'Employee Detail FY22'!$C$6:$C$132,$C59,'Employee Detail FY22'!$E$6:$E$132,$E59,'Employee Detail FY22'!$F$6:$F$132,$F59,'Employee Detail FY22'!$G$6:$G$132,$G59)</f>
        <v>0</v>
      </c>
      <c r="AI59" s="62">
        <f>SUMIFS('Employee Detail FY22'!$AI$6:$AI$132,'Employee Detail FY22'!$B$6:$B$132,$B59,'Employee Detail FY22'!$C$6:$C$132,$C59,'Employee Detail FY22'!$E$6:$E$132,$E59,'Employee Detail FY22'!$F$6:$F$132,$F59,'Employee Detail FY22'!$G$6:$G$132,$G59)</f>
        <v>0</v>
      </c>
      <c r="AJ59" s="62">
        <v>0</v>
      </c>
      <c r="AK59" s="62">
        <v>0</v>
      </c>
      <c r="AL59" s="256">
        <f t="shared" si="11"/>
        <v>0</v>
      </c>
      <c r="AM59" s="256">
        <f t="shared" si="12"/>
        <v>0</v>
      </c>
      <c r="AN59" s="256">
        <f t="shared" si="13"/>
        <v>0</v>
      </c>
    </row>
    <row r="60" spans="2:40" outlineLevel="1" x14ac:dyDescent="0.2">
      <c r="B60" s="647" t="s">
        <v>135</v>
      </c>
      <c r="C60" s="647" t="s">
        <v>242</v>
      </c>
      <c r="D60" s="647"/>
      <c r="E60" s="647" t="s">
        <v>532</v>
      </c>
      <c r="F60" s="647" t="s">
        <v>534</v>
      </c>
      <c r="G60" s="647" t="s">
        <v>161</v>
      </c>
      <c r="H60" s="647"/>
      <c r="AA60" s="256">
        <f>SUMIFS('Employee Detail FY22'!$AA$6:$AA$132,'Employee Detail FY22'!$B$6:$B$132,$B60,'Employee Detail FY22'!$C$6:$C$132,$C60,'Employee Detail FY22'!$E$6:$E$132,$E60,'Employee Detail FY22'!$F$6:$F$132,$F60,'Employee Detail FY22'!$G$6:$G$132,$G60)</f>
        <v>64411</v>
      </c>
      <c r="AB60" s="62"/>
      <c r="AC60" s="399">
        <f>SUMIFS('Employee Detail FY22'!$AC$6:$AC$132,'Employee Detail FY22'!$B$6:$B$132,$B60,'Employee Detail FY22'!$C$6:$C$132,$C60,'Employee Detail FY22'!$E$6:$E$132,$E60,'Employee Detail FY22'!$F$6:$F$132,$F60,'Employee Detail FY22'!$G$6:$G$132,$G60)</f>
        <v>7943.76</v>
      </c>
      <c r="AD60" s="62">
        <f>SUMIFS('Employee Detail FY22'!$AD$6:$AD$132,'Employee Detail FY22'!$B$6:$B$132,$B60,'Employee Detail FY22'!$C$6:$C$132,$C60,'Employee Detail FY22'!$E$6:$E$132,$E60,'Employee Detail FY22'!$F$6:$F$132,$F60,'Employee Detail FY22'!$G$6:$G$132,$G60)</f>
        <v>0</v>
      </c>
      <c r="AE60" s="62">
        <f>SUMIFS('Employee Detail FY22'!$AE$6:$AE$132,'Employee Detail FY22'!$B$6:$B$132,$B60,'Employee Detail FY22'!$C$6:$C$132,$C60,'Employee Detail FY22'!$E$6:$E$132,$E60,'Employee Detail FY22'!$F$6:$F$132,$F60,'Employee Detail FY22'!$G$6:$G$132,$G60)</f>
        <v>19162.272499999999</v>
      </c>
      <c r="AF60" s="62">
        <f>SUMIFS('Employee Detail FY22'!$AF$6:$AF$132,'Employee Detail FY22'!$B$6:$B$132,$B60,'Employee Detail FY22'!$C$6:$C$132,$C60,'Employee Detail FY22'!$E$6:$E$132,$E60,'Employee Detail FY22'!$F$6:$F$132,$F60,'Employee Detail FY22'!$G$6:$G$132,$G60)</f>
        <v>933.95950000000005</v>
      </c>
      <c r="AG60" s="269">
        <v>0</v>
      </c>
      <c r="AH60" s="62">
        <f>SUMIFS('Employee Detail FY22'!$AH$6:$AH$132,'Employee Detail FY22'!$B$6:$B$132,$B60,'Employee Detail FY22'!$C$6:$C$132,$C60,'Employee Detail FY22'!$E$6:$E$132,$E60,'Employee Detail FY22'!$F$6:$F$132,$F60,'Employee Detail FY22'!$G$6:$G$132,$G60)</f>
        <v>586.29057098233909</v>
      </c>
      <c r="AI60" s="62">
        <f>SUMIFS('Employee Detail FY22'!$AI$6:$AI$132,'Employee Detail FY22'!$B$6:$B$132,$B60,'Employee Detail FY22'!$C$6:$C$132,$C60,'Employee Detail FY22'!$E$6:$E$132,$E60,'Employee Detail FY22'!$F$6:$F$132,$F60,'Employee Detail FY22'!$G$6:$G$132,$G60)</f>
        <v>130.16893477390545</v>
      </c>
      <c r="AJ60" s="62">
        <v>0</v>
      </c>
      <c r="AK60" s="62">
        <v>0</v>
      </c>
      <c r="AL60" s="256">
        <f t="shared" si="11"/>
        <v>28756.451505756246</v>
      </c>
      <c r="AM60" s="256">
        <f t="shared" si="12"/>
        <v>64411</v>
      </c>
      <c r="AN60" s="256">
        <f t="shared" si="13"/>
        <v>93167.451505756238</v>
      </c>
    </row>
    <row r="61" spans="2:40" outlineLevel="1" x14ac:dyDescent="0.2">
      <c r="B61" s="647" t="s">
        <v>135</v>
      </c>
      <c r="C61" s="647" t="s">
        <v>245</v>
      </c>
      <c r="D61" s="647"/>
      <c r="E61" s="647">
        <v>430</v>
      </c>
      <c r="F61" s="647" t="s">
        <v>534</v>
      </c>
      <c r="G61" s="647" t="s">
        <v>161</v>
      </c>
      <c r="H61" s="647"/>
      <c r="AA61" s="256">
        <f>SUMIFS('Employee Detail FY22'!$AA$6:$AA$132,'Employee Detail FY22'!$B$6:$B$132,$B61,'Employee Detail FY22'!$C$6:$C$132,$C61,'Employee Detail FY22'!$E$6:$E$132,$E61,'Employee Detail FY22'!$F$6:$F$132,$F61,'Employee Detail FY22'!$G$6:$G$132,$G61)</f>
        <v>75789.446614</v>
      </c>
      <c r="AB61" s="62"/>
      <c r="AC61" s="399">
        <f>SUMIFS('Employee Detail FY22'!$AC$6:$AC$132,'Employee Detail FY22'!$B$6:$B$132,$B61,'Employee Detail FY22'!$C$6:$C$132,$C61,'Employee Detail FY22'!$E$6:$E$132,$E61,'Employee Detail FY22'!$F$6:$F$132,$F61,'Employee Detail FY22'!$G$6:$G$132,$G61)</f>
        <v>7943.76</v>
      </c>
      <c r="AD61" s="62">
        <f>SUMIFS('Employee Detail FY22'!$AD$6:$AD$132,'Employee Detail FY22'!$B$6:$B$132,$B61,'Employee Detail FY22'!$C$6:$C$132,$C61,'Employee Detail FY22'!$E$6:$E$132,$E61,'Employee Detail FY22'!$F$6:$F$132,$F61,'Employee Detail FY22'!$G$6:$G$132,$G61)</f>
        <v>0</v>
      </c>
      <c r="AE61" s="62">
        <f>SUMIFS('Employee Detail FY22'!$AE$6:$AE$132,'Employee Detail FY22'!$B$6:$B$132,$B61,'Employee Detail FY22'!$C$6:$C$132,$C61,'Employee Detail FY22'!$E$6:$E$132,$E61,'Employee Detail FY22'!$F$6:$F$132,$F61,'Employee Detail FY22'!$G$6:$G$132,$G61)</f>
        <v>11747.36422517</v>
      </c>
      <c r="AF61" s="62">
        <f>SUMIFS('Employee Detail FY22'!$AF$6:$AF$132,'Employee Detail FY22'!$B$6:$B$132,$B61,'Employee Detail FY22'!$C$6:$C$132,$C61,'Employee Detail FY22'!$E$6:$E$132,$E61,'Employee Detail FY22'!$F$6:$F$132,$F61,'Employee Detail FY22'!$G$6:$G$132,$G61)</f>
        <v>1098.9469759030001</v>
      </c>
      <c r="AG61" s="269">
        <v>0</v>
      </c>
      <c r="AH61" s="62">
        <f>SUMIFS('Employee Detail FY22'!$AH$6:$AH$132,'Employee Detail FY22'!$B$6:$B$132,$B61,'Employee Detail FY22'!$C$6:$C$132,$C61,'Employee Detail FY22'!$E$6:$E$132,$E61,'Employee Detail FY22'!$F$6:$F$132,$F61,'Employee Detail FY22'!$G$6:$G$132,$G61)</f>
        <v>689.86101643752716</v>
      </c>
      <c r="AI61" s="62">
        <f>SUMIFS('Employee Detail FY22'!$AI$6:$AI$132,'Employee Detail FY22'!$B$6:$B$132,$B61,'Employee Detail FY22'!$C$6:$C$132,$C61,'Employee Detail FY22'!$E$6:$E$132,$E61,'Employee Detail FY22'!$F$6:$F$132,$F61,'Employee Detail FY22'!$G$6:$G$132,$G61)</f>
        <v>153.16376912092898</v>
      </c>
      <c r="AJ61" s="62">
        <v>0</v>
      </c>
      <c r="AK61" s="62">
        <v>0</v>
      </c>
      <c r="AL61" s="256">
        <f t="shared" si="11"/>
        <v>21633.095986631459</v>
      </c>
      <c r="AM61" s="256">
        <f t="shared" si="12"/>
        <v>75789.446614</v>
      </c>
      <c r="AN61" s="256">
        <f t="shared" si="13"/>
        <v>97422.542600631452</v>
      </c>
    </row>
    <row r="62" spans="2:40" outlineLevel="1" x14ac:dyDescent="0.2">
      <c r="B62" s="647" t="s">
        <v>135</v>
      </c>
      <c r="C62" s="647" t="s">
        <v>242</v>
      </c>
      <c r="D62" s="647"/>
      <c r="E62" s="647" t="s">
        <v>532</v>
      </c>
      <c r="F62" s="647" t="s">
        <v>534</v>
      </c>
      <c r="G62" s="647" t="s">
        <v>1043</v>
      </c>
      <c r="H62" s="647"/>
      <c r="AA62" s="256">
        <f>SUMIFS('Employee Detail FY22'!$AA$6:$AA$132,'Employee Detail FY22'!$B$6:$B$132,$B62,'Employee Detail FY22'!$C$6:$C$132,$C62,'Employee Detail FY22'!$E$6:$E$132,$E62,'Employee Detail FY22'!$F$6:$F$132,$F62,'Employee Detail FY22'!$G$6:$G$132,$G62)</f>
        <v>0</v>
      </c>
      <c r="AB62" s="62"/>
      <c r="AC62" s="399">
        <f>SUMIFS('Employee Detail FY22'!$AC$6:$AC$132,'Employee Detail FY22'!$B$6:$B$132,$B62,'Employee Detail FY22'!$C$6:$C$132,$C62,'Employee Detail FY22'!$E$6:$E$132,$E62,'Employee Detail FY22'!$F$6:$F$132,$F62,'Employee Detail FY22'!$G$6:$G$132,$G62)</f>
        <v>0</v>
      </c>
      <c r="AD62" s="62">
        <f>SUMIFS('Employee Detail FY22'!$AD$6:$AD$132,'Employee Detail FY22'!$B$6:$B$132,$B62,'Employee Detail FY22'!$C$6:$C$132,$C62,'Employee Detail FY22'!$E$6:$E$132,$E62,'Employee Detail FY22'!$F$6:$F$132,$F62,'Employee Detail FY22'!$G$6:$G$132,$G62)</f>
        <v>0</v>
      </c>
      <c r="AE62" s="62">
        <f>SUMIFS('Employee Detail FY22'!$AE$6:$AE$132,'Employee Detail FY22'!$B$6:$B$132,$B62,'Employee Detail FY22'!$C$6:$C$132,$C62,'Employee Detail FY22'!$E$6:$E$132,$E62,'Employee Detail FY22'!$F$6:$F$132,$F62,'Employee Detail FY22'!$G$6:$G$132,$G62)</f>
        <v>0</v>
      </c>
      <c r="AF62" s="62">
        <f>SUMIFS('Employee Detail FY22'!$AF$6:$AF$132,'Employee Detail FY22'!$B$6:$B$132,$B62,'Employee Detail FY22'!$C$6:$C$132,$C62,'Employee Detail FY22'!$E$6:$E$132,$E62,'Employee Detail FY22'!$F$6:$F$132,$F62,'Employee Detail FY22'!$G$6:$G$132,$G62)</f>
        <v>0</v>
      </c>
      <c r="AG62" s="269">
        <v>0</v>
      </c>
      <c r="AH62" s="62">
        <f>SUMIFS('Employee Detail FY22'!$AH$6:$AH$132,'Employee Detail FY22'!$B$6:$B$132,$B62,'Employee Detail FY22'!$C$6:$C$132,$C62,'Employee Detail FY22'!$E$6:$E$132,$E62,'Employee Detail FY22'!$F$6:$F$132,$F62,'Employee Detail FY22'!$G$6:$G$132,$G62)</f>
        <v>0</v>
      </c>
      <c r="AI62" s="62">
        <f>SUMIFS('Employee Detail FY22'!$AI$6:$AI$132,'Employee Detail FY22'!$B$6:$B$132,$B62,'Employee Detail FY22'!$C$6:$C$132,$C62,'Employee Detail FY22'!$E$6:$E$132,$E62,'Employee Detail FY22'!$F$6:$F$132,$F62,'Employee Detail FY22'!$G$6:$G$132,$G62)</f>
        <v>0</v>
      </c>
      <c r="AJ62" s="62">
        <v>0</v>
      </c>
      <c r="AK62" s="62">
        <v>0</v>
      </c>
      <c r="AL62" s="256">
        <f t="shared" si="11"/>
        <v>0</v>
      </c>
      <c r="AM62" s="256">
        <f t="shared" si="12"/>
        <v>0</v>
      </c>
      <c r="AN62" s="256">
        <f t="shared" si="13"/>
        <v>0</v>
      </c>
    </row>
    <row r="63" spans="2:40" outlineLevel="1" x14ac:dyDescent="0.2">
      <c r="B63" s="647" t="s">
        <v>135</v>
      </c>
      <c r="C63" s="647" t="s">
        <v>242</v>
      </c>
      <c r="D63" s="647"/>
      <c r="E63" s="647" t="s">
        <v>532</v>
      </c>
      <c r="F63" s="647" t="s">
        <v>558</v>
      </c>
      <c r="G63" s="647" t="s">
        <v>993</v>
      </c>
      <c r="H63" s="647"/>
      <c r="AA63" s="256">
        <f>SUMIFS('Employee Detail FY22'!$AA$6:$AA$132,'Employee Detail FY22'!$B$6:$B$132,$B63,'Employee Detail FY22'!$C$6:$C$132,$C63,'Employee Detail FY22'!$E$6:$E$132,$E63,'Employee Detail FY22'!$F$6:$F$132,$F63,'Employee Detail FY22'!$G$6:$G$132,$G63)</f>
        <v>0</v>
      </c>
      <c r="AB63" s="62"/>
      <c r="AC63" s="399">
        <f>SUMIFS('Employee Detail FY22'!$AC$6:$AC$132,'Employee Detail FY22'!$B$6:$B$132,$B63,'Employee Detail FY22'!$C$6:$C$132,$C63,'Employee Detail FY22'!$E$6:$E$132,$E63,'Employee Detail FY22'!$F$6:$F$132,$F63,'Employee Detail FY22'!$G$6:$G$132,$G63)</f>
        <v>0</v>
      </c>
      <c r="AD63" s="62">
        <f>SUMIFS('Employee Detail FY22'!$AD$6:$AD$132,'Employee Detail FY22'!$B$6:$B$132,$B63,'Employee Detail FY22'!$C$6:$C$132,$C63,'Employee Detail FY22'!$E$6:$E$132,$E63,'Employee Detail FY22'!$F$6:$F$132,$F63,'Employee Detail FY22'!$G$6:$G$132,$G63)</f>
        <v>0</v>
      </c>
      <c r="AE63" s="62">
        <f>SUMIFS('Employee Detail FY22'!$AE$6:$AE$132,'Employee Detail FY22'!$B$6:$B$132,$B63,'Employee Detail FY22'!$C$6:$C$132,$C63,'Employee Detail FY22'!$E$6:$E$132,$E63,'Employee Detail FY22'!$F$6:$F$132,$F63,'Employee Detail FY22'!$G$6:$G$132,$G63)</f>
        <v>0</v>
      </c>
      <c r="AF63" s="62">
        <f>SUMIFS('Employee Detail FY22'!$AF$6:$AF$132,'Employee Detail FY22'!$B$6:$B$132,$B63,'Employee Detail FY22'!$C$6:$C$132,$C63,'Employee Detail FY22'!$E$6:$E$132,$E63,'Employee Detail FY22'!$F$6:$F$132,$F63,'Employee Detail FY22'!$G$6:$G$132,$G63)</f>
        <v>0</v>
      </c>
      <c r="AG63" s="269">
        <v>0</v>
      </c>
      <c r="AH63" s="62">
        <f>SUMIFS('Employee Detail FY22'!$AH$6:$AH$132,'Employee Detail FY22'!$B$6:$B$132,$B63,'Employee Detail FY22'!$C$6:$C$132,$C63,'Employee Detail FY22'!$E$6:$E$132,$E63,'Employee Detail FY22'!$F$6:$F$132,$F63,'Employee Detail FY22'!$G$6:$G$132,$G63)</f>
        <v>0</v>
      </c>
      <c r="AI63" s="62">
        <f>SUMIFS('Employee Detail FY22'!$AI$6:$AI$132,'Employee Detail FY22'!$B$6:$B$132,$B63,'Employee Detail FY22'!$C$6:$C$132,$C63,'Employee Detail FY22'!$E$6:$E$132,$E63,'Employee Detail FY22'!$F$6:$F$132,$F63,'Employee Detail FY22'!$G$6:$G$132,$G63)</f>
        <v>0</v>
      </c>
      <c r="AJ63" s="62">
        <v>0</v>
      </c>
      <c r="AK63" s="62">
        <v>0</v>
      </c>
      <c r="AL63" s="256">
        <f t="shared" si="11"/>
        <v>0</v>
      </c>
      <c r="AM63" s="256">
        <f t="shared" si="12"/>
        <v>0</v>
      </c>
      <c r="AN63" s="256">
        <f t="shared" si="13"/>
        <v>0</v>
      </c>
    </row>
    <row r="64" spans="2:40" outlineLevel="1" x14ac:dyDescent="0.2">
      <c r="B64" s="647"/>
      <c r="C64" s="647"/>
      <c r="D64" s="647"/>
      <c r="E64" s="647"/>
      <c r="F64" s="647"/>
      <c r="G64" s="647"/>
      <c r="H64" s="647"/>
      <c r="AA64" s="256">
        <f>SUMIFS('Employee Detail FY22'!$AA$6:$AA$132,'Employee Detail FY22'!$B$6:$B$132,$B64,'Employee Detail FY22'!$C$6:$C$132,$C64,'Employee Detail FY22'!$E$6:$E$132,$E64,'Employee Detail FY22'!$F$6:$F$132,$F64,'Employee Detail FY22'!$G$6:$G$132,$G64)</f>
        <v>0</v>
      </c>
      <c r="AB64" s="62"/>
      <c r="AC64" s="62">
        <f>SUMIFS('Employee Detail FY22'!$AC$6:$AC$132,'Employee Detail FY22'!$B$6:$B$132,$B64,'Employee Detail FY22'!$C$6:$C$132,$C64,'Employee Detail FY22'!$E$6:$E$132,$E64,'Employee Detail FY22'!$F$6:$F$132,$F64,'Employee Detail FY22'!$G$6:$G$132,$G64)</f>
        <v>0</v>
      </c>
      <c r="AD64" s="62">
        <f>SUMIFS('Employee Detail FY22'!$AD$6:$AD$132,'Employee Detail FY22'!$B$6:$B$132,$B64,'Employee Detail FY22'!$C$6:$C$132,$C64,'Employee Detail FY22'!$E$6:$E$132,$E64,'Employee Detail FY22'!$F$6:$F$132,$F64,'Employee Detail FY22'!$G$6:$G$132,$G64)</f>
        <v>0</v>
      </c>
      <c r="AE64" s="62">
        <f>SUMIFS('Employee Detail FY22'!$AE$6:$AE$132,'Employee Detail FY22'!$B$6:$B$132,$B64,'Employee Detail FY22'!$C$6:$C$132,$C64,'Employee Detail FY22'!$E$6:$E$132,$E64,'Employee Detail FY22'!$F$6:$F$132,$F64,'Employee Detail FY22'!$G$6:$G$132,$G64)</f>
        <v>0</v>
      </c>
      <c r="AF64" s="62">
        <f>SUMIFS('Employee Detail FY22'!$AF$6:$AF$132,'Employee Detail FY22'!$B$6:$B$132,$B64,'Employee Detail FY22'!$C$6:$C$132,$C64,'Employee Detail FY22'!$E$6:$E$132,$E64,'Employee Detail FY22'!$F$6:$F$132,$F64,'Employee Detail FY22'!$G$6:$G$132,$G64)</f>
        <v>0</v>
      </c>
      <c r="AG64" s="269">
        <v>0</v>
      </c>
      <c r="AH64" s="62">
        <f>SUMIFS('Employee Detail FY22'!$AH$6:$AH$132,'Employee Detail FY22'!$B$6:$B$132,$B64,'Employee Detail FY22'!$C$6:$C$132,$C64,'Employee Detail FY22'!$E$6:$E$132,$E64,'Employee Detail FY22'!$F$6:$F$132,$F64,'Employee Detail FY22'!$G$6:$G$132,$G64)</f>
        <v>0</v>
      </c>
      <c r="AI64" s="62">
        <f>SUMIFS('Employee Detail FY22'!$AI$6:$AI$132,'Employee Detail FY22'!$B$6:$B$132,$B64,'Employee Detail FY22'!$C$6:$C$132,$C64,'Employee Detail FY22'!$E$6:$E$132,$E64,'Employee Detail FY22'!$F$6:$F$132,$F64,'Employee Detail FY22'!$G$6:$G$132,$G64)</f>
        <v>0</v>
      </c>
      <c r="AJ64" s="62">
        <v>0</v>
      </c>
      <c r="AK64" s="62">
        <v>0</v>
      </c>
      <c r="AL64" s="256">
        <f t="shared" si="11"/>
        <v>0</v>
      </c>
      <c r="AM64" s="256">
        <f t="shared" si="12"/>
        <v>0</v>
      </c>
      <c r="AN64" s="256">
        <f t="shared" si="13"/>
        <v>0</v>
      </c>
    </row>
    <row r="65" spans="1:40" outlineLevel="1" x14ac:dyDescent="0.2">
      <c r="B65" s="647" t="s">
        <v>135</v>
      </c>
      <c r="C65" s="647" t="s">
        <v>242</v>
      </c>
      <c r="D65" s="647"/>
      <c r="E65" s="647">
        <v>430</v>
      </c>
      <c r="F65" s="647" t="s">
        <v>460</v>
      </c>
      <c r="G65" s="647" t="s">
        <v>165</v>
      </c>
      <c r="H65" s="647"/>
      <c r="AA65" s="256">
        <f>SUMIFS('Employee Detail FY22'!$AA$6:$AA$132,'Employee Detail FY22'!$B$6:$B$132,$B65,'Employee Detail FY22'!$C$6:$C$132,$C65,'Employee Detail FY22'!$E$6:$E$132,$E65,'Employee Detail FY22'!$F$6:$F$132,$F65,'Employee Detail FY22'!$G$6:$G$132,$G65)</f>
        <v>84500</v>
      </c>
      <c r="AB65" s="62"/>
      <c r="AC65" s="399">
        <f>SUMIFS('Employee Detail FY22'!$AC$6:$AC$132,'Employee Detail FY22'!$B$6:$B$132,$B65,'Employee Detail FY22'!$C$6:$C$132,$C65,'Employee Detail FY22'!$E$6:$E$132,$E65,'Employee Detail FY22'!$F$6:$F$132,$F65,'Employee Detail FY22'!$G$6:$G$132,$G65)</f>
        <v>7943.76</v>
      </c>
      <c r="AD65" s="62">
        <f>SUMIFS('Employee Detail FY22'!$AD$6:$AD$132,'Employee Detail FY22'!$B$6:$B$132,$B65,'Employee Detail FY22'!$C$6:$C$132,$C65,'Employee Detail FY22'!$E$6:$E$132,$E65,'Employee Detail FY22'!$F$6:$F$132,$F65,'Employee Detail FY22'!$G$6:$G$132,$G65)</f>
        <v>0</v>
      </c>
      <c r="AE65" s="62">
        <f>SUMIFS('Employee Detail FY22'!$AE$6:$AE$132,'Employee Detail FY22'!$B$6:$B$132,$B65,'Employee Detail FY22'!$C$6:$C$132,$C65,'Employee Detail FY22'!$E$6:$E$132,$E65,'Employee Detail FY22'!$F$6:$F$132,$F65,'Employee Detail FY22'!$G$6:$G$132,$G65)</f>
        <v>25138.75</v>
      </c>
      <c r="AF65" s="62">
        <f>SUMIFS('Employee Detail FY22'!$AF$6:$AF$132,'Employee Detail FY22'!$B$6:$B$132,$B65,'Employee Detail FY22'!$C$6:$C$132,$C65,'Employee Detail FY22'!$E$6:$E$132,$E65,'Employee Detail FY22'!$F$6:$F$132,$F65,'Employee Detail FY22'!$G$6:$G$132,$G65)</f>
        <v>1225.25</v>
      </c>
      <c r="AG65" s="269">
        <v>0</v>
      </c>
      <c r="AH65" s="62">
        <f>SUMIFS('Employee Detail FY22'!$AH$6:$AH$132,'Employee Detail FY22'!$B$6:$B$132,$B65,'Employee Detail FY22'!$C$6:$C$132,$C65,'Employee Detail FY22'!$E$6:$E$132,$E65,'Employee Detail FY22'!$F$6:$F$132,$F65,'Employee Detail FY22'!$G$6:$G$132,$G65)</f>
        <v>769.14740103410361</v>
      </c>
      <c r="AI65" s="62">
        <f>SUMIFS('Employee Detail FY22'!$AI$6:$AI$132,'Employee Detail FY22'!$B$6:$B$132,$B65,'Employee Detail FY22'!$C$6:$C$132,$C65,'Employee Detail FY22'!$E$6:$E$132,$E65,'Employee Detail FY22'!$F$6:$F$132,$F65,'Employee Detail FY22'!$G$6:$G$132,$G65)</f>
        <v>170.76702719093029</v>
      </c>
      <c r="AJ65" s="62">
        <v>0</v>
      </c>
      <c r="AK65" s="62">
        <v>0</v>
      </c>
      <c r="AL65" s="256">
        <f t="shared" si="11"/>
        <v>35247.674428225037</v>
      </c>
      <c r="AM65" s="256">
        <f t="shared" si="12"/>
        <v>84500</v>
      </c>
      <c r="AN65" s="256">
        <f t="shared" si="13"/>
        <v>119747.67442822503</v>
      </c>
    </row>
    <row r="66" spans="1:40" outlineLevel="1" x14ac:dyDescent="0.2">
      <c r="B66" s="647" t="s">
        <v>135</v>
      </c>
      <c r="C66" s="647" t="s">
        <v>242</v>
      </c>
      <c r="D66" s="647"/>
      <c r="E66" s="647" t="s">
        <v>532</v>
      </c>
      <c r="F66" s="647" t="s">
        <v>460</v>
      </c>
      <c r="G66" s="647" t="s">
        <v>1045</v>
      </c>
      <c r="H66" s="647"/>
      <c r="AA66" s="256">
        <f>SUMIFS('Employee Detail FY22'!$AA$6:$AA$132,'Employee Detail FY22'!$B$6:$B$132,$B66,'Employee Detail FY22'!$C$6:$C$132,$C66,'Employee Detail FY22'!$E$6:$E$132,$E66,'Employee Detail FY22'!$F$6:$F$132,$F66,'Employee Detail FY22'!$G$6:$G$132,$G66)</f>
        <v>1700</v>
      </c>
      <c r="AB66" s="62"/>
      <c r="AC66" s="399">
        <f>SUMIFS('Employee Detail FY22'!$AC$6:$AC$132,'Employee Detail FY22'!$B$6:$B$132,$B66,'Employee Detail FY22'!$C$6:$C$132,$C66,'Employee Detail FY22'!$E$6:$E$132,$E66,'Employee Detail FY22'!$F$6:$F$132,$F66,'Employee Detail FY22'!$G$6:$G$132,$G66)</f>
        <v>0</v>
      </c>
      <c r="AD66" s="62">
        <f>SUMIFS('Employee Detail FY22'!$AD$6:$AD$132,'Employee Detail FY22'!$B$6:$B$132,$B66,'Employee Detail FY22'!$C$6:$C$132,$C66,'Employee Detail FY22'!$E$6:$E$132,$E66,'Employee Detail FY22'!$F$6:$F$132,$F66,'Employee Detail FY22'!$G$6:$G$132,$G66)</f>
        <v>0</v>
      </c>
      <c r="AE66" s="62">
        <f>SUMIFS('Employee Detail FY22'!$AE$6:$AE$132,'Employee Detail FY22'!$B$6:$B$132,$B66,'Employee Detail FY22'!$C$6:$C$132,$C66,'Employee Detail FY22'!$E$6:$E$132,$E66,'Employee Detail FY22'!$F$6:$F$132,$F66,'Employee Detail FY22'!$G$6:$G$132,$G66)</f>
        <v>0</v>
      </c>
      <c r="AF66" s="62">
        <f>SUMIFS('Employee Detail FY22'!$AF$6:$AF$132,'Employee Detail FY22'!$B$6:$B$132,$B66,'Employee Detail FY22'!$C$6:$C$132,$C66,'Employee Detail FY22'!$E$6:$E$132,$E66,'Employee Detail FY22'!$F$6:$F$132,$F66,'Employee Detail FY22'!$G$6:$G$132,$G66)</f>
        <v>24.650000000000002</v>
      </c>
      <c r="AG66" s="269">
        <v>0</v>
      </c>
      <c r="AH66" s="62">
        <f>SUMIFS('Employee Detail FY22'!$AH$6:$AH$132,'Employee Detail FY22'!$B$6:$B$132,$B66,'Employee Detail FY22'!$C$6:$C$132,$C66,'Employee Detail FY22'!$E$6:$E$132,$E66,'Employee Detail FY22'!$F$6:$F$132,$F66,'Employee Detail FY22'!$G$6:$G$132,$G66)</f>
        <v>15.473971381751198</v>
      </c>
      <c r="AI66" s="62">
        <f>SUMIFS('Employee Detail FY22'!$AI$6:$AI$132,'Employee Detail FY22'!$B$6:$B$132,$B66,'Employee Detail FY22'!$C$6:$C$132,$C66,'Employee Detail FY22'!$E$6:$E$132,$E66,'Employee Detail FY22'!$F$6:$F$132,$F66,'Employee Detail FY22'!$G$6:$G$132,$G66)</f>
        <v>3.4355496594625028</v>
      </c>
      <c r="AJ66" s="62">
        <v>0</v>
      </c>
      <c r="AK66" s="62">
        <v>0</v>
      </c>
      <c r="AL66" s="256">
        <f t="shared" si="11"/>
        <v>43.559521041213706</v>
      </c>
      <c r="AM66" s="256">
        <f t="shared" si="12"/>
        <v>1700</v>
      </c>
      <c r="AN66" s="256">
        <f t="shared" si="13"/>
        <v>1743.5595210412137</v>
      </c>
    </row>
    <row r="67" spans="1:40" outlineLevel="1" x14ac:dyDescent="0.2">
      <c r="B67" s="647"/>
      <c r="C67" s="647"/>
      <c r="D67" s="647"/>
      <c r="E67" s="647"/>
      <c r="F67" s="647"/>
      <c r="G67" s="647"/>
      <c r="H67" s="647"/>
      <c r="AA67" s="256">
        <f>SUMIFS('Employee Detail FY22'!$AA$6:$AA$132,'Employee Detail FY22'!$B$6:$B$132,$B67,'Employee Detail FY22'!$C$6:$C$132,$C67,'Employee Detail FY22'!$E$6:$E$132,$E67,'Employee Detail FY22'!$F$6:$F$132,$F67,'Employee Detail FY22'!$G$6:$G$132,$G67)</f>
        <v>0</v>
      </c>
      <c r="AB67" s="62"/>
      <c r="AC67" s="62">
        <f>SUMIFS('Employee Detail FY22'!$AC$6:$AC$132,'Employee Detail FY22'!$B$6:$B$132,$B67,'Employee Detail FY22'!$C$6:$C$132,$C67,'Employee Detail FY22'!$E$6:$E$132,$E67,'Employee Detail FY22'!$F$6:$F$132,$F67,'Employee Detail FY22'!$G$6:$G$132,$G67)</f>
        <v>0</v>
      </c>
      <c r="AD67" s="62">
        <f>SUMIFS('Employee Detail FY22'!$AD$6:$AD$132,'Employee Detail FY22'!$B$6:$B$132,$B67,'Employee Detail FY22'!$C$6:$C$132,$C67,'Employee Detail FY22'!$E$6:$E$132,$E67,'Employee Detail FY22'!$F$6:$F$132,$F67,'Employee Detail FY22'!$G$6:$G$132,$G67)</f>
        <v>0</v>
      </c>
      <c r="AE67" s="62">
        <f>SUMIFS('Employee Detail FY22'!$AE$6:$AE$132,'Employee Detail FY22'!$B$6:$B$132,$B67,'Employee Detail FY22'!$C$6:$C$132,$C67,'Employee Detail FY22'!$E$6:$E$132,$E67,'Employee Detail FY22'!$F$6:$F$132,$F67,'Employee Detail FY22'!$G$6:$G$132,$G67)</f>
        <v>0</v>
      </c>
      <c r="AF67" s="62">
        <f>SUMIFS('Employee Detail FY22'!$AF$6:$AF$132,'Employee Detail FY22'!$B$6:$B$132,$B67,'Employee Detail FY22'!$C$6:$C$132,$C67,'Employee Detail FY22'!$E$6:$E$132,$E67,'Employee Detail FY22'!$F$6:$F$132,$F67,'Employee Detail FY22'!$G$6:$G$132,$G67)</f>
        <v>0</v>
      </c>
      <c r="AG67" s="269">
        <v>0</v>
      </c>
      <c r="AH67" s="62">
        <f>SUMIFS('Employee Detail FY22'!$AH$6:$AH$132,'Employee Detail FY22'!$B$6:$B$132,$B67,'Employee Detail FY22'!$C$6:$C$132,$C67,'Employee Detail FY22'!$E$6:$E$132,$E67,'Employee Detail FY22'!$F$6:$F$132,$F67,'Employee Detail FY22'!$G$6:$G$132,$G67)</f>
        <v>0</v>
      </c>
      <c r="AI67" s="62">
        <f>SUMIFS('Employee Detail FY22'!$AI$6:$AI$132,'Employee Detail FY22'!$B$6:$B$132,$B67,'Employee Detail FY22'!$C$6:$C$132,$C67,'Employee Detail FY22'!$E$6:$E$132,$E67,'Employee Detail FY22'!$F$6:$F$132,$F67,'Employee Detail FY22'!$G$6:$G$132,$G67)</f>
        <v>0</v>
      </c>
      <c r="AJ67" s="62">
        <v>0</v>
      </c>
      <c r="AK67" s="62">
        <v>0</v>
      </c>
      <c r="AL67" s="256">
        <f t="shared" si="11"/>
        <v>0</v>
      </c>
      <c r="AM67" s="256">
        <f t="shared" si="12"/>
        <v>0</v>
      </c>
      <c r="AN67" s="256">
        <f t="shared" si="13"/>
        <v>0</v>
      </c>
    </row>
    <row r="68" spans="1:40" ht="13.5" thickBot="1" x14ac:dyDescent="0.25">
      <c r="A68" s="5"/>
      <c r="B68" s="648"/>
      <c r="C68" s="648"/>
      <c r="D68" s="648"/>
      <c r="E68" s="648"/>
      <c r="F68" s="648"/>
      <c r="G68" s="648"/>
      <c r="H68" s="648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57">
        <f>SUM(AA6:AA67)</f>
        <v>2589104.7595779998</v>
      </c>
      <c r="AB68" s="257">
        <f t="shared" ref="AB68:AN68" si="17">SUM(AB6:AB67)</f>
        <v>0</v>
      </c>
      <c r="AC68" s="257">
        <f t="shared" si="17"/>
        <v>329666.04000000015</v>
      </c>
      <c r="AD68" s="257">
        <f t="shared" si="17"/>
        <v>2183.8879999999999</v>
      </c>
      <c r="AE68" s="257">
        <f t="shared" si="17"/>
        <v>570241.90703458991</v>
      </c>
      <c r="AF68" s="257">
        <f t="shared" si="17"/>
        <v>37542.019013880999</v>
      </c>
      <c r="AG68" s="257">
        <f t="shared" si="17"/>
        <v>0</v>
      </c>
      <c r="AH68" s="257">
        <f t="shared" si="17"/>
        <v>23566.901737685752</v>
      </c>
      <c r="AI68" s="257">
        <f t="shared" si="17"/>
        <v>5232.3517500476119</v>
      </c>
      <c r="AJ68" s="257">
        <f t="shared" si="17"/>
        <v>0</v>
      </c>
      <c r="AK68" s="257">
        <f t="shared" si="17"/>
        <v>0</v>
      </c>
      <c r="AL68" s="257">
        <f t="shared" si="17"/>
        <v>968433.10753620428</v>
      </c>
      <c r="AM68" s="257">
        <f t="shared" si="17"/>
        <v>2589104.7595779998</v>
      </c>
      <c r="AN68" s="257">
        <f t="shared" si="17"/>
        <v>3557537.8671142035</v>
      </c>
    </row>
    <row r="69" spans="1:40" ht="13.5" thickTop="1" x14ac:dyDescent="0.2">
      <c r="B69" s="647"/>
      <c r="C69" s="647"/>
      <c r="D69" s="647"/>
      <c r="E69" s="647"/>
      <c r="F69" s="647"/>
      <c r="G69" s="647"/>
      <c r="H69" s="647"/>
    </row>
    <row r="70" spans="1:40" x14ac:dyDescent="0.2">
      <c r="B70" s="647"/>
      <c r="C70" s="647"/>
      <c r="D70" s="647"/>
      <c r="E70" s="647"/>
      <c r="F70" s="647"/>
      <c r="G70" s="647"/>
      <c r="H70" s="647"/>
      <c r="AA70" s="62">
        <v>2724104.7595779984</v>
      </c>
      <c r="AB70" s="62"/>
      <c r="AC70" s="62">
        <v>357469.20000000024</v>
      </c>
      <c r="AD70" s="62">
        <v>2183.8879999999999</v>
      </c>
      <c r="AE70" s="62">
        <v>606388.15703459014</v>
      </c>
      <c r="AF70" s="62">
        <v>39499.519013880992</v>
      </c>
      <c r="AG70" s="62">
        <v>0</v>
      </c>
      <c r="AH70" s="62">
        <v>24795.717112118942</v>
      </c>
      <c r="AI70" s="62">
        <v>5505.174811240222</v>
      </c>
      <c r="AJ70" s="62">
        <v>0</v>
      </c>
      <c r="AK70" s="62">
        <v>0</v>
      </c>
      <c r="AL70" s="62">
        <v>1035841.6559718304</v>
      </c>
      <c r="AM70" s="62">
        <v>2724104.7595779984</v>
      </c>
      <c r="AN70" s="62">
        <v>3759946.4155498301</v>
      </c>
    </row>
    <row r="71" spans="1:40" x14ac:dyDescent="0.2">
      <c r="B71" s="647"/>
      <c r="C71" s="647"/>
      <c r="D71" s="647"/>
      <c r="E71" s="647"/>
      <c r="F71" s="647"/>
      <c r="G71" s="647"/>
      <c r="H71" s="647"/>
    </row>
    <row r="72" spans="1:40" x14ac:dyDescent="0.2">
      <c r="B72" s="647"/>
      <c r="C72" s="647"/>
      <c r="D72" s="647"/>
      <c r="E72" s="647"/>
      <c r="F72" s="647"/>
      <c r="G72" s="647"/>
      <c r="H72" s="647"/>
    </row>
    <row r="73" spans="1:40" x14ac:dyDescent="0.2">
      <c r="B73" s="647"/>
      <c r="C73" s="647"/>
      <c r="D73" s="647"/>
      <c r="E73" s="647"/>
      <c r="F73" s="647"/>
      <c r="G73" s="647"/>
      <c r="H73" s="647"/>
    </row>
    <row r="74" spans="1:40" x14ac:dyDescent="0.2">
      <c r="A74" s="680"/>
      <c r="B74" s="681"/>
      <c r="C74" s="681"/>
      <c r="D74" s="681"/>
      <c r="E74" s="681"/>
      <c r="F74" s="681"/>
      <c r="G74" s="681"/>
      <c r="H74" s="681"/>
      <c r="I74" s="680"/>
      <c r="J74" s="680"/>
      <c r="K74" s="680"/>
      <c r="L74" s="680"/>
      <c r="M74" s="680"/>
      <c r="N74" s="680"/>
      <c r="O74" s="680"/>
      <c r="P74" s="68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80"/>
      <c r="AC74" s="680"/>
      <c r="AD74" s="680"/>
      <c r="AE74" s="680"/>
      <c r="AF74" s="680"/>
      <c r="AG74" s="680"/>
      <c r="AH74" s="680"/>
      <c r="AI74" s="680"/>
      <c r="AJ74" s="680"/>
      <c r="AK74" s="680"/>
      <c r="AL74" s="680"/>
      <c r="AM74" s="680"/>
      <c r="AN74" s="680"/>
    </row>
    <row r="75" spans="1:40" x14ac:dyDescent="0.2">
      <c r="B75" s="647" t="s">
        <v>468</v>
      </c>
      <c r="C75" s="647" t="s">
        <v>145</v>
      </c>
      <c r="D75" s="647"/>
      <c r="E75" s="647" t="s">
        <v>468</v>
      </c>
      <c r="F75" s="647">
        <v>1000</v>
      </c>
      <c r="G75" s="647"/>
      <c r="H75" s="647"/>
      <c r="AL75" s="62">
        <f>SUMIFS('Employee Detail FY22'!$AL$6:$AL$132,'Employee Detail FY22'!$B$6:$B$132,$B75,'Employee Detail FY22'!$C$6:$C$132,$C75,'Employee Detail FY22'!$E$6:$E$132,$E75,'Employee Detail FY22'!$F$6:$F$132,$F75)</f>
        <v>219790.86997626279</v>
      </c>
      <c r="AM75" s="62">
        <f>SUMIFS('Employee Detail FY22'!$AM$6:$AM$132,'Employee Detail FY22'!$B$6:$B$132,$B75,'Employee Detail FY22'!$C$6:$C$132,$C75,'Employee Detail FY22'!$E$6:$E$132,$E75,'Employee Detail FY22'!$F$6:$F$132,$F75)</f>
        <v>518611.5778780001</v>
      </c>
      <c r="AN75" s="62">
        <f t="shared" ref="AN75:AN77" si="18">SUM(AL75:AM75)</f>
        <v>738402.44785426289</v>
      </c>
    </row>
    <row r="76" spans="1:40" x14ac:dyDescent="0.2">
      <c r="B76" s="647" t="s">
        <v>135</v>
      </c>
      <c r="C76" s="647" t="s">
        <v>923</v>
      </c>
      <c r="D76" s="647"/>
      <c r="E76" s="647">
        <v>100</v>
      </c>
      <c r="F76" s="647">
        <v>1000</v>
      </c>
      <c r="G76" s="647"/>
      <c r="H76" s="647"/>
      <c r="AL76" s="62">
        <f>SUMIFS('Employee Detail FY22'!$AL$6:$AL$132,'Employee Detail FY22'!$B$6:$B$132,$B76,'Employee Detail FY22'!$C$6:$C$132,$C76,'Employee Detail FY22'!$E$6:$E$132,$E76,'Employee Detail FY22'!$F$6:$F$132,$F76)</f>
        <v>20887.965654992073</v>
      </c>
      <c r="AM76" s="62">
        <f>SUMIFS('Employee Detail FY22'!$AM$6:$AM$132,'Employee Detail FY22'!$B$6:$B$132,$B76,'Employee Detail FY22'!$C$6:$C$132,$C76,'Employee Detail FY22'!$E$6:$E$132,$E76,'Employee Detail FY22'!$F$6:$F$132,$F76)</f>
        <v>129073.67105599999</v>
      </c>
      <c r="AN76" s="62">
        <f t="shared" si="18"/>
        <v>149961.63671099205</v>
      </c>
    </row>
    <row r="77" spans="1:40" x14ac:dyDescent="0.2">
      <c r="B77" s="647" t="s">
        <v>135</v>
      </c>
      <c r="C77" s="647" t="s">
        <v>249</v>
      </c>
      <c r="D77" s="647"/>
      <c r="E77" s="647" t="s">
        <v>468</v>
      </c>
      <c r="F77" s="647" t="s">
        <v>461</v>
      </c>
      <c r="G77" s="647"/>
      <c r="H77" s="647"/>
      <c r="AL77" s="62">
        <f>SUMIFS('Employee Detail FY22'!$AL$6:$AL$132,'Employee Detail FY22'!$B$6:$B$132,$B77,'Employee Detail FY22'!$C$6:$C$132,$C77,'Employee Detail FY22'!$E$6:$E$132,$E77,'Employee Detail FY22'!$F$6:$F$132,$F77)</f>
        <v>616.27344164669694</v>
      </c>
      <c r="AM77" s="62">
        <f>SUMIFS('Employee Detail FY22'!$AM$6:$AM$132,'Employee Detail FY22'!$B$6:$B$132,$B77,'Employee Detail FY22'!$C$6:$C$132,$C77,'Employee Detail FY22'!$E$6:$E$132,$E77,'Employee Detail FY22'!$F$6:$F$132,$F77)</f>
        <v>24051.34</v>
      </c>
      <c r="AN77" s="62">
        <f t="shared" si="18"/>
        <v>24667.613441646696</v>
      </c>
    </row>
    <row r="78" spans="1:40" x14ac:dyDescent="0.2">
      <c r="A78" s="508"/>
      <c r="B78" s="677"/>
      <c r="C78" s="677"/>
      <c r="D78" s="677"/>
      <c r="E78" s="677"/>
      <c r="F78" s="677"/>
      <c r="G78" s="677"/>
      <c r="H78" s="677"/>
      <c r="I78" s="508"/>
      <c r="J78" s="508"/>
      <c r="K78" s="508"/>
      <c r="L78" s="508"/>
      <c r="M78" s="508"/>
      <c r="N78" s="508"/>
      <c r="O78" s="508"/>
      <c r="P78" s="508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08"/>
      <c r="AD78" s="508"/>
      <c r="AE78" s="508"/>
      <c r="AF78" s="508"/>
      <c r="AG78" s="508"/>
      <c r="AH78" s="508"/>
      <c r="AI78" s="508"/>
      <c r="AJ78" s="508"/>
      <c r="AK78" s="508"/>
      <c r="AL78" s="933">
        <f t="shared" ref="AL78:AN78" si="19">SUM(AL75:AL77)</f>
        <v>241295.10907290154</v>
      </c>
      <c r="AM78" s="933">
        <f t="shared" si="19"/>
        <v>671736.588934</v>
      </c>
      <c r="AN78" s="933">
        <f t="shared" si="19"/>
        <v>913031.69800690166</v>
      </c>
    </row>
    <row r="79" spans="1:40" x14ac:dyDescent="0.2">
      <c r="B79" s="647"/>
      <c r="C79" s="647"/>
      <c r="D79" s="647"/>
      <c r="E79" s="647"/>
      <c r="F79" s="647"/>
      <c r="G79" s="647"/>
      <c r="H79" s="647"/>
      <c r="AL79" s="62"/>
      <c r="AM79" s="62"/>
      <c r="AN79" s="62"/>
    </row>
    <row r="80" spans="1:40" x14ac:dyDescent="0.2">
      <c r="B80" s="647" t="s">
        <v>468</v>
      </c>
      <c r="C80" s="647" t="s">
        <v>145</v>
      </c>
      <c r="D80" s="647"/>
      <c r="E80" s="647" t="s">
        <v>689</v>
      </c>
      <c r="F80" s="647" t="s">
        <v>461</v>
      </c>
      <c r="AL80" s="62">
        <f>SUMIFS('Employee Detail FY22'!$AL$6:$AL$132,'Employee Detail FY22'!$B$6:$B$132,$B80,'Employee Detail FY22'!$C$6:$C$132,$C80,'Employee Detail FY22'!$E$6:$E$132,$E80,'Employee Detail FY22'!$F$6:$F$132,$F80)</f>
        <v>0</v>
      </c>
      <c r="AM80" s="62">
        <f>SUMIFS('Employee Detail FY22'!$AM$6:$AM$132,'Employee Detail FY22'!$B$6:$B$132,$B80,'Employee Detail FY22'!$C$6:$C$132,$C80,'Employee Detail FY22'!$E$6:$E$132,$E80,'Employee Detail FY22'!$F$6:$F$132,$F80)</f>
        <v>0</v>
      </c>
      <c r="AN80" s="62">
        <f>SUM(AL80:AM80)</f>
        <v>0</v>
      </c>
    </row>
    <row r="81" spans="1:40" x14ac:dyDescent="0.2">
      <c r="A81" s="508"/>
      <c r="B81" s="677"/>
      <c r="C81" s="677"/>
      <c r="D81" s="677"/>
      <c r="E81" s="677"/>
      <c r="F81" s="677"/>
      <c r="G81" s="508"/>
      <c r="H81" s="508"/>
      <c r="I81" s="508"/>
      <c r="J81" s="508"/>
      <c r="K81" s="508"/>
      <c r="L81" s="508"/>
      <c r="M81" s="508"/>
      <c r="N81" s="508"/>
      <c r="O81" s="508"/>
      <c r="P81" s="508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08"/>
      <c r="AD81" s="508"/>
      <c r="AE81" s="508"/>
      <c r="AF81" s="508"/>
      <c r="AG81" s="508"/>
      <c r="AH81" s="508"/>
      <c r="AI81" s="508"/>
      <c r="AJ81" s="508"/>
      <c r="AK81" s="508"/>
      <c r="AL81" s="679">
        <f t="shared" ref="AL81:AN81" si="20">SUM(AL80)</f>
        <v>0</v>
      </c>
      <c r="AM81" s="679">
        <f t="shared" si="20"/>
        <v>0</v>
      </c>
      <c r="AN81" s="679">
        <f t="shared" si="20"/>
        <v>0</v>
      </c>
    </row>
    <row r="82" spans="1:40" x14ac:dyDescent="0.2">
      <c r="B82" s="647"/>
      <c r="C82" s="647"/>
      <c r="D82" s="647"/>
      <c r="E82" s="647"/>
      <c r="F82" s="647"/>
      <c r="AL82" s="62"/>
      <c r="AM82" s="62"/>
      <c r="AN82" s="62"/>
    </row>
    <row r="83" spans="1:40" x14ac:dyDescent="0.2">
      <c r="B83" s="647" t="s">
        <v>468</v>
      </c>
      <c r="C83" s="647" t="s">
        <v>145</v>
      </c>
      <c r="D83" s="647"/>
      <c r="E83" s="647" t="s">
        <v>468</v>
      </c>
      <c r="F83" s="647" t="s">
        <v>465</v>
      </c>
      <c r="AL83" s="62">
        <f>SUMIFS('Employee Detail FY22'!$AL$6:$AL$132,'Employee Detail FY22'!$B$6:$B$132,$B83,'Employee Detail FY22'!$C$6:$C$132,$C83,'Employee Detail FY22'!$E$6:$E$132,$E83,'Employee Detail FY22'!$F$6:$F$132,$F83)</f>
        <v>41340.074889256764</v>
      </c>
      <c r="AM83" s="62">
        <f>SUMIFS('Employee Detail FY22'!$AM$6:$AM$132,'Employee Detail FY22'!$B$6:$B$132,$B83,'Employee Detail FY22'!$C$6:$C$132,$C83,'Employee Detail FY22'!$E$6:$E$132,$E83,'Employee Detail FY22'!$F$6:$F$132,$F83)</f>
        <v>100045.96652</v>
      </c>
      <c r="AN83" s="62">
        <f t="shared" ref="AN83" si="21">SUM(AL83:AM83)</f>
        <v>141386.04140925675</v>
      </c>
    </row>
    <row r="84" spans="1:40" x14ac:dyDescent="0.2">
      <c r="B84" s="647" t="s">
        <v>135</v>
      </c>
      <c r="C84" s="647" t="s">
        <v>923</v>
      </c>
      <c r="D84" s="647"/>
      <c r="E84" s="647" t="s">
        <v>468</v>
      </c>
      <c r="F84" s="647" t="s">
        <v>465</v>
      </c>
      <c r="AL84" s="62">
        <f>SUMIFS('Employee Detail FY22'!$AL$6:$AL$132,'Employee Detail FY22'!$B$6:$B$132,$B84,'Employee Detail FY22'!$C$6:$C$132,$C84,'Employee Detail FY22'!$E$6:$E$132,$E84,'Employee Detail FY22'!$F$6:$F$132,$F84)</f>
        <v>39760.990396769208</v>
      </c>
      <c r="AM84" s="62">
        <f>SUMIFS('Employee Detail FY22'!$AM$6:$AM$132,'Employee Detail FY22'!$B$6:$B$132,$B84,'Employee Detail FY22'!$C$6:$C$132,$C84,'Employee Detail FY22'!$E$6:$E$132,$E84,'Employee Detail FY22'!$F$6:$F$132,$F84)</f>
        <v>99549.967285999999</v>
      </c>
      <c r="AN84" s="62">
        <f t="shared" ref="AN84:AN86" si="22">SUM(AL84:AM84)</f>
        <v>139310.95768276922</v>
      </c>
    </row>
    <row r="85" spans="1:40" x14ac:dyDescent="0.2">
      <c r="B85" s="647" t="s">
        <v>135</v>
      </c>
      <c r="C85" s="647" t="s">
        <v>1030</v>
      </c>
      <c r="D85" s="647"/>
      <c r="E85" s="647" t="s">
        <v>468</v>
      </c>
      <c r="F85" s="647" t="s">
        <v>465</v>
      </c>
      <c r="AL85" s="62">
        <f>SUMIFS('Employee Detail FY22'!$AL$6:$AL$132,'Employee Detail FY22'!$B$6:$B$132,$B85,'Employee Detail FY22'!$C$6:$C$132,$C85,'Employee Detail FY22'!$E$6:$E$132,$E85,'Employee Detail FY22'!$F$6:$F$132,$F85)</f>
        <v>40926.467566591804</v>
      </c>
      <c r="AM85" s="62">
        <f>SUMIFS('Employee Detail FY22'!$AM$6:$AM$132,'Employee Detail FY22'!$B$6:$B$132,$B85,'Employee Detail FY22'!$C$6:$C$132,$C85,'Employee Detail FY22'!$E$6:$E$132,$E85,'Employee Detail FY22'!$F$6:$F$132,$F85)</f>
        <v>138625.27603400001</v>
      </c>
      <c r="AN85" s="62">
        <f t="shared" si="22"/>
        <v>179551.74360059181</v>
      </c>
    </row>
    <row r="86" spans="1:40" x14ac:dyDescent="0.2">
      <c r="B86" s="647" t="s">
        <v>468</v>
      </c>
      <c r="C86" s="647" t="s">
        <v>145</v>
      </c>
      <c r="D86" s="647"/>
      <c r="E86" s="647" t="s">
        <v>468</v>
      </c>
      <c r="F86" s="647" t="s">
        <v>556</v>
      </c>
      <c r="AL86" s="62">
        <f>SUMIFS('Employee Detail FY22'!$AL$6:$AL$132,'Employee Detail FY22'!$B$6:$B$132,$B86,'Employee Detail FY22'!$C$6:$C$132,$C86,'Employee Detail FY22'!$E$6:$E$132,$E86,'Employee Detail FY22'!$F$6:$F$132,$F86)</f>
        <v>21185.737512936306</v>
      </c>
      <c r="AM86" s="62">
        <f>SUMIFS('Employee Detail FY22'!$AM$6:$AM$132,'Employee Detail FY22'!$B$6:$B$132,$B86,'Employee Detail FY22'!$C$6:$C$132,$C86,'Employee Detail FY22'!$E$6:$E$132,$E86,'Employee Detail FY22'!$F$6:$F$132,$F86)</f>
        <v>73312.697472</v>
      </c>
      <c r="AN86" s="62">
        <f t="shared" si="22"/>
        <v>94498.434984936306</v>
      </c>
    </row>
    <row r="87" spans="1:40" x14ac:dyDescent="0.2">
      <c r="A87" s="508"/>
      <c r="B87" s="677"/>
      <c r="C87" s="677"/>
      <c r="D87" s="677"/>
      <c r="E87" s="677"/>
      <c r="F87" s="677"/>
      <c r="G87" s="508"/>
      <c r="H87" s="508"/>
      <c r="I87" s="508"/>
      <c r="J87" s="508"/>
      <c r="K87" s="508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508"/>
      <c r="W87" s="508"/>
      <c r="X87" s="508"/>
      <c r="Y87" s="508"/>
      <c r="Z87" s="508"/>
      <c r="AA87" s="508"/>
      <c r="AB87" s="508"/>
      <c r="AC87" s="508"/>
      <c r="AD87" s="508"/>
      <c r="AE87" s="508"/>
      <c r="AF87" s="508"/>
      <c r="AG87" s="508"/>
      <c r="AH87" s="508"/>
      <c r="AI87" s="508"/>
      <c r="AJ87" s="508"/>
      <c r="AK87" s="508"/>
      <c r="AL87" s="933">
        <f>SUM(AL83:AL86)</f>
        <v>143213.27036555408</v>
      </c>
      <c r="AM87" s="933">
        <f t="shared" ref="AM87:AN87" si="23">SUM(AM83:AM86)</f>
        <v>411533.90731200005</v>
      </c>
      <c r="AN87" s="933">
        <f t="shared" si="23"/>
        <v>554747.17767755408</v>
      </c>
    </row>
    <row r="88" spans="1:40" x14ac:dyDescent="0.2">
      <c r="B88" s="647"/>
      <c r="C88" s="647"/>
      <c r="D88" s="647"/>
      <c r="E88" s="647"/>
      <c r="F88" s="647"/>
      <c r="AL88" s="62"/>
      <c r="AM88" s="62"/>
      <c r="AN88" s="62"/>
    </row>
    <row r="89" spans="1:40" x14ac:dyDescent="0.2">
      <c r="B89" s="647" t="s">
        <v>468</v>
      </c>
      <c r="C89" s="647" t="s">
        <v>145</v>
      </c>
      <c r="D89" s="647"/>
      <c r="E89" s="647" t="s">
        <v>468</v>
      </c>
      <c r="F89" s="647" t="s">
        <v>558</v>
      </c>
      <c r="AL89" s="62">
        <f>SUMIFS('Employee Detail FY22'!$AL$6:$AL$132,'Employee Detail FY22'!$B$6:$B$132,$B89,'Employee Detail FY22'!$C$6:$C$132,$C89,'Employee Detail FY22'!$E$6:$E$132,$E89,'Employee Detail FY22'!$F$6:$F$132,$F89)</f>
        <v>17111.795790678454</v>
      </c>
      <c r="AM89" s="62">
        <f>SUMIFS('Employee Detail FY22'!$AM$6:$AM$132,'Employee Detail FY22'!$B$6:$B$132,$B89,'Employee Detail FY22'!$C$6:$C$132,$C89,'Employee Detail FY22'!$E$6:$E$132,$E89,'Employee Detail FY22'!$F$6:$F$132,$F89)</f>
        <v>50757.784</v>
      </c>
      <c r="AN89" s="62">
        <f>SUM(AL89:AM89)</f>
        <v>67869.579790678457</v>
      </c>
    </row>
    <row r="90" spans="1:40" x14ac:dyDescent="0.2">
      <c r="A90" s="508"/>
      <c r="B90" s="677"/>
      <c r="C90" s="677"/>
      <c r="D90" s="677"/>
      <c r="E90" s="677"/>
      <c r="F90" s="677"/>
      <c r="G90" s="508"/>
      <c r="H90" s="508"/>
      <c r="I90" s="508"/>
      <c r="J90" s="508"/>
      <c r="K90" s="508"/>
      <c r="L90" s="508"/>
      <c r="M90" s="508"/>
      <c r="N90" s="508"/>
      <c r="O90" s="508"/>
      <c r="P90" s="508"/>
      <c r="Q90" s="508"/>
      <c r="R90" s="508"/>
      <c r="S90" s="508"/>
      <c r="T90" s="508"/>
      <c r="U90" s="508"/>
      <c r="V90" s="508"/>
      <c r="W90" s="508"/>
      <c r="X90" s="508"/>
      <c r="Y90" s="508"/>
      <c r="Z90" s="508"/>
      <c r="AA90" s="508"/>
      <c r="AB90" s="508"/>
      <c r="AC90" s="508"/>
      <c r="AD90" s="508"/>
      <c r="AE90" s="508"/>
      <c r="AF90" s="508"/>
      <c r="AG90" s="508"/>
      <c r="AH90" s="508"/>
      <c r="AI90" s="508"/>
      <c r="AJ90" s="508"/>
      <c r="AK90" s="508"/>
      <c r="AL90" s="933">
        <f t="shared" ref="AL90:AN90" si="24">SUM(AL89)</f>
        <v>17111.795790678454</v>
      </c>
      <c r="AM90" s="933">
        <f t="shared" si="24"/>
        <v>50757.784</v>
      </c>
      <c r="AN90" s="933">
        <f t="shared" si="24"/>
        <v>67869.579790678457</v>
      </c>
    </row>
    <row r="91" spans="1:40" x14ac:dyDescent="0.2">
      <c r="B91" s="647"/>
      <c r="C91" s="647"/>
      <c r="D91" s="647"/>
      <c r="E91" s="647"/>
      <c r="F91" s="647"/>
      <c r="AL91" s="62"/>
      <c r="AM91" s="62"/>
      <c r="AN91" s="62"/>
    </row>
    <row r="92" spans="1:40" x14ac:dyDescent="0.2">
      <c r="B92" s="647" t="s">
        <v>468</v>
      </c>
      <c r="C92" s="647" t="s">
        <v>145</v>
      </c>
      <c r="D92" s="647"/>
      <c r="E92" s="647" t="s">
        <v>468</v>
      </c>
      <c r="F92" s="647" t="s">
        <v>464</v>
      </c>
      <c r="AL92" s="62">
        <f>SUMIFS('Employee Detail FY22'!$AL$6:$AL$132,'Employee Detail FY22'!$B$6:$B$132,$B92,'Employee Detail FY22'!$C$6:$C$132,$C92,'Employee Detail FY22'!$E$6:$E$132,$E92,'Employee Detail FY22'!$F$6:$F$132,$F92)</f>
        <v>101754.29183617185</v>
      </c>
      <c r="AM92" s="62">
        <f>SUMIFS('Employee Detail FY22'!$AM$6:$AM$132,'Employee Detail FY22'!$B$6:$B$132,$B92,'Employee Detail FY22'!$C$6:$C$132,$C92,'Employee Detail FY22'!$E$6:$E$132,$E92,'Employee Detail FY22'!$F$6:$F$132,$F92)</f>
        <v>265740</v>
      </c>
      <c r="AN92" s="62">
        <f>SUM(AL92:AM92)</f>
        <v>367494.29183617188</v>
      </c>
    </row>
    <row r="93" spans="1:40" x14ac:dyDescent="0.2">
      <c r="A93" s="508"/>
      <c r="B93" s="677"/>
      <c r="C93" s="677"/>
      <c r="D93" s="677"/>
      <c r="E93" s="677"/>
      <c r="F93" s="677"/>
      <c r="G93" s="508"/>
      <c r="H93" s="508"/>
      <c r="I93" s="508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08"/>
      <c r="AD93" s="508"/>
      <c r="AE93" s="508"/>
      <c r="AF93" s="508"/>
      <c r="AG93" s="508"/>
      <c r="AH93" s="508"/>
      <c r="AI93" s="508"/>
      <c r="AJ93" s="508"/>
      <c r="AK93" s="508"/>
      <c r="AL93" s="933">
        <f t="shared" ref="AL93:AN93" si="25">SUM(AL92)</f>
        <v>101754.29183617185</v>
      </c>
      <c r="AM93" s="933">
        <f t="shared" si="25"/>
        <v>265740</v>
      </c>
      <c r="AN93" s="933">
        <f t="shared" si="25"/>
        <v>367494.29183617188</v>
      </c>
    </row>
    <row r="94" spans="1:40" x14ac:dyDescent="0.2">
      <c r="B94" s="647"/>
      <c r="C94" s="647"/>
      <c r="D94" s="647"/>
      <c r="E94" s="647"/>
      <c r="F94" s="647"/>
      <c r="AL94" s="62"/>
      <c r="AM94" s="62"/>
      <c r="AN94" s="62"/>
    </row>
    <row r="95" spans="1:40" x14ac:dyDescent="0.2">
      <c r="B95" s="647" t="s">
        <v>468</v>
      </c>
      <c r="C95" s="647" t="s">
        <v>145</v>
      </c>
      <c r="D95" s="647"/>
      <c r="E95" s="647" t="s">
        <v>468</v>
      </c>
      <c r="F95" s="647" t="s">
        <v>460</v>
      </c>
      <c r="AL95" s="62">
        <f>SUMIFS('Employee Detail FY22'!$AL$6:$AL$132,'Employee Detail FY22'!$B$6:$B$132,$B95,'Employee Detail FY22'!$C$6:$C$132,$C95,'Employee Detail FY22'!$E$6:$E$132,$E95,'Employee Detail FY22'!$F$6:$F$132,$F95)</f>
        <v>68973.384451856458</v>
      </c>
      <c r="AM95" s="62">
        <f>SUMIFS('Employee Detail FY22'!$AM$6:$AM$132,'Employee Detail FY22'!$B$6:$B$132,$B95,'Employee Detail FY22'!$C$6:$C$132,$C95,'Employee Detail FY22'!$E$6:$E$132,$E95,'Employee Detail FY22'!$F$6:$F$132,$F95)</f>
        <v>142002.122</v>
      </c>
      <c r="AN95" s="62">
        <f>SUM(AL95:AM95)</f>
        <v>210975.50645185646</v>
      </c>
    </row>
    <row r="96" spans="1:40" x14ac:dyDescent="0.2">
      <c r="B96" s="647" t="s">
        <v>135</v>
      </c>
      <c r="C96" s="647" t="s">
        <v>923</v>
      </c>
      <c r="D96" s="647"/>
      <c r="E96" s="647">
        <v>100</v>
      </c>
      <c r="F96" s="647" t="s">
        <v>460</v>
      </c>
      <c r="AL96" s="62">
        <f>SUMIFS('Employee Detail FY22'!$AL$6:$AL$132,'Employee Detail FY22'!$B$6:$B$132,$B96,'Employee Detail FY22'!$C$6:$C$132,$C96,'Employee Detail FY22'!$E$6:$E$132,$E96,'Employee Detail FY22'!$F$6:$F$132,$F96)</f>
        <v>26973.457425105993</v>
      </c>
      <c r="AM96" s="62">
        <f>SUMIFS('Employee Detail FY22'!$AM$6:$AM$132,'Employee Detail FY22'!$B$6:$B$132,$B96,'Employee Detail FY22'!$C$6:$C$132,$C96,'Employee Detail FY22'!$E$6:$E$132,$E96,'Employee Detail FY22'!$F$6:$F$132,$F96)</f>
        <v>58893</v>
      </c>
      <c r="AN96" s="62">
        <f>SUM(AL96:AM96)</f>
        <v>85866.457425105997</v>
      </c>
    </row>
    <row r="97" spans="1:40" x14ac:dyDescent="0.2">
      <c r="A97" s="508"/>
      <c r="B97" s="677"/>
      <c r="C97" s="677"/>
      <c r="D97" s="677"/>
      <c r="E97" s="677"/>
      <c r="F97" s="677"/>
      <c r="G97" s="508"/>
      <c r="H97" s="508"/>
      <c r="I97" s="508"/>
      <c r="J97" s="508"/>
      <c r="K97" s="508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  <c r="Z97" s="508"/>
      <c r="AA97" s="508"/>
      <c r="AB97" s="508"/>
      <c r="AC97" s="508"/>
      <c r="AD97" s="508"/>
      <c r="AE97" s="508"/>
      <c r="AF97" s="508"/>
      <c r="AG97" s="508"/>
      <c r="AH97" s="508"/>
      <c r="AI97" s="508"/>
      <c r="AJ97" s="508"/>
      <c r="AK97" s="508"/>
      <c r="AL97" s="933">
        <f t="shared" ref="AL97:AN97" si="26">SUM(AL95:AL96)</f>
        <v>95946.841876962455</v>
      </c>
      <c r="AM97" s="933">
        <f t="shared" si="26"/>
        <v>200895.122</v>
      </c>
      <c r="AN97" s="933">
        <f t="shared" si="26"/>
        <v>296841.96387696243</v>
      </c>
    </row>
    <row r="98" spans="1:40" x14ac:dyDescent="0.2">
      <c r="B98" s="647"/>
      <c r="C98" s="647"/>
      <c r="D98" s="647"/>
      <c r="E98" s="647"/>
      <c r="F98" s="647"/>
      <c r="AL98" s="62"/>
      <c r="AM98" s="62"/>
      <c r="AN98" s="62"/>
    </row>
    <row r="99" spans="1:40" x14ac:dyDescent="0.2">
      <c r="B99" s="647" t="s">
        <v>468</v>
      </c>
      <c r="C99" s="647" t="s">
        <v>145</v>
      </c>
      <c r="D99" s="647"/>
      <c r="E99" s="647" t="s">
        <v>468</v>
      </c>
      <c r="F99" s="647" t="s">
        <v>458</v>
      </c>
      <c r="AL99" s="62">
        <f>SUMIFS('Employee Detail FY22'!$AL$6:$AL$132,'Employee Detail FY22'!$B$6:$B$132,$B99,'Employee Detail FY22'!$C$6:$C$132,$C99,'Employee Detail FY22'!$E$6:$E$132,$E99,'Employee Detail FY22'!$F$6:$F$132,$F99)</f>
        <v>39771.399895623268</v>
      </c>
      <c r="AM99" s="62">
        <f>SUMIFS('Employee Detail FY22'!$AM$6:$AM$132,'Employee Detail FY22'!$B$6:$B$132,$B99,'Employee Detail FY22'!$C$6:$C$132,$C99,'Employee Detail FY22'!$E$6:$E$132,$E99,'Employee Detail FY22'!$F$6:$F$132,$F99)</f>
        <v>98500</v>
      </c>
      <c r="AN99" s="62">
        <f t="shared" ref="AN99:AN101" si="27">SUM(AL99:AM99)</f>
        <v>138271.39989562327</v>
      </c>
    </row>
    <row r="100" spans="1:40" x14ac:dyDescent="0.2">
      <c r="B100" s="647" t="s">
        <v>468</v>
      </c>
      <c r="C100" s="647" t="s">
        <v>145</v>
      </c>
      <c r="D100" s="647"/>
      <c r="E100" s="647" t="s">
        <v>468</v>
      </c>
      <c r="F100" s="647" t="s">
        <v>479</v>
      </c>
      <c r="AL100" s="62">
        <f>SUMIFS('Employee Detail FY22'!$AL$6:$AL$132,'Employee Detail FY22'!$B$6:$B$132,$B100,'Employee Detail FY22'!$C$6:$C$132,$C100,'Employee Detail FY22'!$E$6:$E$132,$E100,'Employee Detail FY22'!$F$6:$F$132,$F100)</f>
        <v>24099.92238356511</v>
      </c>
      <c r="AM100" s="62">
        <f>SUMIFS('Employee Detail FY22'!$AM$6:$AM$132,'Employee Detail FY22'!$B$6:$B$132,$B100,'Employee Detail FY22'!$C$6:$C$132,$C100,'Employee Detail FY22'!$E$6:$E$132,$E100,'Employee Detail FY22'!$F$6:$F$132,$F100)</f>
        <v>50000</v>
      </c>
      <c r="AN100" s="62">
        <f t="shared" si="27"/>
        <v>74099.922383565106</v>
      </c>
    </row>
    <row r="101" spans="1:40" x14ac:dyDescent="0.2">
      <c r="B101" s="647" t="s">
        <v>468</v>
      </c>
      <c r="C101" s="647" t="s">
        <v>145</v>
      </c>
      <c r="D101" s="647"/>
      <c r="E101" s="647" t="s">
        <v>468</v>
      </c>
      <c r="F101" s="647" t="s">
        <v>459</v>
      </c>
      <c r="AL101" s="62">
        <f>SUMIFS('Employee Detail FY22'!$AL$6:$AL$132,'Employee Detail FY22'!$B$6:$B$132,$B101,'Employee Detail FY22'!$C$6:$C$132,$C101,'Employee Detail FY22'!$E$6:$E$132,$E101,'Employee Detail FY22'!$F$6:$F$132,$F101)</f>
        <v>26488.19603114506</v>
      </c>
      <c r="AM101" s="62">
        <f>SUMIFS('Employee Detail FY22'!$AM$6:$AM$132,'Employee Detail FY22'!$B$6:$B$132,$B101,'Employee Detail FY22'!$C$6:$C$132,$C101,'Employee Detail FY22'!$E$6:$E$132,$E101,'Employee Detail FY22'!$F$6:$F$132,$F101)</f>
        <v>102669.15399999999</v>
      </c>
      <c r="AN101" s="62">
        <f t="shared" si="27"/>
        <v>129157.35003114506</v>
      </c>
    </row>
    <row r="102" spans="1:40" x14ac:dyDescent="0.2">
      <c r="A102" s="508"/>
      <c r="B102" s="677"/>
      <c r="C102" s="677"/>
      <c r="D102" s="677"/>
      <c r="E102" s="677"/>
      <c r="F102" s="677"/>
      <c r="G102" s="508"/>
      <c r="H102" s="508"/>
      <c r="I102" s="508"/>
      <c r="J102" s="508"/>
      <c r="K102" s="508"/>
      <c r="L102" s="508"/>
      <c r="M102" s="508"/>
      <c r="N102" s="508"/>
      <c r="O102" s="508"/>
      <c r="P102" s="508"/>
      <c r="Q102" s="508"/>
      <c r="R102" s="508"/>
      <c r="S102" s="508"/>
      <c r="T102" s="508"/>
      <c r="U102" s="508"/>
      <c r="V102" s="508"/>
      <c r="W102" s="508"/>
      <c r="X102" s="508"/>
      <c r="Y102" s="508"/>
      <c r="Z102" s="508"/>
      <c r="AA102" s="508"/>
      <c r="AB102" s="508"/>
      <c r="AC102" s="508"/>
      <c r="AD102" s="508"/>
      <c r="AE102" s="508"/>
      <c r="AF102" s="508"/>
      <c r="AG102" s="508"/>
      <c r="AH102" s="508"/>
      <c r="AI102" s="508"/>
      <c r="AJ102" s="508"/>
      <c r="AK102" s="508"/>
      <c r="AL102" s="933">
        <f t="shared" ref="AL102:AN102" si="28">SUM(AL99:AL101)</f>
        <v>90359.518310333428</v>
      </c>
      <c r="AM102" s="933">
        <f t="shared" si="28"/>
        <v>251169.15399999998</v>
      </c>
      <c r="AN102" s="933">
        <f t="shared" si="28"/>
        <v>341528.67231033347</v>
      </c>
    </row>
    <row r="103" spans="1:40" s="386" customFormat="1" x14ac:dyDescent="0.2">
      <c r="B103" s="678"/>
      <c r="C103" s="678"/>
      <c r="D103" s="678"/>
      <c r="E103" s="678"/>
      <c r="F103" s="678"/>
      <c r="AL103" s="389"/>
      <c r="AM103" s="389"/>
      <c r="AN103" s="389"/>
    </row>
    <row r="104" spans="1:40" x14ac:dyDescent="0.2">
      <c r="B104" s="647" t="s">
        <v>462</v>
      </c>
      <c r="C104" s="647" t="s">
        <v>145</v>
      </c>
      <c r="D104" s="647"/>
      <c r="E104" s="647" t="s">
        <v>463</v>
      </c>
      <c r="F104" s="647">
        <v>1000</v>
      </c>
      <c r="AL104" s="62">
        <f>SUMIFS('Employee Detail FY22'!$AL$6:$AL$132,'Employee Detail FY22'!$B$6:$B$132,$B104,'Employee Detail FY22'!$C$6:$C$132,$C104,'Employee Detail FY22'!$E$6:$E$132,$E104,'Employee Detail FY22'!$F$6:$F$132,$F104)</f>
        <v>84535.152047016862</v>
      </c>
      <c r="AM104" s="62">
        <f>SUMIFS('Employee Detail FY22'!$AM$6:$AM$132,'Employee Detail FY22'!$B$6:$B$132,$B104,'Employee Detail FY22'!$C$6:$C$132,$C104,'Employee Detail FY22'!$E$6:$E$132,$E104,'Employee Detail FY22'!$F$6:$F$132,$F104)</f>
        <v>187866</v>
      </c>
      <c r="AN104" s="62">
        <f t="shared" ref="AN104:AN105" si="29">SUM(AL104:AM104)</f>
        <v>272401.15204701689</v>
      </c>
    </row>
    <row r="105" spans="1:40" x14ac:dyDescent="0.2">
      <c r="B105" s="647" t="s">
        <v>135</v>
      </c>
      <c r="C105" s="647" t="s">
        <v>247</v>
      </c>
      <c r="D105" s="647"/>
      <c r="E105" s="647">
        <v>200</v>
      </c>
      <c r="F105" s="647">
        <v>1000</v>
      </c>
      <c r="AL105" s="62">
        <f>SUMIFS('Employee Detail FY22'!$AL$6:$AL$132,'Employee Detail FY22'!$B$6:$B$132,$B105,'Employee Detail FY22'!$C$6:$C$132,$C105,'Employee Detail FY22'!$E$6:$E$132,$E105,'Employee Detail FY22'!$F$6:$F$132,$F105)</f>
        <v>51526.075478658604</v>
      </c>
      <c r="AM105" s="62">
        <f>SUMIFS('Employee Detail FY22'!$AM$6:$AM$132,'Employee Detail FY22'!$B$6:$B$132,$B105,'Employee Detail FY22'!$C$6:$C$132,$C105,'Employee Detail FY22'!$E$6:$E$132,$E105,'Employee Detail FY22'!$F$6:$F$132,$F105)</f>
        <v>110294</v>
      </c>
      <c r="AN105" s="62">
        <f t="shared" si="29"/>
        <v>161820.0754786586</v>
      </c>
    </row>
    <row r="106" spans="1:40" x14ac:dyDescent="0.2">
      <c r="A106" s="508"/>
      <c r="B106" s="677"/>
      <c r="C106" s="677"/>
      <c r="D106" s="677"/>
      <c r="E106" s="677"/>
      <c r="F106" s="677"/>
      <c r="G106" s="508"/>
      <c r="H106" s="508"/>
      <c r="I106" s="508"/>
      <c r="J106" s="508"/>
      <c r="K106" s="508"/>
      <c r="L106" s="508"/>
      <c r="M106" s="508"/>
      <c r="N106" s="508"/>
      <c r="O106" s="508"/>
      <c r="P106" s="508"/>
      <c r="Q106" s="508"/>
      <c r="R106" s="508"/>
      <c r="S106" s="508"/>
      <c r="T106" s="508"/>
      <c r="U106" s="508"/>
      <c r="V106" s="508"/>
      <c r="W106" s="508"/>
      <c r="X106" s="508"/>
      <c r="Y106" s="508"/>
      <c r="Z106" s="508"/>
      <c r="AA106" s="508"/>
      <c r="AB106" s="508"/>
      <c r="AC106" s="508"/>
      <c r="AD106" s="508"/>
      <c r="AE106" s="508"/>
      <c r="AF106" s="508"/>
      <c r="AG106" s="508"/>
      <c r="AH106" s="508"/>
      <c r="AI106" s="508"/>
      <c r="AJ106" s="508"/>
      <c r="AK106" s="508"/>
      <c r="AL106" s="933">
        <f t="shared" ref="AL106:AN106" si="30">SUM(AL104:AL105)</f>
        <v>136061.22752567547</v>
      </c>
      <c r="AM106" s="933">
        <f t="shared" si="30"/>
        <v>298160</v>
      </c>
      <c r="AN106" s="933">
        <f t="shared" si="30"/>
        <v>434221.22752567549</v>
      </c>
    </row>
    <row r="107" spans="1:40" x14ac:dyDescent="0.2">
      <c r="B107" s="647"/>
      <c r="C107" s="647"/>
      <c r="D107" s="647"/>
      <c r="E107" s="647"/>
      <c r="F107" s="647"/>
      <c r="AL107" s="62"/>
      <c r="AM107" s="62"/>
      <c r="AN107" s="62"/>
    </row>
    <row r="108" spans="1:40" x14ac:dyDescent="0.2">
      <c r="B108" s="647" t="s">
        <v>462</v>
      </c>
      <c r="C108" s="647" t="s">
        <v>132</v>
      </c>
      <c r="D108" s="647"/>
      <c r="E108" s="647" t="s">
        <v>463</v>
      </c>
      <c r="F108" s="647">
        <v>2130</v>
      </c>
      <c r="AL108" s="62">
        <f>SUMIFS('Employee Detail FY22'!$AL$6:$AL$132,'Employee Detail FY22'!$B$6:$B$132,$B108,'Employee Detail FY22'!$C$6:$C$132,$C108,'Employee Detail FY22'!$E$6:$E$132,$E108,'Employee Detail FY22'!$F$6:$F$132,$F108)</f>
        <v>2066.1561800893055</v>
      </c>
      <c r="AM108" s="62">
        <f>SUMIFS('Employee Detail FY22'!$AM$6:$AM$132,'Employee Detail FY22'!$B$6:$B$132,$B108,'Employee Detail FY22'!$C$6:$C$132,$C108,'Employee Detail FY22'!$E$6:$E$132,$E108,'Employee Detail FY22'!$F$6:$F$132,$F108)</f>
        <v>23580</v>
      </c>
      <c r="AN108" s="62">
        <f t="shared" ref="AN108:AN109" si="31">SUM(AL108:AM108)</f>
        <v>25646.156180089307</v>
      </c>
    </row>
    <row r="109" spans="1:40" x14ac:dyDescent="0.2">
      <c r="B109" s="647" t="s">
        <v>462</v>
      </c>
      <c r="C109" s="647" t="s">
        <v>132</v>
      </c>
      <c r="D109" s="647"/>
      <c r="E109" s="647" t="s">
        <v>463</v>
      </c>
      <c r="F109" s="647">
        <v>2140</v>
      </c>
      <c r="AL109" s="62">
        <f>SUMIFS('Employee Detail FY22'!$AL$6:$AL$132,'Employee Detail FY22'!$B$6:$B$132,$B109,'Employee Detail FY22'!$C$6:$C$132,$C109,'Employee Detail FY22'!$E$6:$E$132,$E109,'Employee Detail FY22'!$F$6:$F$132,$F109)</f>
        <v>22761.597846684057</v>
      </c>
      <c r="AM109" s="62">
        <f>SUMIFS('Employee Detail FY22'!$AM$6:$AM$132,'Employee Detail FY22'!$B$6:$B$132,$B109,'Employee Detail FY22'!$C$6:$C$132,$C109,'Employee Detail FY22'!$E$6:$E$132,$E109,'Employee Detail FY22'!$F$6:$F$132,$F109)</f>
        <v>82037.268389999997</v>
      </c>
      <c r="AN109" s="62">
        <f t="shared" si="31"/>
        <v>104798.86623668406</v>
      </c>
    </row>
    <row r="110" spans="1:40" x14ac:dyDescent="0.2">
      <c r="A110" s="508"/>
      <c r="B110" s="677"/>
      <c r="C110" s="677"/>
      <c r="D110" s="677"/>
      <c r="E110" s="677"/>
      <c r="F110" s="677"/>
      <c r="G110" s="508"/>
      <c r="H110" s="508"/>
      <c r="I110" s="508"/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  <c r="AA110" s="508"/>
      <c r="AB110" s="508"/>
      <c r="AC110" s="508"/>
      <c r="AD110" s="508"/>
      <c r="AE110" s="508"/>
      <c r="AF110" s="508"/>
      <c r="AG110" s="508"/>
      <c r="AH110" s="508"/>
      <c r="AI110" s="508"/>
      <c r="AJ110" s="508"/>
      <c r="AK110" s="508"/>
      <c r="AL110" s="933">
        <f t="shared" ref="AL110:AN110" si="32">SUM(AL108:AL109)</f>
        <v>24827.754026773364</v>
      </c>
      <c r="AM110" s="933">
        <f t="shared" si="32"/>
        <v>105617.26839</v>
      </c>
      <c r="AN110" s="933">
        <f t="shared" si="32"/>
        <v>130445.02241677337</v>
      </c>
    </row>
    <row r="111" spans="1:40" x14ac:dyDescent="0.2">
      <c r="B111" s="647"/>
      <c r="C111" s="647"/>
      <c r="D111" s="647"/>
      <c r="E111" s="647"/>
      <c r="F111" s="647"/>
      <c r="AL111" s="62"/>
      <c r="AM111" s="62"/>
      <c r="AN111" s="62"/>
    </row>
    <row r="112" spans="1:40" x14ac:dyDescent="0.2">
      <c r="B112" s="647" t="s">
        <v>462</v>
      </c>
      <c r="C112" s="647">
        <v>205</v>
      </c>
      <c r="D112" s="647"/>
      <c r="E112" s="647" t="s">
        <v>463</v>
      </c>
      <c r="F112" s="647">
        <v>2410</v>
      </c>
      <c r="AL112" s="62">
        <f>SUMIFS('Employee Detail FY22'!$AL$6:$AL$132,'Employee Detail FY22'!$B$6:$B$132,$B112,'Employee Detail FY22'!$C$6:$C$132,$C112,'Employee Detail FY22'!$E$6:$E$132,$E112,'Employee Detail FY22'!$F$6:$F$132,$F112)</f>
        <v>16330.012375073329</v>
      </c>
      <c r="AM112" s="62">
        <f>SUMIFS('Employee Detail FY22'!$AM$6:$AM$132,'Employee Detail FY22'!$B$6:$B$132,$B112,'Employee Detail FY22'!$C$6:$C$132,$C112,'Employee Detail FY22'!$E$6:$E$132,$E112,'Employee Detail FY22'!$F$6:$F$132,$F112)</f>
        <v>46429.529327999997</v>
      </c>
      <c r="AN112" s="62">
        <f>SUM(AL112:AM112)</f>
        <v>62759.541703073322</v>
      </c>
    </row>
    <row r="113" spans="1:40" x14ac:dyDescent="0.2">
      <c r="A113" s="508"/>
      <c r="B113" s="677"/>
      <c r="C113" s="677"/>
      <c r="D113" s="677"/>
      <c r="E113" s="677"/>
      <c r="F113" s="677"/>
      <c r="G113" s="508"/>
      <c r="H113" s="508"/>
      <c r="I113" s="508"/>
      <c r="J113" s="508"/>
      <c r="K113" s="508"/>
      <c r="L113" s="508"/>
      <c r="M113" s="508"/>
      <c r="N113" s="508"/>
      <c r="O113" s="508"/>
      <c r="P113" s="508"/>
      <c r="Q113" s="508"/>
      <c r="R113" s="508"/>
      <c r="S113" s="508"/>
      <c r="T113" s="508"/>
      <c r="U113" s="508"/>
      <c r="V113" s="508"/>
      <c r="W113" s="508"/>
      <c r="X113" s="508"/>
      <c r="Y113" s="508"/>
      <c r="Z113" s="508"/>
      <c r="AA113" s="508"/>
      <c r="AB113" s="508"/>
      <c r="AC113" s="508"/>
      <c r="AD113" s="508"/>
      <c r="AE113" s="508"/>
      <c r="AF113" s="508"/>
      <c r="AG113" s="508"/>
      <c r="AH113" s="508"/>
      <c r="AI113" s="508"/>
      <c r="AJ113" s="508"/>
      <c r="AK113" s="508"/>
      <c r="AL113" s="933">
        <f t="shared" ref="AL113:AN113" si="33">SUM(AL112)</f>
        <v>16330.012375073329</v>
      </c>
      <c r="AM113" s="933">
        <f t="shared" si="33"/>
        <v>46429.529327999997</v>
      </c>
      <c r="AN113" s="933">
        <f t="shared" si="33"/>
        <v>62759.541703073322</v>
      </c>
    </row>
    <row r="114" spans="1:40" s="386" customFormat="1" x14ac:dyDescent="0.2">
      <c r="B114" s="678"/>
      <c r="C114" s="678"/>
      <c r="D114" s="678"/>
      <c r="E114" s="678"/>
      <c r="F114" s="678"/>
      <c r="AL114" s="389"/>
      <c r="AM114" s="389"/>
      <c r="AN114" s="389"/>
    </row>
    <row r="115" spans="1:40" x14ac:dyDescent="0.2">
      <c r="B115" s="647" t="s">
        <v>135</v>
      </c>
      <c r="C115" s="647" t="s">
        <v>247</v>
      </c>
      <c r="D115" s="647"/>
      <c r="E115" s="647" t="s">
        <v>473</v>
      </c>
      <c r="F115" s="647" t="s">
        <v>461</v>
      </c>
      <c r="AL115" s="62">
        <f>SUMIFS('Employee Detail FY22'!$AL$6:$AL$132,'Employee Detail FY22'!$B$6:$B$132,$B115,'Employee Detail FY22'!$C$6:$C$132,$C115,'Employee Detail FY22'!$E$6:$E$132,$E115,'Employee Detail FY22'!$F$6:$F$132,$F115)</f>
        <v>0</v>
      </c>
      <c r="AM115" s="62">
        <f>SUMIFS('Employee Detail FY22'!$AM$6:$AM$132,'Employee Detail FY22'!$B$6:$B$132,$B115,'Employee Detail FY22'!$C$6:$C$132,$C115,'Employee Detail FY22'!$E$6:$E$132,$E115,'Employee Detail FY22'!$F$6:$F$132,$F115)</f>
        <v>0</v>
      </c>
      <c r="AN115" s="62">
        <f>SUM(AL115:AM115)</f>
        <v>0</v>
      </c>
    </row>
    <row r="116" spans="1:40" x14ac:dyDescent="0.2">
      <c r="A116" s="508"/>
      <c r="B116" s="677"/>
      <c r="C116" s="677"/>
      <c r="D116" s="677"/>
      <c r="E116" s="677"/>
      <c r="F116" s="677"/>
      <c r="G116" s="508"/>
      <c r="H116" s="508"/>
      <c r="I116" s="508"/>
      <c r="J116" s="508"/>
      <c r="K116" s="508"/>
      <c r="L116" s="508"/>
      <c r="M116" s="508"/>
      <c r="N116" s="508"/>
      <c r="O116" s="508"/>
      <c r="P116" s="508"/>
      <c r="Q116" s="508"/>
      <c r="R116" s="508"/>
      <c r="S116" s="508"/>
      <c r="T116" s="508"/>
      <c r="U116" s="508"/>
      <c r="V116" s="508"/>
      <c r="W116" s="508"/>
      <c r="X116" s="508"/>
      <c r="Y116" s="508"/>
      <c r="Z116" s="508"/>
      <c r="AA116" s="508"/>
      <c r="AB116" s="508"/>
      <c r="AC116" s="508"/>
      <c r="AD116" s="508"/>
      <c r="AE116" s="508"/>
      <c r="AF116" s="508"/>
      <c r="AG116" s="508"/>
      <c r="AH116" s="508"/>
      <c r="AI116" s="508"/>
      <c r="AJ116" s="508"/>
      <c r="AK116" s="508"/>
      <c r="AL116" s="933">
        <f t="shared" ref="AL116:AN116" si="34">SUM(AL115)</f>
        <v>0</v>
      </c>
      <c r="AM116" s="933">
        <f t="shared" si="34"/>
        <v>0</v>
      </c>
      <c r="AN116" s="933">
        <f t="shared" si="34"/>
        <v>0</v>
      </c>
    </row>
    <row r="117" spans="1:40" x14ac:dyDescent="0.2">
      <c r="B117" s="647"/>
      <c r="C117" s="647"/>
      <c r="D117" s="647"/>
      <c r="E117" s="647"/>
      <c r="F117" s="647"/>
      <c r="AL117" s="62"/>
      <c r="AM117" s="62"/>
      <c r="AN117" s="62"/>
    </row>
    <row r="118" spans="1:40" x14ac:dyDescent="0.2">
      <c r="B118" s="647" t="s">
        <v>135</v>
      </c>
      <c r="C118" s="647" t="s">
        <v>864</v>
      </c>
      <c r="D118" s="647"/>
      <c r="E118" s="647" t="s">
        <v>557</v>
      </c>
      <c r="F118" s="647" t="s">
        <v>465</v>
      </c>
      <c r="AL118" s="62">
        <f>SUMIFS('Employee Detail FY22'!$AL$6:$AL$132,'Employee Detail FY22'!$B$6:$B$132,$B118,'Employee Detail FY22'!$C$6:$C$132,$C118,'Employee Detail FY22'!$E$6:$E$132,$E118,'Employee Detail FY22'!$F$6:$F$132,$F118)</f>
        <v>0</v>
      </c>
      <c r="AM118" s="62">
        <f>SUMIFS('Employee Detail FY22'!$AM$6:$AM$132,'Employee Detail FY22'!$B$6:$B$132,$B118,'Employee Detail FY22'!$C$6:$C$132,$C118,'Employee Detail FY22'!$E$6:$E$132,$E118,'Employee Detail FY22'!$F$6:$F$132,$F118)</f>
        <v>0</v>
      </c>
      <c r="AN118" s="62">
        <f t="shared" ref="AN118:AN119" si="35">SUM(AL118:AM118)</f>
        <v>0</v>
      </c>
    </row>
    <row r="119" spans="1:40" x14ac:dyDescent="0.2">
      <c r="B119" s="647" t="s">
        <v>135</v>
      </c>
      <c r="C119" s="647" t="s">
        <v>864</v>
      </c>
      <c r="D119" s="647"/>
      <c r="E119" s="647">
        <v>420</v>
      </c>
      <c r="F119" s="647">
        <v>2120</v>
      </c>
      <c r="AL119" s="62">
        <f>SUMIFS('Employee Detail FY22'!$AL$6:$AL$132,'Employee Detail FY22'!$B$6:$B$132,$B119,'Employee Detail FY22'!$C$6:$C$132,$C119,'Employee Detail FY22'!$E$6:$E$132,$E119,'Employee Detail FY22'!$F$6:$F$132,$F119)</f>
        <v>171.24016418731244</v>
      </c>
      <c r="AM119" s="62">
        <f>SUMIFS('Employee Detail FY22'!$AM$6:$AM$132,'Employee Detail FY22'!$B$6:$B$132,$B119,'Employee Detail FY22'!$C$6:$C$132,$C119,'Employee Detail FY22'!$E$6:$E$132,$E119,'Employee Detail FY22'!$F$6:$F$132,$F119)</f>
        <v>6683</v>
      </c>
      <c r="AN119" s="62">
        <f t="shared" si="35"/>
        <v>6854.2401641873121</v>
      </c>
    </row>
    <row r="120" spans="1:40" x14ac:dyDescent="0.2">
      <c r="A120" s="508"/>
      <c r="B120" s="677"/>
      <c r="C120" s="677"/>
      <c r="D120" s="677"/>
      <c r="E120" s="677"/>
      <c r="F120" s="677"/>
      <c r="G120" s="508"/>
      <c r="H120" s="508"/>
      <c r="I120" s="508"/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  <c r="Z120" s="508"/>
      <c r="AA120" s="508"/>
      <c r="AB120" s="508"/>
      <c r="AC120" s="508"/>
      <c r="AD120" s="508"/>
      <c r="AE120" s="508"/>
      <c r="AF120" s="508"/>
      <c r="AG120" s="508"/>
      <c r="AH120" s="508"/>
      <c r="AI120" s="508"/>
      <c r="AJ120" s="508"/>
      <c r="AK120" s="508"/>
      <c r="AL120" s="933">
        <f t="shared" ref="AL120:AN120" si="36">SUM(AL118:AL119)</f>
        <v>171.24016418731244</v>
      </c>
      <c r="AM120" s="933">
        <f t="shared" si="36"/>
        <v>6683</v>
      </c>
      <c r="AN120" s="933">
        <f t="shared" si="36"/>
        <v>6854.2401641873121</v>
      </c>
    </row>
    <row r="121" spans="1:40" x14ac:dyDescent="0.2">
      <c r="B121" s="647"/>
      <c r="C121" s="647"/>
      <c r="D121" s="647"/>
      <c r="E121" s="647"/>
      <c r="F121" s="647"/>
      <c r="AL121" s="62"/>
      <c r="AM121" s="62"/>
      <c r="AN121" s="62"/>
    </row>
    <row r="122" spans="1:40" x14ac:dyDescent="0.2">
      <c r="B122" s="647" t="s">
        <v>135</v>
      </c>
      <c r="C122" s="647" t="s">
        <v>864</v>
      </c>
      <c r="D122" s="647"/>
      <c r="E122" s="647" t="s">
        <v>557</v>
      </c>
      <c r="F122" s="647" t="s">
        <v>558</v>
      </c>
      <c r="AL122" s="62">
        <f>SUMIFS('Employee Detail FY22'!$AL$6:$AL$132,'Employee Detail FY22'!$B$6:$B$132,$B122,'Employee Detail FY22'!$C$6:$C$132,$C122,'Employee Detail FY22'!$E$6:$E$132,$E122,'Employee Detail FY22'!$F$6:$F$132,$F122)</f>
        <v>0</v>
      </c>
      <c r="AM122" s="62">
        <f>SUMIFS('Employee Detail FY22'!$AM$6:$AM$132,'Employee Detail FY22'!$B$6:$B$132,$B122,'Employee Detail FY22'!$C$6:$C$132,$C122,'Employee Detail FY22'!$E$6:$E$132,$E122,'Employee Detail FY22'!$F$6:$F$132,$F122)</f>
        <v>0</v>
      </c>
      <c r="AN122" s="62">
        <f>SUM(AL122:AM122)</f>
        <v>0</v>
      </c>
    </row>
    <row r="123" spans="1:40" x14ac:dyDescent="0.2">
      <c r="A123" s="508"/>
      <c r="B123" s="677"/>
      <c r="C123" s="677"/>
      <c r="D123" s="677"/>
      <c r="E123" s="677"/>
      <c r="F123" s="677"/>
      <c r="G123" s="508"/>
      <c r="H123" s="508"/>
      <c r="I123" s="508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508"/>
      <c r="W123" s="508"/>
      <c r="X123" s="508"/>
      <c r="Y123" s="508"/>
      <c r="Z123" s="508"/>
      <c r="AA123" s="508"/>
      <c r="AB123" s="508"/>
      <c r="AC123" s="508"/>
      <c r="AD123" s="508"/>
      <c r="AE123" s="508"/>
      <c r="AF123" s="508"/>
      <c r="AG123" s="508"/>
      <c r="AH123" s="508"/>
      <c r="AI123" s="508"/>
      <c r="AJ123" s="508"/>
      <c r="AK123" s="508"/>
      <c r="AL123" s="933">
        <f t="shared" ref="AL123:AN123" si="37">SUM(AL122)</f>
        <v>0</v>
      </c>
      <c r="AM123" s="933">
        <f t="shared" si="37"/>
        <v>0</v>
      </c>
      <c r="AN123" s="933">
        <f t="shared" si="37"/>
        <v>0</v>
      </c>
    </row>
    <row r="124" spans="1:40" x14ac:dyDescent="0.2">
      <c r="B124" s="647"/>
      <c r="C124" s="647"/>
      <c r="D124" s="647"/>
      <c r="E124" s="647"/>
      <c r="F124" s="647"/>
      <c r="AL124" s="62"/>
      <c r="AM124" s="62"/>
      <c r="AN124" s="62"/>
    </row>
    <row r="125" spans="1:40" x14ac:dyDescent="0.2">
      <c r="B125" s="647" t="s">
        <v>135</v>
      </c>
      <c r="C125" s="647" t="s">
        <v>245</v>
      </c>
      <c r="D125" s="647"/>
      <c r="E125" s="647">
        <v>430</v>
      </c>
      <c r="F125" s="647" t="s">
        <v>461</v>
      </c>
      <c r="AL125" s="62">
        <f>SUMIFS('Employee Detail FY22'!$AL$6:$AL$132,'Employee Detail FY22'!$B$6:$B$132,$B125,'Employee Detail FY22'!$C$6:$C$132,$C125,'Employee Detail FY22'!$E$6:$E$132,$E125,'Employee Detail FY22'!$F$6:$F$132,$F125)</f>
        <v>14507.240168326625</v>
      </c>
      <c r="AM125" s="62">
        <f>SUMIFS('Employee Detail FY22'!$AM$6:$AM$132,'Employee Detail FY22'!$B$6:$B$132,$B125,'Employee Detail FY22'!$C$6:$C$132,$C125,'Employee Detail FY22'!$E$6:$E$132,$E125,'Employee Detail FY22'!$F$6:$F$132,$F125)</f>
        <v>36337.959000000003</v>
      </c>
      <c r="AN125" s="62">
        <f t="shared" ref="AN125:AN126" si="38">SUM(AL125:AM125)</f>
        <v>50845.199168326624</v>
      </c>
    </row>
    <row r="126" spans="1:40" x14ac:dyDescent="0.2">
      <c r="B126" s="647" t="s">
        <v>135</v>
      </c>
      <c r="C126" s="647" t="s">
        <v>242</v>
      </c>
      <c r="D126" s="647"/>
      <c r="E126" s="647" t="s">
        <v>532</v>
      </c>
      <c r="F126" s="647" t="s">
        <v>461</v>
      </c>
      <c r="AL126" s="62">
        <f>SUMIFS('Employee Detail FY22'!$AL$6:$AL$132,'Employee Detail FY22'!$B$6:$B$132,$B126,'Employee Detail FY22'!$C$6:$C$132,$C126,'Employee Detail FY22'!$E$6:$E$132,$E126,'Employee Detail FY22'!$F$6:$F$132,$F126)</f>
        <v>153.73948602781306</v>
      </c>
      <c r="AM126" s="62">
        <f>SUMIFS('Employee Detail FY22'!$AM$6:$AM$132,'Employee Detail FY22'!$B$6:$B$132,$B126,'Employee Detail FY22'!$C$6:$C$132,$C126,'Employee Detail FY22'!$E$6:$E$132,$E126,'Employee Detail FY22'!$F$6:$F$132,$F126)</f>
        <v>6000</v>
      </c>
      <c r="AN126" s="62">
        <f t="shared" si="38"/>
        <v>6153.7394860278127</v>
      </c>
    </row>
    <row r="127" spans="1:40" x14ac:dyDescent="0.2">
      <c r="A127" s="508"/>
      <c r="B127" s="677"/>
      <c r="C127" s="677"/>
      <c r="D127" s="677"/>
      <c r="E127" s="677"/>
      <c r="F127" s="677"/>
      <c r="G127" s="508"/>
      <c r="H127" s="508"/>
      <c r="I127" s="508"/>
      <c r="J127" s="508"/>
      <c r="K127" s="508"/>
      <c r="L127" s="508"/>
      <c r="M127" s="508"/>
      <c r="N127" s="508"/>
      <c r="O127" s="508"/>
      <c r="P127" s="508"/>
      <c r="Q127" s="508"/>
      <c r="R127" s="508"/>
      <c r="S127" s="508"/>
      <c r="T127" s="508"/>
      <c r="U127" s="508"/>
      <c r="V127" s="508"/>
      <c r="W127" s="508"/>
      <c r="X127" s="508"/>
      <c r="Y127" s="508"/>
      <c r="Z127" s="508"/>
      <c r="AA127" s="508"/>
      <c r="AB127" s="508"/>
      <c r="AC127" s="508"/>
      <c r="AD127" s="508"/>
      <c r="AE127" s="508"/>
      <c r="AF127" s="508"/>
      <c r="AG127" s="508"/>
      <c r="AH127" s="508"/>
      <c r="AI127" s="508"/>
      <c r="AJ127" s="508"/>
      <c r="AK127" s="508"/>
      <c r="AL127" s="933">
        <f t="shared" ref="AL127:AN127" si="39">SUM(AL125:AL126)</f>
        <v>14660.979654354438</v>
      </c>
      <c r="AM127" s="933">
        <f t="shared" si="39"/>
        <v>42337.959000000003</v>
      </c>
      <c r="AN127" s="933">
        <f t="shared" si="39"/>
        <v>56998.938654354439</v>
      </c>
    </row>
    <row r="128" spans="1:40" x14ac:dyDescent="0.2">
      <c r="B128" s="647"/>
      <c r="C128" s="647"/>
      <c r="D128" s="647"/>
      <c r="E128" s="647"/>
      <c r="F128" s="647"/>
      <c r="AL128" s="62"/>
      <c r="AM128" s="62"/>
      <c r="AN128" s="62"/>
    </row>
    <row r="129" spans="1:40" x14ac:dyDescent="0.2">
      <c r="B129" s="647" t="s">
        <v>135</v>
      </c>
      <c r="C129" s="647" t="s">
        <v>242</v>
      </c>
      <c r="D129" s="647"/>
      <c r="E129" s="647" t="s">
        <v>532</v>
      </c>
      <c r="F129" s="647" t="s">
        <v>465</v>
      </c>
      <c r="AL129" s="62">
        <f>SUMIFS('Employee Detail FY22'!$AL$6:$AL$132,'Employee Detail FY22'!$B$6:$B$132,$B129,'Employee Detail FY22'!$C$6:$C$132,$C129,'Employee Detail FY22'!$E$6:$E$132,$E129,'Employee Detail FY22'!$F$6:$F$132,$F129)</f>
        <v>0</v>
      </c>
      <c r="AM129" s="62">
        <f>SUMIFS('Employee Detail FY22'!$AM$6:$AM$132,'Employee Detail FY22'!$B$6:$B$132,$B129,'Employee Detail FY22'!$C$6:$C$132,$C129,'Employee Detail FY22'!$E$6:$E$132,$E129,'Employee Detail FY22'!$F$6:$F$132,$F129)</f>
        <v>0</v>
      </c>
      <c r="AN129" s="62">
        <f t="shared" ref="AN129:AN132" si="40">SUM(AL129:AM129)</f>
        <v>0</v>
      </c>
    </row>
    <row r="130" spans="1:40" x14ac:dyDescent="0.2">
      <c r="B130" s="647" t="s">
        <v>135</v>
      </c>
      <c r="C130" s="647" t="s">
        <v>242</v>
      </c>
      <c r="D130" s="647"/>
      <c r="E130" s="647" t="s">
        <v>532</v>
      </c>
      <c r="F130" s="647" t="s">
        <v>556</v>
      </c>
      <c r="AL130" s="62">
        <f>SUMIFS('Employee Detail FY22'!$AL$6:$AL$132,'Employee Detail FY22'!$B$6:$B$132,$B130,'Employee Detail FY22'!$C$6:$C$132,$C130,'Employee Detail FY22'!$E$6:$E$132,$E130,'Employee Detail FY22'!$F$6:$F$132,$F130)</f>
        <v>0</v>
      </c>
      <c r="AM130" s="62">
        <f>SUMIFS('Employee Detail FY22'!$AM$6:$AM$132,'Employee Detail FY22'!$B$6:$B$132,$B130,'Employee Detail FY22'!$C$6:$C$132,$C130,'Employee Detail FY22'!$E$6:$E$132,$E130,'Employee Detail FY22'!$F$6:$F$132,$F130)</f>
        <v>0</v>
      </c>
      <c r="AN130" s="62">
        <f t="shared" si="40"/>
        <v>0</v>
      </c>
    </row>
    <row r="131" spans="1:40" x14ac:dyDescent="0.2">
      <c r="B131" s="647" t="s">
        <v>135</v>
      </c>
      <c r="C131" s="647" t="s">
        <v>550</v>
      </c>
      <c r="D131" s="647"/>
      <c r="E131" s="647">
        <v>430</v>
      </c>
      <c r="F131" s="647" t="s">
        <v>484</v>
      </c>
      <c r="AL131" s="62">
        <f>SUMIFS('Employee Detail FY22'!$AL$6:$AL$132,'Employee Detail FY22'!$B$6:$B$132,$B131,'Employee Detail FY22'!$C$6:$C$132,$C131,'Employee Detail FY22'!$E$6:$E$132,$E131,'Employee Detail FY22'!$F$6:$F$132,$F131)</f>
        <v>1020.2850958846424</v>
      </c>
      <c r="AM131" s="62">
        <f>SUMIFS('Employee Detail FY22'!$AM$6:$AM$132,'Employee Detail FY22'!$B$6:$B$132,$B131,'Employee Detail FY22'!$C$6:$C$132,$C131,'Employee Detail FY22'!$E$6:$E$132,$E131,'Employee Detail FY22'!$F$6:$F$132,$F131)</f>
        <v>11643.999999999998</v>
      </c>
      <c r="AN131" s="62">
        <f t="shared" si="40"/>
        <v>12664.285095884641</v>
      </c>
    </row>
    <row r="132" spans="1:40" x14ac:dyDescent="0.2">
      <c r="B132" s="647" t="s">
        <v>135</v>
      </c>
      <c r="C132" s="647" t="s">
        <v>242</v>
      </c>
      <c r="D132" s="647"/>
      <c r="E132" s="647" t="s">
        <v>532</v>
      </c>
      <c r="F132" s="647" t="s">
        <v>485</v>
      </c>
      <c r="AL132" s="62">
        <f>SUMIFS('Employee Detail FY22'!$AL$6:$AL$132,'Employee Detail FY22'!$B$6:$B$132,$B132,'Employee Detail FY22'!$C$6:$C$132,$C132,'Employee Detail FY22'!$E$6:$E$132,$E132,'Employee Detail FY22'!$F$6:$F$132,$F132)</f>
        <v>0</v>
      </c>
      <c r="AM132" s="62">
        <f>SUMIFS('Employee Detail FY22'!$AM$6:$AM$132,'Employee Detail FY22'!$B$6:$B$132,$B132,'Employee Detail FY22'!$C$6:$C$132,$C132,'Employee Detail FY22'!$E$6:$E$132,$E132,'Employee Detail FY22'!$F$6:$F$132,$F132)</f>
        <v>0</v>
      </c>
      <c r="AN132" s="62">
        <f t="shared" si="40"/>
        <v>0</v>
      </c>
    </row>
    <row r="133" spans="1:40" x14ac:dyDescent="0.2">
      <c r="A133" s="508"/>
      <c r="B133" s="677"/>
      <c r="C133" s="677"/>
      <c r="D133" s="677"/>
      <c r="E133" s="677"/>
      <c r="F133" s="677"/>
      <c r="G133" s="508"/>
      <c r="H133" s="508"/>
      <c r="I133" s="508"/>
      <c r="J133" s="508"/>
      <c r="K133" s="508"/>
      <c r="L133" s="508"/>
      <c r="M133" s="508"/>
      <c r="N133" s="508"/>
      <c r="O133" s="508"/>
      <c r="P133" s="508"/>
      <c r="Q133" s="508"/>
      <c r="R133" s="508"/>
      <c r="S133" s="508"/>
      <c r="T133" s="508"/>
      <c r="U133" s="508"/>
      <c r="V133" s="508"/>
      <c r="W133" s="508"/>
      <c r="X133" s="508"/>
      <c r="Y133" s="508"/>
      <c r="Z133" s="508"/>
      <c r="AA133" s="508"/>
      <c r="AB133" s="508"/>
      <c r="AC133" s="508"/>
      <c r="AD133" s="508"/>
      <c r="AE133" s="508"/>
      <c r="AF133" s="508"/>
      <c r="AG133" s="508"/>
      <c r="AH133" s="508"/>
      <c r="AI133" s="508"/>
      <c r="AJ133" s="508"/>
      <c r="AK133" s="508"/>
      <c r="AL133" s="933">
        <f t="shared" ref="AL133:AN133" si="41">SUM(AL129:AL132)</f>
        <v>1020.2850958846424</v>
      </c>
      <c r="AM133" s="933">
        <f t="shared" si="41"/>
        <v>11643.999999999998</v>
      </c>
      <c r="AN133" s="933">
        <f t="shared" si="41"/>
        <v>12664.285095884641</v>
      </c>
    </row>
    <row r="134" spans="1:40" x14ac:dyDescent="0.2">
      <c r="B134" s="647"/>
      <c r="C134" s="647"/>
      <c r="D134" s="647"/>
      <c r="E134" s="647"/>
      <c r="F134" s="647"/>
      <c r="AL134" s="62"/>
      <c r="AM134" s="62"/>
      <c r="AN134" s="62"/>
    </row>
    <row r="135" spans="1:40" x14ac:dyDescent="0.2">
      <c r="B135" s="647" t="s">
        <v>135</v>
      </c>
      <c r="C135" s="647" t="s">
        <v>242</v>
      </c>
      <c r="D135" s="647"/>
      <c r="E135" s="647" t="s">
        <v>532</v>
      </c>
      <c r="F135" s="647" t="s">
        <v>534</v>
      </c>
      <c r="AL135" s="62">
        <f>SUMIFS('Employee Detail FY22'!$AL$6:$AL$132,'Employee Detail FY22'!$B$6:$B$132,$B135,'Employee Detail FY22'!$C$6:$C$132,$C135,'Employee Detail FY22'!$E$6:$E$132,$E135,'Employee Detail FY22'!$F$6:$F$132,$F135)</f>
        <v>28756.451505756246</v>
      </c>
      <c r="AM135" s="62">
        <f>SUMIFS('Employee Detail FY22'!$AM$6:$AM$132,'Employee Detail FY22'!$B$6:$B$132,$B135,'Employee Detail FY22'!$C$6:$C$132,$C135,'Employee Detail FY22'!$E$6:$E$132,$E135,'Employee Detail FY22'!$F$6:$F$132,$F135)</f>
        <v>64411</v>
      </c>
      <c r="AN135" s="62">
        <f t="shared" ref="AN135:AN137" si="42">SUM(AL135:AM135)</f>
        <v>93167.451505756238</v>
      </c>
    </row>
    <row r="136" spans="1:40" x14ac:dyDescent="0.2">
      <c r="B136" s="647" t="s">
        <v>135</v>
      </c>
      <c r="C136" s="647" t="s">
        <v>245</v>
      </c>
      <c r="D136" s="647"/>
      <c r="E136" s="647">
        <v>430</v>
      </c>
      <c r="F136" s="647" t="s">
        <v>534</v>
      </c>
      <c r="AL136" s="62">
        <f>SUMIFS('Employee Detail FY22'!$AL$6:$AL$132,'Employee Detail FY22'!$B$6:$B$132,$B136,'Employee Detail FY22'!$C$6:$C$132,$C136,'Employee Detail FY22'!$E$6:$E$132,$E136,'Employee Detail FY22'!$F$6:$F$132,$F136)</f>
        <v>21633.095986631459</v>
      </c>
      <c r="AM136" s="62">
        <f>SUMIFS('Employee Detail FY22'!$AM$6:$AM$132,'Employee Detail FY22'!$B$6:$B$132,$B136,'Employee Detail FY22'!$C$6:$C$132,$C136,'Employee Detail FY22'!$E$6:$E$132,$E136,'Employee Detail FY22'!$F$6:$F$132,$F136)</f>
        <v>75789.446614</v>
      </c>
      <c r="AN136" s="62">
        <f t="shared" si="42"/>
        <v>97422.542600631452</v>
      </c>
    </row>
    <row r="137" spans="1:40" x14ac:dyDescent="0.2">
      <c r="B137" s="647" t="s">
        <v>135</v>
      </c>
      <c r="C137" s="647" t="s">
        <v>242</v>
      </c>
      <c r="D137" s="647"/>
      <c r="E137" s="647" t="s">
        <v>532</v>
      </c>
      <c r="F137" s="647" t="s">
        <v>558</v>
      </c>
      <c r="AL137" s="62">
        <f>SUMIFS('Employee Detail FY22'!$AL$6:$AL$132,'Employee Detail FY22'!$B$6:$B$132,$B137,'Employee Detail FY22'!$C$6:$C$132,$C137,'Employee Detail FY22'!$E$6:$E$132,$E137,'Employee Detail FY22'!$F$6:$F$132,$F137)</f>
        <v>0</v>
      </c>
      <c r="AM137" s="62">
        <f>SUMIFS('Employee Detail FY22'!$AM$6:$AM$132,'Employee Detail FY22'!$B$6:$B$132,$B137,'Employee Detail FY22'!$C$6:$C$132,$C137,'Employee Detail FY22'!$E$6:$E$132,$E137,'Employee Detail FY22'!$F$6:$F$132,$F137)</f>
        <v>0</v>
      </c>
      <c r="AN137" s="62">
        <f t="shared" si="42"/>
        <v>0</v>
      </c>
    </row>
    <row r="138" spans="1:40" x14ac:dyDescent="0.2">
      <c r="A138" s="508"/>
      <c r="B138" s="677"/>
      <c r="C138" s="677"/>
      <c r="D138" s="677"/>
      <c r="E138" s="677"/>
      <c r="F138" s="677"/>
      <c r="G138" s="508"/>
      <c r="H138" s="508"/>
      <c r="I138" s="508"/>
      <c r="J138" s="508"/>
      <c r="K138" s="508"/>
      <c r="L138" s="508"/>
      <c r="M138" s="508"/>
      <c r="N138" s="508"/>
      <c r="O138" s="508"/>
      <c r="P138" s="508"/>
      <c r="Q138" s="508"/>
      <c r="R138" s="508"/>
      <c r="S138" s="508"/>
      <c r="T138" s="508"/>
      <c r="U138" s="508"/>
      <c r="V138" s="508"/>
      <c r="W138" s="508"/>
      <c r="X138" s="508"/>
      <c r="Y138" s="508"/>
      <c r="Z138" s="508"/>
      <c r="AA138" s="508"/>
      <c r="AB138" s="508"/>
      <c r="AC138" s="508"/>
      <c r="AD138" s="508"/>
      <c r="AE138" s="508"/>
      <c r="AF138" s="508"/>
      <c r="AG138" s="508"/>
      <c r="AH138" s="508"/>
      <c r="AI138" s="508"/>
      <c r="AJ138" s="508"/>
      <c r="AK138" s="508"/>
      <c r="AL138" s="933">
        <f t="shared" ref="AL138:AN138" si="43">SUM(AL135:AL137)</f>
        <v>50389.547492387705</v>
      </c>
      <c r="AM138" s="933">
        <f t="shared" si="43"/>
        <v>140200.44661400001</v>
      </c>
      <c r="AN138" s="933">
        <f t="shared" si="43"/>
        <v>190589.99410638769</v>
      </c>
    </row>
    <row r="139" spans="1:40" x14ac:dyDescent="0.2">
      <c r="B139" s="647"/>
      <c r="C139" s="647"/>
      <c r="D139" s="647"/>
      <c r="E139" s="647"/>
      <c r="F139" s="647"/>
      <c r="AL139" s="62"/>
      <c r="AM139" s="62"/>
      <c r="AN139" s="62"/>
    </row>
    <row r="140" spans="1:40" x14ac:dyDescent="0.2">
      <c r="B140" s="647" t="s">
        <v>135</v>
      </c>
      <c r="C140" s="647" t="s">
        <v>242</v>
      </c>
      <c r="D140" s="647"/>
      <c r="E140" s="647">
        <v>430</v>
      </c>
      <c r="F140" s="647" t="s">
        <v>460</v>
      </c>
      <c r="AL140" s="62">
        <f>SUMIFS('Employee Detail FY22'!$AL$6:$AL$132,'Employee Detail FY22'!$B$6:$B$132,$B140,'Employee Detail FY22'!$C$6:$C$132,$C140,'Employee Detail FY22'!$E$6:$E$132,$E140,'Employee Detail FY22'!$F$6:$F$132,$F140)</f>
        <v>35291.23394926625</v>
      </c>
      <c r="AM140" s="62">
        <f>SUMIFS('Employee Detail FY22'!$AM$6:$AM$132,'Employee Detail FY22'!$B$6:$B$132,$B140,'Employee Detail FY22'!$C$6:$C$132,$C140,'Employee Detail FY22'!$E$6:$E$132,$E140,'Employee Detail FY22'!$F$6:$F$132,$F140)</f>
        <v>86200</v>
      </c>
      <c r="AN140" s="62">
        <f>SUM(AL140:AM140)</f>
        <v>121491.23394926626</v>
      </c>
    </row>
    <row r="141" spans="1:40" x14ac:dyDescent="0.2">
      <c r="A141" s="508"/>
      <c r="B141" s="677"/>
      <c r="C141" s="677"/>
      <c r="D141" s="677"/>
      <c r="E141" s="677"/>
      <c r="F141" s="677"/>
      <c r="G141" s="508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  <c r="R141" s="508"/>
      <c r="S141" s="508"/>
      <c r="T141" s="508"/>
      <c r="U141" s="508"/>
      <c r="V141" s="508"/>
      <c r="W141" s="508"/>
      <c r="X141" s="508"/>
      <c r="Y141" s="508"/>
      <c r="Z141" s="508"/>
      <c r="AA141" s="508"/>
      <c r="AB141" s="508"/>
      <c r="AC141" s="508"/>
      <c r="AD141" s="508"/>
      <c r="AE141" s="508"/>
      <c r="AF141" s="508"/>
      <c r="AG141" s="508"/>
      <c r="AH141" s="508"/>
      <c r="AI141" s="508"/>
      <c r="AJ141" s="508"/>
      <c r="AK141" s="508"/>
      <c r="AL141" s="933">
        <f t="shared" ref="AL141:AN141" si="44">SUM(AL140)</f>
        <v>35291.23394926625</v>
      </c>
      <c r="AM141" s="933">
        <f t="shared" si="44"/>
        <v>86200</v>
      </c>
      <c r="AN141" s="933">
        <f t="shared" si="44"/>
        <v>121491.23394926626</v>
      </c>
    </row>
    <row r="142" spans="1:40" x14ac:dyDescent="0.2">
      <c r="B142" s="647"/>
      <c r="C142" s="647"/>
      <c r="D142" s="647"/>
      <c r="E142" s="647"/>
      <c r="F142" s="647"/>
      <c r="AL142" s="62"/>
      <c r="AM142" s="62"/>
      <c r="AN142" s="62"/>
    </row>
    <row r="143" spans="1:40" ht="13.5" thickBot="1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64">
        <f>SUM(AL141,AL138,AL133,AL127,AL123,AL120,AL116,AL113,AL110,AL106,AL102,AL97,AL93,AL90,AL87,AL81,AL78)</f>
        <v>968433.10753620439</v>
      </c>
      <c r="AM143" s="64">
        <f t="shared" ref="AM143:AN143" si="45">SUM(AM141,AM138,AM133,AM127,AM123,AM120,AM116,AM113,AM110,AM106,AM102,AM97,AM93,AM90,AM87,AM81,AM78)</f>
        <v>2589104.7595780003</v>
      </c>
      <c r="AN143" s="64">
        <f t="shared" si="45"/>
        <v>3557537.8671142049</v>
      </c>
    </row>
    <row r="144" spans="1:40" ht="13.5" thickTop="1" x14ac:dyDescent="0.2">
      <c r="AL144" s="355">
        <f>AL68-AL143</f>
        <v>0</v>
      </c>
      <c r="AM144" s="355">
        <f t="shared" ref="AM144:AN144" si="46">AM68-AM143</f>
        <v>0</v>
      </c>
      <c r="AN144" s="355">
        <f t="shared" si="46"/>
        <v>0</v>
      </c>
    </row>
  </sheetData>
  <autoFilter ref="B3:H67" xr:uid="{47EF2766-5D1D-478D-B533-CA37A277F5E8}"/>
  <sortState xmlns:xlrd2="http://schemas.microsoft.com/office/spreadsheetml/2017/richdata2" ref="A49:WWF53">
    <sortCondition ref="G49:G53"/>
  </sortState>
  <mergeCells count="1">
    <mergeCell ref="P1:P3"/>
  </mergeCells>
  <phoneticPr fontId="4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225FC-F8D7-495E-9FD6-9E76AB584E83}">
  <sheetPr codeName="Sheet17"/>
  <dimension ref="A1:WWF154"/>
  <sheetViews>
    <sheetView workbookViewId="0">
      <pane xSplit="8" ySplit="5" topLeftCell="L6" activePane="bottomRight" state="frozen"/>
      <selection activeCell="C412" sqref="C412"/>
      <selection pane="topRight" activeCell="C412" sqref="C412"/>
      <selection pane="bottomLeft" activeCell="C412" sqref="C412"/>
      <selection pane="bottomRight" activeCell="U15" sqref="U15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style="253" bestFit="1" customWidth="1"/>
    <col min="10" max="10" width="9.42578125" style="253" bestFit="1" customWidth="1"/>
    <col min="11" max="11" width="10.140625" style="253" bestFit="1" customWidth="1"/>
    <col min="12" max="12" width="42.7109375" style="253" bestFit="1" customWidth="1"/>
    <col min="13" max="13" width="9.140625" customWidth="1"/>
    <col min="16" max="16" width="11.140625" customWidth="1"/>
    <col min="21" max="21" width="11" bestFit="1" customWidth="1"/>
    <col min="22" max="22" width="12" bestFit="1" customWidth="1"/>
    <col min="23" max="23" width="10.5703125" customWidth="1"/>
    <col min="24" max="24" width="12" customWidth="1"/>
    <col min="25" max="25" width="12.28515625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2" width="11" bestFit="1" customWidth="1"/>
    <col min="33" max="33" width="12.5703125" bestFit="1" customWidth="1"/>
    <col min="34" max="34" width="12.7109375" bestFit="1" customWidth="1"/>
    <col min="35" max="35" width="12" bestFit="1" customWidth="1"/>
    <col min="36" max="36" width="7.85546875" bestFit="1" customWidth="1"/>
    <col min="37" max="37" width="7.28515625" bestFit="1" customWidth="1"/>
    <col min="38" max="40" width="12.42578125" bestFit="1" customWidth="1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f>'Employee Detail FY22'!V1+0.03</f>
        <v>0.03</v>
      </c>
      <c r="W1" s="226">
        <f>IF('Employee Detail FY22'!W1="","",'Employee Detail FY22'!W1)</f>
        <v>1.153586</v>
      </c>
      <c r="X1" s="229"/>
      <c r="Y1" s="229"/>
      <c r="Z1" s="229"/>
      <c r="AA1" s="229"/>
      <c r="AB1" s="229"/>
      <c r="AC1" s="192">
        <f>IF('Employee Detail FY22'!AC1="","",'Employee Detail FY22'!AC1)</f>
        <v>7943.76</v>
      </c>
      <c r="AD1" s="232">
        <v>6.2E-2</v>
      </c>
      <c r="AE1" s="232">
        <v>0.1525</v>
      </c>
      <c r="AF1" s="232">
        <v>1.4500000000000001E-2</v>
      </c>
      <c r="AG1" s="229"/>
      <c r="AH1" s="281">
        <f>'Employee Detail FY21'!AH1</f>
        <v>9.1023361069124693E-3</v>
      </c>
      <c r="AI1" s="282">
        <f>'Employee Detail FY21'!AI1</f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Students'!E6</f>
        <v>FY2324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0.29249999999999998</v>
      </c>
      <c r="AF2" s="229"/>
      <c r="AG2" s="229"/>
      <c r="AH2" s="229"/>
      <c r="AI2" s="282">
        <f>'Employee Detail FY21'!AI2</f>
        <v>2.9451987096649392E-3</v>
      </c>
      <c r="AJ2" s="229"/>
      <c r="AK2" s="229"/>
      <c r="AL2" s="229"/>
      <c r="AM2" s="229"/>
      <c r="AN2" s="229"/>
    </row>
    <row r="3" spans="1:16152" s="243" customFormat="1" ht="40.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238" t="s">
        <v>339</v>
      </c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/>
      <c r="Z4" s="228"/>
      <c r="AA4" s="247"/>
      <c r="AB4" s="247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x14ac:dyDescent="0.2">
      <c r="A6" s="264" t="str">
        <f>IF('Employee Detail FY22'!A6="","",'Employee Detail FY22'!A6)</f>
        <v/>
      </c>
      <c r="B6" s="646" t="str">
        <f>IF('Employee Detail FY22'!B6="","",'Employee Detail FY22'!B6)</f>
        <v/>
      </c>
      <c r="C6" s="646" t="str">
        <f>IF('Employee Detail FY22'!C6="","",'Employee Detail FY22'!C6)</f>
        <v/>
      </c>
      <c r="D6" s="646"/>
      <c r="E6" s="646" t="str">
        <f>IF('Employee Detail FY22'!E6="","",'Employee Detail FY22'!E6)</f>
        <v/>
      </c>
      <c r="F6" s="646" t="str">
        <f>IF('Employee Detail FY22'!F6="","",'Employee Detail FY22'!F6)</f>
        <v/>
      </c>
      <c r="G6" s="646" t="str">
        <f>IF('Employee Detail FY22'!G6="","",'Employee Detail FY22'!G6)</f>
        <v/>
      </c>
      <c r="H6" s="646"/>
      <c r="I6" s="264" t="str">
        <f>IF('Employee Detail FY22'!I6="","",'Employee Detail FY22'!I6)</f>
        <v/>
      </c>
      <c r="J6" s="264" t="str">
        <f>IF('Employee Detail FY22'!J6="","",'Employee Detail FY22'!J6)</f>
        <v/>
      </c>
      <c r="K6" s="264" t="str">
        <f>IF('Employee Detail FY22'!K6="","",'Employee Detail FY22'!K6)</f>
        <v/>
      </c>
      <c r="L6" s="264" t="str">
        <f>IF('Employee Detail FY22'!L6="","",'Employee Detail FY22'!L6)</f>
        <v/>
      </c>
      <c r="M6" s="267" t="str">
        <f>IF('Employee Detail FY22'!M6="","",'Employee Detail FY22'!M6)</f>
        <v/>
      </c>
      <c r="N6" s="264" t="str">
        <f>IF('Employee Detail FY22'!N6="","",'Employee Detail FY22'!N6)</f>
        <v/>
      </c>
      <c r="O6" s="264" t="str">
        <f>IF('Employee Detail FY22'!O6="","",'Employee Detail FY22'!O6)</f>
        <v/>
      </c>
      <c r="P6" s="264" t="str">
        <f>IF('Employee Detail FY22'!P6="","",'Employee Detail FY22'!P6)</f>
        <v/>
      </c>
      <c r="Q6" s="264" t="str">
        <f>IF('Employee Detail FY22'!Q6="","",'Employee Detail FY22'!Q6)</f>
        <v/>
      </c>
      <c r="R6" s="264" t="str">
        <f>IF('Employee Detail FY22'!R6="","",'Employee Detail FY22'!R6)</f>
        <v/>
      </c>
      <c r="S6" s="264" t="str">
        <f>IF('Employee Detail FY22'!S6="","",'Employee Detail FY22'!S6)</f>
        <v/>
      </c>
      <c r="T6" s="263" t="str">
        <f>+IF(R6="","",R6*S6)</f>
        <v/>
      </c>
      <c r="U6" s="269" t="s">
        <v>386</v>
      </c>
      <c r="V6" s="270" t="str">
        <f t="shared" ref="V6:V28" si="0">IF($U6="","",$U6*(1+$V$1))</f>
        <v/>
      </c>
      <c r="W6" s="270" t="str">
        <f>+IF(P6="EE",+V6*$W$1,"")</f>
        <v/>
      </c>
      <c r="X6" s="270" t="str">
        <f>_xlfn.IFS(P6="ER",V6,P6="EE",W6,P6="N",V6,P6="","")</f>
        <v/>
      </c>
      <c r="Y6" s="62">
        <v>0</v>
      </c>
      <c r="Z6" s="62">
        <v>0</v>
      </c>
      <c r="AA6" s="256">
        <f t="shared" ref="AA6:AA130" si="1">SUM(X6:Z6)</f>
        <v>0</v>
      </c>
      <c r="AB6" s="3"/>
      <c r="AC6" s="62" t="str">
        <f>IF('Employee Detail FY22'!AC6="","",'Employee Detail FY22'!AC6)</f>
        <v/>
      </c>
      <c r="AD6" s="62" t="str">
        <f t="shared" ref="AD6:AD130" si="2">_xlfn.IFS(P6="N",$AD$1*AA6,P6="EE","",P6="ER","",P6="","")</f>
        <v/>
      </c>
      <c r="AE6" s="62" t="str">
        <f t="shared" ref="AE6:AE130" si="3">_xlfn.IFS(P6="EE",X6*$AE$1,P6="ER",X6*$AE$2,P6="N","",P6="","")</f>
        <v/>
      </c>
      <c r="AF6" s="62" t="str">
        <f t="shared" ref="AF6:AF130" si="4">+IF(AA6&gt;1,AA6*$AF$1,"")</f>
        <v/>
      </c>
      <c r="AG6" s="192">
        <v>0</v>
      </c>
      <c r="AH6" s="62" t="str">
        <f t="shared" ref="AH6:AH130" si="5">+IF(AA6&gt;1,AA6*$AH$1,"")</f>
        <v/>
      </c>
      <c r="AI6" s="62">
        <f t="shared" ref="AI6:AI130" si="6">+_xlfn.IFS(F6&lt;2300,(AA6*$AI$1),F6&gt;=2300,(AA6*$AI$2),F6="","")</f>
        <v>0</v>
      </c>
      <c r="AJ6" s="62"/>
      <c r="AK6" s="62">
        <v>0</v>
      </c>
      <c r="AL6" s="256">
        <f>SUM(AC6:AK6)</f>
        <v>0</v>
      </c>
      <c r="AM6" s="256">
        <f>AA6</f>
        <v>0</v>
      </c>
      <c r="AN6" s="256">
        <f>SUM(AL6:AM6)</f>
        <v>0</v>
      </c>
    </row>
    <row r="7" spans="1:16152" x14ac:dyDescent="0.2">
      <c r="A7" s="602" t="s">
        <v>386</v>
      </c>
      <c r="B7" s="788">
        <v>100</v>
      </c>
      <c r="C7" s="788" t="s">
        <v>145</v>
      </c>
      <c r="D7" s="788"/>
      <c r="E7" s="788">
        <v>100</v>
      </c>
      <c r="F7" s="788" t="s">
        <v>464</v>
      </c>
      <c r="G7" s="790" t="s">
        <v>165</v>
      </c>
      <c r="H7" s="788"/>
      <c r="I7" s="603" t="s">
        <v>912</v>
      </c>
      <c r="J7" s="603" t="s">
        <v>913</v>
      </c>
      <c r="K7" s="603" t="s">
        <v>406</v>
      </c>
      <c r="L7" s="603" t="s">
        <v>958</v>
      </c>
      <c r="M7" s="604">
        <v>1</v>
      </c>
      <c r="N7" s="602" t="s">
        <v>93</v>
      </c>
      <c r="O7" s="602">
        <v>1</v>
      </c>
      <c r="P7" s="602" t="s">
        <v>342</v>
      </c>
      <c r="Q7" s="602" t="s">
        <v>386</v>
      </c>
      <c r="R7" s="602">
        <v>261</v>
      </c>
      <c r="S7" s="602">
        <v>8</v>
      </c>
      <c r="T7" s="263">
        <f t="shared" ref="T7:T85" si="7">+IF(R7="","",R7*S7)</f>
        <v>2088</v>
      </c>
      <c r="U7" s="269">
        <v>123000</v>
      </c>
      <c r="V7" s="270">
        <f t="shared" si="0"/>
        <v>126690</v>
      </c>
      <c r="W7" s="270" t="str">
        <f t="shared" ref="W7:W85" si="8">+IF(P7="EE",+V7*$W$1,"")</f>
        <v/>
      </c>
      <c r="X7" s="270">
        <f t="shared" ref="X7:X85" si="9">_xlfn.IFS(P7="ER",V7,P7="EE",W7,P7="N",V7,P7="","")</f>
        <v>126690</v>
      </c>
      <c r="Y7" s="62">
        <v>0</v>
      </c>
      <c r="Z7" s="62">
        <v>0</v>
      </c>
      <c r="AA7" s="256">
        <f t="shared" ref="AA7:AA85" si="10">SUM(X7:Z7)</f>
        <v>126690</v>
      </c>
      <c r="AB7" s="3"/>
      <c r="AC7" s="62">
        <f t="shared" ref="AC7:AC85" si="11">IF(AND(M7=1,P7&lt;&gt;"N"),$AC$1,"")</f>
        <v>7943.76</v>
      </c>
      <c r="AD7" s="62" t="str">
        <f t="shared" ref="AD7:AD85" si="12">_xlfn.IFS(P7="N",$AD$1*AA7,P7="EE","",P7="ER","",P7="","")</f>
        <v/>
      </c>
      <c r="AE7" s="62">
        <f t="shared" ref="AE7:AE85" si="13">_xlfn.IFS(P7="EE",X7*$AE$1,P7="ER",X7*$AE$2,P7="N","",P7="","")</f>
        <v>37056.824999999997</v>
      </c>
      <c r="AF7" s="62">
        <f t="shared" ref="AF7:AF85" si="14">+IF(AA7&gt;1,AA7*$AF$1,"")</f>
        <v>1837.0050000000001</v>
      </c>
      <c r="AG7" s="192">
        <v>0</v>
      </c>
      <c r="AH7" s="62">
        <f t="shared" ref="AH7:AH85" si="15">+IF(AA7&gt;1,AA7*$AH$1,"")</f>
        <v>1153.1749613847408</v>
      </c>
      <c r="AI7" s="62">
        <f t="shared" ref="AI7:AI85" si="16">+_xlfn.IFS(F7&lt;2300,(AA7*$AI$1),F7&gt;=2300,(AA7*$AI$2),F7="","")</f>
        <v>373.12722452745118</v>
      </c>
      <c r="AJ7" s="62"/>
      <c r="AK7" s="62">
        <v>0</v>
      </c>
      <c r="AL7" s="256">
        <f t="shared" ref="AL7:AL85" si="17">SUM(AC7:AK7)</f>
        <v>48363.892185912191</v>
      </c>
      <c r="AM7" s="256">
        <f t="shared" ref="AM7:AM85" si="18">AA7</f>
        <v>126690</v>
      </c>
      <c r="AN7" s="256">
        <f t="shared" ref="AN7:AN85" si="19">SUM(AL7:AM7)</f>
        <v>175053.89218591218</v>
      </c>
    </row>
    <row r="8" spans="1:16152" x14ac:dyDescent="0.2">
      <c r="A8" s="602" t="s">
        <v>386</v>
      </c>
      <c r="B8" s="788">
        <v>100</v>
      </c>
      <c r="C8" s="788" t="s">
        <v>145</v>
      </c>
      <c r="D8" s="788"/>
      <c r="E8" s="788">
        <v>100</v>
      </c>
      <c r="F8" s="788" t="s">
        <v>464</v>
      </c>
      <c r="G8" s="790" t="s">
        <v>165</v>
      </c>
      <c r="H8" s="788"/>
      <c r="I8" s="603" t="s">
        <v>911</v>
      </c>
      <c r="J8" s="603" t="s">
        <v>448</v>
      </c>
      <c r="K8" s="603" t="s">
        <v>446</v>
      </c>
      <c r="L8" s="603" t="s">
        <v>449</v>
      </c>
      <c r="M8" s="604">
        <v>1</v>
      </c>
      <c r="N8" s="602" t="s">
        <v>386</v>
      </c>
      <c r="O8" s="602">
        <v>26</v>
      </c>
      <c r="P8" s="602" t="s">
        <v>342</v>
      </c>
      <c r="Q8" s="602" t="s">
        <v>386</v>
      </c>
      <c r="R8" s="602">
        <v>261</v>
      </c>
      <c r="S8" s="602">
        <v>8</v>
      </c>
      <c r="T8" s="263">
        <f t="shared" ref="T8:T19" si="20">+IF(R8="","",R8*S8)</f>
        <v>2088</v>
      </c>
      <c r="U8" s="269">
        <v>135000</v>
      </c>
      <c r="V8" s="270">
        <f t="shared" si="0"/>
        <v>139050</v>
      </c>
      <c r="W8" s="270" t="str">
        <f t="shared" ref="W8:W19" si="21">+IF(P8="EE",+V8*$W$1,"")</f>
        <v/>
      </c>
      <c r="X8" s="270">
        <f t="shared" ref="X8:X19" si="22">_xlfn.IFS(P8="ER",V8,P8="EE",W8,P8="N",V8,P8="","")</f>
        <v>139050</v>
      </c>
      <c r="Y8" s="62">
        <v>0</v>
      </c>
      <c r="Z8" s="62">
        <v>0</v>
      </c>
      <c r="AA8" s="256">
        <f t="shared" ref="AA8:AA28" si="23">SUM(X8:Z8)</f>
        <v>139050</v>
      </c>
      <c r="AB8" s="3"/>
      <c r="AC8" s="62">
        <f t="shared" ref="AC8:AC28" si="24">IF(AND(M8=1,P8&lt;&gt;"N"),$AC$1,"")</f>
        <v>7943.76</v>
      </c>
      <c r="AD8" s="62" t="str">
        <f t="shared" ref="AD8:AD28" si="25">_xlfn.IFS(P8="N",$AD$1*AA8,P8="EE","",P8="ER","",P8="","")</f>
        <v/>
      </c>
      <c r="AE8" s="62">
        <f t="shared" ref="AE8:AE28" si="26">_xlfn.IFS(P8="EE",X8*$AE$1,P8="ER",X8*$AE$2,P8="N","",P8="","")</f>
        <v>40672.125</v>
      </c>
      <c r="AF8" s="62">
        <f t="shared" ref="AF8:AF28" si="27">+IF(AA8&gt;1,AA8*$AF$1,"")</f>
        <v>2016.2250000000001</v>
      </c>
      <c r="AG8" s="192">
        <v>0</v>
      </c>
      <c r="AH8" s="62">
        <f t="shared" ref="AH8:AH28" si="28">+IF(AA8&gt;1,AA8*$AH$1,"")</f>
        <v>1265.6798356661789</v>
      </c>
      <c r="AI8" s="62">
        <f t="shared" ref="AI8:AI28" si="29">+_xlfn.IFS(F8&lt;2300,(AA8*$AI$1),F8&gt;=2300,(AA8*$AI$2),F8="","")</f>
        <v>409.5298805789098</v>
      </c>
      <c r="AJ8" s="62"/>
      <c r="AK8" s="62">
        <v>0</v>
      </c>
      <c r="AL8" s="256">
        <f t="shared" ref="AL8:AL28" si="30">SUM(AC8:AK8)</f>
        <v>52307.319716245096</v>
      </c>
      <c r="AM8" s="256">
        <f t="shared" ref="AM8:AM28" si="31">AA8</f>
        <v>139050</v>
      </c>
      <c r="AN8" s="256">
        <f t="shared" ref="AN8:AN28" si="32">SUM(AL8:AM8)</f>
        <v>191357.31971624511</v>
      </c>
    </row>
    <row r="9" spans="1:16152" x14ac:dyDescent="0.2">
      <c r="A9" s="3"/>
      <c r="B9" s="307"/>
      <c r="C9" s="307"/>
      <c r="D9" s="307"/>
      <c r="E9" s="307"/>
      <c r="F9" s="307"/>
      <c r="G9" s="307"/>
      <c r="H9" s="307"/>
      <c r="I9" s="255"/>
      <c r="J9" s="255"/>
      <c r="K9" s="255"/>
      <c r="L9" s="255"/>
      <c r="M9" s="92"/>
      <c r="N9" s="3"/>
      <c r="O9" s="3"/>
      <c r="P9" s="3"/>
      <c r="Q9" s="3"/>
      <c r="R9" s="3"/>
      <c r="S9" s="3"/>
      <c r="T9" s="263"/>
      <c r="U9" s="269"/>
      <c r="V9" s="270"/>
      <c r="W9" s="270"/>
      <c r="X9" s="270"/>
      <c r="Y9" s="62"/>
      <c r="Z9" s="62"/>
      <c r="AA9" s="256"/>
      <c r="AB9" s="3"/>
      <c r="AC9" s="62"/>
      <c r="AD9" s="62"/>
      <c r="AE9" s="62"/>
      <c r="AF9" s="62"/>
      <c r="AG9" s="192"/>
      <c r="AH9" s="62"/>
      <c r="AI9" s="62"/>
      <c r="AJ9" s="62"/>
      <c r="AK9" s="62"/>
      <c r="AL9" s="256"/>
      <c r="AM9" s="256"/>
      <c r="AN9" s="256"/>
    </row>
    <row r="10" spans="1:16152" x14ac:dyDescent="0.2">
      <c r="A10" s="602" t="s">
        <v>1103</v>
      </c>
      <c r="B10" s="934">
        <v>280</v>
      </c>
      <c r="C10" s="934">
        <v>624</v>
      </c>
      <c r="D10" s="788"/>
      <c r="E10" s="934">
        <v>430</v>
      </c>
      <c r="F10" s="934">
        <v>2410</v>
      </c>
      <c r="G10" s="934" t="s">
        <v>165</v>
      </c>
      <c r="H10" s="788"/>
      <c r="I10" s="603" t="s">
        <v>1077</v>
      </c>
      <c r="J10" s="603" t="s">
        <v>1078</v>
      </c>
      <c r="K10" s="603" t="s">
        <v>389</v>
      </c>
      <c r="L10" s="603" t="s">
        <v>904</v>
      </c>
      <c r="M10" s="604">
        <v>1</v>
      </c>
      <c r="N10" s="602" t="s">
        <v>386</v>
      </c>
      <c r="O10" s="602">
        <v>26</v>
      </c>
      <c r="P10" s="602" t="s">
        <v>342</v>
      </c>
      <c r="Q10" s="602" t="s">
        <v>386</v>
      </c>
      <c r="R10" s="602">
        <v>261</v>
      </c>
      <c r="S10" s="602">
        <v>8</v>
      </c>
      <c r="T10" s="263">
        <f t="shared" si="20"/>
        <v>2088</v>
      </c>
      <c r="U10" s="269">
        <v>89000</v>
      </c>
      <c r="V10" s="270">
        <f t="shared" si="0"/>
        <v>91670</v>
      </c>
      <c r="W10" s="270" t="str">
        <f t="shared" si="21"/>
        <v/>
      </c>
      <c r="X10" s="270">
        <f t="shared" si="22"/>
        <v>91670</v>
      </c>
      <c r="Y10" s="62">
        <v>0</v>
      </c>
      <c r="Z10" s="62">
        <v>0</v>
      </c>
      <c r="AA10" s="256">
        <f t="shared" si="23"/>
        <v>91670</v>
      </c>
      <c r="AB10" s="3"/>
      <c r="AC10" s="62">
        <f t="shared" si="24"/>
        <v>7943.76</v>
      </c>
      <c r="AD10" s="62" t="str">
        <f t="shared" si="25"/>
        <v/>
      </c>
      <c r="AE10" s="62">
        <f t="shared" si="26"/>
        <v>26813.474999999999</v>
      </c>
      <c r="AF10" s="62">
        <f t="shared" si="27"/>
        <v>1329.2150000000001</v>
      </c>
      <c r="AG10" s="192">
        <v>0</v>
      </c>
      <c r="AH10" s="62">
        <f t="shared" si="28"/>
        <v>834.41115092066605</v>
      </c>
      <c r="AI10" s="62">
        <f t="shared" si="29"/>
        <v>269.98636571498497</v>
      </c>
      <c r="AJ10" s="62"/>
      <c r="AK10" s="62">
        <v>0</v>
      </c>
      <c r="AL10" s="256">
        <f t="shared" si="30"/>
        <v>37190.847516635644</v>
      </c>
      <c r="AM10" s="256">
        <f t="shared" si="31"/>
        <v>91670</v>
      </c>
      <c r="AN10" s="256">
        <f t="shared" si="32"/>
        <v>128860.84751663564</v>
      </c>
    </row>
    <row r="11" spans="1:16152" x14ac:dyDescent="0.2">
      <c r="A11" s="3" t="s">
        <v>386</v>
      </c>
      <c r="B11" s="307" t="s">
        <v>386</v>
      </c>
      <c r="C11" s="307" t="s">
        <v>386</v>
      </c>
      <c r="D11" s="307"/>
      <c r="E11" s="307" t="s">
        <v>386</v>
      </c>
      <c r="F11" s="307" t="s">
        <v>386</v>
      </c>
      <c r="G11" s="307" t="s">
        <v>386</v>
      </c>
      <c r="H11" s="307"/>
      <c r="I11" s="255" t="s">
        <v>386</v>
      </c>
      <c r="J11" s="255" t="s">
        <v>386</v>
      </c>
      <c r="K11" s="255" t="s">
        <v>386</v>
      </c>
      <c r="L11" s="255" t="s">
        <v>386</v>
      </c>
      <c r="M11" s="92" t="s">
        <v>386</v>
      </c>
      <c r="N11" s="3" t="s">
        <v>386</v>
      </c>
      <c r="O11" s="3" t="s">
        <v>386</v>
      </c>
      <c r="P11" s="3" t="s">
        <v>386</v>
      </c>
      <c r="Q11" s="3" t="s">
        <v>386</v>
      </c>
      <c r="R11" s="3" t="s">
        <v>386</v>
      </c>
      <c r="S11" s="3" t="s">
        <v>386</v>
      </c>
      <c r="T11" s="263" t="str">
        <f t="shared" si="20"/>
        <v/>
      </c>
      <c r="U11" s="269" t="s">
        <v>386</v>
      </c>
      <c r="V11" s="270" t="str">
        <f t="shared" si="0"/>
        <v/>
      </c>
      <c r="W11" s="270" t="str">
        <f t="shared" si="21"/>
        <v/>
      </c>
      <c r="X11" s="270" t="str">
        <f t="shared" si="22"/>
        <v/>
      </c>
      <c r="Y11" s="62">
        <v>0</v>
      </c>
      <c r="Z11" s="62">
        <v>0</v>
      </c>
      <c r="AA11" s="256">
        <f t="shared" si="23"/>
        <v>0</v>
      </c>
      <c r="AB11" s="3"/>
      <c r="AC11" s="62" t="str">
        <f t="shared" si="24"/>
        <v/>
      </c>
      <c r="AD11" s="62" t="str">
        <f t="shared" si="25"/>
        <v/>
      </c>
      <c r="AE11" s="62" t="str">
        <f t="shared" si="26"/>
        <v/>
      </c>
      <c r="AF11" s="62" t="str">
        <f t="shared" si="27"/>
        <v/>
      </c>
      <c r="AG11" s="192">
        <v>0</v>
      </c>
      <c r="AH11" s="62" t="str">
        <f t="shared" si="28"/>
        <v/>
      </c>
      <c r="AI11" s="62">
        <f t="shared" si="29"/>
        <v>0</v>
      </c>
      <c r="AJ11" s="62"/>
      <c r="AK11" s="62">
        <v>0</v>
      </c>
      <c r="AL11" s="256">
        <f t="shared" si="30"/>
        <v>0</v>
      </c>
      <c r="AM11" s="256">
        <f t="shared" si="31"/>
        <v>0</v>
      </c>
      <c r="AN11" s="256">
        <f t="shared" si="32"/>
        <v>0</v>
      </c>
    </row>
    <row r="12" spans="1:16152" x14ac:dyDescent="0.2">
      <c r="A12" s="786" t="s">
        <v>1149</v>
      </c>
      <c r="B12" s="792" t="s">
        <v>462</v>
      </c>
      <c r="C12" s="792" t="s">
        <v>132</v>
      </c>
      <c r="D12" s="792"/>
      <c r="E12" s="792" t="s">
        <v>463</v>
      </c>
      <c r="F12" s="792">
        <v>1000</v>
      </c>
      <c r="G12" s="792" t="s">
        <v>171</v>
      </c>
      <c r="H12" s="792" t="s">
        <v>920</v>
      </c>
      <c r="I12" s="786" t="s">
        <v>1149</v>
      </c>
      <c r="J12" s="794" t="s">
        <v>503</v>
      </c>
      <c r="K12" s="603" t="s">
        <v>446</v>
      </c>
      <c r="L12" s="603" t="s">
        <v>905</v>
      </c>
      <c r="M12" s="604">
        <v>1</v>
      </c>
      <c r="N12" s="602" t="s">
        <v>386</v>
      </c>
      <c r="O12" s="602">
        <v>1</v>
      </c>
      <c r="P12" s="602" t="s">
        <v>342</v>
      </c>
      <c r="Q12" s="602" t="s">
        <v>386</v>
      </c>
      <c r="R12" s="602">
        <v>261</v>
      </c>
      <c r="S12" s="602">
        <v>8</v>
      </c>
      <c r="T12" s="263">
        <f t="shared" si="20"/>
        <v>2088</v>
      </c>
      <c r="U12" s="269">
        <v>81500</v>
      </c>
      <c r="V12" s="270">
        <f t="shared" si="0"/>
        <v>83945</v>
      </c>
      <c r="W12" s="270" t="str">
        <f t="shared" si="21"/>
        <v/>
      </c>
      <c r="X12" s="270">
        <f t="shared" si="22"/>
        <v>83945</v>
      </c>
      <c r="Y12" s="62">
        <v>0</v>
      </c>
      <c r="Z12" s="62">
        <v>0</v>
      </c>
      <c r="AA12" s="256">
        <f t="shared" si="23"/>
        <v>83945</v>
      </c>
      <c r="AB12" s="3"/>
      <c r="AC12" s="62">
        <f t="shared" si="24"/>
        <v>7943.76</v>
      </c>
      <c r="AD12" s="62" t="str">
        <f t="shared" si="25"/>
        <v/>
      </c>
      <c r="AE12" s="62">
        <f t="shared" si="26"/>
        <v>24553.912499999999</v>
      </c>
      <c r="AF12" s="62">
        <f t="shared" si="27"/>
        <v>1217.2025000000001</v>
      </c>
      <c r="AG12" s="192">
        <v>0</v>
      </c>
      <c r="AH12" s="62">
        <f t="shared" si="28"/>
        <v>764.09560449476726</v>
      </c>
      <c r="AI12" s="62">
        <f t="shared" si="29"/>
        <v>247.23470568282332</v>
      </c>
      <c r="AJ12" s="62"/>
      <c r="AK12" s="62">
        <v>0</v>
      </c>
      <c r="AL12" s="256">
        <f t="shared" si="30"/>
        <v>34726.205310177589</v>
      </c>
      <c r="AM12" s="256">
        <f t="shared" si="31"/>
        <v>83945</v>
      </c>
      <c r="AN12" s="256">
        <f t="shared" si="32"/>
        <v>118671.20531017758</v>
      </c>
    </row>
    <row r="13" spans="1:16152" x14ac:dyDescent="0.2">
      <c r="A13" s="602" t="s">
        <v>386</v>
      </c>
      <c r="B13" s="788" t="s">
        <v>386</v>
      </c>
      <c r="C13" s="788" t="s">
        <v>386</v>
      </c>
      <c r="D13" s="788"/>
      <c r="E13" s="788" t="s">
        <v>386</v>
      </c>
      <c r="F13" s="788" t="s">
        <v>386</v>
      </c>
      <c r="G13" s="788" t="s">
        <v>386</v>
      </c>
      <c r="H13" s="788"/>
      <c r="I13" s="603" t="s">
        <v>386</v>
      </c>
      <c r="J13" s="603" t="s">
        <v>386</v>
      </c>
      <c r="K13" s="603" t="s">
        <v>386</v>
      </c>
      <c r="L13" s="603" t="s">
        <v>386</v>
      </c>
      <c r="M13" s="604" t="s">
        <v>386</v>
      </c>
      <c r="N13" s="602" t="s">
        <v>386</v>
      </c>
      <c r="O13" s="602" t="s">
        <v>386</v>
      </c>
      <c r="P13" s="602" t="s">
        <v>386</v>
      </c>
      <c r="Q13" s="602" t="s">
        <v>386</v>
      </c>
      <c r="R13" s="602" t="s">
        <v>386</v>
      </c>
      <c r="S13" s="602" t="s">
        <v>386</v>
      </c>
      <c r="T13" s="263" t="str">
        <f t="shared" si="20"/>
        <v/>
      </c>
      <c r="U13" s="269">
        <v>0</v>
      </c>
      <c r="V13" s="270">
        <f t="shared" si="0"/>
        <v>0</v>
      </c>
      <c r="W13" s="270" t="str">
        <f t="shared" si="21"/>
        <v/>
      </c>
      <c r="X13" s="270" t="str">
        <f t="shared" si="22"/>
        <v/>
      </c>
      <c r="Y13" s="62">
        <v>0</v>
      </c>
      <c r="Z13" s="62">
        <v>0</v>
      </c>
      <c r="AA13" s="256">
        <f t="shared" si="23"/>
        <v>0</v>
      </c>
      <c r="AB13" s="3"/>
      <c r="AC13" s="62" t="str">
        <f t="shared" si="24"/>
        <v/>
      </c>
      <c r="AD13" s="62" t="str">
        <f t="shared" si="25"/>
        <v/>
      </c>
      <c r="AE13" s="62" t="str">
        <f t="shared" si="26"/>
        <v/>
      </c>
      <c r="AF13" s="62" t="str">
        <f t="shared" si="27"/>
        <v/>
      </c>
      <c r="AG13" s="192">
        <v>0</v>
      </c>
      <c r="AH13" s="62" t="str">
        <f t="shared" si="28"/>
        <v/>
      </c>
      <c r="AI13" s="62">
        <f t="shared" si="29"/>
        <v>0</v>
      </c>
      <c r="AJ13" s="62"/>
      <c r="AK13" s="62">
        <v>0</v>
      </c>
      <c r="AL13" s="256">
        <f t="shared" si="30"/>
        <v>0</v>
      </c>
      <c r="AM13" s="256">
        <f t="shared" si="31"/>
        <v>0</v>
      </c>
      <c r="AN13" s="256">
        <f t="shared" si="32"/>
        <v>0</v>
      </c>
    </row>
    <row r="14" spans="1:16152" x14ac:dyDescent="0.2">
      <c r="A14" s="602" t="s">
        <v>386</v>
      </c>
      <c r="B14" s="788">
        <v>100</v>
      </c>
      <c r="C14" s="788" t="s">
        <v>145</v>
      </c>
      <c r="D14" s="788"/>
      <c r="E14" s="788">
        <v>100</v>
      </c>
      <c r="F14" s="788">
        <v>1000</v>
      </c>
      <c r="G14" s="788" t="s">
        <v>161</v>
      </c>
      <c r="H14" s="788"/>
      <c r="I14" s="603" t="s">
        <v>961</v>
      </c>
      <c r="J14" s="603" t="s">
        <v>975</v>
      </c>
      <c r="K14" s="603" t="s">
        <v>389</v>
      </c>
      <c r="L14" s="603" t="s">
        <v>498</v>
      </c>
      <c r="M14" s="604">
        <v>1</v>
      </c>
      <c r="N14" s="602" t="s">
        <v>93</v>
      </c>
      <c r="O14" s="602">
        <v>1</v>
      </c>
      <c r="P14" s="602" t="s">
        <v>390</v>
      </c>
      <c r="Q14" s="602" t="s">
        <v>386</v>
      </c>
      <c r="R14" s="602">
        <v>200</v>
      </c>
      <c r="S14" s="602">
        <v>8</v>
      </c>
      <c r="T14" s="263">
        <f t="shared" si="20"/>
        <v>1600</v>
      </c>
      <c r="U14" s="269">
        <v>44380</v>
      </c>
      <c r="V14" s="270">
        <f t="shared" si="0"/>
        <v>45711.4</v>
      </c>
      <c r="W14" s="270">
        <f t="shared" si="21"/>
        <v>52732.031080400004</v>
      </c>
      <c r="X14" s="270">
        <f t="shared" si="22"/>
        <v>52732.031080400004</v>
      </c>
      <c r="Y14" s="62">
        <v>0</v>
      </c>
      <c r="Z14" s="62">
        <v>0</v>
      </c>
      <c r="AA14" s="256">
        <f t="shared" si="23"/>
        <v>52732.031080400004</v>
      </c>
      <c r="AB14" s="3"/>
      <c r="AC14" s="62">
        <f t="shared" si="24"/>
        <v>7943.76</v>
      </c>
      <c r="AD14" s="62" t="str">
        <f t="shared" si="25"/>
        <v/>
      </c>
      <c r="AE14" s="62">
        <f t="shared" si="26"/>
        <v>8041.6347397610007</v>
      </c>
      <c r="AF14" s="62">
        <f t="shared" si="27"/>
        <v>764.61445066580006</v>
      </c>
      <c r="AG14" s="192">
        <v>0</v>
      </c>
      <c r="AH14" s="62">
        <f t="shared" si="28"/>
        <v>479.98467049395549</v>
      </c>
      <c r="AI14" s="62">
        <f t="shared" si="29"/>
        <v>155.30630989600556</v>
      </c>
      <c r="AJ14" s="62"/>
      <c r="AK14" s="62">
        <v>0</v>
      </c>
      <c r="AL14" s="256">
        <f t="shared" si="30"/>
        <v>17385.300170816761</v>
      </c>
      <c r="AM14" s="256">
        <f t="shared" si="31"/>
        <v>52732.031080400004</v>
      </c>
      <c r="AN14" s="256">
        <f t="shared" si="32"/>
        <v>70117.331251216761</v>
      </c>
    </row>
    <row r="15" spans="1:16152" x14ac:dyDescent="0.2">
      <c r="A15" s="602" t="s">
        <v>386</v>
      </c>
      <c r="B15" s="788">
        <v>100</v>
      </c>
      <c r="C15" s="788" t="s">
        <v>145</v>
      </c>
      <c r="D15" s="788"/>
      <c r="E15" s="788">
        <v>100</v>
      </c>
      <c r="F15" s="788">
        <v>1000</v>
      </c>
      <c r="G15" s="788" t="s">
        <v>161</v>
      </c>
      <c r="H15" s="788"/>
      <c r="I15" s="603" t="s">
        <v>1064</v>
      </c>
      <c r="J15" s="603" t="s">
        <v>1065</v>
      </c>
      <c r="K15" s="603" t="s">
        <v>389</v>
      </c>
      <c r="L15" s="603" t="s">
        <v>498</v>
      </c>
      <c r="M15" s="604">
        <v>1</v>
      </c>
      <c r="N15" s="602" t="s">
        <v>386</v>
      </c>
      <c r="O15" s="602">
        <v>26</v>
      </c>
      <c r="P15" s="602" t="s">
        <v>342</v>
      </c>
      <c r="Q15" s="602" t="s">
        <v>386</v>
      </c>
      <c r="R15" s="602">
        <v>200</v>
      </c>
      <c r="S15" s="602">
        <v>8</v>
      </c>
      <c r="T15" s="263">
        <f t="shared" si="20"/>
        <v>1600</v>
      </c>
      <c r="U15" s="269">
        <v>55000</v>
      </c>
      <c r="V15" s="270">
        <f t="shared" si="0"/>
        <v>56650</v>
      </c>
      <c r="W15" s="270" t="str">
        <f t="shared" si="21"/>
        <v/>
      </c>
      <c r="X15" s="270">
        <f t="shared" si="22"/>
        <v>56650</v>
      </c>
      <c r="Y15" s="62">
        <v>0</v>
      </c>
      <c r="Z15" s="62">
        <v>0</v>
      </c>
      <c r="AA15" s="256">
        <f t="shared" si="23"/>
        <v>56650</v>
      </c>
      <c r="AB15" s="3"/>
      <c r="AC15" s="62">
        <f t="shared" si="24"/>
        <v>7943.76</v>
      </c>
      <c r="AD15" s="62" t="str">
        <f t="shared" si="25"/>
        <v/>
      </c>
      <c r="AE15" s="62">
        <f t="shared" si="26"/>
        <v>16570.125</v>
      </c>
      <c r="AF15" s="62">
        <f t="shared" si="27"/>
        <v>821.42500000000007</v>
      </c>
      <c r="AG15" s="192">
        <v>0</v>
      </c>
      <c r="AH15" s="62">
        <f t="shared" si="28"/>
        <v>515.64734045659134</v>
      </c>
      <c r="AI15" s="62">
        <f t="shared" si="29"/>
        <v>166.84550690251882</v>
      </c>
      <c r="AJ15" s="62"/>
      <c r="AK15" s="62">
        <v>0</v>
      </c>
      <c r="AL15" s="256">
        <f t="shared" si="30"/>
        <v>26017.802847359111</v>
      </c>
      <c r="AM15" s="256">
        <f t="shared" si="31"/>
        <v>56650</v>
      </c>
      <c r="AN15" s="256">
        <f t="shared" si="32"/>
        <v>82667.802847359111</v>
      </c>
    </row>
    <row r="16" spans="1:16152" x14ac:dyDescent="0.2">
      <c r="A16" s="602" t="s">
        <v>386</v>
      </c>
      <c r="B16" s="788">
        <v>100</v>
      </c>
      <c r="C16" s="788" t="s">
        <v>145</v>
      </c>
      <c r="D16" s="788"/>
      <c r="E16" s="788">
        <v>100</v>
      </c>
      <c r="F16" s="788">
        <v>1000</v>
      </c>
      <c r="G16" s="788" t="s">
        <v>161</v>
      </c>
      <c r="H16" s="788"/>
      <c r="I16" s="603" t="s">
        <v>1066</v>
      </c>
      <c r="J16" s="603" t="s">
        <v>1067</v>
      </c>
      <c r="K16" s="603" t="s">
        <v>389</v>
      </c>
      <c r="L16" s="603" t="s">
        <v>498</v>
      </c>
      <c r="M16" s="604">
        <v>1</v>
      </c>
      <c r="N16" s="602" t="s">
        <v>386</v>
      </c>
      <c r="O16" s="602">
        <v>26</v>
      </c>
      <c r="P16" s="602" t="s">
        <v>342</v>
      </c>
      <c r="Q16" s="602" t="s">
        <v>386</v>
      </c>
      <c r="R16" s="602">
        <v>200</v>
      </c>
      <c r="S16" s="602">
        <v>8</v>
      </c>
      <c r="T16" s="263">
        <f t="shared" si="20"/>
        <v>1600</v>
      </c>
      <c r="U16" s="269">
        <v>55000</v>
      </c>
      <c r="V16" s="270">
        <f t="shared" si="0"/>
        <v>56650</v>
      </c>
      <c r="W16" s="270" t="str">
        <f t="shared" si="21"/>
        <v/>
      </c>
      <c r="X16" s="270">
        <f t="shared" si="22"/>
        <v>56650</v>
      </c>
      <c r="Y16" s="62">
        <v>0</v>
      </c>
      <c r="Z16" s="62">
        <v>0</v>
      </c>
      <c r="AA16" s="256">
        <f t="shared" si="23"/>
        <v>56650</v>
      </c>
      <c r="AB16" s="3"/>
      <c r="AC16" s="62">
        <f t="shared" si="24"/>
        <v>7943.76</v>
      </c>
      <c r="AD16" s="62" t="str">
        <f t="shared" si="25"/>
        <v/>
      </c>
      <c r="AE16" s="62">
        <f t="shared" si="26"/>
        <v>16570.125</v>
      </c>
      <c r="AF16" s="62">
        <f t="shared" si="27"/>
        <v>821.42500000000007</v>
      </c>
      <c r="AG16" s="192">
        <v>0</v>
      </c>
      <c r="AH16" s="62">
        <f t="shared" si="28"/>
        <v>515.64734045659134</v>
      </c>
      <c r="AI16" s="62">
        <f t="shared" si="29"/>
        <v>166.84550690251882</v>
      </c>
      <c r="AJ16" s="62"/>
      <c r="AK16" s="62">
        <v>0</v>
      </c>
      <c r="AL16" s="256">
        <f t="shared" si="30"/>
        <v>26017.802847359111</v>
      </c>
      <c r="AM16" s="256">
        <f t="shared" si="31"/>
        <v>56650</v>
      </c>
      <c r="AN16" s="256">
        <f t="shared" si="32"/>
        <v>82667.802847359111</v>
      </c>
    </row>
    <row r="17" spans="1:40" x14ac:dyDescent="0.2">
      <c r="A17" s="602" t="s">
        <v>386</v>
      </c>
      <c r="B17" s="788" t="s">
        <v>468</v>
      </c>
      <c r="C17" s="788" t="s">
        <v>145</v>
      </c>
      <c r="D17" s="788"/>
      <c r="E17" s="788" t="s">
        <v>468</v>
      </c>
      <c r="F17" s="788">
        <v>1000</v>
      </c>
      <c r="G17" s="788" t="s">
        <v>161</v>
      </c>
      <c r="H17" s="788"/>
      <c r="I17" s="603" t="s">
        <v>963</v>
      </c>
      <c r="J17" s="603" t="s">
        <v>978</v>
      </c>
      <c r="K17" s="603" t="s">
        <v>393</v>
      </c>
      <c r="L17" s="603" t="s">
        <v>498</v>
      </c>
      <c r="M17" s="604">
        <v>1</v>
      </c>
      <c r="N17" s="602" t="s">
        <v>356</v>
      </c>
      <c r="O17" s="602">
        <v>26</v>
      </c>
      <c r="P17" s="602" t="s">
        <v>390</v>
      </c>
      <c r="Q17" s="602" t="s">
        <v>386</v>
      </c>
      <c r="R17" s="602">
        <v>200</v>
      </c>
      <c r="S17" s="602">
        <v>8</v>
      </c>
      <c r="T17" s="263">
        <f t="shared" si="20"/>
        <v>1600</v>
      </c>
      <c r="U17" s="269">
        <v>40725</v>
      </c>
      <c r="V17" s="270">
        <f t="shared" si="0"/>
        <v>41946.75</v>
      </c>
      <c r="W17" s="270">
        <f t="shared" si="21"/>
        <v>48389.183545499996</v>
      </c>
      <c r="X17" s="270">
        <f t="shared" si="22"/>
        <v>48389.183545499996</v>
      </c>
      <c r="Y17" s="62">
        <v>0</v>
      </c>
      <c r="Z17" s="62">
        <v>0</v>
      </c>
      <c r="AA17" s="256">
        <f t="shared" si="23"/>
        <v>48389.183545499996</v>
      </c>
      <c r="AB17" s="3"/>
      <c r="AC17" s="62">
        <f t="shared" si="24"/>
        <v>7943.76</v>
      </c>
      <c r="AD17" s="62" t="str">
        <f t="shared" si="25"/>
        <v/>
      </c>
      <c r="AE17" s="62">
        <f t="shared" si="26"/>
        <v>7379.3504906887492</v>
      </c>
      <c r="AF17" s="62">
        <f t="shared" si="27"/>
        <v>701.64316140974995</v>
      </c>
      <c r="AG17" s="192">
        <v>0</v>
      </c>
      <c r="AH17" s="62">
        <f t="shared" si="28"/>
        <v>440.45461257021935</v>
      </c>
      <c r="AI17" s="62">
        <f t="shared" si="29"/>
        <v>142.51576093994649</v>
      </c>
      <c r="AJ17" s="62"/>
      <c r="AK17" s="62">
        <v>0</v>
      </c>
      <c r="AL17" s="256">
        <f t="shared" si="30"/>
        <v>16607.724025608662</v>
      </c>
      <c r="AM17" s="256">
        <f t="shared" si="31"/>
        <v>48389.183545499996</v>
      </c>
      <c r="AN17" s="256">
        <f t="shared" si="32"/>
        <v>64996.907571108663</v>
      </c>
    </row>
    <row r="18" spans="1:40" x14ac:dyDescent="0.2">
      <c r="A18" s="602" t="s">
        <v>386</v>
      </c>
      <c r="B18" s="788">
        <v>100</v>
      </c>
      <c r="C18" s="788" t="s">
        <v>145</v>
      </c>
      <c r="D18" s="788"/>
      <c r="E18" s="788">
        <v>100</v>
      </c>
      <c r="F18" s="788">
        <v>1000</v>
      </c>
      <c r="G18" s="788" t="s">
        <v>161</v>
      </c>
      <c r="H18" s="788"/>
      <c r="I18" s="603" t="s">
        <v>1073</v>
      </c>
      <c r="J18" s="603" t="s">
        <v>1074</v>
      </c>
      <c r="K18" s="603" t="s">
        <v>389</v>
      </c>
      <c r="L18" s="603" t="s">
        <v>498</v>
      </c>
      <c r="M18" s="604">
        <v>1</v>
      </c>
      <c r="N18" s="602" t="s">
        <v>386</v>
      </c>
      <c r="O18" s="602">
        <v>26</v>
      </c>
      <c r="P18" s="602" t="s">
        <v>342</v>
      </c>
      <c r="Q18" s="602" t="s">
        <v>386</v>
      </c>
      <c r="R18" s="602">
        <v>200</v>
      </c>
      <c r="S18" s="602">
        <v>8</v>
      </c>
      <c r="T18" s="263">
        <f t="shared" si="20"/>
        <v>1600</v>
      </c>
      <c r="U18" s="269">
        <v>55000</v>
      </c>
      <c r="V18" s="270">
        <f t="shared" si="0"/>
        <v>56650</v>
      </c>
      <c r="W18" s="270" t="str">
        <f t="shared" si="21"/>
        <v/>
      </c>
      <c r="X18" s="270">
        <f t="shared" si="22"/>
        <v>56650</v>
      </c>
      <c r="Y18" s="62">
        <v>0</v>
      </c>
      <c r="Z18" s="62">
        <v>0</v>
      </c>
      <c r="AA18" s="256">
        <f t="shared" si="23"/>
        <v>56650</v>
      </c>
      <c r="AB18" s="3"/>
      <c r="AC18" s="62">
        <f t="shared" si="24"/>
        <v>7943.76</v>
      </c>
      <c r="AD18" s="62" t="str">
        <f t="shared" si="25"/>
        <v/>
      </c>
      <c r="AE18" s="62">
        <f t="shared" si="26"/>
        <v>16570.125</v>
      </c>
      <c r="AF18" s="62">
        <f t="shared" si="27"/>
        <v>821.42500000000007</v>
      </c>
      <c r="AG18" s="192">
        <v>0</v>
      </c>
      <c r="AH18" s="62">
        <f t="shared" si="28"/>
        <v>515.64734045659134</v>
      </c>
      <c r="AI18" s="62">
        <f t="shared" si="29"/>
        <v>166.84550690251882</v>
      </c>
      <c r="AJ18" s="62"/>
      <c r="AK18" s="62">
        <v>0</v>
      </c>
      <c r="AL18" s="256">
        <f t="shared" si="30"/>
        <v>26017.802847359111</v>
      </c>
      <c r="AM18" s="256">
        <f t="shared" si="31"/>
        <v>56650</v>
      </c>
      <c r="AN18" s="256">
        <f t="shared" si="32"/>
        <v>82667.802847359111</v>
      </c>
    </row>
    <row r="19" spans="1:40" x14ac:dyDescent="0.2">
      <c r="A19" s="602" t="s">
        <v>386</v>
      </c>
      <c r="B19" s="788">
        <v>100</v>
      </c>
      <c r="C19" s="788" t="s">
        <v>145</v>
      </c>
      <c r="D19" s="788"/>
      <c r="E19" s="788">
        <v>100</v>
      </c>
      <c r="F19" s="788">
        <v>1000</v>
      </c>
      <c r="G19" s="788" t="s">
        <v>161</v>
      </c>
      <c r="H19" s="788"/>
      <c r="I19" s="603" t="s">
        <v>972</v>
      </c>
      <c r="J19" s="603" t="s">
        <v>987</v>
      </c>
      <c r="K19" s="603" t="s">
        <v>389</v>
      </c>
      <c r="L19" s="603" t="s">
        <v>498</v>
      </c>
      <c r="M19" s="604">
        <v>1</v>
      </c>
      <c r="N19" s="602" t="s">
        <v>386</v>
      </c>
      <c r="O19" s="602">
        <v>26</v>
      </c>
      <c r="P19" s="602" t="s">
        <v>342</v>
      </c>
      <c r="Q19" s="602" t="s">
        <v>386</v>
      </c>
      <c r="R19" s="602">
        <v>200</v>
      </c>
      <c r="S19" s="602">
        <v>8</v>
      </c>
      <c r="T19" s="263">
        <f t="shared" si="20"/>
        <v>1600</v>
      </c>
      <c r="U19" s="269">
        <v>52840</v>
      </c>
      <c r="V19" s="270">
        <f t="shared" si="0"/>
        <v>54425.200000000004</v>
      </c>
      <c r="W19" s="270" t="str">
        <f t="shared" si="21"/>
        <v/>
      </c>
      <c r="X19" s="270">
        <f t="shared" si="22"/>
        <v>54425.200000000004</v>
      </c>
      <c r="Y19" s="62">
        <v>0</v>
      </c>
      <c r="Z19" s="62">
        <v>0</v>
      </c>
      <c r="AA19" s="256">
        <f t="shared" si="23"/>
        <v>54425.200000000004</v>
      </c>
      <c r="AB19" s="3"/>
      <c r="AC19" s="62">
        <f t="shared" si="24"/>
        <v>7943.76</v>
      </c>
      <c r="AD19" s="62" t="str">
        <f t="shared" si="25"/>
        <v/>
      </c>
      <c r="AE19" s="62">
        <f t="shared" si="26"/>
        <v>15919.371000000001</v>
      </c>
      <c r="AF19" s="62">
        <f t="shared" si="27"/>
        <v>789.16540000000009</v>
      </c>
      <c r="AG19" s="192">
        <v>0</v>
      </c>
      <c r="AH19" s="62">
        <f t="shared" si="28"/>
        <v>495.39646308593257</v>
      </c>
      <c r="AI19" s="62">
        <f t="shared" si="29"/>
        <v>160.29302881325626</v>
      </c>
      <c r="AJ19" s="62"/>
      <c r="AK19" s="62">
        <v>0</v>
      </c>
      <c r="AL19" s="256">
        <f t="shared" si="30"/>
        <v>25307.985891899192</v>
      </c>
      <c r="AM19" s="256">
        <f t="shared" si="31"/>
        <v>54425.200000000004</v>
      </c>
      <c r="AN19" s="256">
        <f t="shared" si="32"/>
        <v>79733.185891899193</v>
      </c>
    </row>
    <row r="20" spans="1:40" x14ac:dyDescent="0.2">
      <c r="A20" s="786" t="s">
        <v>1149</v>
      </c>
      <c r="B20" s="792">
        <v>100</v>
      </c>
      <c r="C20" s="792" t="s">
        <v>145</v>
      </c>
      <c r="D20" s="792"/>
      <c r="E20" s="792">
        <v>100</v>
      </c>
      <c r="F20" s="792">
        <v>1000</v>
      </c>
      <c r="G20" s="792" t="s">
        <v>161</v>
      </c>
      <c r="H20" s="792"/>
      <c r="I20" s="794" t="s">
        <v>1149</v>
      </c>
      <c r="J20" s="794" t="s">
        <v>561</v>
      </c>
      <c r="K20" s="603" t="s">
        <v>389</v>
      </c>
      <c r="L20" s="603" t="s">
        <v>1150</v>
      </c>
      <c r="M20" s="604">
        <v>1</v>
      </c>
      <c r="N20" s="602" t="s">
        <v>386</v>
      </c>
      <c r="O20" s="602">
        <v>26</v>
      </c>
      <c r="P20" s="602" t="s">
        <v>342</v>
      </c>
      <c r="Q20" s="602" t="s">
        <v>386</v>
      </c>
      <c r="R20" s="602">
        <v>200</v>
      </c>
      <c r="S20" s="602">
        <v>8</v>
      </c>
      <c r="T20" s="263">
        <f t="shared" ref="T20" si="33">+IF(R20="","",R20*S20)</f>
        <v>1600</v>
      </c>
      <c r="U20" s="269">
        <v>45500</v>
      </c>
      <c r="V20" s="270">
        <f t="shared" si="0"/>
        <v>46865</v>
      </c>
      <c r="W20" s="270" t="str">
        <f t="shared" ref="W20" si="34">+IF(P20="EE",+V20*$W$1,"")</f>
        <v/>
      </c>
      <c r="X20" s="270">
        <f t="shared" ref="X20" si="35">_xlfn.IFS(P20="ER",V20,P20="EE",W20,P20="N",V20,P20="","")</f>
        <v>46865</v>
      </c>
      <c r="Y20" s="62">
        <v>0</v>
      </c>
      <c r="Z20" s="62">
        <v>0</v>
      </c>
      <c r="AA20" s="256">
        <f t="shared" si="23"/>
        <v>46865</v>
      </c>
      <c r="AB20" s="3"/>
      <c r="AC20" s="62">
        <f t="shared" si="24"/>
        <v>7943.76</v>
      </c>
      <c r="AD20" s="62" t="str">
        <f t="shared" si="25"/>
        <v/>
      </c>
      <c r="AE20" s="62">
        <f t="shared" si="26"/>
        <v>13708.012499999999</v>
      </c>
      <c r="AF20" s="62">
        <f t="shared" si="27"/>
        <v>679.54250000000002</v>
      </c>
      <c r="AG20" s="192">
        <v>0</v>
      </c>
      <c r="AH20" s="62">
        <f t="shared" si="28"/>
        <v>426.58098165045288</v>
      </c>
      <c r="AI20" s="62">
        <f t="shared" si="29"/>
        <v>138.02673752844737</v>
      </c>
      <c r="AJ20" s="62"/>
      <c r="AK20" s="62">
        <v>0</v>
      </c>
      <c r="AL20" s="256">
        <f t="shared" si="30"/>
        <v>22895.922719178896</v>
      </c>
      <c r="AM20" s="256">
        <f t="shared" si="31"/>
        <v>46865</v>
      </c>
      <c r="AN20" s="256">
        <f t="shared" si="32"/>
        <v>69760.922719178896</v>
      </c>
    </row>
    <row r="21" spans="1:40" x14ac:dyDescent="0.2">
      <c r="A21" s="602" t="s">
        <v>386</v>
      </c>
      <c r="B21" s="788" t="s">
        <v>386</v>
      </c>
      <c r="C21" s="788" t="s">
        <v>386</v>
      </c>
      <c r="D21" s="788"/>
      <c r="E21" s="788" t="s">
        <v>386</v>
      </c>
      <c r="F21" s="788" t="s">
        <v>386</v>
      </c>
      <c r="G21" s="788" t="s">
        <v>386</v>
      </c>
      <c r="H21" s="788"/>
      <c r="I21" s="603" t="s">
        <v>386</v>
      </c>
      <c r="J21" s="603" t="s">
        <v>386</v>
      </c>
      <c r="K21" s="603" t="s">
        <v>386</v>
      </c>
      <c r="L21" s="603" t="s">
        <v>386</v>
      </c>
      <c r="M21" s="604" t="s">
        <v>386</v>
      </c>
      <c r="N21" s="602" t="s">
        <v>386</v>
      </c>
      <c r="O21" s="602" t="s">
        <v>386</v>
      </c>
      <c r="P21" s="602" t="s">
        <v>386</v>
      </c>
      <c r="Q21" s="602" t="s">
        <v>386</v>
      </c>
      <c r="R21" s="602" t="s">
        <v>386</v>
      </c>
      <c r="S21" s="602" t="s">
        <v>386</v>
      </c>
      <c r="T21" s="263" t="str">
        <f t="shared" ref="T21:T28" si="36">+IF(R21="","",R21*S21)</f>
        <v/>
      </c>
      <c r="U21" s="269">
        <v>45000</v>
      </c>
      <c r="V21" s="270">
        <f t="shared" si="0"/>
        <v>46350</v>
      </c>
      <c r="W21" s="270" t="str">
        <f t="shared" ref="W21:W28" si="37">+IF(P21="EE",+V21*$W$1,"")</f>
        <v/>
      </c>
      <c r="X21" s="270" t="str">
        <f t="shared" ref="X21:X28" si="38">_xlfn.IFS(P21="ER",V21,P21="EE",W21,P21="N",V21,P21="","")</f>
        <v/>
      </c>
      <c r="Y21" s="62">
        <v>0</v>
      </c>
      <c r="Z21" s="62">
        <v>0</v>
      </c>
      <c r="AA21" s="256">
        <f t="shared" si="23"/>
        <v>0</v>
      </c>
      <c r="AB21" s="3"/>
      <c r="AC21" s="62" t="str">
        <f t="shared" si="24"/>
        <v/>
      </c>
      <c r="AD21" s="62" t="str">
        <f t="shared" si="25"/>
        <v/>
      </c>
      <c r="AE21" s="62" t="str">
        <f t="shared" si="26"/>
        <v/>
      </c>
      <c r="AF21" s="62" t="str">
        <f t="shared" si="27"/>
        <v/>
      </c>
      <c r="AG21" s="192">
        <v>0</v>
      </c>
      <c r="AH21" s="62" t="str">
        <f t="shared" si="28"/>
        <v/>
      </c>
      <c r="AI21" s="62">
        <f t="shared" si="29"/>
        <v>0</v>
      </c>
      <c r="AJ21" s="62"/>
      <c r="AK21" s="62">
        <v>0</v>
      </c>
      <c r="AL21" s="256">
        <f t="shared" si="30"/>
        <v>0</v>
      </c>
      <c r="AM21" s="256">
        <f t="shared" si="31"/>
        <v>0</v>
      </c>
      <c r="AN21" s="256">
        <f t="shared" si="32"/>
        <v>0</v>
      </c>
    </row>
    <row r="22" spans="1:40" x14ac:dyDescent="0.2">
      <c r="A22" s="602" t="s">
        <v>386</v>
      </c>
      <c r="B22" s="788">
        <v>250</v>
      </c>
      <c r="C22" s="788" t="s">
        <v>145</v>
      </c>
      <c r="D22" s="788"/>
      <c r="E22" s="934">
        <v>200</v>
      </c>
      <c r="F22" s="934">
        <v>1000</v>
      </c>
      <c r="G22" s="934" t="s">
        <v>161</v>
      </c>
      <c r="H22" s="934"/>
      <c r="I22" s="603" t="s">
        <v>1068</v>
      </c>
      <c r="J22" s="603" t="s">
        <v>1069</v>
      </c>
      <c r="K22" s="603" t="s">
        <v>389</v>
      </c>
      <c r="L22" s="603" t="s">
        <v>495</v>
      </c>
      <c r="M22" s="604">
        <v>1</v>
      </c>
      <c r="N22" s="602" t="s">
        <v>386</v>
      </c>
      <c r="O22" s="602">
        <v>26</v>
      </c>
      <c r="P22" s="602" t="s">
        <v>342</v>
      </c>
      <c r="Q22" s="602" t="s">
        <v>386</v>
      </c>
      <c r="R22" s="602">
        <v>200</v>
      </c>
      <c r="S22" s="602">
        <v>8</v>
      </c>
      <c r="T22" s="263">
        <f t="shared" si="36"/>
        <v>1600</v>
      </c>
      <c r="U22" s="269">
        <v>55000</v>
      </c>
      <c r="V22" s="270">
        <f t="shared" si="0"/>
        <v>56650</v>
      </c>
      <c r="W22" s="270" t="str">
        <f t="shared" si="37"/>
        <v/>
      </c>
      <c r="X22" s="270">
        <f t="shared" si="38"/>
        <v>56650</v>
      </c>
      <c r="Y22" s="62">
        <v>0</v>
      </c>
      <c r="Z22" s="62">
        <v>0</v>
      </c>
      <c r="AA22" s="256">
        <f t="shared" si="23"/>
        <v>56650</v>
      </c>
      <c r="AB22" s="3"/>
      <c r="AC22" s="62">
        <f t="shared" si="24"/>
        <v>7943.76</v>
      </c>
      <c r="AD22" s="62" t="str">
        <f t="shared" si="25"/>
        <v/>
      </c>
      <c r="AE22" s="62">
        <f t="shared" si="26"/>
        <v>16570.125</v>
      </c>
      <c r="AF22" s="62">
        <f t="shared" si="27"/>
        <v>821.42500000000007</v>
      </c>
      <c r="AG22" s="192">
        <v>0</v>
      </c>
      <c r="AH22" s="62">
        <f t="shared" si="28"/>
        <v>515.64734045659134</v>
      </c>
      <c r="AI22" s="62">
        <f t="shared" si="29"/>
        <v>166.84550690251882</v>
      </c>
      <c r="AJ22" s="62"/>
      <c r="AK22" s="62">
        <v>0</v>
      </c>
      <c r="AL22" s="256">
        <f t="shared" si="30"/>
        <v>26017.802847359111</v>
      </c>
      <c r="AM22" s="256">
        <f t="shared" si="31"/>
        <v>56650</v>
      </c>
      <c r="AN22" s="256">
        <f t="shared" si="32"/>
        <v>82667.802847359111</v>
      </c>
    </row>
    <row r="23" spans="1:40" x14ac:dyDescent="0.2">
      <c r="A23" s="796"/>
      <c r="B23" s="795">
        <v>250</v>
      </c>
      <c r="C23" s="804" t="s">
        <v>145</v>
      </c>
      <c r="D23" s="795"/>
      <c r="E23" s="936">
        <v>200</v>
      </c>
      <c r="F23" s="936">
        <v>1000</v>
      </c>
      <c r="G23" s="936" t="s">
        <v>161</v>
      </c>
      <c r="H23" s="936" t="s">
        <v>497</v>
      </c>
      <c r="I23" s="796" t="s">
        <v>495</v>
      </c>
      <c r="J23" s="796" t="s">
        <v>503</v>
      </c>
      <c r="K23" s="386" t="s">
        <v>389</v>
      </c>
      <c r="L23" s="386" t="s">
        <v>495</v>
      </c>
      <c r="M23" s="386">
        <v>1</v>
      </c>
      <c r="N23" s="386" t="s">
        <v>386</v>
      </c>
      <c r="O23" s="386"/>
      <c r="P23" s="386" t="s">
        <v>342</v>
      </c>
      <c r="Q23" s="386" t="s">
        <v>386</v>
      </c>
      <c r="R23" s="386" t="s">
        <v>386</v>
      </c>
      <c r="S23" s="386" t="s">
        <v>386</v>
      </c>
      <c r="T23" s="263" t="str">
        <f t="shared" si="36"/>
        <v/>
      </c>
      <c r="U23" s="269">
        <v>45000</v>
      </c>
      <c r="V23" s="270">
        <f t="shared" si="0"/>
        <v>46350</v>
      </c>
      <c r="W23" s="270" t="str">
        <f t="shared" si="37"/>
        <v/>
      </c>
      <c r="X23" s="270">
        <f t="shared" si="38"/>
        <v>46350</v>
      </c>
      <c r="Y23" s="62">
        <v>0</v>
      </c>
      <c r="Z23" s="62">
        <v>0</v>
      </c>
      <c r="AA23" s="256">
        <f t="shared" si="23"/>
        <v>46350</v>
      </c>
      <c r="AB23" s="3"/>
      <c r="AC23" s="62">
        <f t="shared" si="24"/>
        <v>7943.76</v>
      </c>
      <c r="AD23" s="62" t="str">
        <f t="shared" si="25"/>
        <v/>
      </c>
      <c r="AE23" s="62">
        <f t="shared" si="26"/>
        <v>13557.375</v>
      </c>
      <c r="AF23" s="62">
        <f t="shared" si="27"/>
        <v>672.07500000000005</v>
      </c>
      <c r="AG23" s="192">
        <v>0</v>
      </c>
      <c r="AH23" s="62">
        <f t="shared" si="28"/>
        <v>421.89327855539295</v>
      </c>
      <c r="AI23" s="62">
        <f t="shared" si="29"/>
        <v>136.50996019296994</v>
      </c>
      <c r="AJ23" s="62"/>
      <c r="AK23" s="62">
        <v>0</v>
      </c>
      <c r="AL23" s="256">
        <f t="shared" si="30"/>
        <v>22731.613238748363</v>
      </c>
      <c r="AM23" s="256">
        <f t="shared" si="31"/>
        <v>46350</v>
      </c>
      <c r="AN23" s="256">
        <f t="shared" si="32"/>
        <v>69081.613238748367</v>
      </c>
    </row>
    <row r="24" spans="1:40" x14ac:dyDescent="0.2">
      <c r="A24" s="602" t="s">
        <v>999</v>
      </c>
      <c r="B24" s="788" t="s">
        <v>135</v>
      </c>
      <c r="C24" s="791" t="s">
        <v>247</v>
      </c>
      <c r="D24" s="788"/>
      <c r="E24" s="934">
        <v>200</v>
      </c>
      <c r="F24" s="934">
        <v>1000</v>
      </c>
      <c r="G24" s="934" t="s">
        <v>161</v>
      </c>
      <c r="H24" s="788"/>
      <c r="I24" s="603" t="s">
        <v>966</v>
      </c>
      <c r="J24" s="603" t="s">
        <v>981</v>
      </c>
      <c r="K24" s="603" t="s">
        <v>389</v>
      </c>
      <c r="L24" s="603" t="s">
        <v>495</v>
      </c>
      <c r="M24" s="604">
        <v>1</v>
      </c>
      <c r="N24" s="602" t="s">
        <v>386</v>
      </c>
      <c r="O24" s="602">
        <v>26</v>
      </c>
      <c r="P24" s="602" t="s">
        <v>342</v>
      </c>
      <c r="Q24" s="602" t="s">
        <v>386</v>
      </c>
      <c r="R24" s="602">
        <v>200</v>
      </c>
      <c r="S24" s="602">
        <v>8</v>
      </c>
      <c r="T24" s="263">
        <f t="shared" si="36"/>
        <v>1600</v>
      </c>
      <c r="U24" s="269">
        <v>49792</v>
      </c>
      <c r="V24" s="270">
        <f t="shared" si="0"/>
        <v>51285.760000000002</v>
      </c>
      <c r="W24" s="270" t="str">
        <f t="shared" si="37"/>
        <v/>
      </c>
      <c r="X24" s="270">
        <f t="shared" si="38"/>
        <v>51285.760000000002</v>
      </c>
      <c r="Y24" s="62">
        <v>0</v>
      </c>
      <c r="Z24" s="62">
        <v>0</v>
      </c>
      <c r="AA24" s="256">
        <f t="shared" si="23"/>
        <v>51285.760000000002</v>
      </c>
      <c r="AB24" s="3"/>
      <c r="AC24" s="62">
        <f t="shared" si="24"/>
        <v>7943.76</v>
      </c>
      <c r="AD24" s="62" t="str">
        <f t="shared" si="25"/>
        <v/>
      </c>
      <c r="AE24" s="62">
        <f t="shared" si="26"/>
        <v>15001.084800000001</v>
      </c>
      <c r="AF24" s="62">
        <f t="shared" si="27"/>
        <v>743.64352000000008</v>
      </c>
      <c r="AG24" s="192">
        <v>0</v>
      </c>
      <c r="AH24" s="62">
        <f t="shared" si="28"/>
        <v>466.82022501844727</v>
      </c>
      <c r="AI24" s="62">
        <f t="shared" si="29"/>
        <v>151.04675417618577</v>
      </c>
      <c r="AJ24" s="62"/>
      <c r="AK24" s="62">
        <v>0</v>
      </c>
      <c r="AL24" s="256">
        <f t="shared" si="30"/>
        <v>24306.355299194634</v>
      </c>
      <c r="AM24" s="256">
        <f t="shared" si="31"/>
        <v>51285.760000000002</v>
      </c>
      <c r="AN24" s="256">
        <f t="shared" si="32"/>
        <v>75592.115299194644</v>
      </c>
    </row>
    <row r="25" spans="1:40" x14ac:dyDescent="0.2">
      <c r="A25" s="602" t="s">
        <v>999</v>
      </c>
      <c r="B25" s="788" t="s">
        <v>135</v>
      </c>
      <c r="C25" s="791" t="s">
        <v>247</v>
      </c>
      <c r="D25" s="788"/>
      <c r="E25" s="934">
        <v>200</v>
      </c>
      <c r="F25" s="934">
        <v>1000</v>
      </c>
      <c r="G25" s="934" t="s">
        <v>161</v>
      </c>
      <c r="H25" s="788"/>
      <c r="I25" s="603" t="s">
        <v>968</v>
      </c>
      <c r="J25" s="603" t="s">
        <v>427</v>
      </c>
      <c r="K25" s="603" t="s">
        <v>389</v>
      </c>
      <c r="L25" s="603" t="s">
        <v>495</v>
      </c>
      <c r="M25" s="604">
        <v>1</v>
      </c>
      <c r="N25" s="602" t="s">
        <v>386</v>
      </c>
      <c r="O25" s="602">
        <v>26</v>
      </c>
      <c r="P25" s="602" t="s">
        <v>342</v>
      </c>
      <c r="Q25" s="602" t="s">
        <v>386</v>
      </c>
      <c r="R25" s="602">
        <v>200</v>
      </c>
      <c r="S25" s="602">
        <v>8</v>
      </c>
      <c r="T25" s="263">
        <f t="shared" si="36"/>
        <v>1600</v>
      </c>
      <c r="U25" s="269">
        <v>58339</v>
      </c>
      <c r="V25" s="270">
        <f t="shared" si="0"/>
        <v>60089.17</v>
      </c>
      <c r="W25" s="270" t="str">
        <f t="shared" si="37"/>
        <v/>
      </c>
      <c r="X25" s="270">
        <f t="shared" si="38"/>
        <v>60089.17</v>
      </c>
      <c r="Y25" s="62">
        <v>0</v>
      </c>
      <c r="Z25" s="62">
        <v>0</v>
      </c>
      <c r="AA25" s="256">
        <f t="shared" si="23"/>
        <v>60089.17</v>
      </c>
      <c r="AB25" s="3"/>
      <c r="AC25" s="62">
        <f t="shared" si="24"/>
        <v>7943.76</v>
      </c>
      <c r="AD25" s="62" t="str">
        <f t="shared" si="25"/>
        <v/>
      </c>
      <c r="AE25" s="62">
        <f t="shared" si="26"/>
        <v>17576.082224999998</v>
      </c>
      <c r="AF25" s="62">
        <f t="shared" si="27"/>
        <v>871.29296499999998</v>
      </c>
      <c r="AG25" s="192">
        <v>0</v>
      </c>
      <c r="AH25" s="62">
        <f t="shared" si="28"/>
        <v>546.95182172540149</v>
      </c>
      <c r="AI25" s="62">
        <f t="shared" si="29"/>
        <v>176.97454594883718</v>
      </c>
      <c r="AJ25" s="62"/>
      <c r="AK25" s="62">
        <v>0</v>
      </c>
      <c r="AL25" s="256">
        <f t="shared" si="30"/>
        <v>27115.061557674238</v>
      </c>
      <c r="AM25" s="256">
        <f t="shared" si="31"/>
        <v>60089.17</v>
      </c>
      <c r="AN25" s="256">
        <f t="shared" si="32"/>
        <v>87204.23155767424</v>
      </c>
    </row>
    <row r="26" spans="1:40" x14ac:dyDescent="0.2">
      <c r="A26" s="3" t="s">
        <v>386</v>
      </c>
      <c r="B26" s="307" t="s">
        <v>386</v>
      </c>
      <c r="C26" s="307" t="s">
        <v>386</v>
      </c>
      <c r="D26" s="307"/>
      <c r="E26" s="307" t="s">
        <v>386</v>
      </c>
      <c r="F26" s="307" t="s">
        <v>386</v>
      </c>
      <c r="G26" s="307" t="s">
        <v>386</v>
      </c>
      <c r="H26" s="307"/>
      <c r="I26" s="255" t="s">
        <v>386</v>
      </c>
      <c r="J26" s="255" t="s">
        <v>386</v>
      </c>
      <c r="K26" s="255" t="s">
        <v>386</v>
      </c>
      <c r="L26" s="255" t="s">
        <v>386</v>
      </c>
      <c r="M26" s="92" t="s">
        <v>386</v>
      </c>
      <c r="N26" s="3" t="s">
        <v>386</v>
      </c>
      <c r="O26" s="3" t="s">
        <v>386</v>
      </c>
      <c r="P26" s="3" t="s">
        <v>386</v>
      </c>
      <c r="Q26" s="3" t="s">
        <v>386</v>
      </c>
      <c r="R26" s="3" t="s">
        <v>386</v>
      </c>
      <c r="S26" s="3" t="s">
        <v>386</v>
      </c>
      <c r="T26" s="263" t="str">
        <f t="shared" si="36"/>
        <v/>
      </c>
      <c r="U26" s="269" t="s">
        <v>386</v>
      </c>
      <c r="V26" s="270" t="str">
        <f t="shared" si="0"/>
        <v/>
      </c>
      <c r="W26" s="270" t="str">
        <f t="shared" si="37"/>
        <v/>
      </c>
      <c r="X26" s="270" t="str">
        <f t="shared" si="38"/>
        <v/>
      </c>
      <c r="Y26" s="62">
        <v>0</v>
      </c>
      <c r="Z26" s="62">
        <v>0</v>
      </c>
      <c r="AA26" s="256">
        <f t="shared" si="23"/>
        <v>0</v>
      </c>
      <c r="AB26" s="3"/>
      <c r="AC26" s="62" t="str">
        <f t="shared" si="24"/>
        <v/>
      </c>
      <c r="AD26" s="62" t="str">
        <f t="shared" si="25"/>
        <v/>
      </c>
      <c r="AE26" s="62" t="str">
        <f t="shared" si="26"/>
        <v/>
      </c>
      <c r="AF26" s="62" t="str">
        <f t="shared" si="27"/>
        <v/>
      </c>
      <c r="AG26" s="192">
        <v>0</v>
      </c>
      <c r="AH26" s="62" t="str">
        <f t="shared" si="28"/>
        <v/>
      </c>
      <c r="AI26" s="62">
        <f t="shared" si="29"/>
        <v>0</v>
      </c>
      <c r="AJ26" s="62"/>
      <c r="AK26" s="62">
        <v>0</v>
      </c>
      <c r="AL26" s="256">
        <f t="shared" si="30"/>
        <v>0</v>
      </c>
      <c r="AM26" s="256">
        <f t="shared" si="31"/>
        <v>0</v>
      </c>
      <c r="AN26" s="256">
        <f t="shared" si="32"/>
        <v>0</v>
      </c>
    </row>
    <row r="27" spans="1:40" x14ac:dyDescent="0.2">
      <c r="A27" s="786" t="s">
        <v>998</v>
      </c>
      <c r="B27" s="792">
        <v>280</v>
      </c>
      <c r="C27" s="793">
        <v>741</v>
      </c>
      <c r="D27" s="792"/>
      <c r="E27" s="792" t="s">
        <v>468</v>
      </c>
      <c r="F27" s="792" t="s">
        <v>465</v>
      </c>
      <c r="G27" s="790" t="s">
        <v>167</v>
      </c>
      <c r="H27" s="792"/>
      <c r="I27" s="794" t="s">
        <v>1149</v>
      </c>
      <c r="J27" s="794"/>
      <c r="K27" s="603" t="s">
        <v>393</v>
      </c>
      <c r="L27" s="603" t="s">
        <v>985</v>
      </c>
      <c r="M27" s="604">
        <v>1</v>
      </c>
      <c r="N27" s="602" t="s">
        <v>386</v>
      </c>
      <c r="O27" s="602">
        <v>26</v>
      </c>
      <c r="P27" s="602" t="s">
        <v>390</v>
      </c>
      <c r="Q27" s="602" t="s">
        <v>386</v>
      </c>
      <c r="R27" s="602">
        <v>200</v>
      </c>
      <c r="S27" s="602">
        <v>8</v>
      </c>
      <c r="T27" s="263">
        <f t="shared" si="36"/>
        <v>1600</v>
      </c>
      <c r="U27" s="269">
        <v>39919</v>
      </c>
      <c r="V27" s="270">
        <f t="shared" si="0"/>
        <v>41116.57</v>
      </c>
      <c r="W27" s="270">
        <f t="shared" si="37"/>
        <v>47431.499520019999</v>
      </c>
      <c r="X27" s="270">
        <f t="shared" si="38"/>
        <v>47431.499520019999</v>
      </c>
      <c r="Y27" s="62">
        <v>0</v>
      </c>
      <c r="Z27" s="62">
        <v>0</v>
      </c>
      <c r="AA27" s="256">
        <f t="shared" si="23"/>
        <v>47431.499520019999</v>
      </c>
      <c r="AB27" s="3"/>
      <c r="AC27" s="62">
        <f t="shared" si="24"/>
        <v>7943.76</v>
      </c>
      <c r="AD27" s="62" t="str">
        <f t="shared" si="25"/>
        <v/>
      </c>
      <c r="AE27" s="62">
        <f t="shared" si="26"/>
        <v>7233.3036768030497</v>
      </c>
      <c r="AF27" s="62">
        <f t="shared" si="27"/>
        <v>687.75674304029008</v>
      </c>
      <c r="AG27" s="192">
        <v>0</v>
      </c>
      <c r="AH27" s="62">
        <f t="shared" si="28"/>
        <v>431.73745068607951</v>
      </c>
      <c r="AI27" s="62">
        <f t="shared" si="29"/>
        <v>139.69519118383607</v>
      </c>
      <c r="AJ27" s="62"/>
      <c r="AK27" s="62">
        <v>0</v>
      </c>
      <c r="AL27" s="256">
        <f t="shared" si="30"/>
        <v>16436.253061713254</v>
      </c>
      <c r="AM27" s="256">
        <f t="shared" si="31"/>
        <v>47431.499520019999</v>
      </c>
      <c r="AN27" s="256">
        <f t="shared" si="32"/>
        <v>63867.75258173325</v>
      </c>
    </row>
    <row r="28" spans="1:40" x14ac:dyDescent="0.2">
      <c r="A28" s="3" t="s">
        <v>386</v>
      </c>
      <c r="B28" s="307" t="s">
        <v>386</v>
      </c>
      <c r="C28" s="307" t="s">
        <v>386</v>
      </c>
      <c r="D28" s="307"/>
      <c r="E28" s="307" t="s">
        <v>386</v>
      </c>
      <c r="F28" s="307" t="s">
        <v>386</v>
      </c>
      <c r="G28" s="307" t="s">
        <v>386</v>
      </c>
      <c r="H28" s="307"/>
      <c r="I28" s="255" t="s">
        <v>386</v>
      </c>
      <c r="J28" s="255" t="s">
        <v>386</v>
      </c>
      <c r="K28" s="255" t="s">
        <v>386</v>
      </c>
      <c r="L28" s="255" t="s">
        <v>386</v>
      </c>
      <c r="M28" s="92" t="s">
        <v>386</v>
      </c>
      <c r="N28" s="3" t="s">
        <v>386</v>
      </c>
      <c r="O28" s="3" t="s">
        <v>386</v>
      </c>
      <c r="P28" s="3" t="s">
        <v>386</v>
      </c>
      <c r="Q28" s="3" t="s">
        <v>386</v>
      </c>
      <c r="R28" s="3" t="s">
        <v>386</v>
      </c>
      <c r="S28" s="3" t="s">
        <v>386</v>
      </c>
      <c r="T28" s="263" t="str">
        <f t="shared" si="36"/>
        <v/>
      </c>
      <c r="U28" s="269" t="s">
        <v>386</v>
      </c>
      <c r="V28" s="270" t="str">
        <f t="shared" si="0"/>
        <v/>
      </c>
      <c r="W28" s="270" t="str">
        <f t="shared" si="37"/>
        <v/>
      </c>
      <c r="X28" s="270" t="str">
        <f t="shared" si="38"/>
        <v/>
      </c>
      <c r="Y28" s="62">
        <v>0</v>
      </c>
      <c r="Z28" s="62">
        <v>0</v>
      </c>
      <c r="AA28" s="256">
        <f t="shared" si="23"/>
        <v>0</v>
      </c>
      <c r="AB28" s="3"/>
      <c r="AC28" s="62" t="str">
        <f t="shared" si="24"/>
        <v/>
      </c>
      <c r="AD28" s="62" t="str">
        <f t="shared" si="25"/>
        <v/>
      </c>
      <c r="AE28" s="62" t="str">
        <f t="shared" si="26"/>
        <v/>
      </c>
      <c r="AF28" s="62" t="str">
        <f t="shared" si="27"/>
        <v/>
      </c>
      <c r="AG28" s="192">
        <v>0</v>
      </c>
      <c r="AH28" s="62" t="str">
        <f t="shared" si="28"/>
        <v/>
      </c>
      <c r="AI28" s="62">
        <f t="shared" si="29"/>
        <v>0</v>
      </c>
      <c r="AJ28" s="62"/>
      <c r="AK28" s="62">
        <v>0</v>
      </c>
      <c r="AL28" s="256">
        <f t="shared" si="30"/>
        <v>0</v>
      </c>
      <c r="AM28" s="256">
        <f t="shared" si="31"/>
        <v>0</v>
      </c>
      <c r="AN28" s="256">
        <f t="shared" si="32"/>
        <v>0</v>
      </c>
    </row>
    <row r="29" spans="1:40" x14ac:dyDescent="0.2">
      <c r="A29" s="602" t="s">
        <v>386</v>
      </c>
      <c r="B29" s="788" t="s">
        <v>468</v>
      </c>
      <c r="C29" s="788" t="s">
        <v>145</v>
      </c>
      <c r="D29" s="788"/>
      <c r="E29" s="788" t="s">
        <v>468</v>
      </c>
      <c r="F29" s="788" t="s">
        <v>465</v>
      </c>
      <c r="G29" s="790" t="s">
        <v>167</v>
      </c>
      <c r="H29" s="788"/>
      <c r="I29" s="603" t="s">
        <v>967</v>
      </c>
      <c r="J29" s="603" t="s">
        <v>982</v>
      </c>
      <c r="K29" s="603" t="s">
        <v>389</v>
      </c>
      <c r="L29" s="603" t="s">
        <v>984</v>
      </c>
      <c r="M29" s="604">
        <v>1</v>
      </c>
      <c r="N29" s="602" t="s">
        <v>386</v>
      </c>
      <c r="O29" s="602">
        <v>26</v>
      </c>
      <c r="P29" s="602" t="s">
        <v>342</v>
      </c>
      <c r="Q29" s="602" t="s">
        <v>386</v>
      </c>
      <c r="R29" s="602">
        <v>200</v>
      </c>
      <c r="S29" s="602">
        <v>8</v>
      </c>
      <c r="T29" s="263">
        <f t="shared" si="7"/>
        <v>1600</v>
      </c>
      <c r="U29" s="269">
        <v>50788</v>
      </c>
      <c r="V29" s="270">
        <f t="shared" ref="V29:V85" si="39">IF($U29="","",$U29*(1+$V$1))</f>
        <v>52311.64</v>
      </c>
      <c r="W29" s="270" t="str">
        <f t="shared" si="8"/>
        <v/>
      </c>
      <c r="X29" s="270">
        <f t="shared" si="9"/>
        <v>52311.64</v>
      </c>
      <c r="Y29" s="62">
        <v>0</v>
      </c>
      <c r="Z29" s="62">
        <v>0</v>
      </c>
      <c r="AA29" s="256">
        <f t="shared" si="10"/>
        <v>52311.64</v>
      </c>
      <c r="AB29" s="3"/>
      <c r="AC29" s="62">
        <f t="shared" si="11"/>
        <v>7943.76</v>
      </c>
      <c r="AD29" s="62" t="str">
        <f t="shared" si="12"/>
        <v/>
      </c>
      <c r="AE29" s="62">
        <f t="shared" si="13"/>
        <v>15301.154699999999</v>
      </c>
      <c r="AF29" s="62">
        <f t="shared" si="14"/>
        <v>758.51877999999999</v>
      </c>
      <c r="AG29" s="192">
        <v>0</v>
      </c>
      <c r="AH29" s="62">
        <f t="shared" si="15"/>
        <v>476.15812958380661</v>
      </c>
      <c r="AI29" s="62">
        <f t="shared" si="16"/>
        <v>154.06817462845683</v>
      </c>
      <c r="AJ29" s="62"/>
      <c r="AK29" s="62">
        <v>0</v>
      </c>
      <c r="AL29" s="256">
        <f t="shared" si="17"/>
        <v>24633.659784212265</v>
      </c>
      <c r="AM29" s="256">
        <f t="shared" si="18"/>
        <v>52311.64</v>
      </c>
      <c r="AN29" s="256">
        <f t="shared" si="19"/>
        <v>76945.299784212257</v>
      </c>
    </row>
    <row r="30" spans="1:40" x14ac:dyDescent="0.2">
      <c r="A30" s="602" t="s">
        <v>386</v>
      </c>
      <c r="B30" s="788">
        <v>100</v>
      </c>
      <c r="C30" s="788" t="s">
        <v>145</v>
      </c>
      <c r="D30" s="788"/>
      <c r="E30" s="788">
        <v>100</v>
      </c>
      <c r="F30" s="788">
        <v>2110</v>
      </c>
      <c r="G30" s="790" t="s">
        <v>167</v>
      </c>
      <c r="H30" s="788"/>
      <c r="I30" s="603" t="s">
        <v>1070</v>
      </c>
      <c r="J30" s="603" t="s">
        <v>1071</v>
      </c>
      <c r="K30" s="603" t="s">
        <v>389</v>
      </c>
      <c r="L30" s="603" t="s">
        <v>900</v>
      </c>
      <c r="M30" s="604">
        <v>1</v>
      </c>
      <c r="N30" s="602" t="s">
        <v>386</v>
      </c>
      <c r="O30" s="602">
        <v>26</v>
      </c>
      <c r="P30" s="602" t="s">
        <v>390</v>
      </c>
      <c r="Q30" s="602" t="s">
        <v>386</v>
      </c>
      <c r="R30" s="602">
        <v>200</v>
      </c>
      <c r="S30" s="602">
        <v>8</v>
      </c>
      <c r="T30" s="263">
        <f t="shared" ref="T30:T44" si="40">+IF(R30="","",R30*S30)</f>
        <v>1600</v>
      </c>
      <c r="U30" s="269">
        <v>55000</v>
      </c>
      <c r="V30" s="270">
        <f t="shared" ref="V30:V36" si="41">IF($U30="","",$U30*(1+$V$1))</f>
        <v>56650</v>
      </c>
      <c r="W30" s="270">
        <f t="shared" ref="W30:W57" si="42">+IF(P30="EE",+V30*$W$1,"")</f>
        <v>65350.6469</v>
      </c>
      <c r="X30" s="270">
        <f t="shared" ref="X30:X57" si="43">_xlfn.IFS(P30="ER",V30,P30="EE",W30,P30="N",V30,P30="","")</f>
        <v>65350.6469</v>
      </c>
      <c r="Y30" s="62">
        <v>0</v>
      </c>
      <c r="Z30" s="62">
        <v>0</v>
      </c>
      <c r="AA30" s="256">
        <f>SUM(X30:Z30)</f>
        <v>65350.6469</v>
      </c>
      <c r="AB30" s="3"/>
      <c r="AC30" s="62">
        <f t="shared" ref="AC30:AC57" si="44">IF(AND(M30=1,P30&lt;&gt;"N"),$AC$1,"")</f>
        <v>7943.76</v>
      </c>
      <c r="AD30" s="62" t="str">
        <f>_xlfn.IFS(P30="N",$AD$1*AA30,P30="EE","",P30="ER","",P30="","")</f>
        <v/>
      </c>
      <c r="AE30" s="62">
        <f>_xlfn.IFS(P30="EE",X30*$AE$1,P30="ER",X30*$AE$2,P30="N","",P30="","")</f>
        <v>9965.9736522499988</v>
      </c>
      <c r="AF30" s="62">
        <f>+IF(AA30&gt;1,AA30*$AF$1,"")</f>
        <v>947.58438005000005</v>
      </c>
      <c r="AG30" s="192">
        <v>0</v>
      </c>
      <c r="AH30" s="62">
        <f>+IF(AA30&gt;1,AA30*$AH$1,"")</f>
        <v>594.84355288795746</v>
      </c>
      <c r="AI30" s="62">
        <f>+_xlfn.IFS(F30&lt;2300,(AA30*$AI$1),F30&gt;=2300,(AA30*$AI$2),F30="","")</f>
        <v>192.47064092564906</v>
      </c>
      <c r="AJ30" s="62"/>
      <c r="AK30" s="62">
        <v>0</v>
      </c>
      <c r="AL30" s="256">
        <f t="shared" ref="AL30:AL57" si="45">SUM(AC30:AK30)</f>
        <v>19644.632226113605</v>
      </c>
      <c r="AM30" s="256">
        <f t="shared" ref="AM30:AM57" si="46">AA30</f>
        <v>65350.6469</v>
      </c>
      <c r="AN30" s="256">
        <f t="shared" ref="AN30:AN57" si="47">SUM(AL30:AM30)</f>
        <v>84995.279126113601</v>
      </c>
    </row>
    <row r="31" spans="1:40" x14ac:dyDescent="0.2">
      <c r="A31" s="602" t="s">
        <v>998</v>
      </c>
      <c r="B31" s="788">
        <v>280</v>
      </c>
      <c r="C31" s="791">
        <v>741</v>
      </c>
      <c r="D31" s="788"/>
      <c r="E31" s="788">
        <v>100</v>
      </c>
      <c r="F31" s="788">
        <v>2110</v>
      </c>
      <c r="G31" s="790" t="s">
        <v>167</v>
      </c>
      <c r="H31" s="788"/>
      <c r="I31" s="603" t="s">
        <v>964</v>
      </c>
      <c r="J31" s="603" t="s">
        <v>1072</v>
      </c>
      <c r="K31" s="603" t="s">
        <v>389</v>
      </c>
      <c r="L31" s="603" t="s">
        <v>901</v>
      </c>
      <c r="M31" s="604">
        <v>1</v>
      </c>
      <c r="N31" s="602" t="s">
        <v>386</v>
      </c>
      <c r="O31" s="602">
        <v>26</v>
      </c>
      <c r="P31" s="602" t="s">
        <v>390</v>
      </c>
      <c r="Q31" s="602" t="s">
        <v>386</v>
      </c>
      <c r="R31" s="602">
        <v>200</v>
      </c>
      <c r="S31" s="602">
        <v>8</v>
      </c>
      <c r="T31" s="263">
        <f t="shared" si="40"/>
        <v>1600</v>
      </c>
      <c r="U31" s="269">
        <v>55000</v>
      </c>
      <c r="V31" s="270">
        <f t="shared" si="41"/>
        <v>56650</v>
      </c>
      <c r="W31" s="270">
        <f t="shared" si="42"/>
        <v>65350.6469</v>
      </c>
      <c r="X31" s="270">
        <f t="shared" si="43"/>
        <v>65350.6469</v>
      </c>
      <c r="Y31" s="62">
        <v>0</v>
      </c>
      <c r="Z31" s="62">
        <v>0</v>
      </c>
      <c r="AA31" s="256">
        <f>SUM(X31:Z31)</f>
        <v>65350.6469</v>
      </c>
      <c r="AB31" s="3"/>
      <c r="AC31" s="62">
        <f t="shared" si="44"/>
        <v>7943.76</v>
      </c>
      <c r="AD31" s="62" t="str">
        <f>_xlfn.IFS(P31="N",$AD$1*AA31,P31="EE","",P31="ER","",P31="","")</f>
        <v/>
      </c>
      <c r="AE31" s="62">
        <f>_xlfn.IFS(P31="EE",X31*$AE$1,P31="ER",X31*$AE$2,P31="N","",P31="","")</f>
        <v>9965.9736522499988</v>
      </c>
      <c r="AF31" s="62">
        <f>+IF(AA31&gt;1,AA31*$AF$1,"")</f>
        <v>947.58438005000005</v>
      </c>
      <c r="AG31" s="192">
        <v>0</v>
      </c>
      <c r="AH31" s="62">
        <f>+IF(AA31&gt;1,AA31*$AH$1,"")</f>
        <v>594.84355288795746</v>
      </c>
      <c r="AI31" s="62">
        <f>+_xlfn.IFS(F31&lt;2300,(AA31*$AI$1),F31&gt;=2300,(AA31*$AI$2),F31="","")</f>
        <v>192.47064092564906</v>
      </c>
      <c r="AJ31" s="62"/>
      <c r="AK31" s="62">
        <v>0</v>
      </c>
      <c r="AL31" s="256">
        <f t="shared" si="45"/>
        <v>19644.632226113605</v>
      </c>
      <c r="AM31" s="256">
        <f t="shared" si="46"/>
        <v>65350.6469</v>
      </c>
      <c r="AN31" s="256">
        <f t="shared" si="47"/>
        <v>84995.279126113601</v>
      </c>
    </row>
    <row r="32" spans="1:40" x14ac:dyDescent="0.2">
      <c r="A32" s="3" t="s">
        <v>386</v>
      </c>
      <c r="B32" s="307" t="s">
        <v>386</v>
      </c>
      <c r="C32" s="307" t="s">
        <v>386</v>
      </c>
      <c r="D32" s="307"/>
      <c r="E32" s="307" t="s">
        <v>386</v>
      </c>
      <c r="F32" s="307" t="s">
        <v>386</v>
      </c>
      <c r="G32" s="307" t="s">
        <v>386</v>
      </c>
      <c r="H32" s="307"/>
      <c r="I32" s="255" t="s">
        <v>386</v>
      </c>
      <c r="J32" s="255" t="s">
        <v>386</v>
      </c>
      <c r="K32" s="255" t="s">
        <v>386</v>
      </c>
      <c r="L32" s="255" t="s">
        <v>386</v>
      </c>
      <c r="M32" s="92" t="s">
        <v>386</v>
      </c>
      <c r="N32" s="3" t="s">
        <v>386</v>
      </c>
      <c r="O32" s="3" t="s">
        <v>386</v>
      </c>
      <c r="P32" s="3" t="s">
        <v>386</v>
      </c>
      <c r="Q32" s="3" t="s">
        <v>386</v>
      </c>
      <c r="R32" s="3" t="s">
        <v>386</v>
      </c>
      <c r="S32" s="3" t="s">
        <v>386</v>
      </c>
      <c r="T32" s="263" t="str">
        <f t="shared" si="40"/>
        <v/>
      </c>
      <c r="U32" s="269" t="s">
        <v>386</v>
      </c>
      <c r="V32" s="270" t="str">
        <f t="shared" si="41"/>
        <v/>
      </c>
      <c r="W32" s="270" t="str">
        <f t="shared" si="42"/>
        <v/>
      </c>
      <c r="X32" s="270" t="str">
        <f t="shared" si="43"/>
        <v/>
      </c>
      <c r="Y32" s="62">
        <v>0</v>
      </c>
      <c r="Z32" s="62">
        <v>0</v>
      </c>
      <c r="AA32" s="256">
        <f>SUM(X32:Z32)</f>
        <v>0</v>
      </c>
      <c r="AB32" s="3"/>
      <c r="AC32" s="62" t="str">
        <f t="shared" si="44"/>
        <v/>
      </c>
      <c r="AD32" s="62" t="str">
        <f>_xlfn.IFS(P32="N",$AD$1*AA32,P32="EE","",P32="ER","",P32="","")</f>
        <v/>
      </c>
      <c r="AE32" s="62" t="str">
        <f>_xlfn.IFS(P32="EE",X32*$AE$1,P32="ER",X32*$AE$2,P32="N","",P32="","")</f>
        <v/>
      </c>
      <c r="AF32" s="62" t="str">
        <f>+IF(AA32&gt;1,AA32*$AF$1,"")</f>
        <v/>
      </c>
      <c r="AG32" s="192">
        <v>0</v>
      </c>
      <c r="AH32" s="62" t="str">
        <f>+IF(AA32&gt;1,AA32*$AH$1,"")</f>
        <v/>
      </c>
      <c r="AI32" s="62">
        <f>+_xlfn.IFS(F32&lt;2300,(AA32*$AI$1),F32&gt;=2300,(AA32*$AI$2),F32="","")</f>
        <v>0</v>
      </c>
      <c r="AJ32" s="62"/>
      <c r="AK32" s="62">
        <v>0</v>
      </c>
      <c r="AL32" s="256">
        <f t="shared" si="45"/>
        <v>0</v>
      </c>
      <c r="AM32" s="256">
        <f t="shared" si="46"/>
        <v>0</v>
      </c>
      <c r="AN32" s="256">
        <f t="shared" si="47"/>
        <v>0</v>
      </c>
    </row>
    <row r="33" spans="1:40" x14ac:dyDescent="0.2">
      <c r="A33" s="602" t="s">
        <v>386</v>
      </c>
      <c r="B33" s="788">
        <v>100</v>
      </c>
      <c r="C33" s="788" t="s">
        <v>145</v>
      </c>
      <c r="D33" s="788"/>
      <c r="E33" s="788">
        <v>100</v>
      </c>
      <c r="F33" s="788" t="s">
        <v>556</v>
      </c>
      <c r="G33" s="788" t="s">
        <v>167</v>
      </c>
      <c r="H33" s="788" t="s">
        <v>920</v>
      </c>
      <c r="I33" s="603" t="s">
        <v>962</v>
      </c>
      <c r="J33" s="603" t="s">
        <v>976</v>
      </c>
      <c r="K33" s="603" t="s">
        <v>393</v>
      </c>
      <c r="L33" s="603" t="s">
        <v>902</v>
      </c>
      <c r="M33" s="604">
        <v>1</v>
      </c>
      <c r="N33" s="602" t="s">
        <v>93</v>
      </c>
      <c r="O33" s="602">
        <v>1</v>
      </c>
      <c r="P33" s="602" t="s">
        <v>390</v>
      </c>
      <c r="Q33" s="602" t="s">
        <v>386</v>
      </c>
      <c r="R33" s="602">
        <v>261</v>
      </c>
      <c r="S33" s="602">
        <v>8</v>
      </c>
      <c r="T33" s="263">
        <f t="shared" si="40"/>
        <v>2088</v>
      </c>
      <c r="U33" s="269">
        <v>62320</v>
      </c>
      <c r="V33" s="270">
        <f t="shared" si="41"/>
        <v>64189.599999999999</v>
      </c>
      <c r="W33" s="270">
        <f t="shared" si="42"/>
        <v>74048.223905599996</v>
      </c>
      <c r="X33" s="270">
        <f t="shared" si="43"/>
        <v>74048.223905599996</v>
      </c>
      <c r="Y33" s="62">
        <v>0</v>
      </c>
      <c r="Z33" s="62">
        <v>0</v>
      </c>
      <c r="AA33" s="256">
        <f t="shared" ref="AA33" si="48">SUM(X33:Z33)</f>
        <v>74048.223905599996</v>
      </c>
      <c r="AB33" s="3"/>
      <c r="AC33" s="62">
        <f t="shared" si="44"/>
        <v>7943.76</v>
      </c>
      <c r="AD33" s="62" t="str">
        <f t="shared" ref="AD33" si="49">_xlfn.IFS(P33="N",$AD$1*AA33,P33="EE","",P33="ER","",P33="","")</f>
        <v/>
      </c>
      <c r="AE33" s="62">
        <f t="shared" ref="AE33" si="50">_xlfn.IFS(P33="EE",X33*$AE$1,P33="ER",X33*$AE$2,P33="N","",P33="","")</f>
        <v>11292.354145603998</v>
      </c>
      <c r="AF33" s="62">
        <f t="shared" ref="AF33" si="51">+IF(AA33&gt;1,AA33*$AF$1,"")</f>
        <v>1073.6992466311999</v>
      </c>
      <c r="AG33" s="192">
        <v>0</v>
      </c>
      <c r="AH33" s="62">
        <f t="shared" ref="AH33" si="52">+IF(AA33&gt;1,AA33*$AH$1,"")</f>
        <v>674.01182210868194</v>
      </c>
      <c r="AI33" s="62">
        <f t="shared" ref="AI33" si="53">+_xlfn.IFS(F33&lt;2300,(AA33*$AI$1),F33&gt;=2300,(AA33*$AI$2),F33="","")</f>
        <v>218.08673349975362</v>
      </c>
      <c r="AJ33" s="62"/>
      <c r="AK33" s="62">
        <v>0</v>
      </c>
      <c r="AL33" s="256">
        <f t="shared" si="45"/>
        <v>21201.911947843633</v>
      </c>
      <c r="AM33" s="256">
        <f t="shared" si="46"/>
        <v>74048.223905599996</v>
      </c>
      <c r="AN33" s="256">
        <f t="shared" si="47"/>
        <v>95250.135853443629</v>
      </c>
    </row>
    <row r="34" spans="1:40" x14ac:dyDescent="0.2">
      <c r="A34" s="786" t="s">
        <v>1149</v>
      </c>
      <c r="B34" s="792">
        <v>100</v>
      </c>
      <c r="C34" s="792" t="s">
        <v>145</v>
      </c>
      <c r="D34" s="792"/>
      <c r="E34" s="792">
        <v>100</v>
      </c>
      <c r="F34" s="792" t="s">
        <v>556</v>
      </c>
      <c r="G34" s="792" t="s">
        <v>167</v>
      </c>
      <c r="H34" s="792" t="s">
        <v>920</v>
      </c>
      <c r="I34" s="794" t="s">
        <v>1149</v>
      </c>
      <c r="J34" s="796" t="s">
        <v>503</v>
      </c>
      <c r="K34" s="603" t="s">
        <v>393</v>
      </c>
      <c r="L34" s="603" t="s">
        <v>902</v>
      </c>
      <c r="M34" s="604">
        <v>1</v>
      </c>
      <c r="N34" s="602" t="s">
        <v>93</v>
      </c>
      <c r="O34" s="602">
        <v>1</v>
      </c>
      <c r="P34" s="602" t="s">
        <v>390</v>
      </c>
      <c r="Q34" s="602" t="s">
        <v>386</v>
      </c>
      <c r="R34" s="602">
        <v>261</v>
      </c>
      <c r="S34" s="602">
        <v>8</v>
      </c>
      <c r="T34" s="263">
        <f t="shared" si="40"/>
        <v>2088</v>
      </c>
      <c r="U34" s="269">
        <v>62320</v>
      </c>
      <c r="V34" s="270">
        <f t="shared" si="41"/>
        <v>64189.599999999999</v>
      </c>
      <c r="W34" s="270">
        <f t="shared" si="42"/>
        <v>74048.223905599996</v>
      </c>
      <c r="X34" s="270">
        <f t="shared" si="43"/>
        <v>74048.223905599996</v>
      </c>
      <c r="Y34" s="62">
        <v>0</v>
      </c>
      <c r="Z34" s="62">
        <v>0</v>
      </c>
      <c r="AA34" s="256">
        <f t="shared" ref="AA34:AA57" si="54">SUM(X34:Z34)</f>
        <v>74048.223905599996</v>
      </c>
      <c r="AB34" s="3"/>
      <c r="AC34" s="62">
        <f t="shared" si="44"/>
        <v>7943.76</v>
      </c>
      <c r="AD34" s="62" t="str">
        <f t="shared" ref="AD34:AD57" si="55">_xlfn.IFS(P34="N",$AD$1*AA34,P34="EE","",P34="ER","",P34="","")</f>
        <v/>
      </c>
      <c r="AE34" s="62">
        <f t="shared" ref="AE34:AE57" si="56">_xlfn.IFS(P34="EE",X34*$AE$1,P34="ER",X34*$AE$2,P34="N","",P34="","")</f>
        <v>11292.354145603998</v>
      </c>
      <c r="AF34" s="62">
        <f t="shared" ref="AF34:AF57" si="57">+IF(AA34&gt;1,AA34*$AF$1,"")</f>
        <v>1073.6992466311999</v>
      </c>
      <c r="AG34" s="192">
        <v>0</v>
      </c>
      <c r="AH34" s="62">
        <f t="shared" ref="AH34:AH57" si="58">+IF(AA34&gt;1,AA34*$AH$1,"")</f>
        <v>674.01182210868194</v>
      </c>
      <c r="AI34" s="62">
        <f t="shared" ref="AI34:AI57" si="59">+_xlfn.IFS(F34&lt;2300,(AA34*$AI$1),F34&gt;=2300,(AA34*$AI$2),F34="","")</f>
        <v>218.08673349975362</v>
      </c>
      <c r="AJ34" s="62"/>
      <c r="AK34" s="62">
        <v>0</v>
      </c>
      <c r="AL34" s="256">
        <f t="shared" si="45"/>
        <v>21201.911947843633</v>
      </c>
      <c r="AM34" s="256">
        <f t="shared" si="46"/>
        <v>74048.223905599996</v>
      </c>
      <c r="AN34" s="256">
        <f t="shared" si="47"/>
        <v>95250.135853443629</v>
      </c>
    </row>
    <row r="35" spans="1:40" x14ac:dyDescent="0.2">
      <c r="A35" s="602" t="s">
        <v>386</v>
      </c>
      <c r="B35" s="788" t="s">
        <v>386</v>
      </c>
      <c r="C35" s="788" t="s">
        <v>386</v>
      </c>
      <c r="D35" s="788"/>
      <c r="E35" s="788" t="s">
        <v>386</v>
      </c>
      <c r="F35" s="788" t="s">
        <v>386</v>
      </c>
      <c r="G35" s="788" t="s">
        <v>386</v>
      </c>
      <c r="H35" s="788"/>
      <c r="I35" s="603" t="s">
        <v>386</v>
      </c>
      <c r="J35" s="603" t="s">
        <v>386</v>
      </c>
      <c r="K35" s="603" t="s">
        <v>386</v>
      </c>
      <c r="L35" s="603" t="s">
        <v>386</v>
      </c>
      <c r="M35" s="604" t="s">
        <v>386</v>
      </c>
      <c r="N35" s="602" t="s">
        <v>386</v>
      </c>
      <c r="O35" s="602" t="s">
        <v>386</v>
      </c>
      <c r="P35" s="602" t="s">
        <v>386</v>
      </c>
      <c r="Q35" s="602" t="s">
        <v>386</v>
      </c>
      <c r="R35" s="602" t="s">
        <v>386</v>
      </c>
      <c r="S35" s="602" t="s">
        <v>386</v>
      </c>
      <c r="T35" s="263" t="str">
        <f t="shared" si="40"/>
        <v/>
      </c>
      <c r="U35" s="269" t="s">
        <v>386</v>
      </c>
      <c r="V35" s="270" t="str">
        <f t="shared" si="41"/>
        <v/>
      </c>
      <c r="W35" s="270" t="str">
        <f t="shared" si="42"/>
        <v/>
      </c>
      <c r="X35" s="270" t="str">
        <f t="shared" si="43"/>
        <v/>
      </c>
      <c r="Y35" s="62">
        <v>0</v>
      </c>
      <c r="Z35" s="62">
        <v>0</v>
      </c>
      <c r="AA35" s="256">
        <f t="shared" si="54"/>
        <v>0</v>
      </c>
      <c r="AB35" s="3"/>
      <c r="AC35" s="62" t="str">
        <f t="shared" si="44"/>
        <v/>
      </c>
      <c r="AD35" s="62" t="str">
        <f t="shared" si="55"/>
        <v/>
      </c>
      <c r="AE35" s="62" t="str">
        <f t="shared" si="56"/>
        <v/>
      </c>
      <c r="AF35" s="62" t="str">
        <f t="shared" si="57"/>
        <v/>
      </c>
      <c r="AG35" s="192">
        <v>0</v>
      </c>
      <c r="AH35" s="62" t="str">
        <f t="shared" si="58"/>
        <v/>
      </c>
      <c r="AI35" s="62">
        <f t="shared" si="59"/>
        <v>0</v>
      </c>
      <c r="AJ35" s="62"/>
      <c r="AK35" s="62">
        <v>0</v>
      </c>
      <c r="AL35" s="256">
        <f t="shared" si="45"/>
        <v>0</v>
      </c>
      <c r="AM35" s="256">
        <f t="shared" si="46"/>
        <v>0</v>
      </c>
      <c r="AN35" s="256">
        <f t="shared" si="47"/>
        <v>0</v>
      </c>
    </row>
    <row r="36" spans="1:40" x14ac:dyDescent="0.2">
      <c r="A36" s="602" t="s">
        <v>924</v>
      </c>
      <c r="B36" s="788">
        <v>280</v>
      </c>
      <c r="C36" s="788">
        <v>661</v>
      </c>
      <c r="D36" s="788"/>
      <c r="E36" s="788">
        <v>100</v>
      </c>
      <c r="F36" s="788" t="s">
        <v>465</v>
      </c>
      <c r="G36" s="788" t="s">
        <v>167</v>
      </c>
      <c r="H36" s="788"/>
      <c r="I36" s="603" t="s">
        <v>956</v>
      </c>
      <c r="J36" s="603" t="s">
        <v>977</v>
      </c>
      <c r="K36" s="603" t="s">
        <v>393</v>
      </c>
      <c r="L36" s="802" t="s">
        <v>908</v>
      </c>
      <c r="M36" s="604">
        <v>1</v>
      </c>
      <c r="N36" s="602" t="s">
        <v>386</v>
      </c>
      <c r="O36" s="602">
        <v>26</v>
      </c>
      <c r="P36" s="602" t="s">
        <v>390</v>
      </c>
      <c r="Q36" s="602" t="s">
        <v>386</v>
      </c>
      <c r="R36" s="602">
        <v>261</v>
      </c>
      <c r="S36" s="602">
        <v>8</v>
      </c>
      <c r="T36" s="263">
        <f t="shared" si="40"/>
        <v>2088</v>
      </c>
      <c r="U36" s="269">
        <v>57704</v>
      </c>
      <c r="V36" s="270">
        <f t="shared" si="41"/>
        <v>59435.12</v>
      </c>
      <c r="W36" s="270">
        <f t="shared" si="42"/>
        <v>68563.522340320007</v>
      </c>
      <c r="X36" s="270">
        <f t="shared" si="43"/>
        <v>68563.522340320007</v>
      </c>
      <c r="Y36" s="62">
        <v>0</v>
      </c>
      <c r="Z36" s="62">
        <v>0</v>
      </c>
      <c r="AA36" s="256">
        <f t="shared" si="54"/>
        <v>68563.522340320007</v>
      </c>
      <c r="AB36" s="3"/>
      <c r="AC36" s="62">
        <f t="shared" si="44"/>
        <v>7943.76</v>
      </c>
      <c r="AD36" s="62" t="str">
        <f t="shared" si="55"/>
        <v/>
      </c>
      <c r="AE36" s="62">
        <f t="shared" si="56"/>
        <v>10455.937156898801</v>
      </c>
      <c r="AF36" s="62">
        <f t="shared" si="57"/>
        <v>994.17107393464016</v>
      </c>
      <c r="AG36" s="192">
        <v>0</v>
      </c>
      <c r="AH36" s="62">
        <f t="shared" si="58"/>
        <v>624.08822501539453</v>
      </c>
      <c r="AI36" s="62">
        <f t="shared" si="59"/>
        <v>201.93319752679372</v>
      </c>
      <c r="AJ36" s="62"/>
      <c r="AK36" s="62">
        <v>0</v>
      </c>
      <c r="AL36" s="256">
        <f t="shared" si="45"/>
        <v>20219.889653375631</v>
      </c>
      <c r="AM36" s="256">
        <f t="shared" si="46"/>
        <v>68563.522340320007</v>
      </c>
      <c r="AN36" s="256">
        <f t="shared" si="47"/>
        <v>88783.411993695641</v>
      </c>
    </row>
    <row r="37" spans="1:40" x14ac:dyDescent="0.2">
      <c r="A37" s="786" t="s">
        <v>1149</v>
      </c>
      <c r="B37" s="795">
        <v>100</v>
      </c>
      <c r="C37" s="795" t="s">
        <v>145</v>
      </c>
      <c r="D37" s="795"/>
      <c r="E37" s="795">
        <v>100</v>
      </c>
      <c r="F37" s="795">
        <v>2110</v>
      </c>
      <c r="G37" s="789" t="s">
        <v>167</v>
      </c>
      <c r="H37" s="795" t="s">
        <v>497</v>
      </c>
      <c r="I37" s="794" t="s">
        <v>1149</v>
      </c>
      <c r="J37" s="796" t="s">
        <v>503</v>
      </c>
      <c r="K37" s="796" t="s">
        <v>389</v>
      </c>
      <c r="L37" s="311" t="s">
        <v>504</v>
      </c>
      <c r="M37" s="797">
        <v>0</v>
      </c>
      <c r="N37" s="786" t="s">
        <v>386</v>
      </c>
      <c r="O37" s="786">
        <v>26</v>
      </c>
      <c r="P37" s="786"/>
      <c r="Q37" s="386" t="s">
        <v>386</v>
      </c>
      <c r="R37" s="386" t="s">
        <v>386</v>
      </c>
      <c r="S37" s="386" t="s">
        <v>386</v>
      </c>
      <c r="T37" s="263" t="str">
        <f t="shared" si="40"/>
        <v/>
      </c>
      <c r="U37" s="269">
        <v>45000</v>
      </c>
      <c r="V37" s="270"/>
      <c r="W37" s="270" t="str">
        <f t="shared" si="42"/>
        <v/>
      </c>
      <c r="X37" s="270" t="str">
        <f t="shared" si="43"/>
        <v/>
      </c>
      <c r="Y37" s="62">
        <v>0</v>
      </c>
      <c r="Z37" s="62">
        <v>0</v>
      </c>
      <c r="AA37" s="256">
        <f t="shared" si="54"/>
        <v>0</v>
      </c>
      <c r="AB37" s="3"/>
      <c r="AC37" s="62" t="str">
        <f t="shared" si="44"/>
        <v/>
      </c>
      <c r="AD37" s="62" t="str">
        <f t="shared" si="55"/>
        <v/>
      </c>
      <c r="AE37" s="62" t="str">
        <f t="shared" si="56"/>
        <v/>
      </c>
      <c r="AF37" s="62" t="str">
        <f t="shared" si="57"/>
        <v/>
      </c>
      <c r="AG37" s="192">
        <v>0</v>
      </c>
      <c r="AH37" s="62" t="str">
        <f t="shared" si="58"/>
        <v/>
      </c>
      <c r="AI37" s="62">
        <f t="shared" si="59"/>
        <v>0</v>
      </c>
      <c r="AJ37" s="62"/>
      <c r="AK37" s="62">
        <v>0</v>
      </c>
      <c r="AL37" s="256">
        <f t="shared" si="45"/>
        <v>0</v>
      </c>
      <c r="AM37" s="256">
        <f t="shared" si="46"/>
        <v>0</v>
      </c>
      <c r="AN37" s="256">
        <f t="shared" si="47"/>
        <v>0</v>
      </c>
    </row>
    <row r="38" spans="1:40" x14ac:dyDescent="0.2">
      <c r="A38" s="602" t="s">
        <v>1103</v>
      </c>
      <c r="B38" s="934" t="s">
        <v>135</v>
      </c>
      <c r="C38" s="934" t="s">
        <v>242</v>
      </c>
      <c r="D38" s="788"/>
      <c r="E38" s="934" t="s">
        <v>532</v>
      </c>
      <c r="F38" s="934" t="s">
        <v>534</v>
      </c>
      <c r="G38" s="934" t="s">
        <v>161</v>
      </c>
      <c r="H38" s="788"/>
      <c r="I38" s="603" t="s">
        <v>965</v>
      </c>
      <c r="J38" s="603" t="s">
        <v>980</v>
      </c>
      <c r="K38" s="603" t="s">
        <v>393</v>
      </c>
      <c r="L38" s="603" t="s">
        <v>983</v>
      </c>
      <c r="M38" s="604">
        <v>1</v>
      </c>
      <c r="N38" s="602" t="s">
        <v>93</v>
      </c>
      <c r="O38" s="602">
        <v>26</v>
      </c>
      <c r="P38" s="602" t="s">
        <v>342</v>
      </c>
      <c r="Q38" s="602" t="s">
        <v>386</v>
      </c>
      <c r="R38" s="602">
        <v>200</v>
      </c>
      <c r="S38" s="602">
        <v>8</v>
      </c>
      <c r="T38" s="263">
        <f t="shared" si="40"/>
        <v>1600</v>
      </c>
      <c r="U38" s="269">
        <v>63148</v>
      </c>
      <c r="V38" s="270">
        <f t="shared" ref="V38:V57" si="60">IF($U38="","",$U38*(1+$V$1))</f>
        <v>65042.44</v>
      </c>
      <c r="W38" s="270" t="str">
        <f t="shared" si="42"/>
        <v/>
      </c>
      <c r="X38" s="270">
        <f t="shared" si="43"/>
        <v>65042.44</v>
      </c>
      <c r="Y38" s="62">
        <v>0</v>
      </c>
      <c r="Z38" s="62">
        <v>0</v>
      </c>
      <c r="AA38" s="256">
        <f t="shared" si="54"/>
        <v>65042.44</v>
      </c>
      <c r="AB38" s="3"/>
      <c r="AC38" s="62">
        <f t="shared" si="44"/>
        <v>7943.76</v>
      </c>
      <c r="AD38" s="62" t="str">
        <f t="shared" si="55"/>
        <v/>
      </c>
      <c r="AE38" s="62">
        <f t="shared" si="56"/>
        <v>19024.913700000001</v>
      </c>
      <c r="AF38" s="62">
        <f t="shared" si="57"/>
        <v>943.11538000000007</v>
      </c>
      <c r="AG38" s="192">
        <v>0</v>
      </c>
      <c r="AH38" s="62">
        <f t="shared" si="58"/>
        <v>592.03815009368793</v>
      </c>
      <c r="AI38" s="62">
        <f t="shared" si="59"/>
        <v>191.56291036145925</v>
      </c>
      <c r="AJ38" s="62"/>
      <c r="AK38" s="62">
        <v>0</v>
      </c>
      <c r="AL38" s="256">
        <f t="shared" si="45"/>
        <v>28695.390140455147</v>
      </c>
      <c r="AM38" s="256">
        <f t="shared" si="46"/>
        <v>65042.44</v>
      </c>
      <c r="AN38" s="256">
        <f t="shared" si="47"/>
        <v>93737.830140455146</v>
      </c>
    </row>
    <row r="39" spans="1:40" x14ac:dyDescent="0.2">
      <c r="A39" s="602" t="s">
        <v>924</v>
      </c>
      <c r="B39" s="788">
        <v>280</v>
      </c>
      <c r="C39" s="788">
        <v>661</v>
      </c>
      <c r="D39" s="788"/>
      <c r="E39" s="788">
        <v>100</v>
      </c>
      <c r="F39" s="788" t="s">
        <v>461</v>
      </c>
      <c r="G39" s="788" t="s">
        <v>161</v>
      </c>
      <c r="H39" s="788"/>
      <c r="I39" s="603" t="s">
        <v>971</v>
      </c>
      <c r="J39" s="603" t="s">
        <v>986</v>
      </c>
      <c r="K39" s="603" t="s">
        <v>389</v>
      </c>
      <c r="L39" s="603" t="s">
        <v>903</v>
      </c>
      <c r="M39" s="604">
        <v>1</v>
      </c>
      <c r="N39" s="602" t="s">
        <v>386</v>
      </c>
      <c r="O39" s="602">
        <v>26</v>
      </c>
      <c r="P39" s="602" t="s">
        <v>390</v>
      </c>
      <c r="Q39" s="602" t="s">
        <v>386</v>
      </c>
      <c r="R39" s="602">
        <v>200</v>
      </c>
      <c r="S39" s="602">
        <v>8</v>
      </c>
      <c r="T39" s="263">
        <f t="shared" si="40"/>
        <v>1600</v>
      </c>
      <c r="U39" s="269">
        <v>57896</v>
      </c>
      <c r="V39" s="270">
        <f t="shared" si="60"/>
        <v>59632.880000000005</v>
      </c>
      <c r="W39" s="270">
        <f t="shared" si="42"/>
        <v>68791.65550768</v>
      </c>
      <c r="X39" s="270">
        <f t="shared" si="43"/>
        <v>68791.65550768</v>
      </c>
      <c r="Y39" s="62">
        <v>0</v>
      </c>
      <c r="Z39" s="62">
        <v>0</v>
      </c>
      <c r="AA39" s="256">
        <f t="shared" si="54"/>
        <v>68791.65550768</v>
      </c>
      <c r="AB39" s="3"/>
      <c r="AC39" s="62">
        <f t="shared" si="44"/>
        <v>7943.76</v>
      </c>
      <c r="AD39" s="62" t="str">
        <f t="shared" si="55"/>
        <v/>
      </c>
      <c r="AE39" s="62">
        <f t="shared" si="56"/>
        <v>10490.727464921199</v>
      </c>
      <c r="AF39" s="62">
        <f t="shared" si="57"/>
        <v>997.47900486136007</v>
      </c>
      <c r="AG39" s="192">
        <v>0</v>
      </c>
      <c r="AH39" s="62">
        <f t="shared" si="58"/>
        <v>626.16476978183971</v>
      </c>
      <c r="AI39" s="62">
        <f t="shared" si="59"/>
        <v>202.60509503693413</v>
      </c>
      <c r="AJ39" s="62"/>
      <c r="AK39" s="62">
        <v>0</v>
      </c>
      <c r="AL39" s="256">
        <f t="shared" si="45"/>
        <v>20260.736334601337</v>
      </c>
      <c r="AM39" s="256">
        <f t="shared" si="46"/>
        <v>68791.65550768</v>
      </c>
      <c r="AN39" s="256">
        <f t="shared" si="47"/>
        <v>89052.391842281329</v>
      </c>
    </row>
    <row r="40" spans="1:40" x14ac:dyDescent="0.2">
      <c r="A40" s="602" t="s">
        <v>1000</v>
      </c>
      <c r="B40" s="934">
        <v>280</v>
      </c>
      <c r="C40" s="934">
        <v>633</v>
      </c>
      <c r="D40" s="788"/>
      <c r="E40" s="934">
        <v>430</v>
      </c>
      <c r="F40" s="934">
        <v>2210</v>
      </c>
      <c r="G40" s="934" t="s">
        <v>161</v>
      </c>
      <c r="H40" s="788"/>
      <c r="I40" s="603" t="s">
        <v>973</v>
      </c>
      <c r="J40" s="603" t="s">
        <v>454</v>
      </c>
      <c r="K40" s="603" t="s">
        <v>389</v>
      </c>
      <c r="L40" s="603" t="s">
        <v>988</v>
      </c>
      <c r="M40" s="604">
        <v>1</v>
      </c>
      <c r="N40" s="602" t="s">
        <v>386</v>
      </c>
      <c r="O40" s="602">
        <v>26</v>
      </c>
      <c r="P40" s="602" t="s">
        <v>390</v>
      </c>
      <c r="Q40" s="602" t="s">
        <v>386</v>
      </c>
      <c r="R40" s="602">
        <v>200</v>
      </c>
      <c r="S40" s="602">
        <v>8</v>
      </c>
      <c r="T40" s="263">
        <f t="shared" si="40"/>
        <v>1600</v>
      </c>
      <c r="U40" s="269">
        <v>64411</v>
      </c>
      <c r="V40" s="270">
        <f t="shared" si="60"/>
        <v>66343.33</v>
      </c>
      <c r="W40" s="270">
        <f t="shared" si="42"/>
        <v>76532.736681380004</v>
      </c>
      <c r="X40" s="270">
        <f t="shared" si="43"/>
        <v>76532.736681380004</v>
      </c>
      <c r="Y40" s="62">
        <v>0</v>
      </c>
      <c r="Z40" s="62">
        <v>0</v>
      </c>
      <c r="AA40" s="256">
        <f t="shared" si="54"/>
        <v>76532.736681380004</v>
      </c>
      <c r="AB40" s="3"/>
      <c r="AC40" s="62">
        <f t="shared" si="44"/>
        <v>7943.76</v>
      </c>
      <c r="AD40" s="62" t="str">
        <f t="shared" si="55"/>
        <v/>
      </c>
      <c r="AE40" s="62">
        <f t="shared" si="56"/>
        <v>11671.24234391045</v>
      </c>
      <c r="AF40" s="62">
        <f t="shared" si="57"/>
        <v>1109.7246818800102</v>
      </c>
      <c r="AG40" s="192">
        <v>0</v>
      </c>
      <c r="AH40" s="62">
        <f t="shared" si="58"/>
        <v>696.62669245574955</v>
      </c>
      <c r="AI40" s="62">
        <f t="shared" si="59"/>
        <v>225.40411732112696</v>
      </c>
      <c r="AJ40" s="62"/>
      <c r="AK40" s="62">
        <v>0</v>
      </c>
      <c r="AL40" s="256">
        <f t="shared" si="45"/>
        <v>21646.757835567332</v>
      </c>
      <c r="AM40" s="256">
        <f t="shared" si="46"/>
        <v>76532.736681380004</v>
      </c>
      <c r="AN40" s="256">
        <f t="shared" si="47"/>
        <v>98179.494516947336</v>
      </c>
    </row>
    <row r="41" spans="1:40" x14ac:dyDescent="0.2">
      <c r="A41" s="602" t="s">
        <v>386</v>
      </c>
      <c r="B41" s="788" t="s">
        <v>386</v>
      </c>
      <c r="C41" s="788" t="s">
        <v>386</v>
      </c>
      <c r="D41" s="788"/>
      <c r="E41" s="788" t="s">
        <v>386</v>
      </c>
      <c r="F41" s="788" t="s">
        <v>386</v>
      </c>
      <c r="G41" s="788" t="s">
        <v>386</v>
      </c>
      <c r="H41" s="788"/>
      <c r="I41" s="603" t="s">
        <v>386</v>
      </c>
      <c r="J41" s="603" t="s">
        <v>386</v>
      </c>
      <c r="K41" s="603" t="s">
        <v>386</v>
      </c>
      <c r="L41" s="603"/>
      <c r="M41" s="604" t="s">
        <v>386</v>
      </c>
      <c r="N41" s="602" t="s">
        <v>386</v>
      </c>
      <c r="O41" s="602" t="s">
        <v>386</v>
      </c>
      <c r="P41" s="602" t="s">
        <v>386</v>
      </c>
      <c r="Q41" s="602" t="s">
        <v>386</v>
      </c>
      <c r="R41" s="602" t="s">
        <v>386</v>
      </c>
      <c r="S41" s="602" t="s">
        <v>386</v>
      </c>
      <c r="T41" s="263" t="str">
        <f t="shared" si="40"/>
        <v/>
      </c>
      <c r="U41" s="269" t="s">
        <v>386</v>
      </c>
      <c r="V41" s="270" t="str">
        <f t="shared" si="60"/>
        <v/>
      </c>
      <c r="W41" s="270" t="str">
        <f t="shared" si="42"/>
        <v/>
      </c>
      <c r="X41" s="270" t="str">
        <f t="shared" si="43"/>
        <v/>
      </c>
      <c r="Y41" s="62">
        <v>0</v>
      </c>
      <c r="Z41" s="62">
        <v>0</v>
      </c>
      <c r="AA41" s="256">
        <f t="shared" si="54"/>
        <v>0</v>
      </c>
      <c r="AB41" s="3"/>
      <c r="AC41" s="62" t="str">
        <f t="shared" si="44"/>
        <v/>
      </c>
      <c r="AD41" s="62" t="str">
        <f t="shared" si="55"/>
        <v/>
      </c>
      <c r="AE41" s="62" t="str">
        <f t="shared" si="56"/>
        <v/>
      </c>
      <c r="AF41" s="62" t="str">
        <f t="shared" si="57"/>
        <v/>
      </c>
      <c r="AG41" s="192">
        <v>0</v>
      </c>
      <c r="AH41" s="62" t="str">
        <f t="shared" si="58"/>
        <v/>
      </c>
      <c r="AI41" s="62">
        <f t="shared" si="59"/>
        <v>0</v>
      </c>
      <c r="AJ41" s="62"/>
      <c r="AK41" s="62">
        <v>0</v>
      </c>
      <c r="AL41" s="256">
        <f t="shared" si="45"/>
        <v>0</v>
      </c>
      <c r="AM41" s="256">
        <f t="shared" si="46"/>
        <v>0</v>
      </c>
      <c r="AN41" s="256">
        <f t="shared" si="47"/>
        <v>0</v>
      </c>
    </row>
    <row r="42" spans="1:40" x14ac:dyDescent="0.2">
      <c r="A42" s="602" t="s">
        <v>386</v>
      </c>
      <c r="B42" s="788" t="s">
        <v>462</v>
      </c>
      <c r="C42" s="788" t="s">
        <v>145</v>
      </c>
      <c r="D42" s="788"/>
      <c r="E42" s="934" t="s">
        <v>463</v>
      </c>
      <c r="F42" s="934" t="s">
        <v>461</v>
      </c>
      <c r="G42" s="934" t="s">
        <v>161</v>
      </c>
      <c r="H42" s="934"/>
      <c r="I42" s="603" t="s">
        <v>959</v>
      </c>
      <c r="J42" s="603" t="s">
        <v>960</v>
      </c>
      <c r="K42" s="603" t="s">
        <v>389</v>
      </c>
      <c r="L42" s="603" t="s">
        <v>896</v>
      </c>
      <c r="M42" s="604">
        <v>1</v>
      </c>
      <c r="N42" s="602" t="s">
        <v>386</v>
      </c>
      <c r="O42" s="602">
        <v>26</v>
      </c>
      <c r="P42" s="602" t="s">
        <v>342</v>
      </c>
      <c r="Q42" s="602" t="s">
        <v>386</v>
      </c>
      <c r="R42" s="602">
        <v>261</v>
      </c>
      <c r="S42" s="602">
        <v>8</v>
      </c>
      <c r="T42" s="263">
        <f t="shared" si="40"/>
        <v>2088</v>
      </c>
      <c r="U42" s="269">
        <v>65000</v>
      </c>
      <c r="V42" s="270">
        <f t="shared" si="60"/>
        <v>66950</v>
      </c>
      <c r="W42" s="270" t="str">
        <f t="shared" si="42"/>
        <v/>
      </c>
      <c r="X42" s="270">
        <f t="shared" si="43"/>
        <v>66950</v>
      </c>
      <c r="Y42" s="62">
        <v>0</v>
      </c>
      <c r="Z42" s="62">
        <v>0</v>
      </c>
      <c r="AA42" s="256">
        <f t="shared" si="54"/>
        <v>66950</v>
      </c>
      <c r="AB42" s="3"/>
      <c r="AC42" s="62">
        <f t="shared" si="44"/>
        <v>7943.76</v>
      </c>
      <c r="AD42" s="62" t="str">
        <f t="shared" si="55"/>
        <v/>
      </c>
      <c r="AE42" s="62">
        <f t="shared" si="56"/>
        <v>19582.875</v>
      </c>
      <c r="AF42" s="62">
        <f t="shared" si="57"/>
        <v>970.77500000000009</v>
      </c>
      <c r="AG42" s="192">
        <v>0</v>
      </c>
      <c r="AH42" s="62">
        <f t="shared" si="58"/>
        <v>609.40140235778983</v>
      </c>
      <c r="AI42" s="62">
        <f t="shared" si="59"/>
        <v>197.18105361206767</v>
      </c>
      <c r="AJ42" s="62"/>
      <c r="AK42" s="62">
        <v>0</v>
      </c>
      <c r="AL42" s="256">
        <f t="shared" si="45"/>
        <v>29303.992455969863</v>
      </c>
      <c r="AM42" s="256">
        <f t="shared" si="46"/>
        <v>66950</v>
      </c>
      <c r="AN42" s="256">
        <f t="shared" si="47"/>
        <v>96253.992455969856</v>
      </c>
    </row>
    <row r="43" spans="1:40" x14ac:dyDescent="0.2">
      <c r="A43" s="602" t="s">
        <v>386</v>
      </c>
      <c r="B43" s="788" t="s">
        <v>386</v>
      </c>
      <c r="C43" s="788" t="s">
        <v>386</v>
      </c>
      <c r="D43" s="788"/>
      <c r="E43" s="788" t="s">
        <v>386</v>
      </c>
      <c r="F43" s="788" t="s">
        <v>386</v>
      </c>
      <c r="G43" s="788" t="s">
        <v>386</v>
      </c>
      <c r="H43" s="788"/>
      <c r="I43" s="603" t="s">
        <v>386</v>
      </c>
      <c r="J43" s="603" t="s">
        <v>386</v>
      </c>
      <c r="K43" s="603" t="s">
        <v>386</v>
      </c>
      <c r="L43" s="603" t="s">
        <v>386</v>
      </c>
      <c r="M43" s="604" t="s">
        <v>386</v>
      </c>
      <c r="N43" s="602" t="s">
        <v>386</v>
      </c>
      <c r="O43" s="602" t="s">
        <v>386</v>
      </c>
      <c r="P43" s="602" t="s">
        <v>386</v>
      </c>
      <c r="Q43" s="602" t="s">
        <v>386</v>
      </c>
      <c r="R43" s="602" t="s">
        <v>386</v>
      </c>
      <c r="S43" s="602" t="s">
        <v>386</v>
      </c>
      <c r="T43" s="263" t="str">
        <f t="shared" si="40"/>
        <v/>
      </c>
      <c r="U43" s="269" t="s">
        <v>386</v>
      </c>
      <c r="V43" s="270" t="str">
        <f t="shared" si="60"/>
        <v/>
      </c>
      <c r="W43" s="270" t="str">
        <f t="shared" si="42"/>
        <v/>
      </c>
      <c r="X43" s="270" t="str">
        <f t="shared" si="43"/>
        <v/>
      </c>
      <c r="Y43" s="62">
        <v>0</v>
      </c>
      <c r="Z43" s="62">
        <v>0</v>
      </c>
      <c r="AA43" s="256">
        <f t="shared" si="54"/>
        <v>0</v>
      </c>
      <c r="AB43" s="3"/>
      <c r="AC43" s="62" t="str">
        <f t="shared" si="44"/>
        <v/>
      </c>
      <c r="AD43" s="62" t="str">
        <f t="shared" si="55"/>
        <v/>
      </c>
      <c r="AE43" s="62" t="str">
        <f t="shared" si="56"/>
        <v/>
      </c>
      <c r="AF43" s="62" t="str">
        <f t="shared" si="57"/>
        <v/>
      </c>
      <c r="AG43" s="192">
        <v>0</v>
      </c>
      <c r="AH43" s="62" t="str">
        <f t="shared" si="58"/>
        <v/>
      </c>
      <c r="AI43" s="62">
        <f t="shared" si="59"/>
        <v>0</v>
      </c>
      <c r="AJ43" s="62"/>
      <c r="AK43" s="62">
        <v>0</v>
      </c>
      <c r="AL43" s="256">
        <f t="shared" si="45"/>
        <v>0</v>
      </c>
      <c r="AM43" s="256">
        <f t="shared" si="46"/>
        <v>0</v>
      </c>
      <c r="AN43" s="256">
        <f t="shared" si="47"/>
        <v>0</v>
      </c>
    </row>
    <row r="44" spans="1:40" x14ac:dyDescent="0.2">
      <c r="A44" s="602" t="s">
        <v>386</v>
      </c>
      <c r="B44" s="788">
        <v>250</v>
      </c>
      <c r="C44" s="788" t="s">
        <v>132</v>
      </c>
      <c r="D44" s="788"/>
      <c r="E44" s="934">
        <v>200</v>
      </c>
      <c r="F44" s="934">
        <v>2140</v>
      </c>
      <c r="G44" s="934" t="s">
        <v>167</v>
      </c>
      <c r="H44" s="788"/>
      <c r="I44" s="603" t="s">
        <v>919</v>
      </c>
      <c r="J44" s="603" t="s">
        <v>429</v>
      </c>
      <c r="K44" s="603" t="s">
        <v>393</v>
      </c>
      <c r="L44" s="603" t="s">
        <v>430</v>
      </c>
      <c r="M44" s="604">
        <v>1</v>
      </c>
      <c r="N44" s="602" t="s">
        <v>386</v>
      </c>
      <c r="O44" s="602">
        <v>26</v>
      </c>
      <c r="P44" s="602" t="s">
        <v>390</v>
      </c>
      <c r="Q44" s="602" t="s">
        <v>386</v>
      </c>
      <c r="R44" s="602">
        <v>200</v>
      </c>
      <c r="S44" s="602">
        <v>8</v>
      </c>
      <c r="T44" s="263">
        <f t="shared" si="40"/>
        <v>1600</v>
      </c>
      <c r="U44" s="269">
        <v>72768.800000000003</v>
      </c>
      <c r="V44" s="270">
        <f t="shared" si="60"/>
        <v>74951.864000000001</v>
      </c>
      <c r="W44" s="270">
        <f t="shared" si="42"/>
        <v>86463.420984304001</v>
      </c>
      <c r="X44" s="270">
        <f t="shared" si="43"/>
        <v>86463.420984304001</v>
      </c>
      <c r="Y44" s="62">
        <v>0</v>
      </c>
      <c r="Z44" s="62">
        <v>0</v>
      </c>
      <c r="AA44" s="256">
        <f t="shared" si="54"/>
        <v>86463.420984304001</v>
      </c>
      <c r="AB44" s="3"/>
      <c r="AC44" s="62">
        <f t="shared" si="44"/>
        <v>7943.76</v>
      </c>
      <c r="AD44" s="62" t="str">
        <f t="shared" si="55"/>
        <v/>
      </c>
      <c r="AE44" s="62">
        <f t="shared" si="56"/>
        <v>13185.671700106361</v>
      </c>
      <c r="AF44" s="62">
        <f t="shared" si="57"/>
        <v>1253.7196042724081</v>
      </c>
      <c r="AG44" s="192">
        <v>0</v>
      </c>
      <c r="AH44" s="62">
        <f t="shared" si="58"/>
        <v>787.01911875260362</v>
      </c>
      <c r="AI44" s="62">
        <f t="shared" si="59"/>
        <v>254.65195591618857</v>
      </c>
      <c r="AJ44" s="62"/>
      <c r="AK44" s="62">
        <v>0</v>
      </c>
      <c r="AL44" s="256">
        <f t="shared" si="45"/>
        <v>23424.822379047564</v>
      </c>
      <c r="AM44" s="256">
        <f t="shared" si="46"/>
        <v>86463.420984304001</v>
      </c>
      <c r="AN44" s="256">
        <f t="shared" si="47"/>
        <v>109888.24336335156</v>
      </c>
    </row>
    <row r="45" spans="1:40" x14ac:dyDescent="0.2">
      <c r="A45" s="602"/>
      <c r="B45" s="788"/>
      <c r="C45" s="788"/>
      <c r="D45" s="788"/>
      <c r="E45" s="788"/>
      <c r="F45" s="788"/>
      <c r="G45" s="788"/>
      <c r="H45" s="788"/>
      <c r="I45" s="603"/>
      <c r="J45" s="603"/>
      <c r="K45" s="603"/>
      <c r="L45" s="603"/>
      <c r="M45" s="604"/>
      <c r="N45" s="602"/>
      <c r="O45" s="602"/>
      <c r="P45" s="602"/>
      <c r="Q45" s="602"/>
      <c r="R45" s="602"/>
      <c r="S45" s="602"/>
      <c r="T45" s="263"/>
      <c r="U45" s="269"/>
      <c r="V45" s="270" t="str">
        <f t="shared" si="60"/>
        <v/>
      </c>
      <c r="W45" s="270" t="str">
        <f t="shared" si="42"/>
        <v/>
      </c>
      <c r="X45" s="270" t="str">
        <f t="shared" si="43"/>
        <v/>
      </c>
      <c r="Y45" s="62">
        <v>0</v>
      </c>
      <c r="Z45" s="62">
        <v>0</v>
      </c>
      <c r="AA45" s="256">
        <f t="shared" si="54"/>
        <v>0</v>
      </c>
      <c r="AB45" s="3"/>
      <c r="AC45" s="62" t="str">
        <f t="shared" si="44"/>
        <v/>
      </c>
      <c r="AD45" s="62" t="str">
        <f t="shared" si="55"/>
        <v/>
      </c>
      <c r="AE45" s="62" t="str">
        <f t="shared" si="56"/>
        <v/>
      </c>
      <c r="AF45" s="62" t="str">
        <f t="shared" si="57"/>
        <v/>
      </c>
      <c r="AG45" s="192">
        <v>0</v>
      </c>
      <c r="AH45" s="62" t="str">
        <f t="shared" si="58"/>
        <v/>
      </c>
      <c r="AI45" s="62">
        <f t="shared" si="59"/>
        <v>0</v>
      </c>
      <c r="AJ45" s="62"/>
      <c r="AK45" s="62">
        <v>0</v>
      </c>
      <c r="AL45" s="256">
        <f t="shared" si="45"/>
        <v>0</v>
      </c>
      <c r="AM45" s="256">
        <f t="shared" si="46"/>
        <v>0</v>
      </c>
      <c r="AN45" s="256">
        <f t="shared" si="47"/>
        <v>0</v>
      </c>
    </row>
    <row r="46" spans="1:40" x14ac:dyDescent="0.2">
      <c r="A46" s="602" t="s">
        <v>386</v>
      </c>
      <c r="B46" s="788">
        <v>250</v>
      </c>
      <c r="C46" s="788" t="s">
        <v>132</v>
      </c>
      <c r="D46" s="788"/>
      <c r="E46" s="934" t="s">
        <v>463</v>
      </c>
      <c r="F46" s="934">
        <v>2130</v>
      </c>
      <c r="G46" s="934" t="s">
        <v>167</v>
      </c>
      <c r="H46" s="788"/>
      <c r="I46" s="603" t="s">
        <v>491</v>
      </c>
      <c r="J46" s="603" t="s">
        <v>492</v>
      </c>
      <c r="K46" s="603" t="s">
        <v>393</v>
      </c>
      <c r="L46" s="603" t="s">
        <v>493</v>
      </c>
      <c r="M46" s="604">
        <v>0.3</v>
      </c>
      <c r="N46" s="602">
        <v>45</v>
      </c>
      <c r="O46" s="602">
        <v>26</v>
      </c>
      <c r="P46" s="602" t="s">
        <v>7</v>
      </c>
      <c r="Q46" s="602">
        <v>45</v>
      </c>
      <c r="R46" s="602">
        <v>1</v>
      </c>
      <c r="S46" s="602">
        <v>524</v>
      </c>
      <c r="T46" s="263">
        <f>+IF(R46="","",R46*S46)</f>
        <v>524</v>
      </c>
      <c r="U46" s="269">
        <v>23580</v>
      </c>
      <c r="V46" s="270">
        <f t="shared" si="60"/>
        <v>24287.4</v>
      </c>
      <c r="W46" s="270" t="str">
        <f t="shared" si="42"/>
        <v/>
      </c>
      <c r="X46" s="270">
        <f t="shared" si="43"/>
        <v>24287.4</v>
      </c>
      <c r="Y46" s="62">
        <v>0</v>
      </c>
      <c r="Z46" s="62">
        <v>0</v>
      </c>
      <c r="AA46" s="256">
        <f t="shared" si="54"/>
        <v>24287.4</v>
      </c>
      <c r="AB46" s="3"/>
      <c r="AC46" s="62" t="str">
        <f t="shared" si="44"/>
        <v/>
      </c>
      <c r="AD46" s="62">
        <f t="shared" si="55"/>
        <v>1505.8188</v>
      </c>
      <c r="AE46" s="62" t="str">
        <f t="shared" si="56"/>
        <v/>
      </c>
      <c r="AF46" s="62">
        <f t="shared" si="57"/>
        <v>352.16730000000001</v>
      </c>
      <c r="AG46" s="192">
        <v>0</v>
      </c>
      <c r="AH46" s="62">
        <f t="shared" si="58"/>
        <v>221.07207796302592</v>
      </c>
      <c r="AI46" s="62">
        <f t="shared" si="59"/>
        <v>71.531219141116253</v>
      </c>
      <c r="AJ46" s="62"/>
      <c r="AK46" s="62">
        <v>0</v>
      </c>
      <c r="AL46" s="256">
        <f t="shared" si="45"/>
        <v>2150.5893971041423</v>
      </c>
      <c r="AM46" s="256">
        <f t="shared" si="46"/>
        <v>24287.4</v>
      </c>
      <c r="AN46" s="256">
        <f t="shared" si="47"/>
        <v>26437.989397104146</v>
      </c>
    </row>
    <row r="47" spans="1:40" x14ac:dyDescent="0.2">
      <c r="A47" s="602" t="s">
        <v>377</v>
      </c>
      <c r="B47" s="934">
        <v>280</v>
      </c>
      <c r="C47" s="934">
        <v>715</v>
      </c>
      <c r="D47" s="788"/>
      <c r="E47" s="934">
        <v>430</v>
      </c>
      <c r="F47" s="934">
        <v>2130</v>
      </c>
      <c r="G47" s="934" t="s">
        <v>167</v>
      </c>
      <c r="H47" s="788"/>
      <c r="I47" s="603" t="s">
        <v>491</v>
      </c>
      <c r="J47" s="603" t="s">
        <v>492</v>
      </c>
      <c r="K47" s="603" t="s">
        <v>393</v>
      </c>
      <c r="L47" s="603" t="s">
        <v>493</v>
      </c>
      <c r="M47" s="604">
        <v>0.2</v>
      </c>
      <c r="N47" s="602">
        <v>45</v>
      </c>
      <c r="O47" s="602">
        <v>26</v>
      </c>
      <c r="P47" s="602" t="s">
        <v>7</v>
      </c>
      <c r="Q47" s="602">
        <v>45</v>
      </c>
      <c r="R47" s="602">
        <v>1</v>
      </c>
      <c r="S47" s="602">
        <v>258.75555555555553</v>
      </c>
      <c r="T47" s="263">
        <f>+IF(R47="","",R47*S47)</f>
        <v>258.75555555555553</v>
      </c>
      <c r="U47" s="269">
        <v>11643.999999999998</v>
      </c>
      <c r="V47" s="270">
        <f t="shared" si="60"/>
        <v>11993.319999999998</v>
      </c>
      <c r="W47" s="270" t="str">
        <f t="shared" si="42"/>
        <v/>
      </c>
      <c r="X47" s="270">
        <f t="shared" si="43"/>
        <v>11993.319999999998</v>
      </c>
      <c r="Y47" s="62">
        <v>0</v>
      </c>
      <c r="Z47" s="62">
        <v>0</v>
      </c>
      <c r="AA47" s="256">
        <f t="shared" si="54"/>
        <v>11993.319999999998</v>
      </c>
      <c r="AB47" s="3"/>
      <c r="AC47" s="62" t="str">
        <f t="shared" si="44"/>
        <v/>
      </c>
      <c r="AD47" s="62">
        <f t="shared" si="55"/>
        <v>743.58583999999985</v>
      </c>
      <c r="AE47" s="62" t="str">
        <f t="shared" si="56"/>
        <v/>
      </c>
      <c r="AF47" s="62">
        <f t="shared" si="57"/>
        <v>173.90313999999998</v>
      </c>
      <c r="AG47" s="192">
        <v>0</v>
      </c>
      <c r="AH47" s="62">
        <f t="shared" si="58"/>
        <v>109.16722967775544</v>
      </c>
      <c r="AI47" s="62">
        <f t="shared" si="59"/>
        <v>35.322710588598703</v>
      </c>
      <c r="AJ47" s="62"/>
      <c r="AK47" s="62">
        <v>0</v>
      </c>
      <c r="AL47" s="256">
        <f t="shared" si="45"/>
        <v>1061.978920266354</v>
      </c>
      <c r="AM47" s="256">
        <f t="shared" si="46"/>
        <v>11993.319999999998</v>
      </c>
      <c r="AN47" s="256">
        <f t="shared" si="47"/>
        <v>13055.298920266352</v>
      </c>
    </row>
    <row r="48" spans="1:40" x14ac:dyDescent="0.2">
      <c r="A48" s="602"/>
      <c r="B48" s="788"/>
      <c r="C48" s="788"/>
      <c r="D48" s="788"/>
      <c r="E48" s="788"/>
      <c r="F48" s="788"/>
      <c r="G48" s="788"/>
      <c r="H48" s="788"/>
      <c r="I48" s="603"/>
      <c r="J48" s="603"/>
      <c r="K48" s="603"/>
      <c r="L48" s="603"/>
      <c r="M48" s="604"/>
      <c r="N48" s="602"/>
      <c r="O48" s="602"/>
      <c r="P48" s="602"/>
      <c r="Q48" s="602"/>
      <c r="R48" s="602"/>
      <c r="S48" s="602"/>
      <c r="T48" s="263"/>
      <c r="U48" s="269"/>
      <c r="V48" s="270" t="str">
        <f t="shared" si="60"/>
        <v/>
      </c>
      <c r="W48" s="270" t="str">
        <f t="shared" si="42"/>
        <v/>
      </c>
      <c r="X48" s="270" t="str">
        <f t="shared" si="43"/>
        <v/>
      </c>
      <c r="Y48" s="62">
        <v>0</v>
      </c>
      <c r="Z48" s="62">
        <v>0</v>
      </c>
      <c r="AA48" s="256">
        <f t="shared" si="54"/>
        <v>0</v>
      </c>
      <c r="AB48" s="3"/>
      <c r="AC48" s="62" t="str">
        <f t="shared" si="44"/>
        <v/>
      </c>
      <c r="AD48" s="62" t="str">
        <f t="shared" si="55"/>
        <v/>
      </c>
      <c r="AE48" s="62" t="str">
        <f t="shared" si="56"/>
        <v/>
      </c>
      <c r="AF48" s="62" t="str">
        <f t="shared" si="57"/>
        <v/>
      </c>
      <c r="AG48" s="192">
        <v>0</v>
      </c>
      <c r="AH48" s="62" t="str">
        <f t="shared" si="58"/>
        <v/>
      </c>
      <c r="AI48" s="62">
        <f t="shared" si="59"/>
        <v>0</v>
      </c>
      <c r="AJ48" s="62"/>
      <c r="AK48" s="62">
        <v>0</v>
      </c>
      <c r="AL48" s="256">
        <f t="shared" si="45"/>
        <v>0</v>
      </c>
      <c r="AM48" s="256">
        <f t="shared" si="46"/>
        <v>0</v>
      </c>
      <c r="AN48" s="256">
        <f t="shared" si="47"/>
        <v>0</v>
      </c>
    </row>
    <row r="49" spans="1:40" x14ac:dyDescent="0.2">
      <c r="A49" s="602" t="s">
        <v>386</v>
      </c>
      <c r="B49" s="788">
        <v>100</v>
      </c>
      <c r="C49" s="788" t="s">
        <v>145</v>
      </c>
      <c r="D49" s="788"/>
      <c r="E49" s="788">
        <v>100</v>
      </c>
      <c r="F49" s="788">
        <v>1000</v>
      </c>
      <c r="G49" s="790" t="s">
        <v>169</v>
      </c>
      <c r="H49" s="788"/>
      <c r="I49" s="603" t="s">
        <v>1138</v>
      </c>
      <c r="J49" s="603" t="s">
        <v>1139</v>
      </c>
      <c r="K49" s="603" t="s">
        <v>384</v>
      </c>
      <c r="L49" s="603" t="s">
        <v>989</v>
      </c>
      <c r="M49" s="604">
        <v>1</v>
      </c>
      <c r="N49" s="602" t="s">
        <v>580</v>
      </c>
      <c r="O49" s="602">
        <v>22</v>
      </c>
      <c r="P49" s="602" t="s">
        <v>390</v>
      </c>
      <c r="Q49" s="602">
        <v>25</v>
      </c>
      <c r="R49" s="602">
        <v>180</v>
      </c>
      <c r="S49" s="602">
        <v>7</v>
      </c>
      <c r="T49" s="263">
        <f t="shared" ref="T49:T55" si="61">+IF(R49="","",R49*S49)</f>
        <v>1260</v>
      </c>
      <c r="U49" s="269">
        <v>31500</v>
      </c>
      <c r="V49" s="270">
        <f t="shared" si="60"/>
        <v>32445</v>
      </c>
      <c r="W49" s="270">
        <f t="shared" si="42"/>
        <v>37428.09777</v>
      </c>
      <c r="X49" s="270">
        <f t="shared" si="43"/>
        <v>37428.09777</v>
      </c>
      <c r="Y49" s="62">
        <v>0</v>
      </c>
      <c r="Z49" s="62">
        <v>0</v>
      </c>
      <c r="AA49" s="256">
        <f t="shared" si="54"/>
        <v>37428.09777</v>
      </c>
      <c r="AB49" s="3"/>
      <c r="AC49" s="62">
        <f t="shared" si="44"/>
        <v>7943.76</v>
      </c>
      <c r="AD49" s="62" t="str">
        <f t="shared" si="55"/>
        <v/>
      </c>
      <c r="AE49" s="62">
        <f t="shared" si="56"/>
        <v>5707.7849099249997</v>
      </c>
      <c r="AF49" s="62">
        <f t="shared" si="57"/>
        <v>542.70741766499998</v>
      </c>
      <c r="AG49" s="192">
        <v>0</v>
      </c>
      <c r="AH49" s="62">
        <f t="shared" si="58"/>
        <v>340.68312574492109</v>
      </c>
      <c r="AI49" s="62">
        <f t="shared" si="59"/>
        <v>110.23318525741719</v>
      </c>
      <c r="AJ49" s="62"/>
      <c r="AK49" s="62">
        <v>0</v>
      </c>
      <c r="AL49" s="256">
        <f t="shared" si="45"/>
        <v>14645.168638592339</v>
      </c>
      <c r="AM49" s="256">
        <f t="shared" si="46"/>
        <v>37428.09777</v>
      </c>
      <c r="AN49" s="256">
        <f t="shared" si="47"/>
        <v>52073.266408592339</v>
      </c>
    </row>
    <row r="50" spans="1:40" x14ac:dyDescent="0.2">
      <c r="A50" s="602" t="s">
        <v>386</v>
      </c>
      <c r="B50" s="788">
        <v>100</v>
      </c>
      <c r="C50" s="788" t="s">
        <v>145</v>
      </c>
      <c r="D50" s="788"/>
      <c r="E50" s="788">
        <v>100</v>
      </c>
      <c r="F50" s="788">
        <v>1000</v>
      </c>
      <c r="G50" s="790" t="s">
        <v>169</v>
      </c>
      <c r="H50" s="788"/>
      <c r="I50" s="603" t="s">
        <v>1142</v>
      </c>
      <c r="J50" s="603" t="s">
        <v>1143</v>
      </c>
      <c r="K50" s="603" t="s">
        <v>384</v>
      </c>
      <c r="L50" s="603" t="s">
        <v>989</v>
      </c>
      <c r="M50" s="604">
        <v>1</v>
      </c>
      <c r="N50" s="602">
        <v>10</v>
      </c>
      <c r="O50" s="602">
        <v>22</v>
      </c>
      <c r="P50" s="602" t="s">
        <v>342</v>
      </c>
      <c r="Q50" s="602">
        <v>15</v>
      </c>
      <c r="R50" s="602">
        <v>180</v>
      </c>
      <c r="S50" s="602">
        <v>7</v>
      </c>
      <c r="T50" s="263">
        <f t="shared" si="61"/>
        <v>1260</v>
      </c>
      <c r="U50" s="269">
        <v>18900</v>
      </c>
      <c r="V50" s="270">
        <f t="shared" si="60"/>
        <v>19467</v>
      </c>
      <c r="W50" s="270" t="str">
        <f t="shared" si="42"/>
        <v/>
      </c>
      <c r="X50" s="270">
        <f t="shared" si="43"/>
        <v>19467</v>
      </c>
      <c r="Y50" s="62">
        <v>0</v>
      </c>
      <c r="Z50" s="62">
        <v>0</v>
      </c>
      <c r="AA50" s="256">
        <f t="shared" si="54"/>
        <v>19467</v>
      </c>
      <c r="AB50" s="3"/>
      <c r="AC50" s="62">
        <f t="shared" si="44"/>
        <v>7943.76</v>
      </c>
      <c r="AD50" s="62" t="str">
        <f t="shared" si="55"/>
        <v/>
      </c>
      <c r="AE50" s="62">
        <f t="shared" si="56"/>
        <v>5694.0974999999999</v>
      </c>
      <c r="AF50" s="62">
        <f t="shared" si="57"/>
        <v>282.2715</v>
      </c>
      <c r="AG50" s="192">
        <v>0</v>
      </c>
      <c r="AH50" s="62">
        <f t="shared" si="58"/>
        <v>177.19517699326505</v>
      </c>
      <c r="AI50" s="62">
        <f t="shared" si="59"/>
        <v>57.334183281047373</v>
      </c>
      <c r="AJ50" s="62"/>
      <c r="AK50" s="62">
        <v>0</v>
      </c>
      <c r="AL50" s="256">
        <f t="shared" si="45"/>
        <v>14154.658360274314</v>
      </c>
      <c r="AM50" s="256">
        <f t="shared" si="46"/>
        <v>19467</v>
      </c>
      <c r="AN50" s="256">
        <f t="shared" si="47"/>
        <v>33621.658360274312</v>
      </c>
    </row>
    <row r="51" spans="1:40" x14ac:dyDescent="0.2">
      <c r="A51" s="602" t="s">
        <v>386</v>
      </c>
      <c r="B51" s="788">
        <v>100</v>
      </c>
      <c r="C51" s="788" t="s">
        <v>145</v>
      </c>
      <c r="D51" s="788"/>
      <c r="E51" s="788">
        <v>100</v>
      </c>
      <c r="F51" s="788">
        <v>1000</v>
      </c>
      <c r="G51" s="790" t="s">
        <v>169</v>
      </c>
      <c r="H51" s="788"/>
      <c r="I51" s="603" t="s">
        <v>1087</v>
      </c>
      <c r="J51" s="603" t="s">
        <v>1088</v>
      </c>
      <c r="K51" s="603" t="s">
        <v>384</v>
      </c>
      <c r="L51" s="603" t="s">
        <v>989</v>
      </c>
      <c r="M51" s="604">
        <v>1</v>
      </c>
      <c r="N51" s="602" t="s">
        <v>580</v>
      </c>
      <c r="O51" s="602">
        <v>22</v>
      </c>
      <c r="P51" s="602" t="s">
        <v>390</v>
      </c>
      <c r="Q51" s="602">
        <v>25</v>
      </c>
      <c r="R51" s="602">
        <v>180</v>
      </c>
      <c r="S51" s="602">
        <v>7</v>
      </c>
      <c r="T51" s="263">
        <f t="shared" si="61"/>
        <v>1260</v>
      </c>
      <c r="U51" s="269">
        <v>31500</v>
      </c>
      <c r="V51" s="270">
        <f t="shared" si="60"/>
        <v>32445</v>
      </c>
      <c r="W51" s="270">
        <f t="shared" si="42"/>
        <v>37428.09777</v>
      </c>
      <c r="X51" s="270">
        <f t="shared" si="43"/>
        <v>37428.09777</v>
      </c>
      <c r="Y51" s="62">
        <v>0</v>
      </c>
      <c r="Z51" s="62">
        <v>0</v>
      </c>
      <c r="AA51" s="256">
        <f t="shared" si="54"/>
        <v>37428.09777</v>
      </c>
      <c r="AB51" s="3"/>
      <c r="AC51" s="62">
        <f t="shared" si="44"/>
        <v>7943.76</v>
      </c>
      <c r="AD51" s="62" t="str">
        <f t="shared" si="55"/>
        <v/>
      </c>
      <c r="AE51" s="62">
        <f t="shared" si="56"/>
        <v>5707.7849099249997</v>
      </c>
      <c r="AF51" s="62">
        <f t="shared" si="57"/>
        <v>542.70741766499998</v>
      </c>
      <c r="AG51" s="192">
        <v>0</v>
      </c>
      <c r="AH51" s="62">
        <f t="shared" si="58"/>
        <v>340.68312574492109</v>
      </c>
      <c r="AI51" s="62">
        <f t="shared" si="59"/>
        <v>110.23318525741719</v>
      </c>
      <c r="AJ51" s="62"/>
      <c r="AK51" s="62">
        <v>0</v>
      </c>
      <c r="AL51" s="256">
        <f t="shared" si="45"/>
        <v>14645.168638592339</v>
      </c>
      <c r="AM51" s="256">
        <f t="shared" si="46"/>
        <v>37428.09777</v>
      </c>
      <c r="AN51" s="256">
        <f t="shared" si="47"/>
        <v>52073.266408592339</v>
      </c>
    </row>
    <row r="52" spans="1:40" x14ac:dyDescent="0.2">
      <c r="A52" s="602" t="s">
        <v>386</v>
      </c>
      <c r="B52" s="788">
        <v>100</v>
      </c>
      <c r="C52" s="788" t="s">
        <v>145</v>
      </c>
      <c r="D52" s="788"/>
      <c r="E52" s="788">
        <v>100</v>
      </c>
      <c r="F52" s="788">
        <v>1000</v>
      </c>
      <c r="G52" s="790" t="s">
        <v>169</v>
      </c>
      <c r="H52" s="788"/>
      <c r="I52" s="603" t="s">
        <v>1091</v>
      </c>
      <c r="J52" s="603" t="s">
        <v>1092</v>
      </c>
      <c r="K52" s="603" t="s">
        <v>384</v>
      </c>
      <c r="L52" s="603" t="s">
        <v>989</v>
      </c>
      <c r="M52" s="604">
        <v>1</v>
      </c>
      <c r="N52" s="602" t="s">
        <v>580</v>
      </c>
      <c r="O52" s="602">
        <v>22</v>
      </c>
      <c r="P52" s="602" t="s">
        <v>390</v>
      </c>
      <c r="Q52" s="602">
        <v>25</v>
      </c>
      <c r="R52" s="602">
        <v>180</v>
      </c>
      <c r="S52" s="602">
        <v>7</v>
      </c>
      <c r="T52" s="263">
        <f t="shared" si="61"/>
        <v>1260</v>
      </c>
      <c r="U52" s="269">
        <v>31500</v>
      </c>
      <c r="V52" s="270">
        <f t="shared" si="60"/>
        <v>32445</v>
      </c>
      <c r="W52" s="270">
        <f t="shared" si="42"/>
        <v>37428.09777</v>
      </c>
      <c r="X52" s="270">
        <f t="shared" si="43"/>
        <v>37428.09777</v>
      </c>
      <c r="Y52" s="62">
        <v>0</v>
      </c>
      <c r="Z52" s="62">
        <v>0</v>
      </c>
      <c r="AA52" s="256">
        <f t="shared" si="54"/>
        <v>37428.09777</v>
      </c>
      <c r="AB52" s="3"/>
      <c r="AC52" s="62">
        <f t="shared" si="44"/>
        <v>7943.76</v>
      </c>
      <c r="AD52" s="62" t="str">
        <f t="shared" si="55"/>
        <v/>
      </c>
      <c r="AE52" s="62">
        <f t="shared" si="56"/>
        <v>5707.7849099249997</v>
      </c>
      <c r="AF52" s="62">
        <f t="shared" si="57"/>
        <v>542.70741766499998</v>
      </c>
      <c r="AG52" s="192">
        <v>0</v>
      </c>
      <c r="AH52" s="62">
        <f t="shared" si="58"/>
        <v>340.68312574492109</v>
      </c>
      <c r="AI52" s="62">
        <f t="shared" si="59"/>
        <v>110.23318525741719</v>
      </c>
      <c r="AJ52" s="62"/>
      <c r="AK52" s="62">
        <v>0</v>
      </c>
      <c r="AL52" s="256">
        <f t="shared" si="45"/>
        <v>14645.168638592339</v>
      </c>
      <c r="AM52" s="256">
        <f t="shared" si="46"/>
        <v>37428.09777</v>
      </c>
      <c r="AN52" s="256">
        <f t="shared" si="47"/>
        <v>52073.266408592339</v>
      </c>
    </row>
    <row r="53" spans="1:40" x14ac:dyDescent="0.2">
      <c r="A53" s="602" t="s">
        <v>1000</v>
      </c>
      <c r="B53" s="934">
        <v>280</v>
      </c>
      <c r="C53" s="934">
        <v>633</v>
      </c>
      <c r="D53" s="788"/>
      <c r="E53" s="934">
        <v>430</v>
      </c>
      <c r="F53" s="934">
        <v>1000</v>
      </c>
      <c r="G53" s="934" t="s">
        <v>169</v>
      </c>
      <c r="H53" s="788"/>
      <c r="I53" s="603" t="s">
        <v>1093</v>
      </c>
      <c r="J53" s="603" t="s">
        <v>1094</v>
      </c>
      <c r="K53" s="603" t="s">
        <v>384</v>
      </c>
      <c r="L53" s="603" t="s">
        <v>989</v>
      </c>
      <c r="M53" s="604">
        <v>1</v>
      </c>
      <c r="N53" s="602" t="s">
        <v>580</v>
      </c>
      <c r="O53" s="602">
        <v>22</v>
      </c>
      <c r="P53" s="602" t="s">
        <v>390</v>
      </c>
      <c r="Q53" s="602">
        <v>25</v>
      </c>
      <c r="R53" s="602">
        <v>180</v>
      </c>
      <c r="S53" s="602">
        <v>7</v>
      </c>
      <c r="T53" s="263">
        <f t="shared" si="61"/>
        <v>1260</v>
      </c>
      <c r="U53" s="269">
        <v>31500</v>
      </c>
      <c r="V53" s="270">
        <f t="shared" si="60"/>
        <v>32445</v>
      </c>
      <c r="W53" s="270">
        <f t="shared" si="42"/>
        <v>37428.09777</v>
      </c>
      <c r="X53" s="270">
        <f t="shared" si="43"/>
        <v>37428.09777</v>
      </c>
      <c r="Y53" s="62">
        <v>0</v>
      </c>
      <c r="Z53" s="62">
        <v>0</v>
      </c>
      <c r="AA53" s="256">
        <f t="shared" si="54"/>
        <v>37428.09777</v>
      </c>
      <c r="AB53" s="3"/>
      <c r="AC53" s="62">
        <f t="shared" si="44"/>
        <v>7943.76</v>
      </c>
      <c r="AD53" s="62" t="str">
        <f t="shared" si="55"/>
        <v/>
      </c>
      <c r="AE53" s="62">
        <f t="shared" si="56"/>
        <v>5707.7849099249997</v>
      </c>
      <c r="AF53" s="62">
        <f t="shared" si="57"/>
        <v>542.70741766499998</v>
      </c>
      <c r="AG53" s="192">
        <v>0</v>
      </c>
      <c r="AH53" s="62">
        <f t="shared" si="58"/>
        <v>340.68312574492109</v>
      </c>
      <c r="AI53" s="62">
        <f t="shared" si="59"/>
        <v>110.23318525741719</v>
      </c>
      <c r="AJ53" s="62"/>
      <c r="AK53" s="62">
        <v>0</v>
      </c>
      <c r="AL53" s="256">
        <f t="shared" si="45"/>
        <v>14645.168638592339</v>
      </c>
      <c r="AM53" s="256">
        <f t="shared" si="46"/>
        <v>37428.09777</v>
      </c>
      <c r="AN53" s="256">
        <f t="shared" si="47"/>
        <v>52073.266408592339</v>
      </c>
    </row>
    <row r="54" spans="1:40" x14ac:dyDescent="0.2">
      <c r="A54" s="786" t="s">
        <v>1149</v>
      </c>
      <c r="B54" s="792">
        <v>100</v>
      </c>
      <c r="C54" s="792" t="s">
        <v>145</v>
      </c>
      <c r="D54" s="792"/>
      <c r="E54" s="792">
        <v>100</v>
      </c>
      <c r="F54" s="792">
        <v>1000</v>
      </c>
      <c r="G54" s="790" t="s">
        <v>169</v>
      </c>
      <c r="H54" s="307"/>
      <c r="I54" s="794" t="s">
        <v>1149</v>
      </c>
      <c r="J54" s="796" t="s">
        <v>503</v>
      </c>
      <c r="K54" s="603" t="s">
        <v>384</v>
      </c>
      <c r="L54" s="603" t="s">
        <v>989</v>
      </c>
      <c r="M54" s="604">
        <v>1</v>
      </c>
      <c r="N54" s="602" t="s">
        <v>580</v>
      </c>
      <c r="O54" s="602">
        <v>22</v>
      </c>
      <c r="P54" s="602" t="s">
        <v>390</v>
      </c>
      <c r="Q54" s="602">
        <v>25</v>
      </c>
      <c r="R54" s="602">
        <v>180</v>
      </c>
      <c r="S54" s="602">
        <v>7</v>
      </c>
      <c r="T54" s="263">
        <f t="shared" si="61"/>
        <v>1260</v>
      </c>
      <c r="U54" s="269">
        <v>31500</v>
      </c>
      <c r="V54" s="270">
        <f t="shared" si="60"/>
        <v>32445</v>
      </c>
      <c r="W54" s="270">
        <f t="shared" si="42"/>
        <v>37428.09777</v>
      </c>
      <c r="X54" s="270">
        <f t="shared" si="43"/>
        <v>37428.09777</v>
      </c>
      <c r="Y54" s="62">
        <v>0</v>
      </c>
      <c r="Z54" s="62">
        <v>0</v>
      </c>
      <c r="AA54" s="256">
        <f t="shared" si="54"/>
        <v>37428.09777</v>
      </c>
      <c r="AB54" s="3"/>
      <c r="AC54" s="62">
        <f t="shared" si="44"/>
        <v>7943.76</v>
      </c>
      <c r="AD54" s="62" t="str">
        <f t="shared" si="55"/>
        <v/>
      </c>
      <c r="AE54" s="62">
        <f t="shared" si="56"/>
        <v>5707.7849099249997</v>
      </c>
      <c r="AF54" s="62">
        <f t="shared" si="57"/>
        <v>542.70741766499998</v>
      </c>
      <c r="AG54" s="192">
        <v>0</v>
      </c>
      <c r="AH54" s="62">
        <f t="shared" si="58"/>
        <v>340.68312574492109</v>
      </c>
      <c r="AI54" s="62">
        <f t="shared" si="59"/>
        <v>110.23318525741719</v>
      </c>
      <c r="AJ54" s="62"/>
      <c r="AK54" s="62">
        <v>0</v>
      </c>
      <c r="AL54" s="256">
        <f t="shared" si="45"/>
        <v>14645.168638592339</v>
      </c>
      <c r="AM54" s="256">
        <f t="shared" si="46"/>
        <v>37428.09777</v>
      </c>
      <c r="AN54" s="256">
        <f t="shared" si="47"/>
        <v>52073.266408592339</v>
      </c>
    </row>
    <row r="55" spans="1:40" x14ac:dyDescent="0.2">
      <c r="A55" s="786" t="s">
        <v>1149</v>
      </c>
      <c r="B55" s="792">
        <v>100</v>
      </c>
      <c r="C55" s="792" t="s">
        <v>145</v>
      </c>
      <c r="D55" s="792"/>
      <c r="E55" s="792">
        <v>100</v>
      </c>
      <c r="F55" s="792">
        <v>1000</v>
      </c>
      <c r="G55" s="790" t="s">
        <v>169</v>
      </c>
      <c r="H55" s="307"/>
      <c r="I55" s="794" t="s">
        <v>1149</v>
      </c>
      <c r="J55" s="796" t="s">
        <v>503</v>
      </c>
      <c r="K55" s="603" t="s">
        <v>384</v>
      </c>
      <c r="L55" s="603" t="s">
        <v>989</v>
      </c>
      <c r="M55" s="604">
        <v>1</v>
      </c>
      <c r="N55" s="602" t="s">
        <v>580</v>
      </c>
      <c r="O55" s="602">
        <v>22</v>
      </c>
      <c r="P55" s="602" t="s">
        <v>390</v>
      </c>
      <c r="Q55" s="602">
        <v>25</v>
      </c>
      <c r="R55" s="602">
        <v>180</v>
      </c>
      <c r="S55" s="602">
        <v>7</v>
      </c>
      <c r="T55" s="263">
        <f t="shared" si="61"/>
        <v>1260</v>
      </c>
      <c r="U55" s="269">
        <v>31500</v>
      </c>
      <c r="V55" s="270">
        <f t="shared" si="60"/>
        <v>32445</v>
      </c>
      <c r="W55" s="270">
        <f t="shared" si="42"/>
        <v>37428.09777</v>
      </c>
      <c r="X55" s="270">
        <f t="shared" si="43"/>
        <v>37428.09777</v>
      </c>
      <c r="Y55" s="62">
        <v>0</v>
      </c>
      <c r="Z55" s="62">
        <v>0</v>
      </c>
      <c r="AA55" s="256">
        <f t="shared" si="54"/>
        <v>37428.09777</v>
      </c>
      <c r="AB55" s="3"/>
      <c r="AC55" s="62">
        <f t="shared" si="44"/>
        <v>7943.76</v>
      </c>
      <c r="AD55" s="62" t="str">
        <f t="shared" si="55"/>
        <v/>
      </c>
      <c r="AE55" s="62">
        <f t="shared" si="56"/>
        <v>5707.7849099249997</v>
      </c>
      <c r="AF55" s="62">
        <f t="shared" si="57"/>
        <v>542.70741766499998</v>
      </c>
      <c r="AG55" s="192">
        <v>0</v>
      </c>
      <c r="AH55" s="62">
        <f t="shared" si="58"/>
        <v>340.68312574492109</v>
      </c>
      <c r="AI55" s="62">
        <f t="shared" si="59"/>
        <v>110.23318525741719</v>
      </c>
      <c r="AJ55" s="62"/>
      <c r="AK55" s="62">
        <v>0</v>
      </c>
      <c r="AL55" s="256">
        <f t="shared" si="45"/>
        <v>14645.168638592339</v>
      </c>
      <c r="AM55" s="256">
        <f t="shared" si="46"/>
        <v>37428.09777</v>
      </c>
      <c r="AN55" s="256">
        <f t="shared" si="47"/>
        <v>52073.266408592339</v>
      </c>
    </row>
    <row r="56" spans="1:40" x14ac:dyDescent="0.2">
      <c r="A56" s="602"/>
      <c r="B56" s="788"/>
      <c r="C56" s="788"/>
      <c r="D56" s="788"/>
      <c r="E56" s="788"/>
      <c r="F56" s="788"/>
      <c r="G56" s="788"/>
      <c r="H56" s="788"/>
      <c r="I56" s="603"/>
      <c r="J56" s="603"/>
      <c r="K56" s="603"/>
      <c r="L56" s="603"/>
      <c r="M56" s="604"/>
      <c r="N56" s="602"/>
      <c r="O56" s="602"/>
      <c r="P56" s="602"/>
      <c r="Q56" s="602"/>
      <c r="R56" s="602"/>
      <c r="S56" s="602"/>
      <c r="T56" s="263"/>
      <c r="U56" s="269"/>
      <c r="V56" s="270" t="str">
        <f t="shared" si="60"/>
        <v/>
      </c>
      <c r="W56" s="270" t="str">
        <f t="shared" si="42"/>
        <v/>
      </c>
      <c r="X56" s="270" t="str">
        <f t="shared" si="43"/>
        <v/>
      </c>
      <c r="Y56" s="62">
        <v>0</v>
      </c>
      <c r="Z56" s="62">
        <v>0</v>
      </c>
      <c r="AA56" s="256">
        <f t="shared" si="54"/>
        <v>0</v>
      </c>
      <c r="AB56" s="3"/>
      <c r="AC56" s="62" t="str">
        <f t="shared" si="44"/>
        <v/>
      </c>
      <c r="AD56" s="62" t="str">
        <f t="shared" si="55"/>
        <v/>
      </c>
      <c r="AE56" s="62" t="str">
        <f t="shared" si="56"/>
        <v/>
      </c>
      <c r="AF56" s="62" t="str">
        <f t="shared" si="57"/>
        <v/>
      </c>
      <c r="AG56" s="192">
        <v>0</v>
      </c>
      <c r="AH56" s="62" t="str">
        <f t="shared" si="58"/>
        <v/>
      </c>
      <c r="AI56" s="62">
        <f t="shared" si="59"/>
        <v>0</v>
      </c>
      <c r="AJ56" s="62"/>
      <c r="AK56" s="62">
        <v>0</v>
      </c>
      <c r="AL56" s="256">
        <f t="shared" si="45"/>
        <v>0</v>
      </c>
      <c r="AM56" s="256">
        <f t="shared" si="46"/>
        <v>0</v>
      </c>
      <c r="AN56" s="256">
        <f t="shared" si="47"/>
        <v>0</v>
      </c>
    </row>
    <row r="57" spans="1:40" x14ac:dyDescent="0.2">
      <c r="A57" s="602" t="s">
        <v>386</v>
      </c>
      <c r="B57" s="788">
        <v>100</v>
      </c>
      <c r="C57" s="788" t="s">
        <v>145</v>
      </c>
      <c r="D57" s="788"/>
      <c r="E57" s="788">
        <v>100</v>
      </c>
      <c r="F57" s="788" t="s">
        <v>459</v>
      </c>
      <c r="G57" s="790" t="s">
        <v>173</v>
      </c>
      <c r="H57" s="788"/>
      <c r="I57" s="603" t="s">
        <v>916</v>
      </c>
      <c r="J57" s="603" t="s">
        <v>917</v>
      </c>
      <c r="K57" s="603" t="s">
        <v>446</v>
      </c>
      <c r="L57" s="603" t="s">
        <v>898</v>
      </c>
      <c r="M57" s="604">
        <v>1</v>
      </c>
      <c r="N57" s="602" t="s">
        <v>93</v>
      </c>
      <c r="O57" s="602">
        <v>1</v>
      </c>
      <c r="P57" s="602" t="s">
        <v>390</v>
      </c>
      <c r="Q57" s="602" t="s">
        <v>386</v>
      </c>
      <c r="R57" s="602">
        <v>261</v>
      </c>
      <c r="S57" s="602">
        <v>8</v>
      </c>
      <c r="T57" s="263">
        <f>+IF(R57="","",R57*S57)</f>
        <v>2088</v>
      </c>
      <c r="U57" s="269">
        <v>68500</v>
      </c>
      <c r="V57" s="270">
        <f t="shared" si="60"/>
        <v>70555</v>
      </c>
      <c r="W57" s="270">
        <f t="shared" si="42"/>
        <v>81391.26023</v>
      </c>
      <c r="X57" s="270">
        <f t="shared" si="43"/>
        <v>81391.26023</v>
      </c>
      <c r="Y57" s="62">
        <v>0</v>
      </c>
      <c r="Z57" s="62">
        <v>0</v>
      </c>
      <c r="AA57" s="256">
        <f t="shared" si="54"/>
        <v>81391.26023</v>
      </c>
      <c r="AB57" s="3"/>
      <c r="AC57" s="62">
        <f t="shared" si="44"/>
        <v>7943.76</v>
      </c>
      <c r="AD57" s="62" t="str">
        <f t="shared" si="55"/>
        <v/>
      </c>
      <c r="AE57" s="62">
        <f t="shared" si="56"/>
        <v>12412.167185074999</v>
      </c>
      <c r="AF57" s="62">
        <f t="shared" si="57"/>
        <v>1180.173273335</v>
      </c>
      <c r="AG57" s="192">
        <v>0</v>
      </c>
      <c r="AH57" s="62">
        <f t="shared" si="58"/>
        <v>740.85060677863794</v>
      </c>
      <c r="AI57" s="62">
        <f t="shared" si="59"/>
        <v>239.71343460739928</v>
      </c>
      <c r="AJ57" s="62"/>
      <c r="AK57" s="62">
        <v>0</v>
      </c>
      <c r="AL57" s="256">
        <f t="shared" si="45"/>
        <v>22516.664499796036</v>
      </c>
      <c r="AM57" s="256">
        <f t="shared" si="46"/>
        <v>81391.26023</v>
      </c>
      <c r="AN57" s="256">
        <f t="shared" si="47"/>
        <v>103907.92472979604</v>
      </c>
    </row>
    <row r="58" spans="1:40" x14ac:dyDescent="0.2">
      <c r="A58" s="602" t="s">
        <v>386</v>
      </c>
      <c r="B58" s="788">
        <v>100</v>
      </c>
      <c r="C58" s="788" t="s">
        <v>145</v>
      </c>
      <c r="D58" s="788"/>
      <c r="E58" s="788">
        <v>100</v>
      </c>
      <c r="F58" s="788">
        <v>2580</v>
      </c>
      <c r="G58" s="790" t="s">
        <v>173</v>
      </c>
      <c r="H58" s="788"/>
      <c r="I58" s="603" t="s">
        <v>382</v>
      </c>
      <c r="J58" s="603" t="s">
        <v>383</v>
      </c>
      <c r="K58" s="603" t="s">
        <v>384</v>
      </c>
      <c r="L58" s="603" t="s">
        <v>385</v>
      </c>
      <c r="M58" s="604">
        <v>1</v>
      </c>
      <c r="N58" s="602" t="s">
        <v>386</v>
      </c>
      <c r="O58" s="602">
        <v>26</v>
      </c>
      <c r="P58" s="602" t="s">
        <v>342</v>
      </c>
      <c r="Q58" s="602" t="s">
        <v>386</v>
      </c>
      <c r="R58" s="602">
        <v>261</v>
      </c>
      <c r="S58" s="602">
        <v>8</v>
      </c>
      <c r="T58" s="263">
        <f t="shared" si="7"/>
        <v>2088</v>
      </c>
      <c r="U58" s="269">
        <v>49000</v>
      </c>
      <c r="V58" s="270">
        <f t="shared" si="39"/>
        <v>50470</v>
      </c>
      <c r="W58" s="270" t="str">
        <f t="shared" si="8"/>
        <v/>
      </c>
      <c r="X58" s="270">
        <f t="shared" si="9"/>
        <v>50470</v>
      </c>
      <c r="Y58" s="62">
        <v>0</v>
      </c>
      <c r="Z58" s="62">
        <v>0</v>
      </c>
      <c r="AA58" s="256">
        <f t="shared" si="10"/>
        <v>50470</v>
      </c>
      <c r="AB58" s="3"/>
      <c r="AC58" s="62">
        <f t="shared" si="11"/>
        <v>7943.76</v>
      </c>
      <c r="AD58" s="62" t="str">
        <f t="shared" si="12"/>
        <v/>
      </c>
      <c r="AE58" s="62">
        <f t="shared" si="13"/>
        <v>14762.474999999999</v>
      </c>
      <c r="AF58" s="62">
        <f t="shared" si="14"/>
        <v>731.81500000000005</v>
      </c>
      <c r="AG58" s="192">
        <v>0</v>
      </c>
      <c r="AH58" s="62">
        <f t="shared" si="15"/>
        <v>459.39490331587234</v>
      </c>
      <c r="AI58" s="62">
        <f t="shared" si="16"/>
        <v>148.64417887678948</v>
      </c>
      <c r="AJ58" s="62"/>
      <c r="AK58" s="62">
        <v>0</v>
      </c>
      <c r="AL58" s="256">
        <f t="shared" si="17"/>
        <v>24046.089082192659</v>
      </c>
      <c r="AM58" s="256">
        <f t="shared" si="18"/>
        <v>50470</v>
      </c>
      <c r="AN58" s="256">
        <f t="shared" si="19"/>
        <v>74516.089082192659</v>
      </c>
    </row>
    <row r="59" spans="1:40" x14ac:dyDescent="0.2">
      <c r="A59" s="602" t="s">
        <v>386</v>
      </c>
      <c r="B59" s="788">
        <v>100</v>
      </c>
      <c r="C59" s="788" t="s">
        <v>145</v>
      </c>
      <c r="D59" s="788"/>
      <c r="E59" s="788">
        <v>100</v>
      </c>
      <c r="F59" s="788" t="s">
        <v>458</v>
      </c>
      <c r="G59" s="790" t="s">
        <v>171</v>
      </c>
      <c r="H59" s="788"/>
      <c r="I59" s="603" t="s">
        <v>914</v>
      </c>
      <c r="J59" s="603" t="s">
        <v>915</v>
      </c>
      <c r="K59" s="603" t="s">
        <v>384</v>
      </c>
      <c r="L59" s="603" t="s">
        <v>897</v>
      </c>
      <c r="M59" s="604">
        <v>1</v>
      </c>
      <c r="N59" s="602" t="s">
        <v>356</v>
      </c>
      <c r="O59" s="602">
        <v>1</v>
      </c>
      <c r="P59" s="602" t="s">
        <v>342</v>
      </c>
      <c r="Q59" s="602" t="s">
        <v>386</v>
      </c>
      <c r="R59" s="602">
        <v>261</v>
      </c>
      <c r="S59" s="602">
        <v>8</v>
      </c>
      <c r="T59" s="263">
        <f t="shared" si="7"/>
        <v>2088</v>
      </c>
      <c r="U59" s="269">
        <v>62000</v>
      </c>
      <c r="V59" s="270">
        <f t="shared" si="39"/>
        <v>63860</v>
      </c>
      <c r="W59" s="270" t="str">
        <f t="shared" si="8"/>
        <v/>
      </c>
      <c r="X59" s="270">
        <f t="shared" si="9"/>
        <v>63860</v>
      </c>
      <c r="Y59" s="62">
        <v>0</v>
      </c>
      <c r="Z59" s="62">
        <v>0</v>
      </c>
      <c r="AA59" s="256">
        <f t="shared" si="10"/>
        <v>63860</v>
      </c>
      <c r="AB59" s="3"/>
      <c r="AC59" s="62">
        <f t="shared" si="11"/>
        <v>7943.76</v>
      </c>
      <c r="AD59" s="62" t="str">
        <f t="shared" si="12"/>
        <v/>
      </c>
      <c r="AE59" s="62">
        <f t="shared" si="13"/>
        <v>18679.05</v>
      </c>
      <c r="AF59" s="62">
        <f t="shared" si="14"/>
        <v>925.97</v>
      </c>
      <c r="AG59" s="192">
        <v>0</v>
      </c>
      <c r="AH59" s="62">
        <f t="shared" si="15"/>
        <v>581.27518378743025</v>
      </c>
      <c r="AI59" s="62">
        <f t="shared" si="16"/>
        <v>188.08038959920302</v>
      </c>
      <c r="AJ59" s="62"/>
      <c r="AK59" s="62">
        <v>0</v>
      </c>
      <c r="AL59" s="256">
        <f t="shared" si="17"/>
        <v>28318.135573386633</v>
      </c>
      <c r="AM59" s="256">
        <f t="shared" si="18"/>
        <v>63860</v>
      </c>
      <c r="AN59" s="256">
        <f t="shared" si="19"/>
        <v>92178.135573386637</v>
      </c>
    </row>
    <row r="60" spans="1:40" x14ac:dyDescent="0.2">
      <c r="A60" s="602"/>
      <c r="B60" s="788"/>
      <c r="C60" s="788"/>
      <c r="D60" s="788"/>
      <c r="E60" s="788"/>
      <c r="F60" s="788"/>
      <c r="G60" s="788"/>
      <c r="H60" s="788"/>
      <c r="I60" s="603"/>
      <c r="J60" s="603"/>
      <c r="K60" s="603"/>
      <c r="L60" s="603"/>
      <c r="M60" s="604"/>
      <c r="N60" s="602"/>
      <c r="O60" s="602"/>
      <c r="P60" s="602"/>
      <c r="Q60" s="602"/>
      <c r="R60" s="602"/>
      <c r="S60" s="602"/>
      <c r="T60" s="263"/>
      <c r="U60" s="269"/>
      <c r="V60" s="270"/>
      <c r="W60" s="270"/>
      <c r="X60" s="270"/>
      <c r="Y60" s="62"/>
      <c r="Z60" s="62"/>
      <c r="AA60" s="256"/>
      <c r="AB60" s="3"/>
      <c r="AC60" s="62" t="str">
        <f>IF(AND(M60=1,P60&lt;&gt;"N"),$AC$1,"")</f>
        <v/>
      </c>
      <c r="AD60" s="62"/>
      <c r="AE60" s="62"/>
      <c r="AF60" s="62"/>
      <c r="AG60" s="192"/>
      <c r="AH60" s="62"/>
      <c r="AI60" s="62"/>
      <c r="AJ60" s="62"/>
      <c r="AK60" s="62"/>
      <c r="AL60" s="256"/>
      <c r="AM60" s="256"/>
      <c r="AN60" s="256"/>
    </row>
    <row r="61" spans="1:40" x14ac:dyDescent="0.2">
      <c r="A61" s="602" t="s">
        <v>924</v>
      </c>
      <c r="B61" s="788">
        <v>280</v>
      </c>
      <c r="C61" s="788">
        <v>661</v>
      </c>
      <c r="D61" s="788"/>
      <c r="E61" s="788">
        <v>100</v>
      </c>
      <c r="F61" s="788">
        <v>2110</v>
      </c>
      <c r="G61" s="790" t="s">
        <v>173</v>
      </c>
      <c r="H61" s="788"/>
      <c r="I61" s="603" t="s">
        <v>1137</v>
      </c>
      <c r="J61" s="603" t="s">
        <v>1136</v>
      </c>
      <c r="K61" s="603" t="s">
        <v>384</v>
      </c>
      <c r="L61" s="603" t="s">
        <v>907</v>
      </c>
      <c r="M61" s="604">
        <v>1</v>
      </c>
      <c r="N61" s="602">
        <v>12</v>
      </c>
      <c r="O61" s="602">
        <v>24</v>
      </c>
      <c r="P61" s="602" t="s">
        <v>342</v>
      </c>
      <c r="Q61" s="602">
        <v>19.88</v>
      </c>
      <c r="R61" s="602">
        <v>260</v>
      </c>
      <c r="S61" s="602">
        <v>8</v>
      </c>
      <c r="T61" s="263">
        <f>+IF(R61="","",R61*S61)</f>
        <v>2080</v>
      </c>
      <c r="U61" s="269">
        <v>41350.400000000001</v>
      </c>
      <c r="V61" s="270">
        <f>IF($U61="","",$U61*(1+$V$1))</f>
        <v>42590.912000000004</v>
      </c>
      <c r="W61" s="270" t="str">
        <f>+IF(P61="EE",+V61*$W$1,"")</f>
        <v/>
      </c>
      <c r="X61" s="270">
        <f>_xlfn.IFS(P61="ER",V61,P61="EE",W61,P61="N",V61,P61="","")</f>
        <v>42590.912000000004</v>
      </c>
      <c r="Y61" s="62">
        <v>0</v>
      </c>
      <c r="Z61" s="62">
        <v>0</v>
      </c>
      <c r="AA61" s="256">
        <f>SUM(X61:Z61)</f>
        <v>42590.912000000004</v>
      </c>
      <c r="AB61" s="3"/>
      <c r="AC61" s="62">
        <f>IF(AND(M61=1,P61&lt;&gt;"N"),$AC$1,"")</f>
        <v>7943.76</v>
      </c>
      <c r="AD61" s="62" t="str">
        <f>_xlfn.IFS(P61="N",$AD$1*AA61,P61="EE","",P61="ER","",P61="","")</f>
        <v/>
      </c>
      <c r="AE61" s="62">
        <f>_xlfn.IFS(P61="EE",X61*$AE$1,P61="ER",X61*$AE$2,P61="N","",P61="","")</f>
        <v>12457.841760000001</v>
      </c>
      <c r="AF61" s="62">
        <f>+IF(AA61&gt;1,AA61*$AF$1,"")</f>
        <v>617.5682240000001</v>
      </c>
      <c r="AG61" s="192">
        <v>0</v>
      </c>
      <c r="AH61" s="62">
        <f>+IF(AA61&gt;1,AA61*$AH$1,"")</f>
        <v>387.67679612393158</v>
      </c>
      <c r="AI61" s="62">
        <f>+_xlfn.IFS(F61&lt;2300,(AA61*$AI$1),F61&gt;=2300,(AA61*$AI$2),F61="","")</f>
        <v>125.43869906585299</v>
      </c>
      <c r="AJ61" s="62"/>
      <c r="AK61" s="62">
        <v>0</v>
      </c>
      <c r="AL61" s="256">
        <f>SUM(AC61:AK61)</f>
        <v>21532.285479189784</v>
      </c>
      <c r="AM61" s="256">
        <f>AA61</f>
        <v>42590.912000000004</v>
      </c>
      <c r="AN61" s="256">
        <f>SUM(AL61:AM61)</f>
        <v>64123.197479189788</v>
      </c>
    </row>
    <row r="62" spans="1:40" x14ac:dyDescent="0.2">
      <c r="A62" s="602" t="s">
        <v>386</v>
      </c>
      <c r="B62" s="788" t="s">
        <v>386</v>
      </c>
      <c r="C62" s="788" t="s">
        <v>386</v>
      </c>
      <c r="D62" s="788"/>
      <c r="E62" s="788" t="s">
        <v>386</v>
      </c>
      <c r="F62" s="788" t="s">
        <v>386</v>
      </c>
      <c r="G62" s="788" t="s">
        <v>386</v>
      </c>
      <c r="H62" s="788"/>
      <c r="I62" s="603" t="s">
        <v>386</v>
      </c>
      <c r="J62" s="603" t="s">
        <v>386</v>
      </c>
      <c r="K62" s="603" t="s">
        <v>386</v>
      </c>
      <c r="L62" s="603" t="s">
        <v>386</v>
      </c>
      <c r="M62" s="604" t="s">
        <v>386</v>
      </c>
      <c r="N62" s="602" t="s">
        <v>386</v>
      </c>
      <c r="O62" s="602" t="s">
        <v>386</v>
      </c>
      <c r="P62" s="602" t="s">
        <v>386</v>
      </c>
      <c r="Q62" s="602" t="s">
        <v>386</v>
      </c>
      <c r="R62" s="602" t="s">
        <v>386</v>
      </c>
      <c r="S62" s="602" t="s">
        <v>386</v>
      </c>
      <c r="T62" s="263" t="str">
        <f>+IF(R62="","",R62*S62)</f>
        <v/>
      </c>
      <c r="U62" s="269">
        <v>0</v>
      </c>
      <c r="V62" s="270">
        <f>IF($U62="","",$U62*(1+$V$1))</f>
        <v>0</v>
      </c>
      <c r="W62" s="270" t="str">
        <f>+IF(P62="EE",+V62*$W$1,"")</f>
        <v/>
      </c>
      <c r="X62" s="270" t="str">
        <f>_xlfn.IFS(P62="ER",V62,P62="EE",W62,P62="N",V62,P62="","")</f>
        <v/>
      </c>
      <c r="Y62" s="62">
        <v>0</v>
      </c>
      <c r="Z62" s="62">
        <v>0</v>
      </c>
      <c r="AA62" s="256">
        <f>SUM(X62:Z62)</f>
        <v>0</v>
      </c>
      <c r="AB62" s="3"/>
      <c r="AC62" s="62" t="str">
        <f>IF(AND(M62=1,P62&lt;&gt;"N"),$AC$1,"")</f>
        <v/>
      </c>
      <c r="AD62" s="62" t="str">
        <f>_xlfn.IFS(P62="N",$AD$1*AA62,P62="EE","",P62="ER","",P62="","")</f>
        <v/>
      </c>
      <c r="AE62" s="62" t="str">
        <f>_xlfn.IFS(P62="EE",X62*$AE$1,P62="ER",X62*$AE$2,P62="N","",P62="","")</f>
        <v/>
      </c>
      <c r="AF62" s="62" t="str">
        <f>+IF(AA62&gt;1,AA62*$AF$1,"")</f>
        <v/>
      </c>
      <c r="AG62" s="192">
        <v>0</v>
      </c>
      <c r="AH62" s="62" t="str">
        <f>+IF(AA62&gt;1,AA62*$AH$1,"")</f>
        <v/>
      </c>
      <c r="AI62" s="62">
        <f>+_xlfn.IFS(F62&lt;2300,(AA62*$AI$1),F62&gt;=2300,(AA62*$AI$2),F62="","")</f>
        <v>0</v>
      </c>
      <c r="AJ62" s="62"/>
      <c r="AK62" s="62">
        <v>0</v>
      </c>
      <c r="AL62" s="256">
        <f>SUM(AC62:AK62)</f>
        <v>0</v>
      </c>
      <c r="AM62" s="256">
        <f>AA62</f>
        <v>0</v>
      </c>
      <c r="AN62" s="256">
        <f>SUM(AL62:AM62)</f>
        <v>0</v>
      </c>
    </row>
    <row r="63" spans="1:40" x14ac:dyDescent="0.2">
      <c r="A63" s="602" t="s">
        <v>386</v>
      </c>
      <c r="B63" s="788">
        <v>100</v>
      </c>
      <c r="C63" s="788" t="s">
        <v>145</v>
      </c>
      <c r="D63" s="788"/>
      <c r="E63" s="788">
        <v>100</v>
      </c>
      <c r="F63" s="788">
        <v>2212</v>
      </c>
      <c r="G63" s="790" t="s">
        <v>173</v>
      </c>
      <c r="H63" s="788"/>
      <c r="I63" s="603" t="s">
        <v>964</v>
      </c>
      <c r="J63" s="603" t="s">
        <v>979</v>
      </c>
      <c r="K63" s="603" t="s">
        <v>384</v>
      </c>
      <c r="L63" s="603" t="s">
        <v>906</v>
      </c>
      <c r="M63" s="604">
        <v>1</v>
      </c>
      <c r="N63" s="602" t="s">
        <v>386</v>
      </c>
      <c r="O63" s="602">
        <v>26</v>
      </c>
      <c r="P63" s="602" t="s">
        <v>390</v>
      </c>
      <c r="Q63" s="602">
        <v>20</v>
      </c>
      <c r="R63" s="602">
        <v>261</v>
      </c>
      <c r="S63" s="602">
        <v>8</v>
      </c>
      <c r="T63" s="263">
        <f t="shared" si="7"/>
        <v>2088</v>
      </c>
      <c r="U63" s="269">
        <v>42600</v>
      </c>
      <c r="V63" s="270">
        <f t="shared" si="39"/>
        <v>43878</v>
      </c>
      <c r="W63" s="270">
        <f t="shared" si="8"/>
        <v>50617.046507999999</v>
      </c>
      <c r="X63" s="270">
        <f t="shared" si="9"/>
        <v>50617.046507999999</v>
      </c>
      <c r="Y63" s="62">
        <v>0</v>
      </c>
      <c r="Z63" s="62">
        <v>0</v>
      </c>
      <c r="AA63" s="256">
        <f t="shared" si="10"/>
        <v>50617.046507999999</v>
      </c>
      <c r="AB63" s="3"/>
      <c r="AC63" s="62">
        <f t="shared" si="11"/>
        <v>7943.76</v>
      </c>
      <c r="AD63" s="62" t="str">
        <f t="shared" si="12"/>
        <v/>
      </c>
      <c r="AE63" s="62">
        <f t="shared" si="13"/>
        <v>7719.0995924700001</v>
      </c>
      <c r="AF63" s="62">
        <f t="shared" si="14"/>
        <v>733.94717436600001</v>
      </c>
      <c r="AG63" s="192">
        <v>0</v>
      </c>
      <c r="AH63" s="62">
        <f t="shared" si="15"/>
        <v>460.73337005503612</v>
      </c>
      <c r="AI63" s="62">
        <f t="shared" si="16"/>
        <v>149.07726006241182</v>
      </c>
      <c r="AJ63" s="62"/>
      <c r="AK63" s="62">
        <v>0</v>
      </c>
      <c r="AL63" s="256">
        <f t="shared" si="17"/>
        <v>17006.61739695345</v>
      </c>
      <c r="AM63" s="256">
        <f t="shared" si="18"/>
        <v>50617.046507999999</v>
      </c>
      <c r="AN63" s="256">
        <f t="shared" si="19"/>
        <v>67623.663904953457</v>
      </c>
    </row>
    <row r="64" spans="1:40" x14ac:dyDescent="0.2">
      <c r="A64" s="602" t="s">
        <v>386</v>
      </c>
      <c r="B64" s="788">
        <v>100</v>
      </c>
      <c r="C64" s="788" t="s">
        <v>145</v>
      </c>
      <c r="D64" s="788"/>
      <c r="E64" s="788">
        <v>100</v>
      </c>
      <c r="F64" s="788" t="s">
        <v>460</v>
      </c>
      <c r="G64" s="790" t="s">
        <v>173</v>
      </c>
      <c r="H64" s="788"/>
      <c r="I64" s="603" t="s">
        <v>1081</v>
      </c>
      <c r="J64" s="603" t="s">
        <v>1082</v>
      </c>
      <c r="K64" s="603" t="s">
        <v>384</v>
      </c>
      <c r="L64" s="603" t="s">
        <v>899</v>
      </c>
      <c r="M64" s="604">
        <v>1</v>
      </c>
      <c r="N64" s="602" t="s">
        <v>356</v>
      </c>
      <c r="O64" s="602">
        <v>1</v>
      </c>
      <c r="P64" s="602" t="s">
        <v>390</v>
      </c>
      <c r="Q64" s="602" t="s">
        <v>386</v>
      </c>
      <c r="R64" s="602">
        <v>261</v>
      </c>
      <c r="S64" s="602">
        <v>8</v>
      </c>
      <c r="T64" s="263">
        <f t="shared" si="7"/>
        <v>2088</v>
      </c>
      <c r="U64" s="269">
        <v>43000</v>
      </c>
      <c r="V64" s="270">
        <f t="shared" si="39"/>
        <v>44290</v>
      </c>
      <c r="W64" s="270">
        <f t="shared" si="8"/>
        <v>51092.323940000002</v>
      </c>
      <c r="X64" s="270">
        <f t="shared" si="9"/>
        <v>51092.323940000002</v>
      </c>
      <c r="Y64" s="62">
        <v>0</v>
      </c>
      <c r="Z64" s="62">
        <v>0</v>
      </c>
      <c r="AA64" s="256">
        <f t="shared" si="10"/>
        <v>51092.323940000002</v>
      </c>
      <c r="AB64" s="3"/>
      <c r="AC64" s="62">
        <f t="shared" si="11"/>
        <v>7943.76</v>
      </c>
      <c r="AD64" s="62" t="str">
        <f t="shared" si="12"/>
        <v/>
      </c>
      <c r="AE64" s="62">
        <f t="shared" si="13"/>
        <v>7791.5794008499997</v>
      </c>
      <c r="AF64" s="62">
        <f t="shared" si="14"/>
        <v>740.83869713000001</v>
      </c>
      <c r="AG64" s="192">
        <v>0</v>
      </c>
      <c r="AH64" s="62">
        <f t="shared" si="15"/>
        <v>465.05950498513039</v>
      </c>
      <c r="AI64" s="62">
        <f t="shared" si="16"/>
        <v>150.47704654187109</v>
      </c>
      <c r="AJ64" s="62"/>
      <c r="AK64" s="62">
        <v>0</v>
      </c>
      <c r="AL64" s="256">
        <f t="shared" si="17"/>
        <v>17091.714649506997</v>
      </c>
      <c r="AM64" s="256">
        <f t="shared" si="18"/>
        <v>51092.323940000002</v>
      </c>
      <c r="AN64" s="256">
        <f t="shared" si="19"/>
        <v>68184.038589506992</v>
      </c>
    </row>
    <row r="65" spans="1:40" x14ac:dyDescent="0.2">
      <c r="A65" s="602" t="s">
        <v>924</v>
      </c>
      <c r="B65" s="788">
        <v>280</v>
      </c>
      <c r="C65" s="788">
        <v>661</v>
      </c>
      <c r="D65" s="788"/>
      <c r="E65" s="788">
        <v>100</v>
      </c>
      <c r="F65" s="788">
        <v>2410</v>
      </c>
      <c r="G65" s="790" t="s">
        <v>173</v>
      </c>
      <c r="H65" s="788"/>
      <c r="I65" s="603" t="s">
        <v>974</v>
      </c>
      <c r="J65" s="603" t="s">
        <v>918</v>
      </c>
      <c r="K65" s="603" t="s">
        <v>384</v>
      </c>
      <c r="L65" s="603" t="s">
        <v>909</v>
      </c>
      <c r="M65" s="604">
        <v>1</v>
      </c>
      <c r="N65" s="602" t="s">
        <v>386</v>
      </c>
      <c r="O65" s="602">
        <v>26</v>
      </c>
      <c r="P65" s="602" t="s">
        <v>342</v>
      </c>
      <c r="Q65" s="602" t="s">
        <v>386</v>
      </c>
      <c r="R65" s="602">
        <v>200</v>
      </c>
      <c r="S65" s="602">
        <v>8</v>
      </c>
      <c r="T65" s="263">
        <f t="shared" si="7"/>
        <v>1600</v>
      </c>
      <c r="U65" s="269">
        <v>70000</v>
      </c>
      <c r="V65" s="270">
        <f t="shared" si="39"/>
        <v>72100</v>
      </c>
      <c r="W65" s="270" t="str">
        <f t="shared" si="8"/>
        <v/>
      </c>
      <c r="X65" s="270">
        <f t="shared" si="9"/>
        <v>72100</v>
      </c>
      <c r="Y65" s="62">
        <v>0</v>
      </c>
      <c r="Z65" s="62">
        <v>0</v>
      </c>
      <c r="AA65" s="256">
        <f t="shared" si="10"/>
        <v>72100</v>
      </c>
      <c r="AB65" s="3"/>
      <c r="AC65" s="62">
        <f t="shared" si="11"/>
        <v>7943.76</v>
      </c>
      <c r="AD65" s="62" t="str">
        <f t="shared" si="12"/>
        <v/>
      </c>
      <c r="AE65" s="62">
        <f t="shared" si="13"/>
        <v>21089.25</v>
      </c>
      <c r="AF65" s="62">
        <f t="shared" si="14"/>
        <v>1045.45</v>
      </c>
      <c r="AG65" s="192">
        <v>0</v>
      </c>
      <c r="AH65" s="62">
        <f t="shared" si="15"/>
        <v>656.27843330838903</v>
      </c>
      <c r="AI65" s="62">
        <f t="shared" si="16"/>
        <v>212.34882696684213</v>
      </c>
      <c r="AJ65" s="62"/>
      <c r="AK65" s="62">
        <v>0</v>
      </c>
      <c r="AL65" s="256">
        <f t="shared" si="17"/>
        <v>30947.087260275232</v>
      </c>
      <c r="AM65" s="256">
        <f t="shared" si="18"/>
        <v>72100</v>
      </c>
      <c r="AN65" s="256">
        <f t="shared" si="19"/>
        <v>103047.08726027524</v>
      </c>
    </row>
    <row r="66" spans="1:40" x14ac:dyDescent="0.2">
      <c r="A66" s="602" t="s">
        <v>386</v>
      </c>
      <c r="B66" s="788">
        <v>100</v>
      </c>
      <c r="C66" s="788" t="s">
        <v>145</v>
      </c>
      <c r="D66" s="788"/>
      <c r="E66" s="788">
        <v>100</v>
      </c>
      <c r="F66" s="788" t="s">
        <v>460</v>
      </c>
      <c r="G66" s="790" t="s">
        <v>173</v>
      </c>
      <c r="H66" s="788"/>
      <c r="I66" s="603" t="s">
        <v>956</v>
      </c>
      <c r="J66" s="603" t="s">
        <v>1144</v>
      </c>
      <c r="K66" s="603" t="s">
        <v>384</v>
      </c>
      <c r="L66" s="603" t="s">
        <v>957</v>
      </c>
      <c r="M66" s="604">
        <v>1</v>
      </c>
      <c r="N66" s="602" t="s">
        <v>582</v>
      </c>
      <c r="O66" s="602">
        <v>22.5</v>
      </c>
      <c r="P66" s="602" t="s">
        <v>342</v>
      </c>
      <c r="Q66" s="602">
        <v>15.95</v>
      </c>
      <c r="R66" s="602">
        <v>260</v>
      </c>
      <c r="S66" s="602">
        <v>8</v>
      </c>
      <c r="T66" s="263">
        <f t="shared" ref="T66:T71" si="62">+IF(R66="","",R66*S66)</f>
        <v>2080</v>
      </c>
      <c r="U66" s="269">
        <v>33176</v>
      </c>
      <c r="V66" s="270">
        <f t="shared" ref="V66:V71" si="63">IF($U66="","",$U66*(1+$V$1))</f>
        <v>34171.279999999999</v>
      </c>
      <c r="W66" s="270" t="str">
        <f t="shared" ref="W66:W71" si="64">+IF(P66="EE",+V66*$W$1,"")</f>
        <v/>
      </c>
      <c r="X66" s="270">
        <f t="shared" ref="X66:X71" si="65">_xlfn.IFS(P66="ER",V66,P66="EE",W66,P66="N",V66,P66="","")</f>
        <v>34171.279999999999</v>
      </c>
      <c r="Y66" s="62">
        <v>0</v>
      </c>
      <c r="Z66" s="62">
        <v>0</v>
      </c>
      <c r="AA66" s="256">
        <f t="shared" ref="AA66:AA71" si="66">SUM(X66:Z66)</f>
        <v>34171.279999999999</v>
      </c>
      <c r="AB66" s="3"/>
      <c r="AC66" s="62">
        <f t="shared" ref="AC66:AC71" si="67">IF(AND(M66=1,P66&lt;&gt;"N"),$AC$1,"")</f>
        <v>7943.76</v>
      </c>
      <c r="AD66" s="62" t="str">
        <f t="shared" ref="AD66:AD71" si="68">_xlfn.IFS(P66="N",$AD$1*AA66,P66="EE","",P66="ER","",P66="","")</f>
        <v/>
      </c>
      <c r="AE66" s="62">
        <f t="shared" ref="AE66:AE71" si="69">_xlfn.IFS(P66="EE",X66*$AE$1,P66="ER",X66*$AE$2,P66="N","",P66="","")</f>
        <v>9995.0993999999992</v>
      </c>
      <c r="AF66" s="62">
        <f t="shared" ref="AF66:AF71" si="70">+IF(AA66&gt;1,AA66*$AF$1,"")</f>
        <v>495.48356000000001</v>
      </c>
      <c r="AG66" s="192">
        <v>0</v>
      </c>
      <c r="AH66" s="62">
        <f t="shared" ref="AH66:AH71" si="71">+IF(AA66&gt;1,AA66*$AH$1,"")</f>
        <v>311.03847576341593</v>
      </c>
      <c r="AI66" s="62">
        <f t="shared" ref="AI66:AI71" si="72">+_xlfn.IFS(F66&lt;2300,(AA66*$AI$1),F66&gt;=2300,(AA66*$AI$2),F66="","")</f>
        <v>100.64120976359933</v>
      </c>
      <c r="AJ66" s="62"/>
      <c r="AK66" s="62">
        <v>0</v>
      </c>
      <c r="AL66" s="256">
        <f t="shared" ref="AL66:AL71" si="73">SUM(AC66:AK66)</f>
        <v>18846.022645527017</v>
      </c>
      <c r="AM66" s="256">
        <f t="shared" ref="AM66:AM71" si="74">AA66</f>
        <v>34171.279999999999</v>
      </c>
      <c r="AN66" s="256">
        <f t="shared" ref="AN66:AN71" si="75">SUM(AL66:AM66)</f>
        <v>53017.302645527016</v>
      </c>
    </row>
    <row r="67" spans="1:40" x14ac:dyDescent="0.2">
      <c r="A67" s="602" t="s">
        <v>386</v>
      </c>
      <c r="B67" s="788">
        <v>250</v>
      </c>
      <c r="C67" s="788">
        <v>205</v>
      </c>
      <c r="D67" s="788"/>
      <c r="E67" s="934">
        <v>200</v>
      </c>
      <c r="F67" s="934">
        <v>2410</v>
      </c>
      <c r="G67" s="934" t="s">
        <v>173</v>
      </c>
      <c r="H67" s="788"/>
      <c r="I67" s="794" t="s">
        <v>1140</v>
      </c>
      <c r="J67" s="794" t="s">
        <v>1141</v>
      </c>
      <c r="K67" s="603" t="s">
        <v>384</v>
      </c>
      <c r="L67" s="603" t="s">
        <v>1147</v>
      </c>
      <c r="M67" s="604">
        <v>1</v>
      </c>
      <c r="N67" s="602" t="s">
        <v>582</v>
      </c>
      <c r="O67" s="602">
        <v>24</v>
      </c>
      <c r="P67" s="602" t="s">
        <v>390</v>
      </c>
      <c r="Q67" s="602">
        <v>19.350000000000001</v>
      </c>
      <c r="R67" s="602">
        <v>260</v>
      </c>
      <c r="S67" s="602">
        <v>8</v>
      </c>
      <c r="T67" s="263">
        <f t="shared" si="62"/>
        <v>2080</v>
      </c>
      <c r="U67" s="269">
        <v>40248</v>
      </c>
      <c r="V67" s="270">
        <f t="shared" si="63"/>
        <v>41455.440000000002</v>
      </c>
      <c r="W67" s="270">
        <f t="shared" si="64"/>
        <v>47822.41520784</v>
      </c>
      <c r="X67" s="270">
        <f t="shared" si="65"/>
        <v>47822.41520784</v>
      </c>
      <c r="Y67" s="62">
        <v>0</v>
      </c>
      <c r="Z67" s="62">
        <v>0</v>
      </c>
      <c r="AA67" s="256">
        <f t="shared" si="66"/>
        <v>47822.41520784</v>
      </c>
      <c r="AB67" s="3"/>
      <c r="AC67" s="62">
        <f t="shared" si="67"/>
        <v>7943.76</v>
      </c>
      <c r="AD67" s="62" t="str">
        <f t="shared" si="68"/>
        <v/>
      </c>
      <c r="AE67" s="62">
        <f t="shared" si="69"/>
        <v>7292.9183191955999</v>
      </c>
      <c r="AF67" s="62">
        <f t="shared" si="70"/>
        <v>693.42502051368001</v>
      </c>
      <c r="AG67" s="192">
        <v>0</v>
      </c>
      <c r="AH67" s="62">
        <f t="shared" si="71"/>
        <v>435.29569666608199</v>
      </c>
      <c r="AI67" s="62">
        <f t="shared" si="72"/>
        <v>140.84651556319133</v>
      </c>
      <c r="AJ67" s="62"/>
      <c r="AK67" s="62">
        <v>0</v>
      </c>
      <c r="AL67" s="256">
        <f t="shared" si="73"/>
        <v>16506.245551938555</v>
      </c>
      <c r="AM67" s="256">
        <f t="shared" si="74"/>
        <v>47822.41520784</v>
      </c>
      <c r="AN67" s="256">
        <f t="shared" si="75"/>
        <v>64328.660759778555</v>
      </c>
    </row>
    <row r="68" spans="1:40" x14ac:dyDescent="0.2">
      <c r="A68" s="602" t="s">
        <v>386</v>
      </c>
      <c r="B68" s="788">
        <v>100</v>
      </c>
      <c r="C68" s="788" t="s">
        <v>145</v>
      </c>
      <c r="D68" s="788"/>
      <c r="E68" s="788">
        <v>100</v>
      </c>
      <c r="F68" s="788">
        <v>2410</v>
      </c>
      <c r="G68" s="790" t="s">
        <v>173</v>
      </c>
      <c r="H68" s="788"/>
      <c r="I68" s="603" t="s">
        <v>970</v>
      </c>
      <c r="J68" s="603" t="s">
        <v>433</v>
      </c>
      <c r="K68" s="603" t="s">
        <v>384</v>
      </c>
      <c r="L68" s="603" t="s">
        <v>894</v>
      </c>
      <c r="M68" s="604">
        <v>1</v>
      </c>
      <c r="N68" s="602" t="s">
        <v>386</v>
      </c>
      <c r="O68" s="602">
        <v>26</v>
      </c>
      <c r="P68" s="602" t="s">
        <v>390</v>
      </c>
      <c r="Q68" s="602">
        <v>14.5</v>
      </c>
      <c r="R68" s="602">
        <v>261</v>
      </c>
      <c r="S68" s="602">
        <v>8</v>
      </c>
      <c r="T68" s="263">
        <f t="shared" si="62"/>
        <v>2088</v>
      </c>
      <c r="U68" s="269">
        <v>45000</v>
      </c>
      <c r="V68" s="270">
        <f t="shared" si="63"/>
        <v>46350</v>
      </c>
      <c r="W68" s="270">
        <f t="shared" si="64"/>
        <v>53468.7111</v>
      </c>
      <c r="X68" s="270">
        <f t="shared" si="65"/>
        <v>53468.7111</v>
      </c>
      <c r="Y68" s="62">
        <v>0</v>
      </c>
      <c r="Z68" s="62">
        <v>0</v>
      </c>
      <c r="AA68" s="256">
        <f t="shared" si="66"/>
        <v>53468.7111</v>
      </c>
      <c r="AB68" s="3"/>
      <c r="AC68" s="62">
        <f t="shared" si="67"/>
        <v>7943.76</v>
      </c>
      <c r="AD68" s="62" t="str">
        <f t="shared" si="68"/>
        <v/>
      </c>
      <c r="AE68" s="62">
        <f t="shared" si="69"/>
        <v>8153.9784427499999</v>
      </c>
      <c r="AF68" s="62">
        <f t="shared" si="70"/>
        <v>775.29631095000002</v>
      </c>
      <c r="AG68" s="192">
        <v>0</v>
      </c>
      <c r="AH68" s="62">
        <f t="shared" si="71"/>
        <v>486.69017963560151</v>
      </c>
      <c r="AI68" s="62">
        <f t="shared" si="72"/>
        <v>157.47597893916742</v>
      </c>
      <c r="AJ68" s="62"/>
      <c r="AK68" s="62">
        <v>0</v>
      </c>
      <c r="AL68" s="256">
        <f t="shared" si="73"/>
        <v>17517.200912274773</v>
      </c>
      <c r="AM68" s="256">
        <f t="shared" si="74"/>
        <v>53468.7111</v>
      </c>
      <c r="AN68" s="256">
        <f t="shared" si="75"/>
        <v>70985.91201227477</v>
      </c>
    </row>
    <row r="69" spans="1:40" x14ac:dyDescent="0.2">
      <c r="A69" s="786" t="s">
        <v>1149</v>
      </c>
      <c r="B69" s="792">
        <v>100</v>
      </c>
      <c r="C69" s="792" t="s">
        <v>145</v>
      </c>
      <c r="D69" s="792"/>
      <c r="E69" s="792">
        <v>100</v>
      </c>
      <c r="F69" s="792" t="s">
        <v>460</v>
      </c>
      <c r="G69" s="790" t="s">
        <v>173</v>
      </c>
      <c r="H69" s="788"/>
      <c r="I69" s="794" t="s">
        <v>1149</v>
      </c>
      <c r="J69" s="796" t="s">
        <v>503</v>
      </c>
      <c r="K69" s="794" t="s">
        <v>384</v>
      </c>
      <c r="L69" s="794" t="s">
        <v>990</v>
      </c>
      <c r="M69" s="386">
        <v>1</v>
      </c>
      <c r="N69" s="386" t="s">
        <v>386</v>
      </c>
      <c r="O69" s="386"/>
      <c r="P69" s="386" t="s">
        <v>342</v>
      </c>
      <c r="Q69" s="602"/>
      <c r="R69" s="602"/>
      <c r="S69" s="602"/>
      <c r="T69" s="263" t="str">
        <f t="shared" si="62"/>
        <v/>
      </c>
      <c r="U69" s="269">
        <v>40000</v>
      </c>
      <c r="V69" s="270">
        <f t="shared" si="63"/>
        <v>41200</v>
      </c>
      <c r="W69" s="270" t="str">
        <f t="shared" si="64"/>
        <v/>
      </c>
      <c r="X69" s="270">
        <f t="shared" si="65"/>
        <v>41200</v>
      </c>
      <c r="Y69" s="62">
        <v>0</v>
      </c>
      <c r="Z69" s="62">
        <v>0</v>
      </c>
      <c r="AA69" s="256">
        <f t="shared" si="66"/>
        <v>41200</v>
      </c>
      <c r="AB69" s="3"/>
      <c r="AC69" s="62">
        <f t="shared" si="67"/>
        <v>7943.76</v>
      </c>
      <c r="AD69" s="62" t="str">
        <f t="shared" si="68"/>
        <v/>
      </c>
      <c r="AE69" s="62">
        <f t="shared" si="69"/>
        <v>12051</v>
      </c>
      <c r="AF69" s="62">
        <f t="shared" si="70"/>
        <v>597.4</v>
      </c>
      <c r="AG69" s="192">
        <v>0</v>
      </c>
      <c r="AH69" s="62">
        <f t="shared" si="71"/>
        <v>375.01624760479376</v>
      </c>
      <c r="AI69" s="62">
        <f t="shared" si="72"/>
        <v>121.3421868381955</v>
      </c>
      <c r="AJ69" s="62"/>
      <c r="AK69" s="62">
        <v>0</v>
      </c>
      <c r="AL69" s="256">
        <f t="shared" si="73"/>
        <v>21088.518434442994</v>
      </c>
      <c r="AM69" s="256">
        <f t="shared" si="74"/>
        <v>41200</v>
      </c>
      <c r="AN69" s="256">
        <f t="shared" si="75"/>
        <v>62288.518434442994</v>
      </c>
    </row>
    <row r="70" spans="1:40" x14ac:dyDescent="0.2">
      <c r="A70" s="786" t="s">
        <v>1149</v>
      </c>
      <c r="B70" s="795">
        <v>100</v>
      </c>
      <c r="C70" s="795" t="s">
        <v>145</v>
      </c>
      <c r="D70" s="795"/>
      <c r="E70" s="795">
        <v>100</v>
      </c>
      <c r="F70" s="795">
        <v>2410</v>
      </c>
      <c r="G70" s="789" t="s">
        <v>173</v>
      </c>
      <c r="H70" s="795" t="s">
        <v>497</v>
      </c>
      <c r="I70" s="794" t="s">
        <v>1149</v>
      </c>
      <c r="J70" s="796" t="s">
        <v>503</v>
      </c>
      <c r="K70" s="796" t="s">
        <v>384</v>
      </c>
      <c r="L70" s="796" t="s">
        <v>501</v>
      </c>
      <c r="M70" s="386">
        <v>1</v>
      </c>
      <c r="N70" s="386" t="s">
        <v>386</v>
      </c>
      <c r="O70" s="386"/>
      <c r="P70" s="386" t="s">
        <v>342</v>
      </c>
      <c r="Q70" s="386" t="s">
        <v>386</v>
      </c>
      <c r="R70" s="386" t="s">
        <v>386</v>
      </c>
      <c r="S70" s="386" t="s">
        <v>386</v>
      </c>
      <c r="T70" s="263" t="str">
        <f t="shared" si="62"/>
        <v/>
      </c>
      <c r="U70" s="269">
        <v>45000</v>
      </c>
      <c r="V70" s="270">
        <f t="shared" si="63"/>
        <v>46350</v>
      </c>
      <c r="W70" s="270" t="str">
        <f t="shared" si="64"/>
        <v/>
      </c>
      <c r="X70" s="270">
        <f t="shared" si="65"/>
        <v>46350</v>
      </c>
      <c r="Y70" s="62">
        <v>0</v>
      </c>
      <c r="Z70" s="62">
        <v>0</v>
      </c>
      <c r="AA70" s="256">
        <f t="shared" si="66"/>
        <v>46350</v>
      </c>
      <c r="AB70" s="3"/>
      <c r="AC70" s="62">
        <f t="shared" si="67"/>
        <v>7943.76</v>
      </c>
      <c r="AD70" s="62" t="str">
        <f t="shared" si="68"/>
        <v/>
      </c>
      <c r="AE70" s="62">
        <f t="shared" si="69"/>
        <v>13557.375</v>
      </c>
      <c r="AF70" s="62">
        <f t="shared" si="70"/>
        <v>672.07500000000005</v>
      </c>
      <c r="AG70" s="192">
        <v>0</v>
      </c>
      <c r="AH70" s="62">
        <f t="shared" si="71"/>
        <v>421.89327855539295</v>
      </c>
      <c r="AI70" s="62">
        <f t="shared" si="72"/>
        <v>136.50996019296994</v>
      </c>
      <c r="AJ70" s="62"/>
      <c r="AK70" s="62">
        <v>0</v>
      </c>
      <c r="AL70" s="256">
        <f t="shared" si="73"/>
        <v>22731.613238748363</v>
      </c>
      <c r="AM70" s="256">
        <f t="shared" si="74"/>
        <v>46350</v>
      </c>
      <c r="AN70" s="256">
        <f t="shared" si="75"/>
        <v>69081.613238748367</v>
      </c>
    </row>
    <row r="71" spans="1:40" x14ac:dyDescent="0.2">
      <c r="A71" s="786" t="s">
        <v>1149</v>
      </c>
      <c r="B71" s="795">
        <v>100</v>
      </c>
      <c r="C71" s="795" t="s">
        <v>145</v>
      </c>
      <c r="D71" s="795"/>
      <c r="E71" s="795">
        <v>100</v>
      </c>
      <c r="F71" s="795">
        <v>2410</v>
      </c>
      <c r="G71" s="789" t="s">
        <v>173</v>
      </c>
      <c r="H71" s="795" t="s">
        <v>497</v>
      </c>
      <c r="I71" s="794" t="s">
        <v>1149</v>
      </c>
      <c r="J71" s="796" t="s">
        <v>503</v>
      </c>
      <c r="K71" s="796" t="s">
        <v>384</v>
      </c>
      <c r="L71" s="796" t="s">
        <v>501</v>
      </c>
      <c r="M71" s="386">
        <v>1</v>
      </c>
      <c r="N71" s="386" t="s">
        <v>386</v>
      </c>
      <c r="O71" s="386"/>
      <c r="P71" s="386" t="s">
        <v>342</v>
      </c>
      <c r="Q71" s="386" t="s">
        <v>386</v>
      </c>
      <c r="R71" s="386" t="s">
        <v>386</v>
      </c>
      <c r="S71" s="386" t="s">
        <v>386</v>
      </c>
      <c r="T71" s="263" t="str">
        <f t="shared" si="62"/>
        <v/>
      </c>
      <c r="U71" s="269">
        <v>45000</v>
      </c>
      <c r="V71" s="270">
        <f t="shared" si="63"/>
        <v>46350</v>
      </c>
      <c r="W71" s="270" t="str">
        <f t="shared" si="64"/>
        <v/>
      </c>
      <c r="X71" s="270">
        <f t="shared" si="65"/>
        <v>46350</v>
      </c>
      <c r="Y71" s="62">
        <v>0</v>
      </c>
      <c r="Z71" s="62">
        <v>0</v>
      </c>
      <c r="AA71" s="256">
        <f t="shared" si="66"/>
        <v>46350</v>
      </c>
      <c r="AB71" s="3"/>
      <c r="AC71" s="62">
        <f t="shared" si="67"/>
        <v>7943.76</v>
      </c>
      <c r="AD71" s="62" t="str">
        <f t="shared" si="68"/>
        <v/>
      </c>
      <c r="AE71" s="62">
        <f t="shared" si="69"/>
        <v>13557.375</v>
      </c>
      <c r="AF71" s="62">
        <f t="shared" si="70"/>
        <v>672.07500000000005</v>
      </c>
      <c r="AG71" s="192">
        <v>0</v>
      </c>
      <c r="AH71" s="62">
        <f t="shared" si="71"/>
        <v>421.89327855539295</v>
      </c>
      <c r="AI71" s="62">
        <f t="shared" si="72"/>
        <v>136.50996019296994</v>
      </c>
      <c r="AJ71" s="62"/>
      <c r="AK71" s="62">
        <v>0</v>
      </c>
      <c r="AL71" s="256">
        <f t="shared" si="73"/>
        <v>22731.613238748363</v>
      </c>
      <c r="AM71" s="256">
        <f t="shared" si="74"/>
        <v>46350</v>
      </c>
      <c r="AN71" s="256">
        <f t="shared" si="75"/>
        <v>69081.613238748367</v>
      </c>
    </row>
    <row r="72" spans="1:40" x14ac:dyDescent="0.2">
      <c r="A72" s="602" t="s">
        <v>386</v>
      </c>
      <c r="B72" s="788" t="s">
        <v>386</v>
      </c>
      <c r="C72" s="788" t="s">
        <v>386</v>
      </c>
      <c r="D72" s="788"/>
      <c r="E72" s="788" t="s">
        <v>386</v>
      </c>
      <c r="F72" s="788" t="s">
        <v>386</v>
      </c>
      <c r="G72" s="788" t="s">
        <v>386</v>
      </c>
      <c r="H72" s="788"/>
      <c r="I72" s="603" t="s">
        <v>386</v>
      </c>
      <c r="J72" s="603" t="s">
        <v>386</v>
      </c>
      <c r="K72" s="603" t="s">
        <v>386</v>
      </c>
      <c r="L72" s="603" t="s">
        <v>386</v>
      </c>
      <c r="M72" s="604" t="s">
        <v>386</v>
      </c>
      <c r="N72" s="602" t="s">
        <v>386</v>
      </c>
      <c r="O72" s="602" t="s">
        <v>386</v>
      </c>
      <c r="P72" s="602" t="s">
        <v>386</v>
      </c>
      <c r="Q72" s="602" t="s">
        <v>386</v>
      </c>
      <c r="R72" s="602" t="s">
        <v>386</v>
      </c>
      <c r="S72" s="602" t="s">
        <v>386</v>
      </c>
      <c r="T72" s="263" t="str">
        <f t="shared" si="7"/>
        <v/>
      </c>
      <c r="U72" s="269" t="s">
        <v>386</v>
      </c>
      <c r="V72" s="270" t="str">
        <f t="shared" si="39"/>
        <v/>
      </c>
      <c r="W72" s="270" t="str">
        <f t="shared" si="8"/>
        <v/>
      </c>
      <c r="X72" s="270" t="str">
        <f t="shared" si="9"/>
        <v/>
      </c>
      <c r="Y72" s="62">
        <v>0</v>
      </c>
      <c r="Z72" s="62">
        <v>0</v>
      </c>
      <c r="AA72" s="256">
        <f t="shared" si="10"/>
        <v>0</v>
      </c>
      <c r="AB72" s="3"/>
      <c r="AC72" s="62" t="str">
        <f t="shared" si="11"/>
        <v/>
      </c>
      <c r="AD72" s="62" t="str">
        <f t="shared" si="12"/>
        <v/>
      </c>
      <c r="AE72" s="62" t="str">
        <f t="shared" si="13"/>
        <v/>
      </c>
      <c r="AF72" s="62" t="str">
        <f t="shared" si="14"/>
        <v/>
      </c>
      <c r="AG72" s="192">
        <v>0</v>
      </c>
      <c r="AH72" s="62" t="str">
        <f t="shared" si="15"/>
        <v/>
      </c>
      <c r="AI72" s="62">
        <f t="shared" si="16"/>
        <v>0</v>
      </c>
      <c r="AJ72" s="62"/>
      <c r="AK72" s="62">
        <v>0</v>
      </c>
      <c r="AL72" s="256">
        <f t="shared" si="17"/>
        <v>0</v>
      </c>
      <c r="AM72" s="256">
        <f t="shared" si="18"/>
        <v>0</v>
      </c>
      <c r="AN72" s="256">
        <f t="shared" si="19"/>
        <v>0</v>
      </c>
    </row>
    <row r="73" spans="1:40" x14ac:dyDescent="0.2">
      <c r="A73" s="602" t="s">
        <v>386</v>
      </c>
      <c r="B73" s="934">
        <v>280</v>
      </c>
      <c r="C73" s="934">
        <v>658</v>
      </c>
      <c r="D73" s="788"/>
      <c r="E73" s="934">
        <v>420</v>
      </c>
      <c r="F73" s="934">
        <v>2120</v>
      </c>
      <c r="G73" s="935" t="s">
        <v>173</v>
      </c>
      <c r="H73" s="788"/>
      <c r="I73" s="603" t="s">
        <v>1145</v>
      </c>
      <c r="J73" s="603" t="s">
        <v>1146</v>
      </c>
      <c r="K73" s="603" t="s">
        <v>384</v>
      </c>
      <c r="L73" s="603" t="s">
        <v>1148</v>
      </c>
      <c r="M73" s="604" t="s">
        <v>386</v>
      </c>
      <c r="N73" s="602" t="s">
        <v>386</v>
      </c>
      <c r="O73" s="602" t="s">
        <v>386</v>
      </c>
      <c r="P73" s="602" t="s">
        <v>7</v>
      </c>
      <c r="Q73" s="602" t="s">
        <v>386</v>
      </c>
      <c r="R73" s="602" t="s">
        <v>386</v>
      </c>
      <c r="S73" s="602" t="s">
        <v>386</v>
      </c>
      <c r="T73" s="263" t="str">
        <f>+IF(R73="","",R73*S73)</f>
        <v/>
      </c>
      <c r="U73" s="269">
        <v>6683</v>
      </c>
      <c r="V73" s="270">
        <v>6683</v>
      </c>
      <c r="W73" s="270" t="str">
        <f>+IF(P73="EE",+V73*$W$1,"")</f>
        <v/>
      </c>
      <c r="X73" s="270">
        <f>_xlfn.IFS(P73="ER",V73,P73="EE",W73,P73="N",V73,P73="","")</f>
        <v>6683</v>
      </c>
      <c r="Y73" s="62">
        <v>0</v>
      </c>
      <c r="Z73" s="62">
        <v>0</v>
      </c>
      <c r="AA73" s="256">
        <f>SUM(X73:Z73)</f>
        <v>6683</v>
      </c>
      <c r="AB73" s="3"/>
      <c r="AC73" s="62" t="str">
        <f>IF(AND(M73=1,P73&lt;&gt;"N"),$AC$1,"")</f>
        <v/>
      </c>
      <c r="AD73" s="62">
        <f>_xlfn.IFS(P73="N",$AD$1*AA73,P73="EE","",P73="ER","",P73="","")</f>
        <v>414.346</v>
      </c>
      <c r="AE73" s="62" t="str">
        <f>_xlfn.IFS(P73="EE",X73*$AE$1,P73="ER",X73*$AE$2,P73="N","",P73="","")</f>
        <v/>
      </c>
      <c r="AF73" s="62">
        <f>+IF(AA73&gt;1,AA73*$AF$1,"")</f>
        <v>96.903500000000008</v>
      </c>
      <c r="AG73" s="192">
        <v>0</v>
      </c>
      <c r="AH73" s="62">
        <f>+IF(AA73&gt;1,AA73*$AH$1,"")</f>
        <v>60.83091220249603</v>
      </c>
      <c r="AI73" s="62">
        <f>+_xlfn.IFS(F73&lt;2300,(AA73*$AI$1),F73&gt;=2300,(AA73*$AI$2),F73="","")</f>
        <v>19.682762976690789</v>
      </c>
      <c r="AJ73" s="62"/>
      <c r="AK73" s="62">
        <v>0</v>
      </c>
      <c r="AL73" s="256">
        <f>SUM(AC73:AK73)</f>
        <v>591.76317517918687</v>
      </c>
      <c r="AM73" s="256">
        <f>AA73</f>
        <v>6683</v>
      </c>
      <c r="AN73" s="256">
        <f>SUM(AL73:AM73)</f>
        <v>7274.7631751791869</v>
      </c>
    </row>
    <row r="74" spans="1:40" x14ac:dyDescent="0.2">
      <c r="A74" s="602"/>
      <c r="B74" s="788"/>
      <c r="C74" s="788"/>
      <c r="D74" s="788"/>
      <c r="E74" s="788"/>
      <c r="F74" s="788"/>
      <c r="G74" s="788"/>
      <c r="H74" s="788"/>
      <c r="I74" s="603"/>
      <c r="J74" s="603"/>
      <c r="K74" s="603"/>
      <c r="L74" s="603"/>
      <c r="M74" s="604"/>
      <c r="N74" s="602"/>
      <c r="O74" s="602"/>
      <c r="P74" s="602"/>
      <c r="Q74" s="602"/>
      <c r="R74" s="602"/>
      <c r="S74" s="602"/>
      <c r="T74" s="263"/>
      <c r="U74" s="269"/>
      <c r="V74" s="270"/>
      <c r="W74" s="270"/>
      <c r="X74" s="270"/>
      <c r="Y74" s="62"/>
      <c r="Z74" s="62"/>
      <c r="AA74" s="256"/>
      <c r="AB74" s="3"/>
      <c r="AC74" s="62" t="str">
        <f t="shared" si="11"/>
        <v/>
      </c>
      <c r="AD74" s="62"/>
      <c r="AE74" s="62"/>
      <c r="AF74" s="62"/>
      <c r="AG74" s="192"/>
      <c r="AH74" s="62"/>
      <c r="AI74" s="62"/>
      <c r="AJ74" s="62"/>
      <c r="AK74" s="62"/>
      <c r="AL74" s="256"/>
      <c r="AM74" s="256"/>
      <c r="AN74" s="256"/>
    </row>
    <row r="75" spans="1:40" x14ac:dyDescent="0.2">
      <c r="A75" s="602" t="s">
        <v>386</v>
      </c>
      <c r="B75" s="788" t="s">
        <v>468</v>
      </c>
      <c r="C75" s="788" t="s">
        <v>145</v>
      </c>
      <c r="D75" s="788"/>
      <c r="E75" s="788" t="s">
        <v>689</v>
      </c>
      <c r="F75" s="788" t="s">
        <v>461</v>
      </c>
      <c r="G75" s="788" t="s">
        <v>161</v>
      </c>
      <c r="H75" s="788"/>
      <c r="I75" s="603" t="s">
        <v>810</v>
      </c>
      <c r="J75" s="603" t="s">
        <v>810</v>
      </c>
      <c r="K75" s="603" t="s">
        <v>389</v>
      </c>
      <c r="L75" s="603" t="s">
        <v>810</v>
      </c>
      <c r="M75" s="604">
        <v>0</v>
      </c>
      <c r="N75" s="602" t="s">
        <v>386</v>
      </c>
      <c r="O75" s="602" t="s">
        <v>386</v>
      </c>
      <c r="P75" s="602" t="s">
        <v>7</v>
      </c>
      <c r="Q75" s="602" t="s">
        <v>386</v>
      </c>
      <c r="R75" s="602" t="s">
        <v>386</v>
      </c>
      <c r="S75" s="602" t="s">
        <v>386</v>
      </c>
      <c r="T75" s="263" t="str">
        <f t="shared" si="7"/>
        <v/>
      </c>
      <c r="U75" s="269">
        <v>0</v>
      </c>
      <c r="V75" s="270">
        <f t="shared" si="39"/>
        <v>0</v>
      </c>
      <c r="W75" s="270" t="str">
        <f t="shared" si="8"/>
        <v/>
      </c>
      <c r="X75" s="270">
        <f t="shared" si="9"/>
        <v>0</v>
      </c>
      <c r="Y75" s="62">
        <v>0</v>
      </c>
      <c r="Z75" s="62">
        <v>0</v>
      </c>
      <c r="AA75" s="256">
        <f t="shared" si="10"/>
        <v>0</v>
      </c>
      <c r="AB75" s="3"/>
      <c r="AC75" s="62" t="str">
        <f t="shared" si="11"/>
        <v/>
      </c>
      <c r="AD75" s="62">
        <f t="shared" si="12"/>
        <v>0</v>
      </c>
      <c r="AE75" s="62" t="str">
        <f t="shared" si="13"/>
        <v/>
      </c>
      <c r="AF75" s="62" t="str">
        <f t="shared" si="14"/>
        <v/>
      </c>
      <c r="AG75" s="192">
        <v>0</v>
      </c>
      <c r="AH75" s="62" t="str">
        <f t="shared" si="15"/>
        <v/>
      </c>
      <c r="AI75" s="62">
        <f t="shared" si="16"/>
        <v>0</v>
      </c>
      <c r="AJ75" s="62"/>
      <c r="AK75" s="62">
        <v>0</v>
      </c>
      <c r="AL75" s="256">
        <f t="shared" si="17"/>
        <v>0</v>
      </c>
      <c r="AM75" s="256">
        <f t="shared" si="18"/>
        <v>0</v>
      </c>
      <c r="AN75" s="256">
        <f t="shared" si="19"/>
        <v>0</v>
      </c>
    </row>
    <row r="76" spans="1:40" x14ac:dyDescent="0.2">
      <c r="A76" s="602" t="s">
        <v>386</v>
      </c>
      <c r="B76" s="934" t="s">
        <v>135</v>
      </c>
      <c r="C76" s="934" t="s">
        <v>247</v>
      </c>
      <c r="D76" s="788"/>
      <c r="E76" s="934" t="s">
        <v>473</v>
      </c>
      <c r="F76" s="934" t="s">
        <v>461</v>
      </c>
      <c r="G76" s="934" t="s">
        <v>161</v>
      </c>
      <c r="H76" s="788"/>
      <c r="I76" s="603" t="s">
        <v>810</v>
      </c>
      <c r="J76" s="603" t="s">
        <v>816</v>
      </c>
      <c r="K76" s="603" t="s">
        <v>389</v>
      </c>
      <c r="L76" s="603" t="s">
        <v>817</v>
      </c>
      <c r="M76" s="604">
        <v>0</v>
      </c>
      <c r="N76" s="602" t="s">
        <v>386</v>
      </c>
      <c r="O76" s="602" t="s">
        <v>386</v>
      </c>
      <c r="P76" s="602" t="s">
        <v>7</v>
      </c>
      <c r="Q76" s="602" t="s">
        <v>386</v>
      </c>
      <c r="R76" s="602" t="s">
        <v>386</v>
      </c>
      <c r="S76" s="602" t="s">
        <v>386</v>
      </c>
      <c r="T76" s="263" t="str">
        <f t="shared" si="7"/>
        <v/>
      </c>
      <c r="U76" s="269">
        <v>0</v>
      </c>
      <c r="V76" s="270">
        <f t="shared" si="39"/>
        <v>0</v>
      </c>
      <c r="W76" s="270" t="str">
        <f t="shared" si="8"/>
        <v/>
      </c>
      <c r="X76" s="270">
        <f t="shared" si="9"/>
        <v>0</v>
      </c>
      <c r="Y76" s="62">
        <v>0</v>
      </c>
      <c r="Z76" s="62">
        <v>0</v>
      </c>
      <c r="AA76" s="256">
        <f t="shared" si="10"/>
        <v>0</v>
      </c>
      <c r="AB76" s="3"/>
      <c r="AC76" s="62" t="str">
        <f t="shared" si="11"/>
        <v/>
      </c>
      <c r="AD76" s="62">
        <f t="shared" si="12"/>
        <v>0</v>
      </c>
      <c r="AE76" s="62" t="str">
        <f t="shared" si="13"/>
        <v/>
      </c>
      <c r="AF76" s="62" t="str">
        <f t="shared" si="14"/>
        <v/>
      </c>
      <c r="AG76" s="192">
        <v>0</v>
      </c>
      <c r="AH76" s="62" t="str">
        <f t="shared" si="15"/>
        <v/>
      </c>
      <c r="AI76" s="62">
        <f t="shared" si="16"/>
        <v>0</v>
      </c>
      <c r="AJ76" s="62"/>
      <c r="AK76" s="62">
        <v>0</v>
      </c>
      <c r="AL76" s="256">
        <f t="shared" si="17"/>
        <v>0</v>
      </c>
      <c r="AM76" s="256">
        <f t="shared" si="18"/>
        <v>0</v>
      </c>
      <c r="AN76" s="256">
        <f t="shared" si="19"/>
        <v>0</v>
      </c>
    </row>
    <row r="77" spans="1:40" x14ac:dyDescent="0.2">
      <c r="A77" s="602" t="s">
        <v>386</v>
      </c>
      <c r="B77" s="788" t="s">
        <v>468</v>
      </c>
      <c r="C77" s="788" t="s">
        <v>145</v>
      </c>
      <c r="D77" s="788"/>
      <c r="E77" s="788" t="s">
        <v>468</v>
      </c>
      <c r="F77" s="788" t="s">
        <v>461</v>
      </c>
      <c r="G77" s="788" t="s">
        <v>163</v>
      </c>
      <c r="H77" s="788"/>
      <c r="I77" s="603" t="s">
        <v>562</v>
      </c>
      <c r="J77" s="603" t="s">
        <v>562</v>
      </c>
      <c r="K77" s="603" t="s">
        <v>389</v>
      </c>
      <c r="L77" s="603" t="s">
        <v>562</v>
      </c>
      <c r="M77" s="604">
        <v>0</v>
      </c>
      <c r="N77" s="602" t="s">
        <v>386</v>
      </c>
      <c r="O77" s="602" t="s">
        <v>386</v>
      </c>
      <c r="P77" s="602" t="s">
        <v>7</v>
      </c>
      <c r="Q77" s="602" t="s">
        <v>386</v>
      </c>
      <c r="R77" s="602" t="s">
        <v>386</v>
      </c>
      <c r="S77" s="602" t="s">
        <v>386</v>
      </c>
      <c r="T77" s="263" t="str">
        <f t="shared" si="7"/>
        <v/>
      </c>
      <c r="U77" s="269">
        <v>0</v>
      </c>
      <c r="V77" s="270">
        <f t="shared" si="39"/>
        <v>0</v>
      </c>
      <c r="W77" s="270" t="str">
        <f t="shared" si="8"/>
        <v/>
      </c>
      <c r="X77" s="270">
        <f t="shared" si="9"/>
        <v>0</v>
      </c>
      <c r="Y77" s="62">
        <v>0</v>
      </c>
      <c r="Z77" s="62">
        <v>0</v>
      </c>
      <c r="AA77" s="256">
        <f t="shared" si="10"/>
        <v>0</v>
      </c>
      <c r="AB77" s="3"/>
      <c r="AC77" s="62" t="str">
        <f t="shared" si="11"/>
        <v/>
      </c>
      <c r="AD77" s="62">
        <f t="shared" si="12"/>
        <v>0</v>
      </c>
      <c r="AE77" s="62" t="str">
        <f t="shared" si="13"/>
        <v/>
      </c>
      <c r="AF77" s="62" t="str">
        <f t="shared" si="14"/>
        <v/>
      </c>
      <c r="AG77" s="192">
        <v>0</v>
      </c>
      <c r="AH77" s="62" t="str">
        <f t="shared" si="15"/>
        <v/>
      </c>
      <c r="AI77" s="62">
        <f t="shared" si="16"/>
        <v>0</v>
      </c>
      <c r="AJ77" s="62"/>
      <c r="AK77" s="62">
        <v>0</v>
      </c>
      <c r="AL77" s="256">
        <f t="shared" si="17"/>
        <v>0</v>
      </c>
      <c r="AM77" s="256">
        <f t="shared" si="18"/>
        <v>0</v>
      </c>
      <c r="AN77" s="256">
        <f t="shared" si="19"/>
        <v>0</v>
      </c>
    </row>
    <row r="78" spans="1:40" x14ac:dyDescent="0.2">
      <c r="A78" s="602" t="s">
        <v>386</v>
      </c>
      <c r="B78" s="788" t="s">
        <v>386</v>
      </c>
      <c r="C78" s="788" t="s">
        <v>386</v>
      </c>
      <c r="D78" s="788"/>
      <c r="E78" s="788" t="s">
        <v>386</v>
      </c>
      <c r="F78" s="788" t="s">
        <v>386</v>
      </c>
      <c r="G78" s="788" t="s">
        <v>386</v>
      </c>
      <c r="H78" s="788"/>
      <c r="I78" s="603" t="s">
        <v>386</v>
      </c>
      <c r="J78" s="603" t="s">
        <v>386</v>
      </c>
      <c r="K78" s="603" t="s">
        <v>386</v>
      </c>
      <c r="L78" s="603" t="s">
        <v>386</v>
      </c>
      <c r="M78" s="604" t="s">
        <v>386</v>
      </c>
      <c r="N78" s="602" t="s">
        <v>386</v>
      </c>
      <c r="O78" s="602" t="s">
        <v>386</v>
      </c>
      <c r="P78" s="602" t="s">
        <v>386</v>
      </c>
      <c r="Q78" s="602" t="s">
        <v>386</v>
      </c>
      <c r="R78" s="602" t="s">
        <v>386</v>
      </c>
      <c r="S78" s="602" t="s">
        <v>386</v>
      </c>
      <c r="T78" s="263" t="str">
        <f t="shared" si="7"/>
        <v/>
      </c>
      <c r="U78" s="269">
        <v>0</v>
      </c>
      <c r="V78" s="270">
        <f t="shared" si="39"/>
        <v>0</v>
      </c>
      <c r="W78" s="270" t="str">
        <f t="shared" si="8"/>
        <v/>
      </c>
      <c r="X78" s="270" t="str">
        <f t="shared" si="9"/>
        <v/>
      </c>
      <c r="Y78" s="62">
        <v>0</v>
      </c>
      <c r="Z78" s="62">
        <v>0</v>
      </c>
      <c r="AA78" s="256">
        <f t="shared" si="10"/>
        <v>0</v>
      </c>
      <c r="AB78" s="3"/>
      <c r="AC78" s="62" t="str">
        <f t="shared" si="11"/>
        <v/>
      </c>
      <c r="AD78" s="62" t="str">
        <f t="shared" si="12"/>
        <v/>
      </c>
      <c r="AE78" s="62" t="str">
        <f t="shared" si="13"/>
        <v/>
      </c>
      <c r="AF78" s="62" t="str">
        <f t="shared" si="14"/>
        <v/>
      </c>
      <c r="AG78" s="192">
        <v>0</v>
      </c>
      <c r="AH78" s="62" t="str">
        <f t="shared" si="15"/>
        <v/>
      </c>
      <c r="AI78" s="62">
        <f t="shared" si="16"/>
        <v>0</v>
      </c>
      <c r="AJ78" s="62"/>
      <c r="AK78" s="62">
        <v>0</v>
      </c>
      <c r="AL78" s="256">
        <f t="shared" si="17"/>
        <v>0</v>
      </c>
      <c r="AM78" s="256">
        <f t="shared" si="18"/>
        <v>0</v>
      </c>
      <c r="AN78" s="256">
        <f t="shared" si="19"/>
        <v>0</v>
      </c>
    </row>
    <row r="79" spans="1:40" x14ac:dyDescent="0.2">
      <c r="A79" s="602" t="s">
        <v>386</v>
      </c>
      <c r="B79" s="788" t="s">
        <v>135</v>
      </c>
      <c r="C79" s="788" t="s">
        <v>249</v>
      </c>
      <c r="D79" s="788"/>
      <c r="E79" s="788" t="s">
        <v>468</v>
      </c>
      <c r="F79" s="788" t="s">
        <v>461</v>
      </c>
      <c r="G79" s="788" t="s">
        <v>1043</v>
      </c>
      <c r="H79" s="788"/>
      <c r="I79" s="603" t="s">
        <v>863</v>
      </c>
      <c r="J79" s="603" t="s">
        <v>386</v>
      </c>
      <c r="K79" s="603" t="s">
        <v>386</v>
      </c>
      <c r="L79" s="603" t="s">
        <v>863</v>
      </c>
      <c r="M79" s="604">
        <v>0</v>
      </c>
      <c r="N79" s="602" t="s">
        <v>386</v>
      </c>
      <c r="O79" s="602" t="s">
        <v>386</v>
      </c>
      <c r="P79" s="602" t="s">
        <v>7</v>
      </c>
      <c r="Q79" s="602" t="s">
        <v>386</v>
      </c>
      <c r="R79" s="602" t="s">
        <v>386</v>
      </c>
      <c r="S79" s="602" t="s">
        <v>386</v>
      </c>
      <c r="T79" s="263" t="str">
        <f t="shared" si="7"/>
        <v/>
      </c>
      <c r="U79" s="269">
        <v>0</v>
      </c>
      <c r="V79" s="270">
        <v>24051.34</v>
      </c>
      <c r="W79" s="270" t="str">
        <f t="shared" si="8"/>
        <v/>
      </c>
      <c r="X79" s="270">
        <f t="shared" si="9"/>
        <v>24051.34</v>
      </c>
      <c r="Y79" s="62">
        <v>0</v>
      </c>
      <c r="Z79" s="62">
        <v>0</v>
      </c>
      <c r="AA79" s="256">
        <f t="shared" si="10"/>
        <v>24051.34</v>
      </c>
      <c r="AB79" s="3"/>
      <c r="AC79" s="62" t="str">
        <f t="shared" si="11"/>
        <v/>
      </c>
      <c r="AD79" s="62">
        <f t="shared" si="12"/>
        <v>1491.18308</v>
      </c>
      <c r="AE79" s="62" t="str">
        <f t="shared" si="13"/>
        <v/>
      </c>
      <c r="AF79" s="62">
        <f t="shared" si="14"/>
        <v>348.74443000000002</v>
      </c>
      <c r="AG79" s="192">
        <v>0</v>
      </c>
      <c r="AH79" s="62">
        <f t="shared" si="15"/>
        <v>218.92338050162815</v>
      </c>
      <c r="AI79" s="62">
        <f t="shared" si="16"/>
        <v>70.835975533712741</v>
      </c>
      <c r="AJ79" s="62"/>
      <c r="AK79" s="62">
        <v>0</v>
      </c>
      <c r="AL79" s="256">
        <f t="shared" si="17"/>
        <v>2129.6868660353412</v>
      </c>
      <c r="AM79" s="256">
        <f t="shared" si="18"/>
        <v>24051.34</v>
      </c>
      <c r="AN79" s="256">
        <f t="shared" si="19"/>
        <v>26181.026866035339</v>
      </c>
    </row>
    <row r="80" spans="1:40" x14ac:dyDescent="0.2">
      <c r="A80" s="3" t="s">
        <v>386</v>
      </c>
      <c r="B80" s="307" t="s">
        <v>386</v>
      </c>
      <c r="C80" s="307" t="s">
        <v>386</v>
      </c>
      <c r="D80" s="307"/>
      <c r="E80" s="307" t="s">
        <v>386</v>
      </c>
      <c r="F80" s="307" t="s">
        <v>386</v>
      </c>
      <c r="G80" s="307" t="s">
        <v>386</v>
      </c>
      <c r="H80" s="307"/>
      <c r="I80" s="255" t="s">
        <v>386</v>
      </c>
      <c r="J80" s="255" t="s">
        <v>386</v>
      </c>
      <c r="K80" s="255" t="s">
        <v>386</v>
      </c>
      <c r="L80" s="255" t="s">
        <v>386</v>
      </c>
      <c r="M80" s="92" t="s">
        <v>386</v>
      </c>
      <c r="N80" s="3" t="s">
        <v>386</v>
      </c>
      <c r="O80" s="3" t="s">
        <v>386</v>
      </c>
      <c r="P80" s="3" t="s">
        <v>386</v>
      </c>
      <c r="Q80" s="3" t="s">
        <v>386</v>
      </c>
      <c r="R80" s="3" t="s">
        <v>386</v>
      </c>
      <c r="S80" s="3" t="s">
        <v>386</v>
      </c>
      <c r="T80" s="263" t="str">
        <f>+IF(R80="","",R80*S80)</f>
        <v/>
      </c>
      <c r="U80" s="269" t="s">
        <v>386</v>
      </c>
      <c r="V80" s="270" t="str">
        <f>IF($U80="","",$U80*(1+$V$1))</f>
        <v/>
      </c>
      <c r="W80" s="270" t="str">
        <f>+IF(P80="EE",+V80*$W$1,"")</f>
        <v/>
      </c>
      <c r="X80" s="270" t="str">
        <f>_xlfn.IFS(P80="ER",V80,P80="EE",W80,P80="N",V80,P80="","")</f>
        <v/>
      </c>
      <c r="Y80" s="62">
        <v>0</v>
      </c>
      <c r="Z80" s="62">
        <v>0</v>
      </c>
      <c r="AA80" s="256">
        <f>SUM(X80:Z80)</f>
        <v>0</v>
      </c>
      <c r="AB80" s="3"/>
      <c r="AC80" s="62" t="str">
        <f>IF(AND(M80=1,P80&lt;&gt;"N"),$AC$1,"")</f>
        <v/>
      </c>
      <c r="AD80" s="62" t="str">
        <f>_xlfn.IFS(P80="N",$AD$1*AA80,P80="EE","",P80="ER","",P80="","")</f>
        <v/>
      </c>
      <c r="AE80" s="62" t="str">
        <f>_xlfn.IFS(P80="EE",X80*$AE$1,P80="ER",X80*$AE$2,P80="N","",P80="","")</f>
        <v/>
      </c>
      <c r="AF80" s="62" t="str">
        <f>+IF(AA80&gt;1,AA80*$AF$1,"")</f>
        <v/>
      </c>
      <c r="AG80" s="192">
        <v>0</v>
      </c>
      <c r="AH80" s="62" t="str">
        <f>+IF(AA80&gt;1,AA80*$AH$1,"")</f>
        <v/>
      </c>
      <c r="AI80" s="62">
        <f>+_xlfn.IFS(F80&lt;2300,(AA80*$AI$1),F80&gt;=2300,(AA80*$AI$2),F80="","")</f>
        <v>0</v>
      </c>
      <c r="AJ80" s="62"/>
      <c r="AK80" s="62">
        <v>0</v>
      </c>
      <c r="AL80" s="256">
        <f>SUM(AC80:AK80)</f>
        <v>0</v>
      </c>
      <c r="AM80" s="256">
        <f>AA80</f>
        <v>0</v>
      </c>
      <c r="AN80" s="256">
        <f>SUM(AL80:AM80)</f>
        <v>0</v>
      </c>
    </row>
    <row r="81" spans="1:40" x14ac:dyDescent="0.2">
      <c r="A81" s="602" t="s">
        <v>386</v>
      </c>
      <c r="B81" s="934" t="s">
        <v>135</v>
      </c>
      <c r="C81" s="934" t="s">
        <v>864</v>
      </c>
      <c r="D81" s="788"/>
      <c r="E81" s="934" t="s">
        <v>557</v>
      </c>
      <c r="F81" s="934" t="s">
        <v>558</v>
      </c>
      <c r="G81" s="934" t="s">
        <v>993</v>
      </c>
      <c r="H81" s="788"/>
      <c r="I81" s="603" t="s">
        <v>895</v>
      </c>
      <c r="J81" s="603" t="s">
        <v>386</v>
      </c>
      <c r="K81" s="603" t="s">
        <v>386</v>
      </c>
      <c r="L81" s="603" t="s">
        <v>895</v>
      </c>
      <c r="M81" s="604">
        <v>0</v>
      </c>
      <c r="N81" s="602" t="s">
        <v>386</v>
      </c>
      <c r="O81" s="602" t="s">
        <v>386</v>
      </c>
      <c r="P81" s="602" t="s">
        <v>7</v>
      </c>
      <c r="Q81" s="602" t="s">
        <v>386</v>
      </c>
      <c r="R81" s="602" t="s">
        <v>386</v>
      </c>
      <c r="S81" s="602" t="s">
        <v>386</v>
      </c>
      <c r="T81" s="263" t="str">
        <f t="shared" si="7"/>
        <v/>
      </c>
      <c r="U81" s="269">
        <v>0</v>
      </c>
      <c r="V81" s="270">
        <f t="shared" si="39"/>
        <v>0</v>
      </c>
      <c r="W81" s="270" t="str">
        <f t="shared" si="8"/>
        <v/>
      </c>
      <c r="X81" s="270">
        <f t="shared" si="9"/>
        <v>0</v>
      </c>
      <c r="Y81" s="62">
        <v>0</v>
      </c>
      <c r="Z81" s="62">
        <v>0</v>
      </c>
      <c r="AA81" s="256">
        <f t="shared" si="10"/>
        <v>0</v>
      </c>
      <c r="AB81" s="3"/>
      <c r="AC81" s="62" t="str">
        <f t="shared" si="11"/>
        <v/>
      </c>
      <c r="AD81" s="62">
        <f t="shared" si="12"/>
        <v>0</v>
      </c>
      <c r="AE81" s="62" t="str">
        <f t="shared" si="13"/>
        <v/>
      </c>
      <c r="AF81" s="62" t="str">
        <f t="shared" si="14"/>
        <v/>
      </c>
      <c r="AG81" s="192">
        <v>0</v>
      </c>
      <c r="AH81" s="62" t="str">
        <f t="shared" si="15"/>
        <v/>
      </c>
      <c r="AI81" s="62">
        <f t="shared" si="16"/>
        <v>0</v>
      </c>
      <c r="AJ81" s="62"/>
      <c r="AK81" s="62">
        <v>0</v>
      </c>
      <c r="AL81" s="256">
        <f t="shared" si="17"/>
        <v>0</v>
      </c>
      <c r="AM81" s="256">
        <f t="shared" si="18"/>
        <v>0</v>
      </c>
      <c r="AN81" s="256">
        <f t="shared" si="19"/>
        <v>0</v>
      </c>
    </row>
    <row r="82" spans="1:40" x14ac:dyDescent="0.2">
      <c r="A82" s="602" t="s">
        <v>386</v>
      </c>
      <c r="B82" s="934" t="s">
        <v>135</v>
      </c>
      <c r="C82" s="934" t="s">
        <v>864</v>
      </c>
      <c r="D82" s="788"/>
      <c r="E82" s="934" t="s">
        <v>557</v>
      </c>
      <c r="F82" s="934" t="s">
        <v>465</v>
      </c>
      <c r="G82" s="934" t="s">
        <v>993</v>
      </c>
      <c r="H82" s="788"/>
      <c r="I82" s="603" t="s">
        <v>895</v>
      </c>
      <c r="J82" s="603" t="s">
        <v>386</v>
      </c>
      <c r="K82" s="603" t="s">
        <v>386</v>
      </c>
      <c r="L82" s="603" t="s">
        <v>895</v>
      </c>
      <c r="M82" s="604">
        <v>0</v>
      </c>
      <c r="N82" s="602" t="s">
        <v>386</v>
      </c>
      <c r="O82" s="602" t="s">
        <v>386</v>
      </c>
      <c r="P82" s="602" t="s">
        <v>7</v>
      </c>
      <c r="Q82" s="602" t="s">
        <v>386</v>
      </c>
      <c r="R82" s="602" t="s">
        <v>386</v>
      </c>
      <c r="S82" s="602" t="s">
        <v>386</v>
      </c>
      <c r="T82" s="263" t="str">
        <f t="shared" si="7"/>
        <v/>
      </c>
      <c r="U82" s="269">
        <v>0</v>
      </c>
      <c r="V82" s="270">
        <f t="shared" si="39"/>
        <v>0</v>
      </c>
      <c r="W82" s="270" t="str">
        <f t="shared" si="8"/>
        <v/>
      </c>
      <c r="X82" s="270">
        <f t="shared" si="9"/>
        <v>0</v>
      </c>
      <c r="Y82" s="62">
        <v>0</v>
      </c>
      <c r="Z82" s="62">
        <v>0</v>
      </c>
      <c r="AA82" s="256">
        <f t="shared" si="10"/>
        <v>0</v>
      </c>
      <c r="AB82" s="3"/>
      <c r="AC82" s="62" t="str">
        <f t="shared" si="11"/>
        <v/>
      </c>
      <c r="AD82" s="62">
        <f t="shared" si="12"/>
        <v>0</v>
      </c>
      <c r="AE82" s="62" t="str">
        <f t="shared" si="13"/>
        <v/>
      </c>
      <c r="AF82" s="62" t="str">
        <f t="shared" si="14"/>
        <v/>
      </c>
      <c r="AG82" s="192">
        <v>0</v>
      </c>
      <c r="AH82" s="62" t="str">
        <f t="shared" si="15"/>
        <v/>
      </c>
      <c r="AI82" s="62">
        <f t="shared" si="16"/>
        <v>0</v>
      </c>
      <c r="AJ82" s="62"/>
      <c r="AK82" s="62">
        <v>0</v>
      </c>
      <c r="AL82" s="256">
        <f t="shared" si="17"/>
        <v>0</v>
      </c>
      <c r="AM82" s="256">
        <f t="shared" si="18"/>
        <v>0</v>
      </c>
      <c r="AN82" s="256">
        <f t="shared" si="19"/>
        <v>0</v>
      </c>
    </row>
    <row r="83" spans="1:40" x14ac:dyDescent="0.2">
      <c r="A83" s="602" t="s">
        <v>386</v>
      </c>
      <c r="B83" s="788" t="s">
        <v>386</v>
      </c>
      <c r="C83" s="788" t="s">
        <v>386</v>
      </c>
      <c r="D83" s="788"/>
      <c r="E83" s="788" t="s">
        <v>386</v>
      </c>
      <c r="F83" s="788" t="s">
        <v>386</v>
      </c>
      <c r="G83" s="788" t="s">
        <v>386</v>
      </c>
      <c r="H83" s="788"/>
      <c r="I83" s="603" t="s">
        <v>386</v>
      </c>
      <c r="J83" s="603" t="s">
        <v>386</v>
      </c>
      <c r="K83" s="603" t="s">
        <v>386</v>
      </c>
      <c r="L83" s="603" t="s">
        <v>386</v>
      </c>
      <c r="M83" s="604" t="s">
        <v>386</v>
      </c>
      <c r="N83" s="602" t="s">
        <v>386</v>
      </c>
      <c r="O83" s="602" t="s">
        <v>386</v>
      </c>
      <c r="P83" s="602" t="s">
        <v>386</v>
      </c>
      <c r="Q83" s="602" t="s">
        <v>386</v>
      </c>
      <c r="R83" s="602" t="s">
        <v>386</v>
      </c>
      <c r="S83" s="602" t="s">
        <v>386</v>
      </c>
      <c r="T83" s="263" t="str">
        <f t="shared" si="7"/>
        <v/>
      </c>
      <c r="U83" s="269">
        <v>0</v>
      </c>
      <c r="V83" s="270">
        <f t="shared" si="39"/>
        <v>0</v>
      </c>
      <c r="W83" s="270" t="str">
        <f t="shared" si="8"/>
        <v/>
      </c>
      <c r="X83" s="270" t="str">
        <f t="shared" si="9"/>
        <v/>
      </c>
      <c r="Y83" s="62">
        <v>0</v>
      </c>
      <c r="Z83" s="62">
        <v>0</v>
      </c>
      <c r="AA83" s="256">
        <f t="shared" si="10"/>
        <v>0</v>
      </c>
      <c r="AB83" s="3"/>
      <c r="AC83" s="62" t="str">
        <f t="shared" si="11"/>
        <v/>
      </c>
      <c r="AD83" s="62" t="str">
        <f t="shared" si="12"/>
        <v/>
      </c>
      <c r="AE83" s="62" t="str">
        <f t="shared" si="13"/>
        <v/>
      </c>
      <c r="AF83" s="62" t="str">
        <f t="shared" si="14"/>
        <v/>
      </c>
      <c r="AG83" s="192">
        <v>0</v>
      </c>
      <c r="AH83" s="62" t="str">
        <f t="shared" si="15"/>
        <v/>
      </c>
      <c r="AI83" s="62">
        <f t="shared" si="16"/>
        <v>0</v>
      </c>
      <c r="AJ83" s="62"/>
      <c r="AK83" s="62">
        <v>0</v>
      </c>
      <c r="AL83" s="256">
        <f t="shared" si="17"/>
        <v>0</v>
      </c>
      <c r="AM83" s="256">
        <f t="shared" si="18"/>
        <v>0</v>
      </c>
      <c r="AN83" s="256">
        <f t="shared" si="19"/>
        <v>0</v>
      </c>
    </row>
    <row r="84" spans="1:40" x14ac:dyDescent="0.2">
      <c r="A84" s="602" t="s">
        <v>386</v>
      </c>
      <c r="B84" s="934" t="s">
        <v>135</v>
      </c>
      <c r="C84" s="934" t="s">
        <v>242</v>
      </c>
      <c r="D84" s="788"/>
      <c r="E84" s="934" t="s">
        <v>532</v>
      </c>
      <c r="F84" s="934" t="s">
        <v>461</v>
      </c>
      <c r="G84" s="934" t="s">
        <v>1043</v>
      </c>
      <c r="H84" s="788"/>
      <c r="I84" s="603" t="s">
        <v>856</v>
      </c>
      <c r="J84" s="603" t="s">
        <v>857</v>
      </c>
      <c r="K84" s="603" t="s">
        <v>386</v>
      </c>
      <c r="L84" s="603" t="s">
        <v>858</v>
      </c>
      <c r="M84" s="604">
        <v>0</v>
      </c>
      <c r="N84" s="602" t="s">
        <v>386</v>
      </c>
      <c r="O84" s="602" t="s">
        <v>386</v>
      </c>
      <c r="P84" s="602" t="s">
        <v>7</v>
      </c>
      <c r="Q84" s="602" t="s">
        <v>386</v>
      </c>
      <c r="R84" s="602" t="s">
        <v>386</v>
      </c>
      <c r="S84" s="602" t="s">
        <v>386</v>
      </c>
      <c r="T84" s="263" t="str">
        <f t="shared" si="7"/>
        <v/>
      </c>
      <c r="U84" s="269">
        <v>0</v>
      </c>
      <c r="V84" s="270">
        <f t="shared" si="39"/>
        <v>0</v>
      </c>
      <c r="W84" s="270" t="str">
        <f t="shared" si="8"/>
        <v/>
      </c>
      <c r="X84" s="270">
        <f t="shared" si="9"/>
        <v>0</v>
      </c>
      <c r="Y84" s="62">
        <v>0</v>
      </c>
      <c r="Z84" s="62">
        <v>0</v>
      </c>
      <c r="AA84" s="256">
        <f t="shared" si="10"/>
        <v>0</v>
      </c>
      <c r="AB84" s="3"/>
      <c r="AC84" s="62" t="str">
        <f t="shared" si="11"/>
        <v/>
      </c>
      <c r="AD84" s="62">
        <f t="shared" si="12"/>
        <v>0</v>
      </c>
      <c r="AE84" s="62" t="str">
        <f t="shared" si="13"/>
        <v/>
      </c>
      <c r="AF84" s="62" t="str">
        <f t="shared" si="14"/>
        <v/>
      </c>
      <c r="AG84" s="192">
        <v>0</v>
      </c>
      <c r="AH84" s="62" t="str">
        <f t="shared" si="15"/>
        <v/>
      </c>
      <c r="AI84" s="62">
        <f t="shared" si="16"/>
        <v>0</v>
      </c>
      <c r="AJ84" s="62"/>
      <c r="AK84" s="62">
        <v>0</v>
      </c>
      <c r="AL84" s="256">
        <f t="shared" si="17"/>
        <v>0</v>
      </c>
      <c r="AM84" s="256">
        <f t="shared" si="18"/>
        <v>0</v>
      </c>
      <c r="AN84" s="256">
        <f t="shared" si="19"/>
        <v>0</v>
      </c>
    </row>
    <row r="85" spans="1:40" x14ac:dyDescent="0.2">
      <c r="A85" s="602" t="s">
        <v>386</v>
      </c>
      <c r="B85" s="934" t="s">
        <v>135</v>
      </c>
      <c r="C85" s="934" t="s">
        <v>242</v>
      </c>
      <c r="D85" s="788"/>
      <c r="E85" s="934" t="s">
        <v>532</v>
      </c>
      <c r="F85" s="934" t="s">
        <v>534</v>
      </c>
      <c r="G85" s="934" t="s">
        <v>1043</v>
      </c>
      <c r="H85" s="788"/>
      <c r="I85" s="603" t="s">
        <v>856</v>
      </c>
      <c r="J85" s="603" t="s">
        <v>857</v>
      </c>
      <c r="K85" s="603" t="s">
        <v>386</v>
      </c>
      <c r="L85" s="603" t="s">
        <v>858</v>
      </c>
      <c r="M85" s="604">
        <v>0</v>
      </c>
      <c r="N85" s="602" t="s">
        <v>386</v>
      </c>
      <c r="O85" s="602" t="s">
        <v>386</v>
      </c>
      <c r="P85" s="602" t="s">
        <v>7</v>
      </c>
      <c r="Q85" s="602" t="s">
        <v>386</v>
      </c>
      <c r="R85" s="602" t="s">
        <v>386</v>
      </c>
      <c r="S85" s="602" t="s">
        <v>386</v>
      </c>
      <c r="T85" s="263" t="str">
        <f t="shared" si="7"/>
        <v/>
      </c>
      <c r="U85" s="269">
        <v>0</v>
      </c>
      <c r="V85" s="270">
        <f t="shared" si="39"/>
        <v>0</v>
      </c>
      <c r="W85" s="270" t="str">
        <f t="shared" si="8"/>
        <v/>
      </c>
      <c r="X85" s="270">
        <f t="shared" si="9"/>
        <v>0</v>
      </c>
      <c r="Y85" s="62">
        <v>0</v>
      </c>
      <c r="Z85" s="62">
        <v>0</v>
      </c>
      <c r="AA85" s="256">
        <f t="shared" si="10"/>
        <v>0</v>
      </c>
      <c r="AB85" s="3"/>
      <c r="AC85" s="62" t="str">
        <f t="shared" si="11"/>
        <v/>
      </c>
      <c r="AD85" s="62">
        <f t="shared" si="12"/>
        <v>0</v>
      </c>
      <c r="AE85" s="62" t="str">
        <f t="shared" si="13"/>
        <v/>
      </c>
      <c r="AF85" s="62" t="str">
        <f t="shared" si="14"/>
        <v/>
      </c>
      <c r="AG85" s="192">
        <v>0</v>
      </c>
      <c r="AH85" s="62" t="str">
        <f t="shared" si="15"/>
        <v/>
      </c>
      <c r="AI85" s="62">
        <f t="shared" si="16"/>
        <v>0</v>
      </c>
      <c r="AJ85" s="62"/>
      <c r="AK85" s="62">
        <v>0</v>
      </c>
      <c r="AL85" s="256">
        <f t="shared" si="17"/>
        <v>0</v>
      </c>
      <c r="AM85" s="256">
        <f t="shared" si="18"/>
        <v>0</v>
      </c>
      <c r="AN85" s="256">
        <f t="shared" si="19"/>
        <v>0</v>
      </c>
    </row>
    <row r="86" spans="1:40" x14ac:dyDescent="0.2">
      <c r="A86" s="602" t="s">
        <v>386</v>
      </c>
      <c r="B86" s="934" t="s">
        <v>135</v>
      </c>
      <c r="C86" s="934" t="s">
        <v>242</v>
      </c>
      <c r="D86" s="788"/>
      <c r="E86" s="934" t="s">
        <v>532</v>
      </c>
      <c r="F86" s="934" t="s">
        <v>461</v>
      </c>
      <c r="G86" s="934" t="s">
        <v>1062</v>
      </c>
      <c r="H86" s="788"/>
      <c r="I86" s="603" t="s">
        <v>856</v>
      </c>
      <c r="J86" s="603" t="s">
        <v>857</v>
      </c>
      <c r="K86" s="603" t="s">
        <v>386</v>
      </c>
      <c r="L86" s="603" t="s">
        <v>858</v>
      </c>
      <c r="M86" s="604">
        <v>0</v>
      </c>
      <c r="N86" s="602" t="s">
        <v>386</v>
      </c>
      <c r="O86" s="602" t="s">
        <v>386</v>
      </c>
      <c r="P86" s="602" t="s">
        <v>7</v>
      </c>
      <c r="Q86" s="602" t="s">
        <v>386</v>
      </c>
      <c r="R86" s="602" t="s">
        <v>386</v>
      </c>
      <c r="S86" s="602" t="s">
        <v>386</v>
      </c>
      <c r="T86" s="263" t="str">
        <f t="shared" ref="T86:T95" si="76">+IF(R86="","",R86*S86)</f>
        <v/>
      </c>
      <c r="U86" s="269">
        <v>0</v>
      </c>
      <c r="V86" s="270">
        <f t="shared" ref="V86:V105" si="77">IF($U86="","",$U86*(1+$V$1))</f>
        <v>0</v>
      </c>
      <c r="W86" s="270" t="str">
        <f t="shared" ref="W86:W95" si="78">+IF(P86="EE",+V86*$W$1,"")</f>
        <v/>
      </c>
      <c r="X86" s="270">
        <f t="shared" ref="X86:X95" si="79">_xlfn.IFS(P86="ER",V86,P86="EE",W86,P86="N",V86,P86="","")</f>
        <v>0</v>
      </c>
      <c r="Y86" s="62">
        <v>0</v>
      </c>
      <c r="Z86" s="62">
        <v>0</v>
      </c>
      <c r="AA86" s="256">
        <f t="shared" ref="AA86:AA95" si="80">SUM(X86:Z86)</f>
        <v>0</v>
      </c>
      <c r="AB86" s="3"/>
      <c r="AC86" s="62" t="str">
        <f t="shared" ref="AC86:AC130" si="81">IF(AND(M86=1,P86&lt;&gt;"N"),$AC$1,"")</f>
        <v/>
      </c>
      <c r="AD86" s="62">
        <f t="shared" ref="AD86:AD95" si="82">_xlfn.IFS(P86="N",$AD$1*AA86,P86="EE","",P86="ER","",P86="","")</f>
        <v>0</v>
      </c>
      <c r="AE86" s="62" t="str">
        <f t="shared" ref="AE86:AE95" si="83">_xlfn.IFS(P86="EE",X86*$AE$1,P86="ER",X86*$AE$2,P86="N","",P86="","")</f>
        <v/>
      </c>
      <c r="AF86" s="62" t="str">
        <f t="shared" ref="AF86:AF95" si="84">+IF(AA86&gt;1,AA86*$AF$1,"")</f>
        <v/>
      </c>
      <c r="AG86" s="192">
        <v>0</v>
      </c>
      <c r="AH86" s="62" t="str">
        <f t="shared" ref="AH86:AH95" si="85">+IF(AA86&gt;1,AA86*$AH$1,"")</f>
        <v/>
      </c>
      <c r="AI86" s="62">
        <f t="shared" ref="AI86:AI95" si="86">+_xlfn.IFS(F86&lt;2300,(AA86*$AI$1),F86&gt;=2300,(AA86*$AI$2),F86="","")</f>
        <v>0</v>
      </c>
      <c r="AJ86" s="62"/>
      <c r="AK86" s="62">
        <v>0</v>
      </c>
      <c r="AL86" s="256">
        <f t="shared" ref="AL86:AL95" si="87">SUM(AC86:AK86)</f>
        <v>0</v>
      </c>
      <c r="AM86" s="256">
        <f t="shared" ref="AM86:AM95" si="88">AA86</f>
        <v>0</v>
      </c>
      <c r="AN86" s="256">
        <f t="shared" ref="AN86:AN95" si="89">SUM(AL86:AM86)</f>
        <v>0</v>
      </c>
    </row>
    <row r="87" spans="1:40" x14ac:dyDescent="0.2">
      <c r="A87" s="602" t="s">
        <v>386</v>
      </c>
      <c r="B87" s="934" t="s">
        <v>135</v>
      </c>
      <c r="C87" s="934" t="s">
        <v>242</v>
      </c>
      <c r="D87" s="788"/>
      <c r="E87" s="934" t="s">
        <v>532</v>
      </c>
      <c r="F87" s="934">
        <v>2410</v>
      </c>
      <c r="G87" s="934" t="s">
        <v>1045</v>
      </c>
      <c r="H87" s="788"/>
      <c r="I87" s="603" t="s">
        <v>856</v>
      </c>
      <c r="J87" s="603" t="s">
        <v>857</v>
      </c>
      <c r="K87" s="603" t="s">
        <v>386</v>
      </c>
      <c r="L87" s="603" t="s">
        <v>858</v>
      </c>
      <c r="M87" s="604">
        <v>0</v>
      </c>
      <c r="N87" s="602" t="s">
        <v>386</v>
      </c>
      <c r="O87" s="602" t="s">
        <v>386</v>
      </c>
      <c r="P87" s="602" t="s">
        <v>7</v>
      </c>
      <c r="Q87" s="602" t="s">
        <v>386</v>
      </c>
      <c r="R87" s="602" t="s">
        <v>386</v>
      </c>
      <c r="S87" s="602" t="s">
        <v>386</v>
      </c>
      <c r="T87" s="263" t="str">
        <f t="shared" si="76"/>
        <v/>
      </c>
      <c r="U87" s="269">
        <v>0</v>
      </c>
      <c r="V87" s="270">
        <f t="shared" si="77"/>
        <v>0</v>
      </c>
      <c r="W87" s="270" t="str">
        <f t="shared" si="78"/>
        <v/>
      </c>
      <c r="X87" s="270">
        <f t="shared" si="79"/>
        <v>0</v>
      </c>
      <c r="Y87" s="62">
        <v>0</v>
      </c>
      <c r="Z87" s="62">
        <v>0</v>
      </c>
      <c r="AA87" s="256">
        <f t="shared" si="80"/>
        <v>0</v>
      </c>
      <c r="AB87" s="3"/>
      <c r="AC87" s="62" t="str">
        <f t="shared" si="81"/>
        <v/>
      </c>
      <c r="AD87" s="62">
        <f t="shared" si="82"/>
        <v>0</v>
      </c>
      <c r="AE87" s="62" t="str">
        <f t="shared" si="83"/>
        <v/>
      </c>
      <c r="AF87" s="62" t="str">
        <f t="shared" si="84"/>
        <v/>
      </c>
      <c r="AG87" s="192">
        <v>0</v>
      </c>
      <c r="AH87" s="62" t="str">
        <f t="shared" si="85"/>
        <v/>
      </c>
      <c r="AI87" s="62">
        <f t="shared" si="86"/>
        <v>0</v>
      </c>
      <c r="AJ87" s="62"/>
      <c r="AK87" s="62">
        <v>0</v>
      </c>
      <c r="AL87" s="256">
        <f t="shared" si="87"/>
        <v>0</v>
      </c>
      <c r="AM87" s="256">
        <f t="shared" si="88"/>
        <v>0</v>
      </c>
      <c r="AN87" s="256">
        <f t="shared" si="89"/>
        <v>0</v>
      </c>
    </row>
    <row r="88" spans="1:40" x14ac:dyDescent="0.2">
      <c r="A88" s="602" t="s">
        <v>386</v>
      </c>
      <c r="B88" s="934" t="s">
        <v>135</v>
      </c>
      <c r="C88" s="934" t="s">
        <v>242</v>
      </c>
      <c r="D88" s="788"/>
      <c r="E88" s="934" t="s">
        <v>532</v>
      </c>
      <c r="F88" s="934" t="s">
        <v>556</v>
      </c>
      <c r="G88" s="934" t="s">
        <v>1046</v>
      </c>
      <c r="H88" s="788"/>
      <c r="I88" s="603" t="s">
        <v>856</v>
      </c>
      <c r="J88" s="603" t="s">
        <v>857</v>
      </c>
      <c r="K88" s="603" t="s">
        <v>386</v>
      </c>
      <c r="L88" s="603" t="s">
        <v>858</v>
      </c>
      <c r="M88" s="604">
        <v>0</v>
      </c>
      <c r="N88" s="602" t="s">
        <v>386</v>
      </c>
      <c r="O88" s="602" t="s">
        <v>386</v>
      </c>
      <c r="P88" s="602" t="s">
        <v>7</v>
      </c>
      <c r="Q88" s="602" t="s">
        <v>386</v>
      </c>
      <c r="R88" s="602" t="s">
        <v>386</v>
      </c>
      <c r="S88" s="602" t="s">
        <v>386</v>
      </c>
      <c r="T88" s="263" t="str">
        <f t="shared" si="76"/>
        <v/>
      </c>
      <c r="U88" s="269">
        <v>0</v>
      </c>
      <c r="V88" s="270">
        <f t="shared" si="77"/>
        <v>0</v>
      </c>
      <c r="W88" s="270" t="str">
        <f t="shared" si="78"/>
        <v/>
      </c>
      <c r="X88" s="270">
        <f t="shared" si="79"/>
        <v>0</v>
      </c>
      <c r="Y88" s="62">
        <v>0</v>
      </c>
      <c r="Z88" s="62">
        <v>0</v>
      </c>
      <c r="AA88" s="256">
        <f t="shared" si="80"/>
        <v>0</v>
      </c>
      <c r="AB88" s="3"/>
      <c r="AC88" s="62" t="str">
        <f t="shared" si="81"/>
        <v/>
      </c>
      <c r="AD88" s="62">
        <f t="shared" si="82"/>
        <v>0</v>
      </c>
      <c r="AE88" s="62" t="str">
        <f t="shared" si="83"/>
        <v/>
      </c>
      <c r="AF88" s="62" t="str">
        <f t="shared" si="84"/>
        <v/>
      </c>
      <c r="AG88" s="192">
        <v>0</v>
      </c>
      <c r="AH88" s="62" t="str">
        <f t="shared" si="85"/>
        <v/>
      </c>
      <c r="AI88" s="62">
        <f t="shared" si="86"/>
        <v>0</v>
      </c>
      <c r="AJ88" s="62"/>
      <c r="AK88" s="62">
        <v>0</v>
      </c>
      <c r="AL88" s="256">
        <f t="shared" si="87"/>
        <v>0</v>
      </c>
      <c r="AM88" s="256">
        <f t="shared" si="88"/>
        <v>0</v>
      </c>
      <c r="AN88" s="256">
        <f t="shared" si="89"/>
        <v>0</v>
      </c>
    </row>
    <row r="89" spans="1:40" x14ac:dyDescent="0.2">
      <c r="A89" s="602" t="s">
        <v>386</v>
      </c>
      <c r="B89" s="934" t="s">
        <v>135</v>
      </c>
      <c r="C89" s="934" t="s">
        <v>242</v>
      </c>
      <c r="D89" s="788"/>
      <c r="E89" s="934" t="s">
        <v>532</v>
      </c>
      <c r="F89" s="934" t="s">
        <v>485</v>
      </c>
      <c r="G89" s="934" t="s">
        <v>1046</v>
      </c>
      <c r="H89" s="788"/>
      <c r="I89" s="603" t="s">
        <v>856</v>
      </c>
      <c r="J89" s="603" t="s">
        <v>857</v>
      </c>
      <c r="K89" s="603" t="s">
        <v>386</v>
      </c>
      <c r="L89" s="603" t="s">
        <v>858</v>
      </c>
      <c r="M89" s="604">
        <v>0</v>
      </c>
      <c r="N89" s="602" t="s">
        <v>386</v>
      </c>
      <c r="O89" s="602" t="s">
        <v>386</v>
      </c>
      <c r="P89" s="602" t="s">
        <v>7</v>
      </c>
      <c r="Q89" s="602" t="s">
        <v>386</v>
      </c>
      <c r="R89" s="602" t="s">
        <v>386</v>
      </c>
      <c r="S89" s="602" t="s">
        <v>386</v>
      </c>
      <c r="T89" s="263" t="str">
        <f t="shared" si="76"/>
        <v/>
      </c>
      <c r="U89" s="269">
        <v>0</v>
      </c>
      <c r="V89" s="270">
        <f t="shared" si="77"/>
        <v>0</v>
      </c>
      <c r="W89" s="270" t="str">
        <f t="shared" si="78"/>
        <v/>
      </c>
      <c r="X89" s="270">
        <f t="shared" si="79"/>
        <v>0</v>
      </c>
      <c r="Y89" s="62">
        <v>0</v>
      </c>
      <c r="Z89" s="62">
        <v>0</v>
      </c>
      <c r="AA89" s="256">
        <f t="shared" si="80"/>
        <v>0</v>
      </c>
      <c r="AB89" s="3"/>
      <c r="AC89" s="62" t="str">
        <f t="shared" si="81"/>
        <v/>
      </c>
      <c r="AD89" s="62">
        <f t="shared" si="82"/>
        <v>0</v>
      </c>
      <c r="AE89" s="62" t="str">
        <f t="shared" si="83"/>
        <v/>
      </c>
      <c r="AF89" s="62" t="str">
        <f t="shared" si="84"/>
        <v/>
      </c>
      <c r="AG89" s="192">
        <v>0</v>
      </c>
      <c r="AH89" s="62" t="str">
        <f t="shared" si="85"/>
        <v/>
      </c>
      <c r="AI89" s="62">
        <f t="shared" si="86"/>
        <v>0</v>
      </c>
      <c r="AJ89" s="62"/>
      <c r="AK89" s="62">
        <v>0</v>
      </c>
      <c r="AL89" s="256">
        <f t="shared" si="87"/>
        <v>0</v>
      </c>
      <c r="AM89" s="256">
        <f t="shared" si="88"/>
        <v>0</v>
      </c>
      <c r="AN89" s="256">
        <f t="shared" si="89"/>
        <v>0</v>
      </c>
    </row>
    <row r="90" spans="1:40" x14ac:dyDescent="0.2">
      <c r="A90" s="602" t="s">
        <v>386</v>
      </c>
      <c r="B90" s="934" t="s">
        <v>135</v>
      </c>
      <c r="C90" s="934" t="s">
        <v>242</v>
      </c>
      <c r="D90" s="788"/>
      <c r="E90" s="934" t="s">
        <v>532</v>
      </c>
      <c r="F90" s="934" t="s">
        <v>465</v>
      </c>
      <c r="G90" s="934" t="s">
        <v>993</v>
      </c>
      <c r="H90" s="788"/>
      <c r="I90" s="603" t="s">
        <v>856</v>
      </c>
      <c r="J90" s="603" t="s">
        <v>857</v>
      </c>
      <c r="K90" s="603" t="s">
        <v>386</v>
      </c>
      <c r="L90" s="603" t="s">
        <v>858</v>
      </c>
      <c r="M90" s="604">
        <v>0</v>
      </c>
      <c r="N90" s="602" t="s">
        <v>386</v>
      </c>
      <c r="O90" s="602" t="s">
        <v>386</v>
      </c>
      <c r="P90" s="602" t="s">
        <v>7</v>
      </c>
      <c r="Q90" s="602" t="s">
        <v>386</v>
      </c>
      <c r="R90" s="602" t="s">
        <v>386</v>
      </c>
      <c r="S90" s="602" t="s">
        <v>386</v>
      </c>
      <c r="T90" s="263" t="str">
        <f t="shared" si="76"/>
        <v/>
      </c>
      <c r="U90" s="269">
        <v>0</v>
      </c>
      <c r="V90" s="270">
        <f t="shared" si="77"/>
        <v>0</v>
      </c>
      <c r="W90" s="270" t="str">
        <f t="shared" si="78"/>
        <v/>
      </c>
      <c r="X90" s="270">
        <f t="shared" si="79"/>
        <v>0</v>
      </c>
      <c r="Y90" s="62">
        <v>0</v>
      </c>
      <c r="Z90" s="62">
        <v>0</v>
      </c>
      <c r="AA90" s="256">
        <f t="shared" si="80"/>
        <v>0</v>
      </c>
      <c r="AB90" s="3"/>
      <c r="AC90" s="62" t="str">
        <f t="shared" si="81"/>
        <v/>
      </c>
      <c r="AD90" s="62">
        <f t="shared" si="82"/>
        <v>0</v>
      </c>
      <c r="AE90" s="62" t="str">
        <f t="shared" si="83"/>
        <v/>
      </c>
      <c r="AF90" s="62" t="str">
        <f t="shared" si="84"/>
        <v/>
      </c>
      <c r="AG90" s="192">
        <v>0</v>
      </c>
      <c r="AH90" s="62" t="str">
        <f t="shared" si="85"/>
        <v/>
      </c>
      <c r="AI90" s="62">
        <f t="shared" si="86"/>
        <v>0</v>
      </c>
      <c r="AJ90" s="62"/>
      <c r="AK90" s="62">
        <v>0</v>
      </c>
      <c r="AL90" s="256">
        <f t="shared" si="87"/>
        <v>0</v>
      </c>
      <c r="AM90" s="256">
        <f t="shared" si="88"/>
        <v>0</v>
      </c>
      <c r="AN90" s="256">
        <f t="shared" si="89"/>
        <v>0</v>
      </c>
    </row>
    <row r="91" spans="1:40" x14ac:dyDescent="0.2">
      <c r="A91" s="602" t="s">
        <v>386</v>
      </c>
      <c r="B91" s="934" t="s">
        <v>135</v>
      </c>
      <c r="C91" s="934" t="s">
        <v>242</v>
      </c>
      <c r="D91" s="788"/>
      <c r="E91" s="934" t="s">
        <v>532</v>
      </c>
      <c r="F91" s="934" t="s">
        <v>558</v>
      </c>
      <c r="G91" s="934" t="s">
        <v>993</v>
      </c>
      <c r="H91" s="788"/>
      <c r="I91" s="602" t="s">
        <v>856</v>
      </c>
      <c r="J91" s="602" t="s">
        <v>857</v>
      </c>
      <c r="K91" s="602" t="s">
        <v>386</v>
      </c>
      <c r="L91" s="602" t="s">
        <v>858</v>
      </c>
      <c r="M91" s="604">
        <v>0</v>
      </c>
      <c r="N91" s="602" t="s">
        <v>386</v>
      </c>
      <c r="O91" s="602" t="s">
        <v>386</v>
      </c>
      <c r="P91" s="602" t="s">
        <v>7</v>
      </c>
      <c r="Q91" s="602" t="s">
        <v>386</v>
      </c>
      <c r="R91" s="602" t="s">
        <v>386</v>
      </c>
      <c r="S91" s="602" t="s">
        <v>386</v>
      </c>
      <c r="T91" s="263" t="str">
        <f t="shared" si="76"/>
        <v/>
      </c>
      <c r="U91" s="269">
        <v>0</v>
      </c>
      <c r="V91" s="270">
        <f t="shared" si="77"/>
        <v>0</v>
      </c>
      <c r="W91" s="270" t="str">
        <f t="shared" si="78"/>
        <v/>
      </c>
      <c r="X91" s="270">
        <f t="shared" si="79"/>
        <v>0</v>
      </c>
      <c r="Y91" s="62">
        <v>0</v>
      </c>
      <c r="Z91" s="62">
        <v>0</v>
      </c>
      <c r="AA91" s="256">
        <f t="shared" si="80"/>
        <v>0</v>
      </c>
      <c r="AB91" s="3"/>
      <c r="AC91" s="62" t="str">
        <f t="shared" si="81"/>
        <v/>
      </c>
      <c r="AD91" s="62">
        <f t="shared" si="82"/>
        <v>0</v>
      </c>
      <c r="AE91" s="62" t="str">
        <f t="shared" si="83"/>
        <v/>
      </c>
      <c r="AF91" s="62" t="str">
        <f t="shared" si="84"/>
        <v/>
      </c>
      <c r="AG91" s="192">
        <v>0</v>
      </c>
      <c r="AH91" s="62" t="str">
        <f t="shared" si="85"/>
        <v/>
      </c>
      <c r="AI91" s="62">
        <f t="shared" si="86"/>
        <v>0</v>
      </c>
      <c r="AJ91" s="62"/>
      <c r="AK91" s="62">
        <v>0</v>
      </c>
      <c r="AL91" s="256">
        <f t="shared" si="87"/>
        <v>0</v>
      </c>
      <c r="AM91" s="256">
        <f t="shared" si="88"/>
        <v>0</v>
      </c>
      <c r="AN91" s="256">
        <f t="shared" si="89"/>
        <v>0</v>
      </c>
    </row>
    <row r="92" spans="1:40" x14ac:dyDescent="0.2">
      <c r="A92" s="602" t="s">
        <v>386</v>
      </c>
      <c r="B92" s="788" t="s">
        <v>386</v>
      </c>
      <c r="C92" s="788" t="s">
        <v>386</v>
      </c>
      <c r="D92" s="788"/>
      <c r="E92" s="788" t="s">
        <v>386</v>
      </c>
      <c r="F92" s="788" t="s">
        <v>386</v>
      </c>
      <c r="G92" s="788" t="s">
        <v>386</v>
      </c>
      <c r="H92" s="788"/>
      <c r="I92" s="603" t="s">
        <v>386</v>
      </c>
      <c r="J92" s="603" t="s">
        <v>386</v>
      </c>
      <c r="K92" s="603" t="s">
        <v>386</v>
      </c>
      <c r="L92" s="603" t="s">
        <v>386</v>
      </c>
      <c r="M92" s="604" t="s">
        <v>386</v>
      </c>
      <c r="N92" s="602" t="s">
        <v>386</v>
      </c>
      <c r="O92" s="602" t="s">
        <v>386</v>
      </c>
      <c r="P92" s="602" t="s">
        <v>386</v>
      </c>
      <c r="Q92" s="602" t="s">
        <v>386</v>
      </c>
      <c r="R92" s="602" t="s">
        <v>386</v>
      </c>
      <c r="S92" s="602" t="s">
        <v>386</v>
      </c>
      <c r="T92" s="263" t="str">
        <f t="shared" si="76"/>
        <v/>
      </c>
      <c r="U92" s="269">
        <v>0</v>
      </c>
      <c r="V92" s="270">
        <f t="shared" si="77"/>
        <v>0</v>
      </c>
      <c r="W92" s="270" t="str">
        <f t="shared" si="78"/>
        <v/>
      </c>
      <c r="X92" s="270" t="str">
        <f t="shared" si="79"/>
        <v/>
      </c>
      <c r="Y92" s="62">
        <v>0</v>
      </c>
      <c r="Z92" s="62">
        <v>0</v>
      </c>
      <c r="AA92" s="256">
        <f t="shared" si="80"/>
        <v>0</v>
      </c>
      <c r="AB92" s="3"/>
      <c r="AC92" s="62" t="str">
        <f t="shared" si="81"/>
        <v/>
      </c>
      <c r="AD92" s="62" t="str">
        <f t="shared" si="82"/>
        <v/>
      </c>
      <c r="AE92" s="62" t="str">
        <f t="shared" si="83"/>
        <v/>
      </c>
      <c r="AF92" s="62" t="str">
        <f t="shared" si="84"/>
        <v/>
      </c>
      <c r="AG92" s="192">
        <v>0</v>
      </c>
      <c r="AH92" s="62" t="str">
        <f t="shared" si="85"/>
        <v/>
      </c>
      <c r="AI92" s="62">
        <f t="shared" si="86"/>
        <v>0</v>
      </c>
      <c r="AJ92" s="62"/>
      <c r="AK92" s="62">
        <v>0</v>
      </c>
      <c r="AL92" s="256">
        <f t="shared" si="87"/>
        <v>0</v>
      </c>
      <c r="AM92" s="256">
        <f t="shared" si="88"/>
        <v>0</v>
      </c>
      <c r="AN92" s="256">
        <f t="shared" si="89"/>
        <v>0</v>
      </c>
    </row>
    <row r="93" spans="1:40" x14ac:dyDescent="0.2">
      <c r="A93" s="602" t="s">
        <v>924</v>
      </c>
      <c r="B93" s="788">
        <v>280</v>
      </c>
      <c r="C93" s="788">
        <v>661</v>
      </c>
      <c r="D93" s="788"/>
      <c r="E93" s="788">
        <v>100</v>
      </c>
      <c r="F93" s="788" t="s">
        <v>461</v>
      </c>
      <c r="G93" s="788" t="s">
        <v>1043</v>
      </c>
      <c r="H93" s="788"/>
      <c r="I93" s="603" t="s">
        <v>925</v>
      </c>
      <c r="J93" s="603"/>
      <c r="K93" s="603"/>
      <c r="L93" s="603" t="s">
        <v>925</v>
      </c>
      <c r="M93" s="604">
        <v>0</v>
      </c>
      <c r="N93" s="602" t="s">
        <v>386</v>
      </c>
      <c r="O93" s="602" t="s">
        <v>386</v>
      </c>
      <c r="P93" s="602" t="s">
        <v>7</v>
      </c>
      <c r="Q93" s="602" t="s">
        <v>386</v>
      </c>
      <c r="R93" s="602" t="s">
        <v>386</v>
      </c>
      <c r="S93" s="602" t="s">
        <v>386</v>
      </c>
      <c r="T93" s="263" t="str">
        <f t="shared" si="76"/>
        <v/>
      </c>
      <c r="U93" s="269">
        <v>0</v>
      </c>
      <c r="V93" s="270">
        <f t="shared" si="77"/>
        <v>0</v>
      </c>
      <c r="W93" s="270" t="str">
        <f t="shared" si="78"/>
        <v/>
      </c>
      <c r="X93" s="270">
        <f t="shared" si="79"/>
        <v>0</v>
      </c>
      <c r="Y93" s="62">
        <v>0</v>
      </c>
      <c r="Z93" s="62">
        <v>0</v>
      </c>
      <c r="AA93" s="256">
        <f t="shared" si="80"/>
        <v>0</v>
      </c>
      <c r="AB93" s="3"/>
      <c r="AC93" s="62" t="str">
        <f t="shared" si="81"/>
        <v/>
      </c>
      <c r="AD93" s="62">
        <f t="shared" si="82"/>
        <v>0</v>
      </c>
      <c r="AE93" s="62" t="str">
        <f t="shared" si="83"/>
        <v/>
      </c>
      <c r="AF93" s="62" t="str">
        <f t="shared" si="84"/>
        <v/>
      </c>
      <c r="AG93" s="192">
        <v>0</v>
      </c>
      <c r="AH93" s="62" t="str">
        <f t="shared" si="85"/>
        <v/>
      </c>
      <c r="AI93" s="62">
        <f t="shared" si="86"/>
        <v>0</v>
      </c>
      <c r="AJ93" s="62"/>
      <c r="AK93" s="62">
        <v>0</v>
      </c>
      <c r="AL93" s="256">
        <f t="shared" si="87"/>
        <v>0</v>
      </c>
      <c r="AM93" s="256">
        <f t="shared" si="88"/>
        <v>0</v>
      </c>
      <c r="AN93" s="256">
        <f t="shared" si="89"/>
        <v>0</v>
      </c>
    </row>
    <row r="94" spans="1:40" x14ac:dyDescent="0.2">
      <c r="A94" s="602" t="s">
        <v>924</v>
      </c>
      <c r="B94" s="788">
        <v>280</v>
      </c>
      <c r="C94" s="788">
        <v>661</v>
      </c>
      <c r="D94" s="788"/>
      <c r="E94" s="788">
        <v>100</v>
      </c>
      <c r="F94" s="788" t="s">
        <v>461</v>
      </c>
      <c r="G94" s="788" t="s">
        <v>1043</v>
      </c>
      <c r="H94" s="788"/>
      <c r="I94" s="603" t="s">
        <v>925</v>
      </c>
      <c r="J94" s="603"/>
      <c r="K94" s="603"/>
      <c r="L94" s="603" t="s">
        <v>925</v>
      </c>
      <c r="M94" s="604">
        <v>0</v>
      </c>
      <c r="N94" s="602" t="s">
        <v>386</v>
      </c>
      <c r="O94" s="602" t="s">
        <v>386</v>
      </c>
      <c r="P94" s="602" t="s">
        <v>7</v>
      </c>
      <c r="Q94" s="602" t="s">
        <v>386</v>
      </c>
      <c r="R94" s="602" t="s">
        <v>386</v>
      </c>
      <c r="S94" s="602" t="s">
        <v>386</v>
      </c>
      <c r="T94" s="263" t="str">
        <f t="shared" si="76"/>
        <v/>
      </c>
      <c r="U94" s="269">
        <v>0</v>
      </c>
      <c r="V94" s="270">
        <f t="shared" si="77"/>
        <v>0</v>
      </c>
      <c r="W94" s="270" t="str">
        <f t="shared" si="78"/>
        <v/>
      </c>
      <c r="X94" s="270">
        <f t="shared" si="79"/>
        <v>0</v>
      </c>
      <c r="Y94" s="62">
        <v>0</v>
      </c>
      <c r="Z94" s="62">
        <v>0</v>
      </c>
      <c r="AA94" s="256">
        <f t="shared" si="80"/>
        <v>0</v>
      </c>
      <c r="AB94" s="3"/>
      <c r="AC94" s="62" t="str">
        <f t="shared" si="81"/>
        <v/>
      </c>
      <c r="AD94" s="62">
        <f t="shared" si="82"/>
        <v>0</v>
      </c>
      <c r="AE94" s="62" t="str">
        <f t="shared" si="83"/>
        <v/>
      </c>
      <c r="AF94" s="62" t="str">
        <f t="shared" si="84"/>
        <v/>
      </c>
      <c r="AG94" s="192">
        <v>0</v>
      </c>
      <c r="AH94" s="62" t="str">
        <f t="shared" si="85"/>
        <v/>
      </c>
      <c r="AI94" s="62">
        <f t="shared" si="86"/>
        <v>0</v>
      </c>
      <c r="AJ94" s="62"/>
      <c r="AK94" s="62">
        <v>0</v>
      </c>
      <c r="AL94" s="256">
        <f t="shared" si="87"/>
        <v>0</v>
      </c>
      <c r="AM94" s="256">
        <f t="shared" si="88"/>
        <v>0</v>
      </c>
      <c r="AN94" s="256">
        <f t="shared" si="89"/>
        <v>0</v>
      </c>
    </row>
    <row r="95" spans="1:40" x14ac:dyDescent="0.2">
      <c r="A95" s="602" t="s">
        <v>924</v>
      </c>
      <c r="B95" s="788">
        <v>280</v>
      </c>
      <c r="C95" s="788">
        <v>661</v>
      </c>
      <c r="D95" s="788"/>
      <c r="E95" s="788">
        <v>100</v>
      </c>
      <c r="F95" s="788" t="s">
        <v>461</v>
      </c>
      <c r="G95" s="788" t="s">
        <v>1043</v>
      </c>
      <c r="H95" s="788"/>
      <c r="I95" s="603" t="s">
        <v>925</v>
      </c>
      <c r="J95" s="603"/>
      <c r="K95" s="603"/>
      <c r="L95" s="603" t="s">
        <v>925</v>
      </c>
      <c r="M95" s="604">
        <v>0</v>
      </c>
      <c r="N95" s="602" t="s">
        <v>386</v>
      </c>
      <c r="O95" s="602" t="s">
        <v>386</v>
      </c>
      <c r="P95" s="602" t="s">
        <v>7</v>
      </c>
      <c r="Q95" s="602" t="s">
        <v>386</v>
      </c>
      <c r="R95" s="602" t="s">
        <v>386</v>
      </c>
      <c r="S95" s="602" t="s">
        <v>386</v>
      </c>
      <c r="T95" s="263" t="str">
        <f t="shared" si="76"/>
        <v/>
      </c>
      <c r="U95" s="269">
        <v>0</v>
      </c>
      <c r="V95" s="270">
        <f t="shared" si="77"/>
        <v>0</v>
      </c>
      <c r="W95" s="270" t="str">
        <f t="shared" si="78"/>
        <v/>
      </c>
      <c r="X95" s="270">
        <f t="shared" si="79"/>
        <v>0</v>
      </c>
      <c r="Y95" s="62">
        <v>0</v>
      </c>
      <c r="Z95" s="62">
        <v>0</v>
      </c>
      <c r="AA95" s="256">
        <f t="shared" si="80"/>
        <v>0</v>
      </c>
      <c r="AB95" s="3"/>
      <c r="AC95" s="62" t="str">
        <f t="shared" si="81"/>
        <v/>
      </c>
      <c r="AD95" s="62">
        <f t="shared" si="82"/>
        <v>0</v>
      </c>
      <c r="AE95" s="62" t="str">
        <f t="shared" si="83"/>
        <v/>
      </c>
      <c r="AF95" s="62" t="str">
        <f t="shared" si="84"/>
        <v/>
      </c>
      <c r="AG95" s="192">
        <v>0</v>
      </c>
      <c r="AH95" s="62" t="str">
        <f t="shared" si="85"/>
        <v/>
      </c>
      <c r="AI95" s="62">
        <f t="shared" si="86"/>
        <v>0</v>
      </c>
      <c r="AJ95" s="62"/>
      <c r="AK95" s="62">
        <v>0</v>
      </c>
      <c r="AL95" s="256">
        <f t="shared" si="87"/>
        <v>0</v>
      </c>
      <c r="AM95" s="256">
        <f t="shared" si="88"/>
        <v>0</v>
      </c>
      <c r="AN95" s="256">
        <f t="shared" si="89"/>
        <v>0</v>
      </c>
    </row>
    <row r="96" spans="1:40" x14ac:dyDescent="0.2">
      <c r="A96" s="3" t="s">
        <v>386</v>
      </c>
      <c r="B96" s="307" t="s">
        <v>386</v>
      </c>
      <c r="C96" s="307" t="s">
        <v>386</v>
      </c>
      <c r="D96" s="307"/>
      <c r="E96" s="307" t="s">
        <v>386</v>
      </c>
      <c r="F96" s="307" t="s">
        <v>386</v>
      </c>
      <c r="G96" s="307" t="s">
        <v>386</v>
      </c>
      <c r="H96" s="307"/>
      <c r="I96" s="255" t="s">
        <v>386</v>
      </c>
      <c r="J96" s="255" t="s">
        <v>386</v>
      </c>
      <c r="K96" s="255" t="s">
        <v>386</v>
      </c>
      <c r="L96" s="255" t="s">
        <v>386</v>
      </c>
      <c r="M96" s="92" t="s">
        <v>386</v>
      </c>
      <c r="N96" s="3" t="s">
        <v>386</v>
      </c>
      <c r="O96" s="3" t="s">
        <v>386</v>
      </c>
      <c r="P96" s="3" t="s">
        <v>386</v>
      </c>
      <c r="Q96" s="3" t="s">
        <v>386</v>
      </c>
      <c r="R96" s="3" t="s">
        <v>386</v>
      </c>
      <c r="S96" s="3" t="s">
        <v>386</v>
      </c>
      <c r="T96" s="263" t="str">
        <f t="shared" ref="T96:T104" si="90">+IF(R96="","",R96*S96)</f>
        <v/>
      </c>
      <c r="U96" s="269">
        <v>0</v>
      </c>
      <c r="V96" s="270">
        <f t="shared" ref="V96:V104" si="91">IF($U96="","",$U96*(1+$V$1))</f>
        <v>0</v>
      </c>
      <c r="W96" s="270" t="str">
        <f t="shared" ref="W96:W104" si="92">+IF(P96="EE",+V96*$W$1,"")</f>
        <v/>
      </c>
      <c r="X96" s="270" t="str">
        <f t="shared" ref="X96:X104" si="93">_xlfn.IFS(P96="ER",V96,P96="EE",W96,P96="N",V96,P96="","")</f>
        <v/>
      </c>
      <c r="Y96" s="62">
        <v>0</v>
      </c>
      <c r="Z96" s="62">
        <v>0</v>
      </c>
      <c r="AA96" s="256">
        <f t="shared" ref="AA96:AA104" si="94">SUM(X96:Z96)</f>
        <v>0</v>
      </c>
      <c r="AB96" s="3"/>
      <c r="AC96" s="62" t="str">
        <f t="shared" ref="AC96:AC104" si="95">IF(AND(M96=1,P96&lt;&gt;"N"),$AC$1,"")</f>
        <v/>
      </c>
      <c r="AD96" s="62" t="str">
        <f t="shared" ref="AD96:AD104" si="96">_xlfn.IFS(P96="N",$AD$1*AA96,P96="EE","",P96="ER","",P96="","")</f>
        <v/>
      </c>
      <c r="AE96" s="62" t="str">
        <f t="shared" ref="AE96:AE104" si="97">_xlfn.IFS(P96="EE",X96*$AE$1,P96="ER",X96*$AE$2,P96="N","",P96="","")</f>
        <v/>
      </c>
      <c r="AF96" s="62" t="str">
        <f t="shared" ref="AF96:AF104" si="98">+IF(AA96&gt;1,AA96*$AF$1,"")</f>
        <v/>
      </c>
      <c r="AG96" s="192">
        <v>0</v>
      </c>
      <c r="AH96" s="62" t="str">
        <f t="shared" ref="AH96:AH104" si="99">+IF(AA96&gt;1,AA96*$AH$1,"")</f>
        <v/>
      </c>
      <c r="AI96" s="62">
        <f t="shared" ref="AI96:AI104" si="100">+_xlfn.IFS(F96&lt;2300,(AA96*$AI$1),F96&gt;=2300,(AA96*$AI$2),F96="","")</f>
        <v>0</v>
      </c>
      <c r="AJ96" s="62"/>
      <c r="AK96" s="62">
        <v>0</v>
      </c>
      <c r="AL96" s="256">
        <f t="shared" ref="AL96:AL104" si="101">SUM(AC96:AK96)</f>
        <v>0</v>
      </c>
      <c r="AM96" s="256">
        <f t="shared" ref="AM96:AM104" si="102">AA96</f>
        <v>0</v>
      </c>
      <c r="AN96" s="256">
        <f t="shared" ref="AN96:AN104" si="103">SUM(AL96:AM96)</f>
        <v>0</v>
      </c>
    </row>
    <row r="97" spans="1:40" x14ac:dyDescent="0.2">
      <c r="A97" s="602" t="s">
        <v>386</v>
      </c>
      <c r="B97" s="788" t="s">
        <v>386</v>
      </c>
      <c r="C97" s="788" t="s">
        <v>386</v>
      </c>
      <c r="D97" s="788"/>
      <c r="E97" s="788" t="s">
        <v>386</v>
      </c>
      <c r="F97" s="788" t="s">
        <v>386</v>
      </c>
      <c r="G97" s="788" t="s">
        <v>386</v>
      </c>
      <c r="H97" s="788"/>
      <c r="I97" s="603" t="s">
        <v>386</v>
      </c>
      <c r="J97" s="603" t="s">
        <v>386</v>
      </c>
      <c r="K97" s="603" t="s">
        <v>386</v>
      </c>
      <c r="L97" s="603" t="s">
        <v>386</v>
      </c>
      <c r="M97" s="604" t="s">
        <v>386</v>
      </c>
      <c r="N97" s="602" t="s">
        <v>386</v>
      </c>
      <c r="O97" s="602" t="s">
        <v>386</v>
      </c>
      <c r="P97" s="602" t="s">
        <v>386</v>
      </c>
      <c r="Q97" s="602" t="s">
        <v>386</v>
      </c>
      <c r="R97" s="602" t="s">
        <v>386</v>
      </c>
      <c r="S97" s="602" t="s">
        <v>386</v>
      </c>
      <c r="T97" s="263" t="str">
        <f t="shared" si="90"/>
        <v/>
      </c>
      <c r="U97" s="269">
        <v>0</v>
      </c>
      <c r="V97" s="270">
        <f t="shared" si="91"/>
        <v>0</v>
      </c>
      <c r="W97" s="270" t="str">
        <f t="shared" si="92"/>
        <v/>
      </c>
      <c r="X97" s="270" t="str">
        <f t="shared" si="93"/>
        <v/>
      </c>
      <c r="Y97" s="62">
        <v>0</v>
      </c>
      <c r="Z97" s="62">
        <v>0</v>
      </c>
      <c r="AA97" s="256">
        <f t="shared" si="94"/>
        <v>0</v>
      </c>
      <c r="AB97" s="3"/>
      <c r="AC97" s="62" t="str">
        <f t="shared" si="95"/>
        <v/>
      </c>
      <c r="AD97" s="62" t="str">
        <f t="shared" si="96"/>
        <v/>
      </c>
      <c r="AE97" s="62" t="str">
        <f t="shared" si="97"/>
        <v/>
      </c>
      <c r="AF97" s="62" t="str">
        <f t="shared" si="98"/>
        <v/>
      </c>
      <c r="AG97" s="192">
        <v>0</v>
      </c>
      <c r="AH97" s="62" t="str">
        <f t="shared" si="99"/>
        <v/>
      </c>
      <c r="AI97" s="62">
        <f t="shared" si="100"/>
        <v>0</v>
      </c>
      <c r="AJ97" s="62"/>
      <c r="AK97" s="62">
        <v>0</v>
      </c>
      <c r="AL97" s="256">
        <f t="shared" si="101"/>
        <v>0</v>
      </c>
      <c r="AM97" s="256">
        <f t="shared" si="102"/>
        <v>0</v>
      </c>
      <c r="AN97" s="256">
        <f t="shared" si="103"/>
        <v>0</v>
      </c>
    </row>
    <row r="98" spans="1:40" x14ac:dyDescent="0.2">
      <c r="A98" s="3" t="s">
        <v>386</v>
      </c>
      <c r="B98" s="307" t="s">
        <v>386</v>
      </c>
      <c r="C98" s="307" t="s">
        <v>386</v>
      </c>
      <c r="D98" s="307"/>
      <c r="E98" s="307" t="s">
        <v>386</v>
      </c>
      <c r="F98" s="307" t="s">
        <v>386</v>
      </c>
      <c r="G98" s="307" t="s">
        <v>386</v>
      </c>
      <c r="H98" s="307"/>
      <c r="I98" s="255" t="s">
        <v>386</v>
      </c>
      <c r="J98" s="255" t="s">
        <v>386</v>
      </c>
      <c r="K98" s="255" t="s">
        <v>386</v>
      </c>
      <c r="L98" s="255" t="s">
        <v>386</v>
      </c>
      <c r="M98" s="92" t="s">
        <v>386</v>
      </c>
      <c r="N98" s="3" t="s">
        <v>386</v>
      </c>
      <c r="O98" s="3" t="s">
        <v>386</v>
      </c>
      <c r="P98" s="3" t="s">
        <v>386</v>
      </c>
      <c r="Q98" s="3" t="s">
        <v>386</v>
      </c>
      <c r="R98" s="3" t="s">
        <v>386</v>
      </c>
      <c r="S98" s="3" t="s">
        <v>386</v>
      </c>
      <c r="T98" s="263" t="str">
        <f t="shared" si="90"/>
        <v/>
      </c>
      <c r="U98" s="269">
        <v>0</v>
      </c>
      <c r="V98" s="270">
        <f t="shared" si="91"/>
        <v>0</v>
      </c>
      <c r="W98" s="270" t="str">
        <f t="shared" si="92"/>
        <v/>
      </c>
      <c r="X98" s="270" t="str">
        <f t="shared" si="93"/>
        <v/>
      </c>
      <c r="Y98" s="62">
        <v>0</v>
      </c>
      <c r="Z98" s="62">
        <v>0</v>
      </c>
      <c r="AA98" s="256">
        <f t="shared" si="94"/>
        <v>0</v>
      </c>
      <c r="AB98" s="3"/>
      <c r="AC98" s="62" t="str">
        <f t="shared" si="95"/>
        <v/>
      </c>
      <c r="AD98" s="62" t="str">
        <f t="shared" si="96"/>
        <v/>
      </c>
      <c r="AE98" s="62" t="str">
        <f t="shared" si="97"/>
        <v/>
      </c>
      <c r="AF98" s="62" t="str">
        <f t="shared" si="98"/>
        <v/>
      </c>
      <c r="AG98" s="192">
        <v>0</v>
      </c>
      <c r="AH98" s="62" t="str">
        <f t="shared" si="99"/>
        <v/>
      </c>
      <c r="AI98" s="62">
        <f t="shared" si="100"/>
        <v>0</v>
      </c>
      <c r="AJ98" s="62"/>
      <c r="AK98" s="62">
        <v>0</v>
      </c>
      <c r="AL98" s="256">
        <f t="shared" si="101"/>
        <v>0</v>
      </c>
      <c r="AM98" s="256">
        <f t="shared" si="102"/>
        <v>0</v>
      </c>
      <c r="AN98" s="256">
        <f t="shared" si="103"/>
        <v>0</v>
      </c>
    </row>
    <row r="99" spans="1:40" x14ac:dyDescent="0.2">
      <c r="A99" s="3" t="s">
        <v>386</v>
      </c>
      <c r="B99" s="307" t="s">
        <v>386</v>
      </c>
      <c r="C99" s="307" t="s">
        <v>386</v>
      </c>
      <c r="D99" s="307"/>
      <c r="E99" s="307" t="s">
        <v>386</v>
      </c>
      <c r="F99" s="307" t="s">
        <v>386</v>
      </c>
      <c r="G99" s="307" t="s">
        <v>386</v>
      </c>
      <c r="H99" s="307"/>
      <c r="I99" s="255" t="s">
        <v>386</v>
      </c>
      <c r="J99" s="255" t="s">
        <v>386</v>
      </c>
      <c r="K99" s="255" t="s">
        <v>386</v>
      </c>
      <c r="L99" s="255" t="s">
        <v>386</v>
      </c>
      <c r="M99" s="92" t="s">
        <v>386</v>
      </c>
      <c r="N99" s="3" t="s">
        <v>386</v>
      </c>
      <c r="O99" s="3" t="s">
        <v>386</v>
      </c>
      <c r="P99" s="3" t="s">
        <v>386</v>
      </c>
      <c r="Q99" s="3" t="s">
        <v>386</v>
      </c>
      <c r="R99" s="3" t="s">
        <v>386</v>
      </c>
      <c r="S99" s="3" t="s">
        <v>386</v>
      </c>
      <c r="T99" s="263" t="str">
        <f t="shared" si="90"/>
        <v/>
      </c>
      <c r="U99" s="269">
        <v>0</v>
      </c>
      <c r="V99" s="270">
        <f t="shared" si="91"/>
        <v>0</v>
      </c>
      <c r="W99" s="270" t="str">
        <f t="shared" si="92"/>
        <v/>
      </c>
      <c r="X99" s="270" t="str">
        <f t="shared" si="93"/>
        <v/>
      </c>
      <c r="Y99" s="62">
        <v>0</v>
      </c>
      <c r="Z99" s="62">
        <v>0</v>
      </c>
      <c r="AA99" s="256">
        <f t="shared" si="94"/>
        <v>0</v>
      </c>
      <c r="AB99" s="3"/>
      <c r="AC99" s="62" t="str">
        <f t="shared" si="95"/>
        <v/>
      </c>
      <c r="AD99" s="62" t="str">
        <f t="shared" si="96"/>
        <v/>
      </c>
      <c r="AE99" s="62" t="str">
        <f t="shared" si="97"/>
        <v/>
      </c>
      <c r="AF99" s="62" t="str">
        <f t="shared" si="98"/>
        <v/>
      </c>
      <c r="AG99" s="192">
        <v>0</v>
      </c>
      <c r="AH99" s="62" t="str">
        <f t="shared" si="99"/>
        <v/>
      </c>
      <c r="AI99" s="62">
        <f t="shared" si="100"/>
        <v>0</v>
      </c>
      <c r="AJ99" s="62"/>
      <c r="AK99" s="62">
        <v>0</v>
      </c>
      <c r="AL99" s="256">
        <f t="shared" si="101"/>
        <v>0</v>
      </c>
      <c r="AM99" s="256">
        <f t="shared" si="102"/>
        <v>0</v>
      </c>
      <c r="AN99" s="256">
        <f t="shared" si="103"/>
        <v>0</v>
      </c>
    </row>
    <row r="100" spans="1:40" x14ac:dyDescent="0.2">
      <c r="A100" s="602" t="s">
        <v>386</v>
      </c>
      <c r="B100" s="788" t="s">
        <v>386</v>
      </c>
      <c r="C100" s="788" t="s">
        <v>386</v>
      </c>
      <c r="D100" s="788"/>
      <c r="E100" s="788" t="s">
        <v>386</v>
      </c>
      <c r="F100" s="788" t="s">
        <v>386</v>
      </c>
      <c r="G100" s="788" t="s">
        <v>386</v>
      </c>
      <c r="H100" s="788"/>
      <c r="I100" s="603" t="s">
        <v>386</v>
      </c>
      <c r="J100" s="603" t="s">
        <v>386</v>
      </c>
      <c r="K100" s="603" t="s">
        <v>386</v>
      </c>
      <c r="L100" s="603" t="s">
        <v>386</v>
      </c>
      <c r="M100" s="604" t="s">
        <v>386</v>
      </c>
      <c r="N100" s="602" t="s">
        <v>386</v>
      </c>
      <c r="O100" s="602" t="s">
        <v>386</v>
      </c>
      <c r="P100" s="602" t="s">
        <v>386</v>
      </c>
      <c r="Q100" s="602" t="s">
        <v>386</v>
      </c>
      <c r="R100" s="602" t="s">
        <v>386</v>
      </c>
      <c r="S100" s="602" t="s">
        <v>386</v>
      </c>
      <c r="T100" s="263" t="str">
        <f t="shared" si="90"/>
        <v/>
      </c>
      <c r="U100" s="269">
        <v>0</v>
      </c>
      <c r="V100" s="270">
        <f t="shared" si="91"/>
        <v>0</v>
      </c>
      <c r="W100" s="270" t="str">
        <f t="shared" si="92"/>
        <v/>
      </c>
      <c r="X100" s="270" t="str">
        <f t="shared" si="93"/>
        <v/>
      </c>
      <c r="Y100" s="62">
        <v>0</v>
      </c>
      <c r="Z100" s="62">
        <v>0</v>
      </c>
      <c r="AA100" s="256">
        <f t="shared" si="94"/>
        <v>0</v>
      </c>
      <c r="AB100" s="3"/>
      <c r="AC100" s="62" t="str">
        <f t="shared" si="95"/>
        <v/>
      </c>
      <c r="AD100" s="62" t="str">
        <f t="shared" si="96"/>
        <v/>
      </c>
      <c r="AE100" s="62" t="str">
        <f t="shared" si="97"/>
        <v/>
      </c>
      <c r="AF100" s="62" t="str">
        <f t="shared" si="98"/>
        <v/>
      </c>
      <c r="AG100" s="192">
        <v>0</v>
      </c>
      <c r="AH100" s="62" t="str">
        <f t="shared" si="99"/>
        <v/>
      </c>
      <c r="AI100" s="62">
        <f t="shared" si="100"/>
        <v>0</v>
      </c>
      <c r="AJ100" s="62"/>
      <c r="AK100" s="62">
        <v>0</v>
      </c>
      <c r="AL100" s="256">
        <f t="shared" si="101"/>
        <v>0</v>
      </c>
      <c r="AM100" s="256">
        <f t="shared" si="102"/>
        <v>0</v>
      </c>
      <c r="AN100" s="256">
        <f t="shared" si="103"/>
        <v>0</v>
      </c>
    </row>
    <row r="101" spans="1:40" x14ac:dyDescent="0.2">
      <c r="A101" s="3" t="s">
        <v>386</v>
      </c>
      <c r="B101" s="307" t="s">
        <v>386</v>
      </c>
      <c r="C101" s="307" t="s">
        <v>386</v>
      </c>
      <c r="D101" s="307"/>
      <c r="E101" s="307" t="s">
        <v>386</v>
      </c>
      <c r="F101" s="307" t="s">
        <v>386</v>
      </c>
      <c r="G101" s="307" t="s">
        <v>386</v>
      </c>
      <c r="H101" s="307"/>
      <c r="I101" s="255" t="s">
        <v>386</v>
      </c>
      <c r="J101" s="255" t="s">
        <v>386</v>
      </c>
      <c r="K101" s="255" t="s">
        <v>386</v>
      </c>
      <c r="L101" s="255" t="s">
        <v>386</v>
      </c>
      <c r="M101" s="92" t="s">
        <v>386</v>
      </c>
      <c r="N101" s="3" t="s">
        <v>386</v>
      </c>
      <c r="O101" s="3" t="s">
        <v>386</v>
      </c>
      <c r="P101" s="3" t="s">
        <v>386</v>
      </c>
      <c r="Q101" s="3" t="s">
        <v>386</v>
      </c>
      <c r="R101" s="3" t="s">
        <v>386</v>
      </c>
      <c r="S101" s="3" t="s">
        <v>386</v>
      </c>
      <c r="T101" s="263" t="str">
        <f t="shared" si="90"/>
        <v/>
      </c>
      <c r="U101" s="269">
        <v>0</v>
      </c>
      <c r="V101" s="270">
        <f t="shared" si="91"/>
        <v>0</v>
      </c>
      <c r="W101" s="270" t="str">
        <f t="shared" si="92"/>
        <v/>
      </c>
      <c r="X101" s="270" t="str">
        <f t="shared" si="93"/>
        <v/>
      </c>
      <c r="Y101" s="62">
        <v>0</v>
      </c>
      <c r="Z101" s="62">
        <v>0</v>
      </c>
      <c r="AA101" s="256">
        <f t="shared" si="94"/>
        <v>0</v>
      </c>
      <c r="AB101" s="3"/>
      <c r="AC101" s="62" t="str">
        <f t="shared" si="95"/>
        <v/>
      </c>
      <c r="AD101" s="62" t="str">
        <f t="shared" si="96"/>
        <v/>
      </c>
      <c r="AE101" s="62" t="str">
        <f t="shared" si="97"/>
        <v/>
      </c>
      <c r="AF101" s="62" t="str">
        <f t="shared" si="98"/>
        <v/>
      </c>
      <c r="AG101" s="192">
        <v>0</v>
      </c>
      <c r="AH101" s="62" t="str">
        <f t="shared" si="99"/>
        <v/>
      </c>
      <c r="AI101" s="62">
        <f t="shared" si="100"/>
        <v>0</v>
      </c>
      <c r="AJ101" s="62"/>
      <c r="AK101" s="62">
        <v>0</v>
      </c>
      <c r="AL101" s="256">
        <f t="shared" si="101"/>
        <v>0</v>
      </c>
      <c r="AM101" s="256">
        <f t="shared" si="102"/>
        <v>0</v>
      </c>
      <c r="AN101" s="256">
        <f t="shared" si="103"/>
        <v>0</v>
      </c>
    </row>
    <row r="102" spans="1:40" x14ac:dyDescent="0.2">
      <c r="A102" s="602" t="s">
        <v>386</v>
      </c>
      <c r="B102" s="788" t="s">
        <v>386</v>
      </c>
      <c r="C102" s="788" t="s">
        <v>386</v>
      </c>
      <c r="D102" s="788"/>
      <c r="E102" s="788" t="s">
        <v>386</v>
      </c>
      <c r="F102" s="788" t="s">
        <v>386</v>
      </c>
      <c r="G102" s="788" t="s">
        <v>386</v>
      </c>
      <c r="H102" s="788"/>
      <c r="I102" s="603" t="s">
        <v>386</v>
      </c>
      <c r="J102" s="603" t="s">
        <v>386</v>
      </c>
      <c r="K102" s="603" t="s">
        <v>386</v>
      </c>
      <c r="L102" s="603" t="s">
        <v>386</v>
      </c>
      <c r="M102" s="604" t="s">
        <v>386</v>
      </c>
      <c r="N102" s="602" t="s">
        <v>386</v>
      </c>
      <c r="O102" s="602" t="s">
        <v>386</v>
      </c>
      <c r="P102" s="602" t="s">
        <v>386</v>
      </c>
      <c r="Q102" s="602" t="s">
        <v>386</v>
      </c>
      <c r="R102" s="602" t="s">
        <v>386</v>
      </c>
      <c r="S102" s="602" t="s">
        <v>386</v>
      </c>
      <c r="T102" s="263" t="str">
        <f t="shared" si="90"/>
        <v/>
      </c>
      <c r="U102" s="269">
        <v>0</v>
      </c>
      <c r="V102" s="270">
        <f t="shared" si="91"/>
        <v>0</v>
      </c>
      <c r="W102" s="270" t="str">
        <f t="shared" si="92"/>
        <v/>
      </c>
      <c r="X102" s="270" t="str">
        <f t="shared" si="93"/>
        <v/>
      </c>
      <c r="Y102" s="62">
        <v>0</v>
      </c>
      <c r="Z102" s="62">
        <v>0</v>
      </c>
      <c r="AA102" s="256">
        <f t="shared" si="94"/>
        <v>0</v>
      </c>
      <c r="AB102" s="3"/>
      <c r="AC102" s="62" t="str">
        <f t="shared" si="95"/>
        <v/>
      </c>
      <c r="AD102" s="62" t="str">
        <f t="shared" si="96"/>
        <v/>
      </c>
      <c r="AE102" s="62" t="str">
        <f t="shared" si="97"/>
        <v/>
      </c>
      <c r="AF102" s="62" t="str">
        <f t="shared" si="98"/>
        <v/>
      </c>
      <c r="AG102" s="192">
        <v>0</v>
      </c>
      <c r="AH102" s="62" t="str">
        <f t="shared" si="99"/>
        <v/>
      </c>
      <c r="AI102" s="62">
        <f t="shared" si="100"/>
        <v>0</v>
      </c>
      <c r="AJ102" s="62"/>
      <c r="AK102" s="62">
        <v>0</v>
      </c>
      <c r="AL102" s="256">
        <f t="shared" si="101"/>
        <v>0</v>
      </c>
      <c r="AM102" s="256">
        <f t="shared" si="102"/>
        <v>0</v>
      </c>
      <c r="AN102" s="256">
        <f t="shared" si="103"/>
        <v>0</v>
      </c>
    </row>
    <row r="103" spans="1:40" x14ac:dyDescent="0.2">
      <c r="A103" s="3" t="s">
        <v>386</v>
      </c>
      <c r="B103" s="307" t="s">
        <v>386</v>
      </c>
      <c r="C103" s="307" t="s">
        <v>386</v>
      </c>
      <c r="D103" s="307"/>
      <c r="E103" s="307" t="s">
        <v>386</v>
      </c>
      <c r="F103" s="307" t="s">
        <v>386</v>
      </c>
      <c r="G103" s="307" t="s">
        <v>386</v>
      </c>
      <c r="H103" s="307"/>
      <c r="I103" s="255" t="s">
        <v>386</v>
      </c>
      <c r="J103" s="255" t="s">
        <v>386</v>
      </c>
      <c r="K103" s="255" t="s">
        <v>386</v>
      </c>
      <c r="L103" s="255" t="s">
        <v>386</v>
      </c>
      <c r="M103" s="92" t="s">
        <v>386</v>
      </c>
      <c r="N103" s="3" t="s">
        <v>386</v>
      </c>
      <c r="O103" s="3" t="s">
        <v>386</v>
      </c>
      <c r="P103" s="3" t="s">
        <v>386</v>
      </c>
      <c r="Q103" s="3" t="s">
        <v>386</v>
      </c>
      <c r="R103" s="3" t="s">
        <v>386</v>
      </c>
      <c r="S103" s="3" t="s">
        <v>386</v>
      </c>
      <c r="T103" s="263" t="str">
        <f t="shared" si="90"/>
        <v/>
      </c>
      <c r="U103" s="269">
        <v>0</v>
      </c>
      <c r="V103" s="270">
        <f t="shared" si="91"/>
        <v>0</v>
      </c>
      <c r="W103" s="270" t="str">
        <f t="shared" si="92"/>
        <v/>
      </c>
      <c r="X103" s="270" t="str">
        <f t="shared" si="93"/>
        <v/>
      </c>
      <c r="Y103" s="62">
        <v>0</v>
      </c>
      <c r="Z103" s="62">
        <v>0</v>
      </c>
      <c r="AA103" s="256">
        <f t="shared" si="94"/>
        <v>0</v>
      </c>
      <c r="AB103" s="3"/>
      <c r="AC103" s="62" t="str">
        <f t="shared" si="95"/>
        <v/>
      </c>
      <c r="AD103" s="62" t="str">
        <f t="shared" si="96"/>
        <v/>
      </c>
      <c r="AE103" s="62" t="str">
        <f t="shared" si="97"/>
        <v/>
      </c>
      <c r="AF103" s="62" t="str">
        <f t="shared" si="98"/>
        <v/>
      </c>
      <c r="AG103" s="192">
        <v>0</v>
      </c>
      <c r="AH103" s="62" t="str">
        <f t="shared" si="99"/>
        <v/>
      </c>
      <c r="AI103" s="62">
        <f t="shared" si="100"/>
        <v>0</v>
      </c>
      <c r="AJ103" s="62"/>
      <c r="AK103" s="62">
        <v>0</v>
      </c>
      <c r="AL103" s="256">
        <f t="shared" si="101"/>
        <v>0</v>
      </c>
      <c r="AM103" s="256">
        <f t="shared" si="102"/>
        <v>0</v>
      </c>
      <c r="AN103" s="256">
        <f t="shared" si="103"/>
        <v>0</v>
      </c>
    </row>
    <row r="104" spans="1:40" x14ac:dyDescent="0.2">
      <c r="A104" s="3" t="s">
        <v>386</v>
      </c>
      <c r="B104" s="307" t="s">
        <v>386</v>
      </c>
      <c r="C104" s="307" t="s">
        <v>386</v>
      </c>
      <c r="D104" s="307"/>
      <c r="E104" s="307" t="s">
        <v>386</v>
      </c>
      <c r="F104" s="307" t="s">
        <v>386</v>
      </c>
      <c r="G104" s="307" t="s">
        <v>386</v>
      </c>
      <c r="H104" s="307"/>
      <c r="I104" s="255" t="s">
        <v>386</v>
      </c>
      <c r="J104" s="255" t="s">
        <v>386</v>
      </c>
      <c r="K104" s="255" t="s">
        <v>386</v>
      </c>
      <c r="L104" s="255" t="s">
        <v>386</v>
      </c>
      <c r="M104" s="92" t="s">
        <v>386</v>
      </c>
      <c r="N104" s="3" t="s">
        <v>386</v>
      </c>
      <c r="O104" s="3" t="s">
        <v>386</v>
      </c>
      <c r="P104" s="3" t="s">
        <v>386</v>
      </c>
      <c r="Q104" s="3" t="s">
        <v>386</v>
      </c>
      <c r="R104" s="3" t="s">
        <v>386</v>
      </c>
      <c r="S104" s="3" t="s">
        <v>386</v>
      </c>
      <c r="T104" s="263" t="str">
        <f t="shared" si="90"/>
        <v/>
      </c>
      <c r="U104" s="269">
        <v>0</v>
      </c>
      <c r="V104" s="270">
        <f t="shared" si="91"/>
        <v>0</v>
      </c>
      <c r="W104" s="270" t="str">
        <f t="shared" si="92"/>
        <v/>
      </c>
      <c r="X104" s="270" t="str">
        <f t="shared" si="93"/>
        <v/>
      </c>
      <c r="Y104" s="62">
        <v>0</v>
      </c>
      <c r="Z104" s="62">
        <v>0</v>
      </c>
      <c r="AA104" s="256">
        <f t="shared" si="94"/>
        <v>0</v>
      </c>
      <c r="AB104" s="3"/>
      <c r="AC104" s="62" t="str">
        <f t="shared" si="95"/>
        <v/>
      </c>
      <c r="AD104" s="62" t="str">
        <f t="shared" si="96"/>
        <v/>
      </c>
      <c r="AE104" s="62" t="str">
        <f t="shared" si="97"/>
        <v/>
      </c>
      <c r="AF104" s="62" t="str">
        <f t="shared" si="98"/>
        <v/>
      </c>
      <c r="AG104" s="192">
        <v>0</v>
      </c>
      <c r="AH104" s="62" t="str">
        <f t="shared" si="99"/>
        <v/>
      </c>
      <c r="AI104" s="62">
        <f t="shared" si="100"/>
        <v>0</v>
      </c>
      <c r="AJ104" s="62"/>
      <c r="AK104" s="62">
        <v>0</v>
      </c>
      <c r="AL104" s="256">
        <f t="shared" si="101"/>
        <v>0</v>
      </c>
      <c r="AM104" s="256">
        <f t="shared" si="102"/>
        <v>0</v>
      </c>
      <c r="AN104" s="256">
        <f t="shared" si="103"/>
        <v>0</v>
      </c>
    </row>
    <row r="105" spans="1:40" x14ac:dyDescent="0.2">
      <c r="A105" s="474"/>
      <c r="B105" s="425"/>
      <c r="C105" s="425"/>
      <c r="D105" s="425"/>
      <c r="E105" s="425"/>
      <c r="F105" s="425"/>
      <c r="G105" s="425"/>
      <c r="H105" s="425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263" t="str">
        <f t="shared" ref="T105" si="104">+IF(R105="","",R105*S105)</f>
        <v/>
      </c>
      <c r="U105" s="269">
        <v>0</v>
      </c>
      <c r="V105" s="270">
        <f t="shared" si="77"/>
        <v>0</v>
      </c>
      <c r="W105" s="270" t="str">
        <f t="shared" ref="W105" si="105">+IF(P105="EE",+V105*$W$1,"")</f>
        <v/>
      </c>
      <c r="X105" s="270" t="str">
        <f t="shared" ref="X105" si="106">_xlfn.IFS(P105="ER",V105,P105="EE",W105,P105="N",V105,P105="","")</f>
        <v/>
      </c>
      <c r="Y105" s="62">
        <v>0</v>
      </c>
      <c r="Z105" s="62">
        <v>0</v>
      </c>
      <c r="AA105" s="256">
        <f t="shared" ref="AA105" si="107">SUM(X105:Z105)</f>
        <v>0</v>
      </c>
      <c r="AB105" s="3"/>
      <c r="AC105" s="62" t="str">
        <f t="shared" si="81"/>
        <v/>
      </c>
      <c r="AD105" s="62" t="str">
        <f t="shared" ref="AD105" si="108">_xlfn.IFS(P105="N",$AD$1*AA105,P105="EE","",P105="ER","",P105="","")</f>
        <v/>
      </c>
      <c r="AE105" s="62" t="str">
        <f t="shared" ref="AE105" si="109">_xlfn.IFS(P105="EE",X105*$AE$1,P105="ER",X105*$AE$2,P105="N","",P105="","")</f>
        <v/>
      </c>
      <c r="AF105" s="62" t="str">
        <f t="shared" ref="AF105" si="110">+IF(AA105&gt;1,AA105*$AF$1,"")</f>
        <v/>
      </c>
      <c r="AG105" s="192">
        <v>0</v>
      </c>
      <c r="AH105" s="62" t="str">
        <f t="shared" ref="AH105" si="111">+IF(AA105&gt;1,AA105*$AH$1,"")</f>
        <v/>
      </c>
      <c r="AI105" s="62">
        <f t="shared" ref="AI105" si="112">+_xlfn.IFS(F105&lt;2300,(AA105*$AI$1),F105&gt;=2300,(AA105*$AI$2),F105="","")</f>
        <v>0</v>
      </c>
      <c r="AJ105" s="62"/>
      <c r="AK105" s="62">
        <v>0</v>
      </c>
      <c r="AL105" s="256">
        <f t="shared" ref="AL105" si="113">SUM(AC105:AK105)</f>
        <v>0</v>
      </c>
      <c r="AM105" s="256">
        <f t="shared" ref="AM105" si="114">AA105</f>
        <v>0</v>
      </c>
      <c r="AN105" s="256">
        <f t="shared" ref="AN105" si="115">SUM(AL105:AM105)</f>
        <v>0</v>
      </c>
    </row>
    <row r="106" spans="1:40" x14ac:dyDescent="0.2">
      <c r="A106" s="311" t="s">
        <v>1149</v>
      </c>
      <c r="B106" s="380">
        <v>100</v>
      </c>
      <c r="C106" s="380" t="s">
        <v>145</v>
      </c>
      <c r="D106" s="380"/>
      <c r="E106" s="380">
        <v>100</v>
      </c>
      <c r="F106" s="380">
        <v>1000</v>
      </c>
      <c r="G106" s="380" t="s">
        <v>161</v>
      </c>
      <c r="H106" s="380" t="s">
        <v>497</v>
      </c>
      <c r="I106" s="802" t="s">
        <v>1149</v>
      </c>
      <c r="J106" s="311" t="s">
        <v>506</v>
      </c>
      <c r="K106" s="311" t="s">
        <v>389</v>
      </c>
      <c r="L106" s="311" t="s">
        <v>498</v>
      </c>
      <c r="M106" s="313"/>
      <c r="N106" s="311"/>
      <c r="O106" s="311"/>
      <c r="P106" s="311"/>
      <c r="Q106" s="311" t="s">
        <v>386</v>
      </c>
      <c r="R106" s="311" t="s">
        <v>386</v>
      </c>
      <c r="S106" s="311" t="s">
        <v>386</v>
      </c>
      <c r="T106" s="263"/>
      <c r="U106" s="269">
        <v>45000</v>
      </c>
      <c r="V106" s="270"/>
      <c r="W106" s="270" t="str">
        <f t="shared" ref="W106:W122" si="116">+IF(P106="EE",+V106*$W$1,"")</f>
        <v/>
      </c>
      <c r="X106" s="270" t="str">
        <f t="shared" ref="X106:X122" si="117">_xlfn.IFS(P106="ER",V106,P106="EE",W106,P106="N",V106,P106="","")</f>
        <v/>
      </c>
      <c r="Y106" s="62">
        <v>0</v>
      </c>
      <c r="Z106" s="62">
        <v>0</v>
      </c>
      <c r="AA106" s="256">
        <f t="shared" ref="AA106:AA119" si="118">SUM(X106:Z106)</f>
        <v>0</v>
      </c>
      <c r="AB106" s="3"/>
      <c r="AC106" s="62" t="str">
        <f t="shared" ref="AC106:AC119" si="119">IF(AND(M106=1,P106&lt;&gt;"N"),$AC$1,"")</f>
        <v/>
      </c>
      <c r="AD106" s="62" t="str">
        <f t="shared" ref="AD106:AD122" si="120">_xlfn.IFS(P106="N",$AD$1*AA106,P106="EE","",P106="ER","",P106="","")</f>
        <v/>
      </c>
      <c r="AE106" s="62" t="str">
        <f t="shared" ref="AE106:AE122" si="121">_xlfn.IFS(P106="EE",X106*$AE$1,P106="ER",X106*$AE$2,P106="N","",P106="","")</f>
        <v/>
      </c>
      <c r="AF106" s="62" t="str">
        <f t="shared" ref="AF106:AF122" si="122">+IF(AA106&gt;1,AA106*$AF$1,"")</f>
        <v/>
      </c>
      <c r="AG106" s="192">
        <v>0</v>
      </c>
      <c r="AH106" s="62" t="str">
        <f t="shared" ref="AH106:AH122" si="123">+IF(AA106&gt;1,AA106*$AH$1,"")</f>
        <v/>
      </c>
      <c r="AI106" s="62">
        <f t="shared" ref="AI106:AI122" si="124">+_xlfn.IFS(F106&lt;2300,(AA106*$AI$1),F106&gt;=2300,(AA106*$AI$2),F106="","")</f>
        <v>0</v>
      </c>
      <c r="AJ106" s="62"/>
      <c r="AK106" s="62">
        <v>0</v>
      </c>
      <c r="AL106" s="256">
        <f t="shared" ref="AL106:AL119" si="125">SUM(AC106:AK106)</f>
        <v>0</v>
      </c>
      <c r="AM106" s="256">
        <f t="shared" ref="AM106:AM122" si="126">AA106</f>
        <v>0</v>
      </c>
      <c r="AN106" s="256">
        <f t="shared" ref="AN106:AN119" si="127">SUM(AL106:AM106)</f>
        <v>0</v>
      </c>
    </row>
    <row r="107" spans="1:40" x14ac:dyDescent="0.2">
      <c r="A107" s="800" t="s">
        <v>1149</v>
      </c>
      <c r="B107" s="801">
        <v>250</v>
      </c>
      <c r="C107" s="801" t="s">
        <v>145</v>
      </c>
      <c r="D107" s="801"/>
      <c r="E107" s="934">
        <v>200</v>
      </c>
      <c r="F107" s="934">
        <v>1000</v>
      </c>
      <c r="G107" s="934" t="s">
        <v>161</v>
      </c>
      <c r="H107" s="934"/>
      <c r="I107" s="802" t="s">
        <v>1149</v>
      </c>
      <c r="J107" s="802" t="s">
        <v>506</v>
      </c>
      <c r="K107" s="802" t="s">
        <v>389</v>
      </c>
      <c r="L107" s="802" t="s">
        <v>495</v>
      </c>
      <c r="M107" s="803"/>
      <c r="N107" s="800"/>
      <c r="O107" s="800"/>
      <c r="P107" s="800"/>
      <c r="Q107" s="800"/>
      <c r="R107" s="800"/>
      <c r="S107" s="800"/>
      <c r="T107" s="263"/>
      <c r="U107" s="269">
        <f>IF('Employee Detail FY22'!U57="","",'Employee Detail FY22'!U57)</f>
        <v>45500</v>
      </c>
      <c r="V107" s="270"/>
      <c r="W107" s="270" t="str">
        <f t="shared" si="116"/>
        <v/>
      </c>
      <c r="X107" s="270" t="str">
        <f t="shared" si="117"/>
        <v/>
      </c>
      <c r="Y107" s="62">
        <v>0</v>
      </c>
      <c r="Z107" s="62">
        <v>0</v>
      </c>
      <c r="AA107" s="256">
        <f t="shared" si="118"/>
        <v>0</v>
      </c>
      <c r="AB107" s="3"/>
      <c r="AC107" s="62" t="str">
        <f t="shared" si="119"/>
        <v/>
      </c>
      <c r="AD107" s="62" t="str">
        <f t="shared" si="120"/>
        <v/>
      </c>
      <c r="AE107" s="62" t="str">
        <f t="shared" si="121"/>
        <v/>
      </c>
      <c r="AF107" s="62" t="str">
        <f t="shared" si="122"/>
        <v/>
      </c>
      <c r="AG107" s="192">
        <v>0</v>
      </c>
      <c r="AH107" s="62" t="str">
        <f t="shared" si="123"/>
        <v/>
      </c>
      <c r="AI107" s="62">
        <f t="shared" si="124"/>
        <v>0</v>
      </c>
      <c r="AJ107" s="62"/>
      <c r="AK107" s="62">
        <v>0</v>
      </c>
      <c r="AL107" s="256">
        <f t="shared" si="125"/>
        <v>0</v>
      </c>
      <c r="AM107" s="256">
        <f t="shared" si="126"/>
        <v>0</v>
      </c>
      <c r="AN107" s="256">
        <f t="shared" si="127"/>
        <v>0</v>
      </c>
    </row>
    <row r="108" spans="1:40" x14ac:dyDescent="0.2">
      <c r="A108" s="311" t="s">
        <v>1149</v>
      </c>
      <c r="B108" s="798">
        <v>100</v>
      </c>
      <c r="C108" s="798" t="s">
        <v>145</v>
      </c>
      <c r="D108" s="798"/>
      <c r="E108" s="798">
        <v>100</v>
      </c>
      <c r="F108" s="798">
        <v>1000</v>
      </c>
      <c r="G108" s="798" t="s">
        <v>169</v>
      </c>
      <c r="H108" s="798"/>
      <c r="I108" s="312" t="s">
        <v>1149</v>
      </c>
      <c r="J108" s="312" t="s">
        <v>506</v>
      </c>
      <c r="K108" s="312" t="s">
        <v>384</v>
      </c>
      <c r="L108" s="312" t="s">
        <v>989</v>
      </c>
      <c r="M108" s="313"/>
      <c r="N108" s="311"/>
      <c r="O108" s="311"/>
      <c r="P108" s="311"/>
      <c r="Q108" s="311"/>
      <c r="R108" s="311"/>
      <c r="S108" s="311"/>
      <c r="T108" s="263" t="str">
        <f>+IF(R108="","",R108*S108)</f>
        <v/>
      </c>
      <c r="U108" s="269">
        <v>31500</v>
      </c>
      <c r="V108" s="270"/>
      <c r="W108" s="270" t="str">
        <f t="shared" si="116"/>
        <v/>
      </c>
      <c r="X108" s="270" t="str">
        <f t="shared" si="117"/>
        <v/>
      </c>
      <c r="Y108" s="62">
        <v>0</v>
      </c>
      <c r="Z108" s="62">
        <v>0</v>
      </c>
      <c r="AA108" s="256">
        <f t="shared" si="118"/>
        <v>0</v>
      </c>
      <c r="AB108" s="3"/>
      <c r="AC108" s="62" t="str">
        <f t="shared" si="119"/>
        <v/>
      </c>
      <c r="AD108" s="62" t="str">
        <f t="shared" si="120"/>
        <v/>
      </c>
      <c r="AE108" s="62" t="str">
        <f t="shared" si="121"/>
        <v/>
      </c>
      <c r="AF108" s="62" t="str">
        <f t="shared" si="122"/>
        <v/>
      </c>
      <c r="AG108" s="192">
        <v>0</v>
      </c>
      <c r="AH108" s="62" t="str">
        <f t="shared" si="123"/>
        <v/>
      </c>
      <c r="AI108" s="62">
        <f t="shared" si="124"/>
        <v>0</v>
      </c>
      <c r="AJ108" s="62"/>
      <c r="AK108" s="62">
        <v>0</v>
      </c>
      <c r="AL108" s="256">
        <f t="shared" si="125"/>
        <v>0</v>
      </c>
      <c r="AM108" s="256">
        <f t="shared" si="126"/>
        <v>0</v>
      </c>
      <c r="AN108" s="256">
        <f t="shared" si="127"/>
        <v>0</v>
      </c>
    </row>
    <row r="109" spans="1:40" x14ac:dyDescent="0.2">
      <c r="A109" s="800" t="s">
        <v>1149</v>
      </c>
      <c r="B109" s="380">
        <v>250</v>
      </c>
      <c r="C109" s="380" t="s">
        <v>145</v>
      </c>
      <c r="D109" s="380"/>
      <c r="E109" s="936">
        <v>200</v>
      </c>
      <c r="F109" s="936">
        <v>1000</v>
      </c>
      <c r="G109" s="936" t="s">
        <v>161</v>
      </c>
      <c r="H109" s="936" t="s">
        <v>497</v>
      </c>
      <c r="I109" s="802" t="s">
        <v>1149</v>
      </c>
      <c r="J109" s="312" t="s">
        <v>506</v>
      </c>
      <c r="K109" s="311" t="s">
        <v>389</v>
      </c>
      <c r="L109" s="311" t="s">
        <v>505</v>
      </c>
      <c r="M109" s="803"/>
      <c r="N109" s="800"/>
      <c r="O109" s="800"/>
      <c r="P109" s="800"/>
      <c r="Q109" s="311"/>
      <c r="R109" s="311" t="s">
        <v>386</v>
      </c>
      <c r="S109" s="311" t="s">
        <v>386</v>
      </c>
      <c r="T109" s="263" t="str">
        <f>+IF(R109="","",R109*S109)</f>
        <v/>
      </c>
      <c r="U109" s="269">
        <v>45000</v>
      </c>
      <c r="V109" s="270"/>
      <c r="W109" s="270" t="str">
        <f t="shared" si="116"/>
        <v/>
      </c>
      <c r="X109" s="270" t="str">
        <f t="shared" si="117"/>
        <v/>
      </c>
      <c r="Y109" s="62">
        <v>0</v>
      </c>
      <c r="Z109" s="62">
        <v>0</v>
      </c>
      <c r="AA109" s="256">
        <f t="shared" si="118"/>
        <v>0</v>
      </c>
      <c r="AB109" s="3"/>
      <c r="AC109" s="62" t="str">
        <f t="shared" si="119"/>
        <v/>
      </c>
      <c r="AD109" s="62" t="str">
        <f t="shared" si="120"/>
        <v/>
      </c>
      <c r="AE109" s="62" t="str">
        <f t="shared" si="121"/>
        <v/>
      </c>
      <c r="AF109" s="62" t="str">
        <f t="shared" si="122"/>
        <v/>
      </c>
      <c r="AG109" s="192">
        <v>0</v>
      </c>
      <c r="AH109" s="62" t="str">
        <f t="shared" si="123"/>
        <v/>
      </c>
      <c r="AI109" s="62">
        <f t="shared" si="124"/>
        <v>0</v>
      </c>
      <c r="AJ109" s="62"/>
      <c r="AK109" s="62">
        <v>0</v>
      </c>
      <c r="AL109" s="256">
        <f t="shared" si="125"/>
        <v>0</v>
      </c>
      <c r="AM109" s="256">
        <f t="shared" si="126"/>
        <v>0</v>
      </c>
      <c r="AN109" s="256">
        <f t="shared" si="127"/>
        <v>0</v>
      </c>
    </row>
    <row r="110" spans="1:40" x14ac:dyDescent="0.2">
      <c r="A110" s="800" t="s">
        <v>1149</v>
      </c>
      <c r="B110" s="801" t="s">
        <v>468</v>
      </c>
      <c r="C110" s="801" t="s">
        <v>145</v>
      </c>
      <c r="D110" s="801"/>
      <c r="E110" s="801" t="s">
        <v>468</v>
      </c>
      <c r="F110" s="801" t="s">
        <v>556</v>
      </c>
      <c r="G110" s="801" t="s">
        <v>167</v>
      </c>
      <c r="H110" s="801"/>
      <c r="I110" s="802" t="s">
        <v>1149</v>
      </c>
      <c r="J110" s="802" t="s">
        <v>506</v>
      </c>
      <c r="K110" s="311" t="s">
        <v>389</v>
      </c>
      <c r="L110" s="802" t="s">
        <v>910</v>
      </c>
      <c r="M110" s="803" t="s">
        <v>386</v>
      </c>
      <c r="N110" s="800" t="s">
        <v>386</v>
      </c>
      <c r="O110" s="800" t="s">
        <v>386</v>
      </c>
      <c r="P110" s="800" t="s">
        <v>386</v>
      </c>
      <c r="Q110" s="800" t="s">
        <v>386</v>
      </c>
      <c r="R110" s="800" t="s">
        <v>386</v>
      </c>
      <c r="S110" s="800" t="s">
        <v>386</v>
      </c>
      <c r="T110" s="263" t="str">
        <f>+IF(R110="","",R110*S110)</f>
        <v/>
      </c>
      <c r="U110" s="269">
        <v>35000</v>
      </c>
      <c r="V110" s="270"/>
      <c r="W110" s="270" t="str">
        <f t="shared" si="116"/>
        <v/>
      </c>
      <c r="X110" s="270" t="str">
        <f t="shared" si="117"/>
        <v/>
      </c>
      <c r="Y110" s="62">
        <v>0</v>
      </c>
      <c r="Z110" s="62">
        <v>0</v>
      </c>
      <c r="AA110" s="256">
        <f t="shared" si="118"/>
        <v>0</v>
      </c>
      <c r="AB110" s="3"/>
      <c r="AC110" s="62" t="str">
        <f t="shared" si="119"/>
        <v/>
      </c>
      <c r="AD110" s="62" t="str">
        <f t="shared" si="120"/>
        <v/>
      </c>
      <c r="AE110" s="62" t="str">
        <f t="shared" si="121"/>
        <v/>
      </c>
      <c r="AF110" s="62" t="str">
        <f t="shared" si="122"/>
        <v/>
      </c>
      <c r="AG110" s="192">
        <v>0</v>
      </c>
      <c r="AH110" s="62" t="str">
        <f t="shared" si="123"/>
        <v/>
      </c>
      <c r="AI110" s="62">
        <f t="shared" si="124"/>
        <v>0</v>
      </c>
      <c r="AJ110" s="62"/>
      <c r="AK110" s="62">
        <v>0</v>
      </c>
      <c r="AL110" s="256">
        <f t="shared" si="125"/>
        <v>0</v>
      </c>
      <c r="AM110" s="256">
        <f t="shared" si="126"/>
        <v>0</v>
      </c>
      <c r="AN110" s="256">
        <f t="shared" si="127"/>
        <v>0</v>
      </c>
    </row>
    <row r="111" spans="1:40" x14ac:dyDescent="0.2">
      <c r="A111" s="311" t="s">
        <v>386</v>
      </c>
      <c r="B111" s="798" t="s">
        <v>386</v>
      </c>
      <c r="C111" s="798" t="s">
        <v>386</v>
      </c>
      <c r="D111" s="798"/>
      <c r="E111" s="798" t="s">
        <v>386</v>
      </c>
      <c r="F111" s="798" t="s">
        <v>386</v>
      </c>
      <c r="G111" s="798" t="s">
        <v>386</v>
      </c>
      <c r="H111" s="798"/>
      <c r="I111" s="312" t="s">
        <v>386</v>
      </c>
      <c r="J111" s="312" t="s">
        <v>386</v>
      </c>
      <c r="K111" s="312" t="s">
        <v>386</v>
      </c>
      <c r="L111" s="312" t="s">
        <v>386</v>
      </c>
      <c r="M111" s="313" t="s">
        <v>386</v>
      </c>
      <c r="N111" s="311" t="s">
        <v>386</v>
      </c>
      <c r="O111" s="311" t="s">
        <v>386</v>
      </c>
      <c r="P111" s="311" t="s">
        <v>386</v>
      </c>
      <c r="Q111" s="311" t="s">
        <v>386</v>
      </c>
      <c r="R111" s="311" t="s">
        <v>386</v>
      </c>
      <c r="S111" s="311" t="s">
        <v>386</v>
      </c>
      <c r="T111" s="263" t="str">
        <f>+IF(R111="","",R111*S111)</f>
        <v/>
      </c>
      <c r="U111" s="269" t="str">
        <f>IF('Employee Detail FY23'!U142="","",'Employee Detail FY23'!U142)</f>
        <v/>
      </c>
      <c r="V111" s="270"/>
      <c r="W111" s="270" t="str">
        <f t="shared" si="116"/>
        <v/>
      </c>
      <c r="X111" s="270" t="str">
        <f t="shared" si="117"/>
        <v/>
      </c>
      <c r="Y111" s="62">
        <v>0</v>
      </c>
      <c r="Z111" s="62">
        <v>0</v>
      </c>
      <c r="AA111" s="256">
        <f t="shared" si="118"/>
        <v>0</v>
      </c>
      <c r="AB111" s="3"/>
      <c r="AC111" s="62" t="str">
        <f t="shared" si="119"/>
        <v/>
      </c>
      <c r="AD111" s="62" t="str">
        <f t="shared" si="120"/>
        <v/>
      </c>
      <c r="AE111" s="62" t="str">
        <f t="shared" si="121"/>
        <v/>
      </c>
      <c r="AF111" s="62" t="str">
        <f t="shared" si="122"/>
        <v/>
      </c>
      <c r="AG111" s="192">
        <v>0</v>
      </c>
      <c r="AH111" s="62" t="str">
        <f t="shared" si="123"/>
        <v/>
      </c>
      <c r="AI111" s="62">
        <f t="shared" si="124"/>
        <v>0</v>
      </c>
      <c r="AJ111" s="62"/>
      <c r="AK111" s="62">
        <v>0</v>
      </c>
      <c r="AL111" s="256">
        <f t="shared" si="125"/>
        <v>0</v>
      </c>
      <c r="AM111" s="256">
        <f t="shared" si="126"/>
        <v>0</v>
      </c>
      <c r="AN111" s="256">
        <f t="shared" si="127"/>
        <v>0</v>
      </c>
    </row>
    <row r="112" spans="1:40" x14ac:dyDescent="0.2">
      <c r="A112" s="311" t="s">
        <v>1149</v>
      </c>
      <c r="B112" s="380">
        <v>100</v>
      </c>
      <c r="C112" s="380" t="s">
        <v>145</v>
      </c>
      <c r="D112" s="380"/>
      <c r="E112" s="380">
        <v>100</v>
      </c>
      <c r="F112" s="380">
        <v>1000</v>
      </c>
      <c r="G112" s="380" t="s">
        <v>161</v>
      </c>
      <c r="H112" s="380" t="s">
        <v>497</v>
      </c>
      <c r="I112" s="802" t="s">
        <v>1149</v>
      </c>
      <c r="J112" s="311" t="s">
        <v>508</v>
      </c>
      <c r="K112" s="311" t="s">
        <v>389</v>
      </c>
      <c r="L112" s="311" t="s">
        <v>498</v>
      </c>
      <c r="M112" s="311"/>
      <c r="N112" s="311" t="s">
        <v>386</v>
      </c>
      <c r="O112" s="311"/>
      <c r="P112" s="311"/>
      <c r="Q112" s="311" t="s">
        <v>386</v>
      </c>
      <c r="R112" s="311" t="s">
        <v>386</v>
      </c>
      <c r="S112" s="311" t="s">
        <v>386</v>
      </c>
      <c r="T112" s="263"/>
      <c r="U112" s="269">
        <v>45000</v>
      </c>
      <c r="V112" s="270"/>
      <c r="W112" s="270" t="str">
        <f t="shared" si="116"/>
        <v/>
      </c>
      <c r="X112" s="270" t="str">
        <f t="shared" si="117"/>
        <v/>
      </c>
      <c r="Y112" s="62">
        <v>0</v>
      </c>
      <c r="Z112" s="62">
        <v>0</v>
      </c>
      <c r="AA112" s="256">
        <f t="shared" si="118"/>
        <v>0</v>
      </c>
      <c r="AB112" s="3"/>
      <c r="AC112" s="62" t="str">
        <f t="shared" si="119"/>
        <v/>
      </c>
      <c r="AD112" s="62" t="str">
        <f t="shared" si="120"/>
        <v/>
      </c>
      <c r="AE112" s="62" t="str">
        <f t="shared" si="121"/>
        <v/>
      </c>
      <c r="AF112" s="62" t="str">
        <f t="shared" si="122"/>
        <v/>
      </c>
      <c r="AG112" s="192">
        <v>0</v>
      </c>
      <c r="AH112" s="62" t="str">
        <f t="shared" si="123"/>
        <v/>
      </c>
      <c r="AI112" s="62">
        <f t="shared" si="124"/>
        <v>0</v>
      </c>
      <c r="AJ112" s="62"/>
      <c r="AK112" s="62">
        <v>0</v>
      </c>
      <c r="AL112" s="256">
        <f t="shared" si="125"/>
        <v>0</v>
      </c>
      <c r="AM112" s="256">
        <f t="shared" si="126"/>
        <v>0</v>
      </c>
      <c r="AN112" s="256">
        <f t="shared" si="127"/>
        <v>0</v>
      </c>
    </row>
    <row r="113" spans="1:40" x14ac:dyDescent="0.2">
      <c r="A113" s="311" t="s">
        <v>1149</v>
      </c>
      <c r="B113" s="380">
        <v>100</v>
      </c>
      <c r="C113" s="380" t="s">
        <v>145</v>
      </c>
      <c r="D113" s="380"/>
      <c r="E113" s="380">
        <v>100</v>
      </c>
      <c r="F113" s="380">
        <v>1000</v>
      </c>
      <c r="G113" s="380" t="s">
        <v>161</v>
      </c>
      <c r="H113" s="380" t="s">
        <v>497</v>
      </c>
      <c r="I113" s="802" t="s">
        <v>1149</v>
      </c>
      <c r="J113" s="311" t="s">
        <v>508</v>
      </c>
      <c r="K113" s="311" t="s">
        <v>389</v>
      </c>
      <c r="L113" s="311" t="s">
        <v>498</v>
      </c>
      <c r="M113" s="311"/>
      <c r="N113" s="311" t="s">
        <v>386</v>
      </c>
      <c r="O113" s="311"/>
      <c r="P113" s="311"/>
      <c r="Q113" s="311" t="s">
        <v>386</v>
      </c>
      <c r="R113" s="311" t="s">
        <v>386</v>
      </c>
      <c r="S113" s="311" t="s">
        <v>386</v>
      </c>
      <c r="T113" s="263" t="str">
        <f t="shared" ref="T113:T122" si="128">+IF(R113="","",R113*S113)</f>
        <v/>
      </c>
      <c r="U113" s="269">
        <v>45000</v>
      </c>
      <c r="V113" s="270"/>
      <c r="W113" s="270" t="str">
        <f t="shared" si="116"/>
        <v/>
      </c>
      <c r="X113" s="270" t="str">
        <f t="shared" si="117"/>
        <v/>
      </c>
      <c r="Y113" s="62">
        <v>0</v>
      </c>
      <c r="Z113" s="62">
        <v>0</v>
      </c>
      <c r="AA113" s="256">
        <f t="shared" si="118"/>
        <v>0</v>
      </c>
      <c r="AB113" s="3"/>
      <c r="AC113" s="62" t="str">
        <f t="shared" si="119"/>
        <v/>
      </c>
      <c r="AD113" s="62" t="str">
        <f t="shared" si="120"/>
        <v/>
      </c>
      <c r="AE113" s="62" t="str">
        <f t="shared" si="121"/>
        <v/>
      </c>
      <c r="AF113" s="62" t="str">
        <f t="shared" si="122"/>
        <v/>
      </c>
      <c r="AG113" s="192">
        <v>0</v>
      </c>
      <c r="AH113" s="62" t="str">
        <f t="shared" si="123"/>
        <v/>
      </c>
      <c r="AI113" s="62">
        <f t="shared" si="124"/>
        <v>0</v>
      </c>
      <c r="AJ113" s="62"/>
      <c r="AK113" s="62">
        <v>0</v>
      </c>
      <c r="AL113" s="256">
        <f t="shared" si="125"/>
        <v>0</v>
      </c>
      <c r="AM113" s="256">
        <f t="shared" si="126"/>
        <v>0</v>
      </c>
      <c r="AN113" s="256">
        <f t="shared" si="127"/>
        <v>0</v>
      </c>
    </row>
    <row r="114" spans="1:40" x14ac:dyDescent="0.2">
      <c r="A114" s="311" t="s">
        <v>1149</v>
      </c>
      <c r="B114" s="380">
        <v>250</v>
      </c>
      <c r="C114" s="380" t="s">
        <v>145</v>
      </c>
      <c r="D114" s="380"/>
      <c r="E114" s="936">
        <v>200</v>
      </c>
      <c r="F114" s="936">
        <v>1000</v>
      </c>
      <c r="G114" s="936" t="s">
        <v>161</v>
      </c>
      <c r="H114" s="936" t="s">
        <v>497</v>
      </c>
      <c r="I114" s="802" t="s">
        <v>1149</v>
      </c>
      <c r="J114" s="311" t="s">
        <v>508</v>
      </c>
      <c r="K114" s="311" t="s">
        <v>389</v>
      </c>
      <c r="L114" s="311" t="s">
        <v>495</v>
      </c>
      <c r="M114" s="311"/>
      <c r="N114" s="311" t="s">
        <v>386</v>
      </c>
      <c r="O114" s="311"/>
      <c r="P114" s="311"/>
      <c r="Q114" s="311" t="s">
        <v>386</v>
      </c>
      <c r="R114" s="311" t="s">
        <v>386</v>
      </c>
      <c r="S114" s="311" t="s">
        <v>386</v>
      </c>
      <c r="T114" s="263" t="str">
        <f t="shared" si="128"/>
        <v/>
      </c>
      <c r="U114" s="269">
        <v>45000</v>
      </c>
      <c r="V114" s="270"/>
      <c r="W114" s="270" t="str">
        <f t="shared" si="116"/>
        <v/>
      </c>
      <c r="X114" s="270" t="str">
        <f t="shared" si="117"/>
        <v/>
      </c>
      <c r="Y114" s="62">
        <v>0</v>
      </c>
      <c r="Z114" s="62">
        <v>0</v>
      </c>
      <c r="AA114" s="256">
        <f t="shared" si="118"/>
        <v>0</v>
      </c>
      <c r="AB114" s="3"/>
      <c r="AC114" s="62" t="str">
        <f t="shared" si="119"/>
        <v/>
      </c>
      <c r="AD114" s="62" t="str">
        <f t="shared" si="120"/>
        <v/>
      </c>
      <c r="AE114" s="62" t="str">
        <f t="shared" si="121"/>
        <v/>
      </c>
      <c r="AF114" s="62" t="str">
        <f t="shared" si="122"/>
        <v/>
      </c>
      <c r="AG114" s="192">
        <v>0</v>
      </c>
      <c r="AH114" s="62" t="str">
        <f t="shared" si="123"/>
        <v/>
      </c>
      <c r="AI114" s="62">
        <f t="shared" si="124"/>
        <v>0</v>
      </c>
      <c r="AJ114" s="62"/>
      <c r="AK114" s="62">
        <v>0</v>
      </c>
      <c r="AL114" s="256">
        <f t="shared" si="125"/>
        <v>0</v>
      </c>
      <c r="AM114" s="256">
        <f t="shared" si="126"/>
        <v>0</v>
      </c>
      <c r="AN114" s="256">
        <f t="shared" si="127"/>
        <v>0</v>
      </c>
    </row>
    <row r="115" spans="1:40" x14ac:dyDescent="0.2">
      <c r="A115" s="311" t="s">
        <v>1149</v>
      </c>
      <c r="B115" s="798" t="s">
        <v>462</v>
      </c>
      <c r="C115" s="798" t="s">
        <v>145</v>
      </c>
      <c r="D115" s="798"/>
      <c r="E115" s="937" t="s">
        <v>463</v>
      </c>
      <c r="F115" s="937" t="s">
        <v>461</v>
      </c>
      <c r="G115" s="937" t="s">
        <v>161</v>
      </c>
      <c r="H115" s="937"/>
      <c r="I115" s="802" t="s">
        <v>1149</v>
      </c>
      <c r="J115" s="311" t="s">
        <v>508</v>
      </c>
      <c r="K115" s="312" t="s">
        <v>389</v>
      </c>
      <c r="L115" s="312" t="s">
        <v>896</v>
      </c>
      <c r="M115" s="313"/>
      <c r="N115" s="311"/>
      <c r="O115" s="311"/>
      <c r="P115" s="311"/>
      <c r="Q115" s="311"/>
      <c r="R115" s="311"/>
      <c r="S115" s="311"/>
      <c r="T115" s="263" t="str">
        <f t="shared" si="128"/>
        <v/>
      </c>
      <c r="U115" s="269">
        <v>65000</v>
      </c>
      <c r="V115" s="270"/>
      <c r="W115" s="270" t="str">
        <f t="shared" si="116"/>
        <v/>
      </c>
      <c r="X115" s="270" t="str">
        <f t="shared" si="117"/>
        <v/>
      </c>
      <c r="Y115" s="62">
        <v>0</v>
      </c>
      <c r="Z115" s="62">
        <v>0</v>
      </c>
      <c r="AA115" s="256">
        <f t="shared" si="118"/>
        <v>0</v>
      </c>
      <c r="AB115" s="3"/>
      <c r="AC115" s="62" t="str">
        <f t="shared" si="119"/>
        <v/>
      </c>
      <c r="AD115" s="62" t="str">
        <f t="shared" si="120"/>
        <v/>
      </c>
      <c r="AE115" s="62" t="str">
        <f t="shared" si="121"/>
        <v/>
      </c>
      <c r="AF115" s="62" t="str">
        <f t="shared" si="122"/>
        <v/>
      </c>
      <c r="AG115" s="192">
        <v>0</v>
      </c>
      <c r="AH115" s="62" t="str">
        <f t="shared" si="123"/>
        <v/>
      </c>
      <c r="AI115" s="62">
        <f t="shared" si="124"/>
        <v>0</v>
      </c>
      <c r="AJ115" s="62"/>
      <c r="AK115" s="62">
        <v>0</v>
      </c>
      <c r="AL115" s="256">
        <f t="shared" si="125"/>
        <v>0</v>
      </c>
      <c r="AM115" s="256">
        <f t="shared" si="126"/>
        <v>0</v>
      </c>
      <c r="AN115" s="256">
        <f t="shared" si="127"/>
        <v>0</v>
      </c>
    </row>
    <row r="116" spans="1:40" x14ac:dyDescent="0.2">
      <c r="A116" s="311"/>
      <c r="B116" s="380"/>
      <c r="C116" s="380"/>
      <c r="D116" s="380"/>
      <c r="E116" s="380"/>
      <c r="F116" s="380"/>
      <c r="G116" s="380"/>
      <c r="H116" s="380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263" t="str">
        <f t="shared" si="128"/>
        <v/>
      </c>
      <c r="U116" s="269"/>
      <c r="V116" s="270"/>
      <c r="W116" s="270" t="str">
        <f t="shared" si="116"/>
        <v/>
      </c>
      <c r="X116" s="270" t="str">
        <f t="shared" si="117"/>
        <v/>
      </c>
      <c r="Y116" s="62">
        <v>0</v>
      </c>
      <c r="Z116" s="62">
        <v>0</v>
      </c>
      <c r="AA116" s="256">
        <f t="shared" si="118"/>
        <v>0</v>
      </c>
      <c r="AB116" s="3"/>
      <c r="AC116" s="62" t="str">
        <f t="shared" si="119"/>
        <v/>
      </c>
      <c r="AD116" s="62" t="str">
        <f t="shared" si="120"/>
        <v/>
      </c>
      <c r="AE116" s="62" t="str">
        <f t="shared" si="121"/>
        <v/>
      </c>
      <c r="AF116" s="62" t="str">
        <f t="shared" si="122"/>
        <v/>
      </c>
      <c r="AG116" s="192">
        <v>0</v>
      </c>
      <c r="AH116" s="62" t="str">
        <f t="shared" si="123"/>
        <v/>
      </c>
      <c r="AI116" s="62">
        <f t="shared" si="124"/>
        <v>0</v>
      </c>
      <c r="AJ116" s="62"/>
      <c r="AK116" s="62">
        <v>0</v>
      </c>
      <c r="AL116" s="256">
        <f t="shared" si="125"/>
        <v>0</v>
      </c>
      <c r="AM116" s="256">
        <f t="shared" si="126"/>
        <v>0</v>
      </c>
      <c r="AN116" s="256">
        <f t="shared" si="127"/>
        <v>0</v>
      </c>
    </row>
    <row r="117" spans="1:40" x14ac:dyDescent="0.2">
      <c r="A117" s="311" t="s">
        <v>1149</v>
      </c>
      <c r="B117" s="380">
        <v>100</v>
      </c>
      <c r="C117" s="380" t="s">
        <v>145</v>
      </c>
      <c r="D117" s="380"/>
      <c r="E117" s="380">
        <v>100</v>
      </c>
      <c r="F117" s="380">
        <v>1000</v>
      </c>
      <c r="G117" s="380" t="s">
        <v>161</v>
      </c>
      <c r="H117" s="380" t="s">
        <v>497</v>
      </c>
      <c r="I117" s="802" t="s">
        <v>1149</v>
      </c>
      <c r="J117" s="311" t="s">
        <v>1262</v>
      </c>
      <c r="K117" s="311" t="s">
        <v>389</v>
      </c>
      <c r="L117" s="311" t="s">
        <v>498</v>
      </c>
      <c r="M117" s="311"/>
      <c r="N117" s="311" t="s">
        <v>386</v>
      </c>
      <c r="O117" s="311"/>
      <c r="P117" s="311"/>
      <c r="Q117" s="311" t="s">
        <v>386</v>
      </c>
      <c r="R117" s="311" t="s">
        <v>386</v>
      </c>
      <c r="S117" s="311" t="s">
        <v>386</v>
      </c>
      <c r="T117" s="263" t="str">
        <f t="shared" si="128"/>
        <v/>
      </c>
      <c r="U117" s="269">
        <v>45000</v>
      </c>
      <c r="V117" s="270"/>
      <c r="W117" s="270" t="str">
        <f t="shared" si="116"/>
        <v/>
      </c>
      <c r="X117" s="270" t="str">
        <f t="shared" si="117"/>
        <v/>
      </c>
      <c r="Y117" s="62">
        <v>0</v>
      </c>
      <c r="Z117" s="62">
        <v>0</v>
      </c>
      <c r="AA117" s="256">
        <f t="shared" si="118"/>
        <v>0</v>
      </c>
      <c r="AB117" s="3"/>
      <c r="AC117" s="62" t="str">
        <f t="shared" si="119"/>
        <v/>
      </c>
      <c r="AD117" s="62" t="str">
        <f t="shared" si="120"/>
        <v/>
      </c>
      <c r="AE117" s="62" t="str">
        <f t="shared" si="121"/>
        <v/>
      </c>
      <c r="AF117" s="62" t="str">
        <f t="shared" si="122"/>
        <v/>
      </c>
      <c r="AG117" s="192">
        <v>0</v>
      </c>
      <c r="AH117" s="62" t="str">
        <f t="shared" si="123"/>
        <v/>
      </c>
      <c r="AI117" s="62">
        <f t="shared" si="124"/>
        <v>0</v>
      </c>
      <c r="AJ117" s="62"/>
      <c r="AK117" s="62">
        <v>0</v>
      </c>
      <c r="AL117" s="256">
        <f t="shared" si="125"/>
        <v>0</v>
      </c>
      <c r="AM117" s="256">
        <f t="shared" si="126"/>
        <v>0</v>
      </c>
      <c r="AN117" s="256">
        <f t="shared" si="127"/>
        <v>0</v>
      </c>
    </row>
    <row r="118" spans="1:40" x14ac:dyDescent="0.2">
      <c r="A118" s="311" t="s">
        <v>1149</v>
      </c>
      <c r="B118" s="380">
        <v>100</v>
      </c>
      <c r="C118" s="380" t="s">
        <v>145</v>
      </c>
      <c r="D118" s="380"/>
      <c r="E118" s="380">
        <v>100</v>
      </c>
      <c r="F118" s="380">
        <v>1000</v>
      </c>
      <c r="G118" s="380" t="s">
        <v>161</v>
      </c>
      <c r="H118" s="380" t="s">
        <v>497</v>
      </c>
      <c r="I118" s="802" t="s">
        <v>1149</v>
      </c>
      <c r="J118" s="311" t="s">
        <v>1262</v>
      </c>
      <c r="K118" s="311" t="s">
        <v>389</v>
      </c>
      <c r="L118" s="311" t="s">
        <v>498</v>
      </c>
      <c r="M118" s="311"/>
      <c r="N118" s="311" t="s">
        <v>386</v>
      </c>
      <c r="O118" s="311"/>
      <c r="P118" s="311"/>
      <c r="Q118" s="311" t="s">
        <v>386</v>
      </c>
      <c r="R118" s="311" t="s">
        <v>386</v>
      </c>
      <c r="S118" s="311" t="s">
        <v>386</v>
      </c>
      <c r="T118" s="263" t="str">
        <f t="shared" si="128"/>
        <v/>
      </c>
      <c r="U118" s="269">
        <v>45000</v>
      </c>
      <c r="V118" s="270"/>
      <c r="W118" s="270" t="str">
        <f t="shared" si="116"/>
        <v/>
      </c>
      <c r="X118" s="270" t="str">
        <f t="shared" si="117"/>
        <v/>
      </c>
      <c r="Y118" s="62">
        <v>0</v>
      </c>
      <c r="Z118" s="62">
        <v>0</v>
      </c>
      <c r="AA118" s="256">
        <f t="shared" si="118"/>
        <v>0</v>
      </c>
      <c r="AB118" s="3"/>
      <c r="AC118" s="62" t="str">
        <f t="shared" si="119"/>
        <v/>
      </c>
      <c r="AD118" s="62" t="str">
        <f t="shared" si="120"/>
        <v/>
      </c>
      <c r="AE118" s="62" t="str">
        <f t="shared" si="121"/>
        <v/>
      </c>
      <c r="AF118" s="62" t="str">
        <f t="shared" si="122"/>
        <v/>
      </c>
      <c r="AG118" s="192">
        <v>0</v>
      </c>
      <c r="AH118" s="62" t="str">
        <f t="shared" si="123"/>
        <v/>
      </c>
      <c r="AI118" s="62">
        <f t="shared" si="124"/>
        <v>0</v>
      </c>
      <c r="AJ118" s="62"/>
      <c r="AK118" s="62">
        <v>0</v>
      </c>
      <c r="AL118" s="256">
        <f t="shared" si="125"/>
        <v>0</v>
      </c>
      <c r="AM118" s="256">
        <f t="shared" si="126"/>
        <v>0</v>
      </c>
      <c r="AN118" s="256">
        <f t="shared" si="127"/>
        <v>0</v>
      </c>
    </row>
    <row r="119" spans="1:40" x14ac:dyDescent="0.2">
      <c r="A119" s="311" t="s">
        <v>1149</v>
      </c>
      <c r="B119" s="380">
        <v>250</v>
      </c>
      <c r="C119" s="380" t="s">
        <v>145</v>
      </c>
      <c r="D119" s="380"/>
      <c r="E119" s="936">
        <v>200</v>
      </c>
      <c r="F119" s="936">
        <v>1000</v>
      </c>
      <c r="G119" s="936" t="s">
        <v>161</v>
      </c>
      <c r="H119" s="936" t="s">
        <v>497</v>
      </c>
      <c r="I119" s="802" t="s">
        <v>1149</v>
      </c>
      <c r="J119" s="311" t="s">
        <v>1262</v>
      </c>
      <c r="K119" s="311" t="s">
        <v>389</v>
      </c>
      <c r="L119" s="311" t="s">
        <v>495</v>
      </c>
      <c r="M119" s="311"/>
      <c r="N119" s="311" t="s">
        <v>386</v>
      </c>
      <c r="O119" s="311"/>
      <c r="P119" s="311"/>
      <c r="Q119" s="311" t="s">
        <v>386</v>
      </c>
      <c r="R119" s="311" t="s">
        <v>386</v>
      </c>
      <c r="S119" s="311" t="s">
        <v>386</v>
      </c>
      <c r="T119" s="263" t="str">
        <f t="shared" si="128"/>
        <v/>
      </c>
      <c r="U119" s="269">
        <v>45000</v>
      </c>
      <c r="V119" s="270"/>
      <c r="W119" s="270" t="str">
        <f t="shared" si="116"/>
        <v/>
      </c>
      <c r="X119" s="270" t="str">
        <f t="shared" si="117"/>
        <v/>
      </c>
      <c r="Y119" s="62">
        <v>0</v>
      </c>
      <c r="Z119" s="62">
        <v>0</v>
      </c>
      <c r="AA119" s="256">
        <f t="shared" si="118"/>
        <v>0</v>
      </c>
      <c r="AB119" s="3"/>
      <c r="AC119" s="62" t="str">
        <f t="shared" si="119"/>
        <v/>
      </c>
      <c r="AD119" s="62" t="str">
        <f t="shared" si="120"/>
        <v/>
      </c>
      <c r="AE119" s="62" t="str">
        <f t="shared" si="121"/>
        <v/>
      </c>
      <c r="AF119" s="62" t="str">
        <f t="shared" si="122"/>
        <v/>
      </c>
      <c r="AG119" s="192">
        <v>0</v>
      </c>
      <c r="AH119" s="62" t="str">
        <f t="shared" si="123"/>
        <v/>
      </c>
      <c r="AI119" s="62">
        <f t="shared" si="124"/>
        <v>0</v>
      </c>
      <c r="AJ119" s="62"/>
      <c r="AK119" s="62">
        <v>0</v>
      </c>
      <c r="AL119" s="256">
        <f t="shared" si="125"/>
        <v>0</v>
      </c>
      <c r="AM119" s="256">
        <f t="shared" si="126"/>
        <v>0</v>
      </c>
      <c r="AN119" s="256">
        <f t="shared" si="127"/>
        <v>0</v>
      </c>
    </row>
    <row r="120" spans="1:40" x14ac:dyDescent="0.2">
      <c r="A120" s="311" t="s">
        <v>1149</v>
      </c>
      <c r="B120" s="798">
        <v>100</v>
      </c>
      <c r="C120" s="798" t="s">
        <v>145</v>
      </c>
      <c r="D120" s="798"/>
      <c r="E120" s="798">
        <v>100</v>
      </c>
      <c r="F120" s="798">
        <v>1000</v>
      </c>
      <c r="G120" s="798" t="s">
        <v>169</v>
      </c>
      <c r="H120" s="798"/>
      <c r="I120" s="312" t="s">
        <v>1149</v>
      </c>
      <c r="J120" s="312" t="s">
        <v>1262</v>
      </c>
      <c r="K120" s="312" t="s">
        <v>384</v>
      </c>
      <c r="L120" s="312" t="s">
        <v>989</v>
      </c>
      <c r="M120" s="313"/>
      <c r="N120" s="311"/>
      <c r="O120" s="311"/>
      <c r="P120" s="311"/>
      <c r="Q120" s="311"/>
      <c r="R120" s="311"/>
      <c r="S120" s="311"/>
      <c r="T120" s="263" t="str">
        <f t="shared" si="128"/>
        <v/>
      </c>
      <c r="U120" s="269">
        <v>31500</v>
      </c>
      <c r="V120" s="270"/>
      <c r="W120" s="270" t="str">
        <f t="shared" si="116"/>
        <v/>
      </c>
      <c r="X120" s="270" t="str">
        <f t="shared" si="117"/>
        <v/>
      </c>
      <c r="Y120" s="62">
        <v>0</v>
      </c>
      <c r="Z120" s="62">
        <v>0</v>
      </c>
      <c r="AA120" s="256">
        <f t="shared" ref="AA120" si="129">SUM(X120:Z120)</f>
        <v>0</v>
      </c>
      <c r="AB120" s="3"/>
      <c r="AC120" s="62" t="str">
        <f t="shared" ref="AC120" si="130">IF(AND(M120=1,P120&lt;&gt;"N"),$AC$1,"")</f>
        <v/>
      </c>
      <c r="AD120" s="62" t="str">
        <f t="shared" si="120"/>
        <v/>
      </c>
      <c r="AE120" s="62" t="str">
        <f t="shared" si="121"/>
        <v/>
      </c>
      <c r="AF120" s="62" t="str">
        <f t="shared" si="122"/>
        <v/>
      </c>
      <c r="AG120" s="192">
        <v>0</v>
      </c>
      <c r="AH120" s="62" t="str">
        <f t="shared" si="123"/>
        <v/>
      </c>
      <c r="AI120" s="62">
        <f t="shared" si="124"/>
        <v>0</v>
      </c>
      <c r="AJ120" s="62"/>
      <c r="AK120" s="62">
        <v>0</v>
      </c>
      <c r="AL120" s="256">
        <f t="shared" ref="AL120" si="131">SUM(AC120:AK120)</f>
        <v>0</v>
      </c>
      <c r="AM120" s="256">
        <f t="shared" si="126"/>
        <v>0</v>
      </c>
      <c r="AN120" s="256">
        <f t="shared" ref="AN120" si="132">SUM(AL120:AM120)</f>
        <v>0</v>
      </c>
    </row>
    <row r="121" spans="1:40" x14ac:dyDescent="0.2">
      <c r="A121" s="311" t="s">
        <v>386</v>
      </c>
      <c r="B121" s="380" t="s">
        <v>386</v>
      </c>
      <c r="C121" s="380" t="s">
        <v>386</v>
      </c>
      <c r="D121" s="380"/>
      <c r="E121" s="380" t="s">
        <v>386</v>
      </c>
      <c r="F121" s="380" t="s">
        <v>386</v>
      </c>
      <c r="G121" s="380" t="s">
        <v>386</v>
      </c>
      <c r="H121" s="380"/>
      <c r="I121" s="312" t="s">
        <v>386</v>
      </c>
      <c r="J121" s="312" t="s">
        <v>386</v>
      </c>
      <c r="K121" s="312" t="s">
        <v>386</v>
      </c>
      <c r="L121" s="312" t="s">
        <v>386</v>
      </c>
      <c r="M121" s="313"/>
      <c r="N121" s="311"/>
      <c r="O121" s="311"/>
      <c r="P121" s="311"/>
      <c r="Q121" s="311"/>
      <c r="R121" s="311"/>
      <c r="S121" s="311"/>
      <c r="T121" s="263" t="str">
        <f t="shared" si="128"/>
        <v/>
      </c>
      <c r="U121" s="269" t="str">
        <f>IF('Employee Detail FY22'!U90="","",'Employee Detail FY22'!U90)</f>
        <v/>
      </c>
      <c r="V121" s="270" t="str">
        <f>IF($U121="","",$U121*(1+$V$1))</f>
        <v/>
      </c>
      <c r="W121" s="270" t="str">
        <f t="shared" si="116"/>
        <v/>
      </c>
      <c r="X121" s="270" t="str">
        <f t="shared" si="117"/>
        <v/>
      </c>
      <c r="Y121" s="62">
        <v>0</v>
      </c>
      <c r="Z121" s="62">
        <v>0</v>
      </c>
      <c r="AA121" s="256">
        <f>SUM(X121:Z121)</f>
        <v>0</v>
      </c>
      <c r="AB121" s="3"/>
      <c r="AC121" s="62" t="str">
        <f>IF(AND(M121=1,P121&lt;&gt;"N"),$AC$1,"")</f>
        <v/>
      </c>
      <c r="AD121" s="62" t="str">
        <f t="shared" si="120"/>
        <v/>
      </c>
      <c r="AE121" s="62" t="str">
        <f t="shared" si="121"/>
        <v/>
      </c>
      <c r="AF121" s="62" t="str">
        <f t="shared" si="122"/>
        <v/>
      </c>
      <c r="AG121" s="192">
        <v>0</v>
      </c>
      <c r="AH121" s="62" t="str">
        <f t="shared" si="123"/>
        <v/>
      </c>
      <c r="AI121" s="62">
        <f t="shared" si="124"/>
        <v>0</v>
      </c>
      <c r="AJ121" s="62"/>
      <c r="AK121" s="62">
        <v>0</v>
      </c>
      <c r="AL121" s="256">
        <f>SUM(AC121:AK121)</f>
        <v>0</v>
      </c>
      <c r="AM121" s="256">
        <f t="shared" si="126"/>
        <v>0</v>
      </c>
      <c r="AN121" s="256">
        <f>SUM(AL121:AM121)</f>
        <v>0</v>
      </c>
    </row>
    <row r="122" spans="1:40" x14ac:dyDescent="0.2">
      <c r="A122" s="311" t="s">
        <v>1149</v>
      </c>
      <c r="B122" s="380">
        <v>250</v>
      </c>
      <c r="C122" s="380" t="s">
        <v>145</v>
      </c>
      <c r="D122" s="380"/>
      <c r="E122" s="936">
        <v>200</v>
      </c>
      <c r="F122" s="936">
        <v>1000</v>
      </c>
      <c r="G122" s="936" t="s">
        <v>161</v>
      </c>
      <c r="H122" s="936" t="s">
        <v>497</v>
      </c>
      <c r="I122" s="802" t="s">
        <v>1149</v>
      </c>
      <c r="J122" s="311" t="s">
        <v>1263</v>
      </c>
      <c r="K122" s="311" t="s">
        <v>389</v>
      </c>
      <c r="L122" s="311" t="s">
        <v>495</v>
      </c>
      <c r="M122" s="311"/>
      <c r="N122" s="311" t="s">
        <v>386</v>
      </c>
      <c r="O122" s="311"/>
      <c r="P122" s="311"/>
      <c r="Q122" s="311" t="s">
        <v>386</v>
      </c>
      <c r="R122" s="311" t="s">
        <v>386</v>
      </c>
      <c r="S122" s="311" t="s">
        <v>386</v>
      </c>
      <c r="T122" s="263" t="str">
        <f t="shared" si="128"/>
        <v/>
      </c>
      <c r="U122" s="269">
        <v>45000</v>
      </c>
      <c r="V122" s="270"/>
      <c r="W122" s="270" t="str">
        <f t="shared" si="116"/>
        <v/>
      </c>
      <c r="X122" s="270" t="str">
        <f t="shared" si="117"/>
        <v/>
      </c>
      <c r="Y122" s="62">
        <v>0</v>
      </c>
      <c r="Z122" s="62">
        <v>0</v>
      </c>
      <c r="AA122" s="256">
        <f t="shared" ref="AA122" si="133">SUM(X122:Z122)</f>
        <v>0</v>
      </c>
      <c r="AB122" s="3"/>
      <c r="AC122" s="62" t="str">
        <f>IF(AND(M122=1,P122&lt;&gt;"N"),$AC$1,"")</f>
        <v/>
      </c>
      <c r="AD122" s="62" t="str">
        <f t="shared" si="120"/>
        <v/>
      </c>
      <c r="AE122" s="62" t="str">
        <f t="shared" si="121"/>
        <v/>
      </c>
      <c r="AF122" s="62" t="str">
        <f t="shared" si="122"/>
        <v/>
      </c>
      <c r="AG122" s="192">
        <v>0</v>
      </c>
      <c r="AH122" s="62" t="str">
        <f t="shared" si="123"/>
        <v/>
      </c>
      <c r="AI122" s="62">
        <f t="shared" si="124"/>
        <v>0</v>
      </c>
      <c r="AJ122" s="62"/>
      <c r="AK122" s="62">
        <v>0</v>
      </c>
      <c r="AL122" s="256">
        <f t="shared" ref="AL122" si="134">SUM(AC122:AK122)</f>
        <v>0</v>
      </c>
      <c r="AM122" s="256">
        <f t="shared" si="126"/>
        <v>0</v>
      </c>
      <c r="AN122" s="256">
        <f t="shared" ref="AN122" si="135">SUM(AL122:AM122)</f>
        <v>0</v>
      </c>
    </row>
    <row r="123" spans="1:40" x14ac:dyDescent="0.2">
      <c r="A123" s="311" t="s">
        <v>386</v>
      </c>
      <c r="B123" s="798" t="s">
        <v>386</v>
      </c>
      <c r="C123" s="798" t="s">
        <v>386</v>
      </c>
      <c r="D123" s="798"/>
      <c r="E123" s="798" t="s">
        <v>386</v>
      </c>
      <c r="F123" s="798" t="s">
        <v>386</v>
      </c>
      <c r="G123" s="798" t="s">
        <v>386</v>
      </c>
      <c r="H123" s="798"/>
      <c r="I123" s="312" t="s">
        <v>386</v>
      </c>
      <c r="J123" s="312" t="s">
        <v>386</v>
      </c>
      <c r="K123" s="312" t="s">
        <v>386</v>
      </c>
      <c r="L123" s="312" t="s">
        <v>386</v>
      </c>
      <c r="M123" s="313" t="s">
        <v>386</v>
      </c>
      <c r="N123" s="311" t="s">
        <v>386</v>
      </c>
      <c r="O123" s="311" t="s">
        <v>386</v>
      </c>
      <c r="P123" s="311" t="s">
        <v>386</v>
      </c>
      <c r="Q123" s="311" t="s">
        <v>386</v>
      </c>
      <c r="R123" s="311" t="s">
        <v>386</v>
      </c>
      <c r="S123" s="311" t="s">
        <v>386</v>
      </c>
      <c r="T123" s="263" t="str">
        <f t="shared" ref="T123" si="136">+IF(R123="","",R123*S123)</f>
        <v/>
      </c>
      <c r="U123" s="269" t="str">
        <f>IF('Employee Detail FY23'!U149="","",'Employee Detail FY23'!U149)</f>
        <v/>
      </c>
      <c r="V123" s="270"/>
      <c r="W123" s="270" t="str">
        <f t="shared" ref="W123" si="137">+IF(P123="EE",+V123*$W$1,"")</f>
        <v/>
      </c>
      <c r="X123" s="270" t="str">
        <f t="shared" ref="X123" si="138">_xlfn.IFS(P123="ER",V123,P123="EE",W123,P123="N",V123,P123="","")</f>
        <v/>
      </c>
      <c r="Y123" s="62">
        <v>0</v>
      </c>
      <c r="Z123" s="62">
        <v>0</v>
      </c>
      <c r="AA123" s="256">
        <f t="shared" ref="AA123" si="139">SUM(X123:Z123)</f>
        <v>0</v>
      </c>
      <c r="AB123" s="3"/>
      <c r="AC123" s="62" t="str">
        <f t="shared" ref="AC123" si="140">IF(AND(M123=1,P123&lt;&gt;"N"),$AC$1,"")</f>
        <v/>
      </c>
      <c r="AD123" s="62" t="str">
        <f t="shared" ref="AD123" si="141">_xlfn.IFS(P123="N",$AD$1*AA123,P123="EE","",P123="ER","",P123="","")</f>
        <v/>
      </c>
      <c r="AE123" s="62" t="str">
        <f t="shared" ref="AE123" si="142">_xlfn.IFS(P123="EE",X123*$AE$1,P123="ER",X123*$AE$2,P123="N","",P123="","")</f>
        <v/>
      </c>
      <c r="AF123" s="62" t="str">
        <f t="shared" ref="AF123" si="143">+IF(AA123&gt;1,AA123*$AF$1,"")</f>
        <v/>
      </c>
      <c r="AG123" s="192">
        <v>0</v>
      </c>
      <c r="AH123" s="62" t="str">
        <f t="shared" ref="AH123" si="144">+IF(AA123&gt;1,AA123*$AH$1,"")</f>
        <v/>
      </c>
      <c r="AI123" s="62">
        <f t="shared" ref="AI123" si="145">+_xlfn.IFS(F123&lt;2300,(AA123*$AI$1),F123&gt;=2300,(AA123*$AI$2),F123="","")</f>
        <v>0</v>
      </c>
      <c r="AJ123" s="62"/>
      <c r="AK123" s="62">
        <v>0</v>
      </c>
      <c r="AL123" s="256">
        <f t="shared" ref="AL123" si="146">SUM(AC123:AK123)</f>
        <v>0</v>
      </c>
      <c r="AM123" s="256">
        <f t="shared" ref="AM123" si="147">AA123</f>
        <v>0</v>
      </c>
      <c r="AN123" s="256">
        <f t="shared" ref="AN123" si="148">SUM(AL123:AM123)</f>
        <v>0</v>
      </c>
    </row>
    <row r="124" spans="1:40" x14ac:dyDescent="0.2">
      <c r="A124" s="311"/>
      <c r="B124" s="380"/>
      <c r="C124" s="380"/>
      <c r="D124" s="380"/>
      <c r="E124" s="380"/>
      <c r="F124" s="380"/>
      <c r="G124" s="380"/>
      <c r="H124" s="380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263"/>
      <c r="U124" s="269" t="str">
        <f>IF('Employee Detail FY23'!U111="","",'Employee Detail FY23'!U111)</f>
        <v/>
      </c>
      <c r="V124" s="270"/>
      <c r="W124" s="270" t="str">
        <f>+IF(P124="EE",+V124*$W$1,"")</f>
        <v/>
      </c>
      <c r="X124" s="270" t="str">
        <f>_xlfn.IFS(P124="ER",V124,P124="EE",W124,P124="N",V124,P124="","")</f>
        <v/>
      </c>
      <c r="Y124" s="62">
        <v>0</v>
      </c>
      <c r="Z124" s="62">
        <v>0</v>
      </c>
      <c r="AA124" s="256">
        <f>SUM(X124:Z124)</f>
        <v>0</v>
      </c>
      <c r="AB124" s="3"/>
      <c r="AC124" s="62" t="str">
        <f>IF(AND(M124=1,P124&lt;&gt;"N"),$AC$1,"")</f>
        <v/>
      </c>
      <c r="AD124" s="62" t="str">
        <f>_xlfn.IFS(P124="N",$AD$1*AA124,P124="EE","",P124="ER","",P124="","")</f>
        <v/>
      </c>
      <c r="AE124" s="62" t="str">
        <f>_xlfn.IFS(P124="EE",X124*$AE$1,P124="ER",X124*$AE$2,P124="N","",P124="","")</f>
        <v/>
      </c>
      <c r="AF124" s="62" t="str">
        <f>+IF(AA124&gt;1,AA124*$AF$1,"")</f>
        <v/>
      </c>
      <c r="AG124" s="192">
        <v>0</v>
      </c>
      <c r="AH124" s="62" t="str">
        <f>+IF(AA124&gt;1,AA124*$AH$1,"")</f>
        <v/>
      </c>
      <c r="AI124" s="62">
        <f>+_xlfn.IFS(F124&lt;2300,(AA124*$AI$1),F124&gt;=2300,(AA124*$AI$2),F124="","")</f>
        <v>0</v>
      </c>
      <c r="AJ124" s="62"/>
      <c r="AK124" s="62">
        <v>0</v>
      </c>
      <c r="AL124" s="256">
        <f>SUM(AC124:AK124)</f>
        <v>0</v>
      </c>
      <c r="AM124" s="256">
        <f>AA124</f>
        <v>0</v>
      </c>
      <c r="AN124" s="256">
        <f>SUM(AL124:AM124)</f>
        <v>0</v>
      </c>
    </row>
    <row r="125" spans="1:40" x14ac:dyDescent="0.2">
      <c r="A125" s="800" t="s">
        <v>386</v>
      </c>
      <c r="B125" s="801" t="s">
        <v>386</v>
      </c>
      <c r="C125" s="801" t="s">
        <v>386</v>
      </c>
      <c r="D125" s="801"/>
      <c r="E125" s="801" t="s">
        <v>386</v>
      </c>
      <c r="F125" s="801" t="s">
        <v>386</v>
      </c>
      <c r="G125" s="801" t="s">
        <v>386</v>
      </c>
      <c r="H125" s="801"/>
      <c r="I125" s="802" t="s">
        <v>386</v>
      </c>
      <c r="J125" s="802" t="s">
        <v>386</v>
      </c>
      <c r="K125" s="802" t="s">
        <v>386</v>
      </c>
      <c r="L125" s="802" t="s">
        <v>386</v>
      </c>
      <c r="M125" s="803" t="s">
        <v>386</v>
      </c>
      <c r="N125" s="800" t="s">
        <v>386</v>
      </c>
      <c r="O125" s="800" t="s">
        <v>386</v>
      </c>
      <c r="P125" s="800" t="s">
        <v>386</v>
      </c>
      <c r="Q125" s="800" t="s">
        <v>386</v>
      </c>
      <c r="R125" s="800" t="s">
        <v>386</v>
      </c>
      <c r="S125" s="800" t="s">
        <v>386</v>
      </c>
      <c r="T125" s="263" t="str">
        <f>+IF(R125="","",R125*S125)</f>
        <v/>
      </c>
      <c r="U125" s="269" t="str">
        <f>IF('Employee Detail FY22'!U82="","",'Employee Detail FY22'!U82)</f>
        <v/>
      </c>
      <c r="V125" s="270" t="str">
        <f>IF($U125="","",$U125*(1+$V$1))</f>
        <v/>
      </c>
      <c r="W125" s="270" t="str">
        <f>+IF(P125="EE",+V125*$W$1,"")</f>
        <v/>
      </c>
      <c r="X125" s="270" t="str">
        <f>_xlfn.IFS(P125="ER",V125,P125="EE",W125,P125="N",V125,P125="","")</f>
        <v/>
      </c>
      <c r="Y125" s="62">
        <v>0</v>
      </c>
      <c r="Z125" s="62">
        <v>0</v>
      </c>
      <c r="AA125" s="256">
        <f>SUM(X125:Z125)</f>
        <v>0</v>
      </c>
      <c r="AB125" s="3"/>
      <c r="AC125" s="62" t="str">
        <f>IF(AND(M125=1,P125&lt;&gt;"N"),$AC$1,"")</f>
        <v/>
      </c>
      <c r="AD125" s="62" t="str">
        <f>_xlfn.IFS(P125="N",$AD$1*AA125,P125="EE","",P125="ER","",P125="","")</f>
        <v/>
      </c>
      <c r="AE125" s="62" t="str">
        <f>_xlfn.IFS(P125="EE",X125*$AE$1,P125="ER",X125*$AE$2,P125="N","",P125="","")</f>
        <v/>
      </c>
      <c r="AF125" s="62" t="str">
        <f>+IF(AA125&gt;1,AA125*$AF$1,"")</f>
        <v/>
      </c>
      <c r="AG125" s="192">
        <v>0</v>
      </c>
      <c r="AH125" s="62" t="str">
        <f>+IF(AA125&gt;1,AA125*$AH$1,"")</f>
        <v/>
      </c>
      <c r="AI125" s="62">
        <f>+_xlfn.IFS(F125&lt;2300,(AA125*$AI$1),F125&gt;=2300,(AA125*$AI$2),F125="","")</f>
        <v>0</v>
      </c>
      <c r="AJ125" s="62"/>
      <c r="AK125" s="62">
        <v>0</v>
      </c>
      <c r="AL125" s="256">
        <f>SUM(AC125:AK125)</f>
        <v>0</v>
      </c>
      <c r="AM125" s="256">
        <f>AA125</f>
        <v>0</v>
      </c>
      <c r="AN125" s="256">
        <f>SUM(AL125:AM125)</f>
        <v>0</v>
      </c>
    </row>
    <row r="126" spans="1:40" x14ac:dyDescent="0.2">
      <c r="A126" s="311"/>
      <c r="B126" s="380"/>
      <c r="C126" s="380"/>
      <c r="D126" s="380"/>
      <c r="E126" s="380"/>
      <c r="F126" s="380"/>
      <c r="G126" s="380"/>
      <c r="H126" s="380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263" t="str">
        <f t="shared" ref="T126:T128" si="149">+IF(R126="","",R126*S126)</f>
        <v/>
      </c>
      <c r="U126" s="269"/>
      <c r="V126" s="270"/>
      <c r="W126" s="270" t="str">
        <f t="shared" ref="W126:W128" si="150">+IF(P126="EE",+V126*$W$1,"")</f>
        <v/>
      </c>
      <c r="X126" s="270" t="str">
        <f t="shared" ref="X126:X128" si="151">_xlfn.IFS(P126="ER",V126,P126="EE",W126,P126="N",V126,P126="","")</f>
        <v/>
      </c>
      <c r="Y126" s="62">
        <v>0</v>
      </c>
      <c r="Z126" s="62">
        <v>0</v>
      </c>
      <c r="AA126" s="256">
        <f t="shared" ref="AA126:AA128" si="152">SUM(X126:Z126)</f>
        <v>0</v>
      </c>
      <c r="AB126" s="3"/>
      <c r="AC126" s="62" t="str">
        <f t="shared" si="81"/>
        <v/>
      </c>
      <c r="AD126" s="62" t="str">
        <f t="shared" ref="AD126:AD128" si="153">_xlfn.IFS(P126="N",$AD$1*AA126,P126="EE","",P126="ER","",P126="","")</f>
        <v/>
      </c>
      <c r="AE126" s="62" t="str">
        <f t="shared" ref="AE126:AE128" si="154">_xlfn.IFS(P126="EE",X126*$AE$1,P126="ER",X126*$AE$2,P126="N","",P126="","")</f>
        <v/>
      </c>
      <c r="AF126" s="62" t="str">
        <f t="shared" ref="AF126:AF128" si="155">+IF(AA126&gt;1,AA126*$AF$1,"")</f>
        <v/>
      </c>
      <c r="AG126" s="192">
        <v>0</v>
      </c>
      <c r="AH126" s="62" t="str">
        <f t="shared" ref="AH126:AH128" si="156">+IF(AA126&gt;1,AA126*$AH$1,"")</f>
        <v/>
      </c>
      <c r="AI126" s="62">
        <f t="shared" ref="AI126:AI128" si="157">+_xlfn.IFS(F126&lt;2300,(AA126*$AI$1),F126&gt;=2300,(AA126*$AI$2),F126="","")</f>
        <v>0</v>
      </c>
      <c r="AJ126" s="62"/>
      <c r="AK126" s="62">
        <v>0</v>
      </c>
      <c r="AL126" s="256">
        <f t="shared" ref="AL126:AL128" si="158">SUM(AC126:AK126)</f>
        <v>0</v>
      </c>
      <c r="AM126" s="256">
        <f t="shared" ref="AM126:AM128" si="159">AA126</f>
        <v>0</v>
      </c>
      <c r="AN126" s="256">
        <f t="shared" ref="AN126:AN128" si="160">SUM(AL126:AM126)</f>
        <v>0</v>
      </c>
    </row>
    <row r="127" spans="1:40" x14ac:dyDescent="0.2">
      <c r="A127" s="311" t="s">
        <v>386</v>
      </c>
      <c r="B127" s="798" t="s">
        <v>386</v>
      </c>
      <c r="C127" s="798" t="s">
        <v>386</v>
      </c>
      <c r="D127" s="798"/>
      <c r="E127" s="798" t="s">
        <v>386</v>
      </c>
      <c r="F127" s="798" t="s">
        <v>386</v>
      </c>
      <c r="G127" s="798" t="s">
        <v>386</v>
      </c>
      <c r="H127" s="798"/>
      <c r="I127" s="312" t="s">
        <v>386</v>
      </c>
      <c r="J127" s="312" t="s">
        <v>386</v>
      </c>
      <c r="K127" s="312" t="s">
        <v>386</v>
      </c>
      <c r="L127" s="312" t="s">
        <v>386</v>
      </c>
      <c r="M127" s="313" t="s">
        <v>386</v>
      </c>
      <c r="N127" s="311" t="s">
        <v>386</v>
      </c>
      <c r="O127" s="311" t="s">
        <v>386</v>
      </c>
      <c r="P127" s="311" t="s">
        <v>386</v>
      </c>
      <c r="Q127" s="311" t="s">
        <v>386</v>
      </c>
      <c r="R127" s="311" t="s">
        <v>386</v>
      </c>
      <c r="S127" s="311" t="s">
        <v>386</v>
      </c>
      <c r="T127" s="263" t="str">
        <f t="shared" si="149"/>
        <v/>
      </c>
      <c r="U127" s="269" t="str">
        <f>IF('Employee Detail FY23'!U144="","",'Employee Detail FY23'!U144)</f>
        <v/>
      </c>
      <c r="V127" s="270"/>
      <c r="W127" s="270" t="str">
        <f t="shared" ref="W127" si="161">+IF(P127="EE",+V127*$W$1,"")</f>
        <v/>
      </c>
      <c r="X127" s="270" t="str">
        <f t="shared" ref="X127" si="162">_xlfn.IFS(P127="ER",V127,P127="EE",W127,P127="N",V127,P127="","")</f>
        <v/>
      </c>
      <c r="Y127" s="62">
        <v>0</v>
      </c>
      <c r="Z127" s="62">
        <v>0</v>
      </c>
      <c r="AA127" s="256">
        <f t="shared" ref="AA127" si="163">SUM(X127:Z127)</f>
        <v>0</v>
      </c>
      <c r="AB127" s="3"/>
      <c r="AC127" s="62" t="str">
        <f t="shared" ref="AC127" si="164">IF(AND(M127=1,P127&lt;&gt;"N"),$AC$1,"")</f>
        <v/>
      </c>
      <c r="AD127" s="62" t="str">
        <f t="shared" ref="AD127" si="165">_xlfn.IFS(P127="N",$AD$1*AA127,P127="EE","",P127="ER","",P127="","")</f>
        <v/>
      </c>
      <c r="AE127" s="62" t="str">
        <f t="shared" ref="AE127" si="166">_xlfn.IFS(P127="EE",X127*$AE$1,P127="ER",X127*$AE$2,P127="N","",P127="","")</f>
        <v/>
      </c>
      <c r="AF127" s="62" t="str">
        <f t="shared" ref="AF127" si="167">+IF(AA127&gt;1,AA127*$AF$1,"")</f>
        <v/>
      </c>
      <c r="AG127" s="192">
        <v>0</v>
      </c>
      <c r="AH127" s="62" t="str">
        <f t="shared" ref="AH127" si="168">+IF(AA127&gt;1,AA127*$AH$1,"")</f>
        <v/>
      </c>
      <c r="AI127" s="62">
        <f t="shared" ref="AI127" si="169">+_xlfn.IFS(F127&lt;2300,(AA127*$AI$1),F127&gt;=2300,(AA127*$AI$2),F127="","")</f>
        <v>0</v>
      </c>
      <c r="AJ127" s="62"/>
      <c r="AK127" s="62">
        <v>0</v>
      </c>
      <c r="AL127" s="256">
        <f t="shared" ref="AL127" si="170">SUM(AC127:AK127)</f>
        <v>0</v>
      </c>
      <c r="AM127" s="256">
        <f t="shared" ref="AM127" si="171">AA127</f>
        <v>0</v>
      </c>
      <c r="AN127" s="256">
        <f t="shared" ref="AN127" si="172">SUM(AL127:AM127)</f>
        <v>0</v>
      </c>
    </row>
    <row r="128" spans="1:40" x14ac:dyDescent="0.2">
      <c r="A128" s="311"/>
      <c r="B128" s="380"/>
      <c r="C128" s="380"/>
      <c r="D128" s="380"/>
      <c r="E128" s="380"/>
      <c r="F128" s="380"/>
      <c r="G128" s="380"/>
      <c r="H128" s="380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263" t="str">
        <f t="shared" si="149"/>
        <v/>
      </c>
      <c r="U128" s="269"/>
      <c r="V128" s="270"/>
      <c r="W128" s="270" t="str">
        <f t="shared" si="150"/>
        <v/>
      </c>
      <c r="X128" s="270" t="str">
        <f t="shared" si="151"/>
        <v/>
      </c>
      <c r="Y128" s="62">
        <v>0</v>
      </c>
      <c r="Z128" s="62">
        <v>0</v>
      </c>
      <c r="AA128" s="256">
        <f t="shared" si="152"/>
        <v>0</v>
      </c>
      <c r="AB128" s="3"/>
      <c r="AC128" s="62" t="str">
        <f t="shared" si="81"/>
        <v/>
      </c>
      <c r="AD128" s="62" t="str">
        <f t="shared" si="153"/>
        <v/>
      </c>
      <c r="AE128" s="62" t="str">
        <f t="shared" si="154"/>
        <v/>
      </c>
      <c r="AF128" s="62" t="str">
        <f t="shared" si="155"/>
        <v/>
      </c>
      <c r="AG128" s="192">
        <v>0</v>
      </c>
      <c r="AH128" s="62" t="str">
        <f t="shared" si="156"/>
        <v/>
      </c>
      <c r="AI128" s="62">
        <f t="shared" si="157"/>
        <v>0</v>
      </c>
      <c r="AJ128" s="62"/>
      <c r="AK128" s="62">
        <v>0</v>
      </c>
      <c r="AL128" s="256">
        <f t="shared" si="158"/>
        <v>0</v>
      </c>
      <c r="AM128" s="256">
        <f t="shared" si="159"/>
        <v>0</v>
      </c>
      <c r="AN128" s="256">
        <f t="shared" si="160"/>
        <v>0</v>
      </c>
    </row>
    <row r="129" spans="1:40" x14ac:dyDescent="0.2">
      <c r="A129" s="311" t="s">
        <v>386</v>
      </c>
      <c r="B129" s="798" t="s">
        <v>386</v>
      </c>
      <c r="C129" s="798" t="s">
        <v>386</v>
      </c>
      <c r="D129" s="798"/>
      <c r="E129" s="798" t="s">
        <v>386</v>
      </c>
      <c r="F129" s="798" t="s">
        <v>386</v>
      </c>
      <c r="G129" s="798" t="s">
        <v>386</v>
      </c>
      <c r="H129" s="798"/>
      <c r="I129" s="312" t="s">
        <v>386</v>
      </c>
      <c r="J129" s="312" t="s">
        <v>386</v>
      </c>
      <c r="K129" s="312" t="s">
        <v>386</v>
      </c>
      <c r="L129" s="312" t="s">
        <v>386</v>
      </c>
      <c r="M129" s="313" t="s">
        <v>386</v>
      </c>
      <c r="N129" s="311" t="s">
        <v>386</v>
      </c>
      <c r="O129" s="311" t="s">
        <v>386</v>
      </c>
      <c r="P129" s="311" t="s">
        <v>386</v>
      </c>
      <c r="Q129" s="311" t="s">
        <v>386</v>
      </c>
      <c r="R129" s="311" t="s">
        <v>386</v>
      </c>
      <c r="S129" s="311" t="s">
        <v>386</v>
      </c>
      <c r="T129" s="263" t="str">
        <f>+IF(R129="","",R129*S129)</f>
        <v/>
      </c>
      <c r="U129" s="269" t="str">
        <f>IF('Employee Detail FY23'!U152="","",'Employee Detail FY23'!U152)</f>
        <v/>
      </c>
      <c r="V129" s="270"/>
      <c r="W129" s="270" t="str">
        <f>+IF(P129="EE",+V129*$W$1,"")</f>
        <v/>
      </c>
      <c r="X129" s="270" t="str">
        <f>_xlfn.IFS(P129="ER",V129,P129="EE",W129,P129="N",V129,P129="","")</f>
        <v/>
      </c>
      <c r="Y129" s="62">
        <v>0</v>
      </c>
      <c r="Z129" s="62">
        <v>0</v>
      </c>
      <c r="AA129" s="256">
        <f>SUM(X129:Z129)</f>
        <v>0</v>
      </c>
      <c r="AB129" s="3"/>
      <c r="AC129" s="62" t="str">
        <f>IF(AND(M129=1,P129&lt;&gt;"N"),$AC$1,"")</f>
        <v/>
      </c>
      <c r="AD129" s="62" t="str">
        <f>_xlfn.IFS(P129="N",$AD$1*AA129,P129="EE","",P129="ER","",P129="","")</f>
        <v/>
      </c>
      <c r="AE129" s="62" t="str">
        <f>_xlfn.IFS(P129="EE",X129*$AE$1,P129="ER",X129*$AE$2,P129="N","",P129="","")</f>
        <v/>
      </c>
      <c r="AF129" s="62" t="str">
        <f>+IF(AA129&gt;1,AA129*$AF$1,"")</f>
        <v/>
      </c>
      <c r="AG129" s="192">
        <v>0</v>
      </c>
      <c r="AH129" s="62" t="str">
        <f>+IF(AA129&gt;1,AA129*$AH$1,"")</f>
        <v/>
      </c>
      <c r="AI129" s="62">
        <f>+_xlfn.IFS(F129&lt;2300,(AA129*$AI$1),F129&gt;=2300,(AA129*$AI$2),F129="","")</f>
        <v>0</v>
      </c>
      <c r="AJ129" s="62"/>
      <c r="AK129" s="62">
        <v>0</v>
      </c>
      <c r="AL129" s="256">
        <f>SUM(AC129:AK129)</f>
        <v>0</v>
      </c>
      <c r="AM129" s="256">
        <f>AA129</f>
        <v>0</v>
      </c>
      <c r="AN129" s="256">
        <f>SUM(AL129:AM129)</f>
        <v>0</v>
      </c>
    </row>
    <row r="130" spans="1:40" x14ac:dyDescent="0.2">
      <c r="A130" s="264" t="str">
        <f>IF('Employee Detail FY22'!A129="","",'Employee Detail FY22'!A129)</f>
        <v/>
      </c>
      <c r="B130" s="646" t="str">
        <f>IF('Employee Detail FY22'!B129="","",'Employee Detail FY22'!B129)</f>
        <v/>
      </c>
      <c r="C130" s="646" t="str">
        <f>IF('Employee Detail FY22'!C129="","",'Employee Detail FY22'!C129)</f>
        <v/>
      </c>
      <c r="D130" s="646"/>
      <c r="E130" s="646" t="str">
        <f>IF('Employee Detail FY22'!E129="","",'Employee Detail FY22'!E129)</f>
        <v/>
      </c>
      <c r="F130" s="646" t="str">
        <f>IF('Employee Detail FY22'!F129="","",'Employee Detail FY22'!F129)</f>
        <v/>
      </c>
      <c r="G130" s="646" t="str">
        <f>IF('Employee Detail FY22'!G129="","",'Employee Detail FY22'!G129)</f>
        <v/>
      </c>
      <c r="H130" s="646"/>
      <c r="I130" s="265" t="str">
        <f>IF('Employee Detail FY22'!I129="","",'Employee Detail FY22'!I129)</f>
        <v/>
      </c>
      <c r="J130" s="265" t="str">
        <f>IF('Employee Detail FY22'!J129="","",'Employee Detail FY22'!J129)</f>
        <v/>
      </c>
      <c r="K130" s="265" t="str">
        <f>IF('Employee Detail FY22'!K129="","",'Employee Detail FY22'!K129)</f>
        <v/>
      </c>
      <c r="L130" s="265" t="str">
        <f>IF('Employee Detail FY22'!L129="","",'Employee Detail FY22'!L129)</f>
        <v/>
      </c>
      <c r="M130" s="267" t="str">
        <f>IF('Employee Detail FY22'!M129="","",'Employee Detail FY22'!M129)</f>
        <v/>
      </c>
      <c r="N130" s="264" t="str">
        <f>IF('Employee Detail FY22'!N129="","",'Employee Detail FY22'!N129)</f>
        <v/>
      </c>
      <c r="O130" s="264" t="str">
        <f>IF('Employee Detail FY22'!O129="","",'Employee Detail FY22'!O129)</f>
        <v/>
      </c>
      <c r="P130" s="264" t="str">
        <f>IF('Employee Detail FY22'!P129="","",'Employee Detail FY22'!P129)</f>
        <v/>
      </c>
      <c r="Q130" s="264" t="str">
        <f>IF('Employee Detail FY22'!Q129="","",'Employee Detail FY22'!Q129)</f>
        <v/>
      </c>
      <c r="R130" s="264" t="str">
        <f>IF('Employee Detail FY22'!R129="","",'Employee Detail FY22'!R129)</f>
        <v/>
      </c>
      <c r="S130" s="264" t="str">
        <f>IF('Employee Detail FY22'!S129="","",'Employee Detail FY22'!S129)</f>
        <v/>
      </c>
      <c r="T130" s="263" t="str">
        <f t="shared" ref="T130" si="173">+IF(R130="","",R130*S130)</f>
        <v/>
      </c>
      <c r="U130" s="269" t="str">
        <f>IF('Employee Detail FY22'!U129="","",'Employee Detail FY22'!U129)</f>
        <v/>
      </c>
      <c r="V130" s="270" t="str">
        <f t="shared" ref="V130" si="174">IF($U130="","",$U130*(1+$V$1))</f>
        <v/>
      </c>
      <c r="W130" s="270" t="str">
        <f t="shared" ref="W130" si="175">+IF(P130="EE",+V130*$W$1,"")</f>
        <v/>
      </c>
      <c r="X130" s="270" t="str">
        <f t="shared" ref="X130" si="176">_xlfn.IFS(P130="ER",V130,P130="EE",W130,P130="N",V130,P130="","")</f>
        <v/>
      </c>
      <c r="Y130" s="62">
        <v>0</v>
      </c>
      <c r="Z130" s="62">
        <v>0</v>
      </c>
      <c r="AA130" s="256">
        <f t="shared" si="1"/>
        <v>0</v>
      </c>
      <c r="AB130" s="3"/>
      <c r="AC130" s="62" t="str">
        <f t="shared" si="81"/>
        <v/>
      </c>
      <c r="AD130" s="62" t="str">
        <f t="shared" si="2"/>
        <v/>
      </c>
      <c r="AE130" s="62" t="str">
        <f t="shared" si="3"/>
        <v/>
      </c>
      <c r="AF130" s="62" t="str">
        <f t="shared" si="4"/>
        <v/>
      </c>
      <c r="AG130" s="192">
        <v>0</v>
      </c>
      <c r="AH130" s="62" t="str">
        <f t="shared" si="5"/>
        <v/>
      </c>
      <c r="AI130" s="62">
        <f t="shared" si="6"/>
        <v>0</v>
      </c>
      <c r="AJ130" s="62"/>
      <c r="AK130" s="62">
        <v>0</v>
      </c>
      <c r="AL130" s="256">
        <f t="shared" ref="AL130" si="177">SUM(AC130:AK130)</f>
        <v>0</v>
      </c>
      <c r="AM130" s="256">
        <f t="shared" ref="AM130" si="178">AA130</f>
        <v>0</v>
      </c>
      <c r="AN130" s="256">
        <f t="shared" ref="AN130" si="179">SUM(AL130:AM130)</f>
        <v>0</v>
      </c>
    </row>
    <row r="131" spans="1:40" ht="13.5" thickBot="1" x14ac:dyDescent="0.25">
      <c r="A131" s="259"/>
      <c r="B131" s="259"/>
      <c r="C131" s="259"/>
      <c r="D131" s="259"/>
      <c r="E131" s="259"/>
      <c r="F131" s="259"/>
      <c r="G131" s="259"/>
      <c r="H131" s="259"/>
      <c r="I131" s="260"/>
      <c r="J131" s="260"/>
      <c r="K131" s="260"/>
      <c r="L131" s="260"/>
      <c r="M131" s="261">
        <f>SUM(M6:M130)</f>
        <v>47.5</v>
      </c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8">
        <f>SUM(Y6:Y130)</f>
        <v>0</v>
      </c>
      <c r="Z131" s="258">
        <f>SUM(Z6:Z130)</f>
        <v>0</v>
      </c>
      <c r="AA131" s="258">
        <f>SUM(AA6:AA130)</f>
        <v>2831510.5968766441</v>
      </c>
      <c r="AB131" s="5"/>
      <c r="AC131" s="257">
        <f t="shared" ref="AC131:AN131" si="180">SUM(AC6:AC130)</f>
        <v>373356.72000000026</v>
      </c>
      <c r="AD131" s="257">
        <f t="shared" si="180"/>
        <v>4154.93372</v>
      </c>
      <c r="AE131" s="257">
        <f t="shared" si="180"/>
        <v>635482.24565368833</v>
      </c>
      <c r="AF131" s="257">
        <f t="shared" si="180"/>
        <v>41056.903654711321</v>
      </c>
      <c r="AG131" s="257">
        <f t="shared" si="180"/>
        <v>0</v>
      </c>
      <c r="AH131" s="257">
        <f t="shared" si="180"/>
        <v>25773.361143055532</v>
      </c>
      <c r="AI131" s="257">
        <f t="shared" si="180"/>
        <v>8339.3613563236941</v>
      </c>
      <c r="AJ131" s="257">
        <f t="shared" si="180"/>
        <v>0</v>
      </c>
      <c r="AK131" s="257">
        <f t="shared" si="180"/>
        <v>0</v>
      </c>
      <c r="AL131" s="257">
        <f t="shared" si="180"/>
        <v>1088163.5255277788</v>
      </c>
      <c r="AM131" s="257">
        <f t="shared" si="180"/>
        <v>2831510.5968766441</v>
      </c>
      <c r="AN131" s="257">
        <f t="shared" si="180"/>
        <v>3919674.1224044235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255"/>
      <c r="J132" s="255"/>
      <c r="K132" s="255"/>
      <c r="L132" s="2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259"/>
      <c r="B133" s="259"/>
      <c r="C133" s="259"/>
      <c r="D133" s="259"/>
      <c r="E133" s="259"/>
      <c r="F133" s="259"/>
      <c r="G133" s="259"/>
      <c r="H133" s="259"/>
      <c r="I133" s="260"/>
      <c r="J133" s="260"/>
      <c r="K133" s="260"/>
      <c r="L133" s="260"/>
      <c r="M133" s="5">
        <f t="shared" ref="M133:AN133" si="181">SUBTOTAL(9,M6:M130)</f>
        <v>47.5</v>
      </c>
      <c r="N133" s="5">
        <f t="shared" si="181"/>
        <v>112</v>
      </c>
      <c r="O133" s="5">
        <f t="shared" si="181"/>
        <v>960.5</v>
      </c>
      <c r="P133" s="5">
        <f t="shared" si="181"/>
        <v>0</v>
      </c>
      <c r="Q133" s="5">
        <f t="shared" si="181"/>
        <v>344.68</v>
      </c>
      <c r="R133" s="5">
        <f t="shared" si="181"/>
        <v>9496</v>
      </c>
      <c r="S133" s="5">
        <f t="shared" si="181"/>
        <v>1119.7555555555555</v>
      </c>
      <c r="T133" s="5">
        <f t="shared" si="181"/>
        <v>75474.755555555559</v>
      </c>
      <c r="U133" s="5">
        <f t="shared" si="181"/>
        <v>3269532.1999999997</v>
      </c>
      <c r="V133" s="5">
        <f t="shared" si="181"/>
        <v>2713214.0160000003</v>
      </c>
      <c r="W133" s="5">
        <f t="shared" si="181"/>
        <v>1236662.134876644</v>
      </c>
      <c r="X133" s="5">
        <f t="shared" si="181"/>
        <v>2831510.5968766441</v>
      </c>
      <c r="Y133" s="5">
        <f t="shared" si="181"/>
        <v>0</v>
      </c>
      <c r="Z133" s="5">
        <f t="shared" si="181"/>
        <v>0</v>
      </c>
      <c r="AA133" s="258">
        <f t="shared" si="181"/>
        <v>2831510.5968766441</v>
      </c>
      <c r="AB133" s="258">
        <f t="shared" si="181"/>
        <v>0</v>
      </c>
      <c r="AC133" s="258">
        <f t="shared" si="181"/>
        <v>373356.72000000026</v>
      </c>
      <c r="AD133" s="258">
        <f t="shared" si="181"/>
        <v>4154.93372</v>
      </c>
      <c r="AE133" s="258">
        <f t="shared" si="181"/>
        <v>635482.24565368833</v>
      </c>
      <c r="AF133" s="258">
        <f t="shared" si="181"/>
        <v>41056.903654711321</v>
      </c>
      <c r="AG133" s="258">
        <f t="shared" si="181"/>
        <v>0</v>
      </c>
      <c r="AH133" s="258">
        <f t="shared" si="181"/>
        <v>25773.361143055532</v>
      </c>
      <c r="AI133" s="258">
        <f t="shared" si="181"/>
        <v>8339.3613563236941</v>
      </c>
      <c r="AJ133" s="258">
        <f t="shared" si="181"/>
        <v>0</v>
      </c>
      <c r="AK133" s="258">
        <f t="shared" si="181"/>
        <v>0</v>
      </c>
      <c r="AL133" s="258">
        <f t="shared" si="181"/>
        <v>1088163.5255277788</v>
      </c>
      <c r="AM133" s="258">
        <f t="shared" si="181"/>
        <v>2831510.5968766441</v>
      </c>
      <c r="AN133" s="258">
        <f t="shared" si="181"/>
        <v>3919674.1224044235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255"/>
      <c r="J134" s="255"/>
      <c r="K134" s="255"/>
      <c r="L134" s="2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3"/>
      <c r="B138" s="3"/>
      <c r="C138" s="3"/>
      <c r="D138" s="3"/>
      <c r="E138" s="3"/>
      <c r="F138" s="3"/>
      <c r="G138" s="3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">
      <c r="A139" s="3"/>
      <c r="B139" s="3"/>
      <c r="C139" s="3"/>
      <c r="D139" s="3"/>
      <c r="E139" s="3"/>
      <c r="F139" s="3"/>
      <c r="G139" s="3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">
      <c r="A140" s="3"/>
      <c r="B140" s="3"/>
      <c r="C140" s="3"/>
      <c r="D140" s="3"/>
      <c r="E140" s="3"/>
      <c r="F140" s="3"/>
      <c r="G140" s="3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">
      <c r="A141" s="3"/>
      <c r="B141" s="3"/>
      <c r="C141" s="3"/>
      <c r="D141" s="3"/>
      <c r="E141" s="3"/>
      <c r="F141" s="3"/>
      <c r="G141" s="3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">
      <c r="A142" s="3"/>
      <c r="B142" s="3"/>
      <c r="C142" s="3"/>
      <c r="D142" s="3"/>
      <c r="E142" s="3"/>
      <c r="F142" s="3"/>
      <c r="G142" s="3"/>
      <c r="H142" s="3"/>
      <c r="I142" s="255"/>
      <c r="J142" s="255"/>
      <c r="K142" s="255"/>
      <c r="L142" s="2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">
      <c r="A143" s="3"/>
      <c r="B143" s="3"/>
      <c r="C143" s="3"/>
      <c r="D143" s="3"/>
      <c r="E143" s="3"/>
      <c r="F143" s="3"/>
      <c r="G143" s="3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">
      <c r="A144" s="3"/>
      <c r="B144" s="3"/>
      <c r="C144" s="3"/>
      <c r="D144" s="3"/>
      <c r="E144" s="3"/>
      <c r="F144" s="3"/>
      <c r="G144" s="3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">
      <c r="A145" s="3"/>
      <c r="B145" s="3"/>
      <c r="C145" s="3"/>
      <c r="D145" s="3"/>
      <c r="E145" s="3"/>
      <c r="F145" s="3"/>
      <c r="G145" s="3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">
      <c r="A146" s="3"/>
      <c r="B146" s="3"/>
      <c r="C146" s="3"/>
      <c r="D146" s="3"/>
      <c r="E146" s="3"/>
      <c r="F146" s="3"/>
      <c r="G146" s="3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">
      <c r="A147" s="3"/>
      <c r="B147" s="3"/>
      <c r="C147" s="3"/>
      <c r="D147" s="3"/>
      <c r="E147" s="3"/>
      <c r="F147" s="3"/>
      <c r="G147" s="3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">
      <c r="A148" s="3"/>
      <c r="B148" s="3"/>
      <c r="C148" s="3"/>
      <c r="D148" s="3"/>
      <c r="E148" s="3"/>
      <c r="F148" s="3"/>
      <c r="G148" s="3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">
      <c r="A149" s="3"/>
      <c r="B149" s="3"/>
      <c r="C149" s="3"/>
      <c r="D149" s="3"/>
      <c r="E149" s="3"/>
      <c r="F149" s="3"/>
      <c r="G149" s="3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">
      <c r="A150" s="3"/>
      <c r="B150" s="3"/>
      <c r="C150" s="3"/>
      <c r="D150" s="3"/>
      <c r="E150" s="3"/>
      <c r="F150" s="3"/>
      <c r="G150" s="3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">
      <c r="A151" s="3"/>
      <c r="B151" s="3"/>
      <c r="C151" s="3"/>
      <c r="D151" s="3"/>
      <c r="E151" s="3"/>
      <c r="F151" s="3"/>
      <c r="G151" s="3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">
      <c r="A152" s="3"/>
      <c r="B152" s="3"/>
      <c r="C152" s="3"/>
      <c r="D152" s="3"/>
      <c r="E152" s="3"/>
      <c r="F152" s="3"/>
      <c r="G152" s="3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">
      <c r="A153" s="3"/>
      <c r="B153" s="3"/>
      <c r="C153" s="3"/>
      <c r="D153" s="3"/>
      <c r="E153" s="3"/>
      <c r="F153" s="3"/>
      <c r="G153" s="3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">
      <c r="A154" s="3"/>
      <c r="B154" s="3"/>
      <c r="C154" s="3"/>
      <c r="D154" s="3"/>
      <c r="E154" s="3"/>
      <c r="F154" s="3"/>
      <c r="G154" s="3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</sheetData>
  <autoFilter ref="B3:G130" xr:uid="{0CD44D59-698B-4D0E-B4A0-6C4CE5D14732}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9B44-2B59-4F00-8299-2A41B87B4993}">
  <sheetPr codeName="Sheet18"/>
  <dimension ref="A1:WWF147"/>
  <sheetViews>
    <sheetView zoomScale="90" zoomScaleNormal="90" workbookViewId="0">
      <pane ySplit="5" topLeftCell="A129" activePane="bottomLeft" state="frozen"/>
      <selection pane="bottomLeft" activeCell="AL146" sqref="AL146:AN146"/>
    </sheetView>
  </sheetViews>
  <sheetFormatPr defaultColWidth="9.140625" defaultRowHeight="12.75" outlineLevelRow="1" x14ac:dyDescent="0.2"/>
  <cols>
    <col min="1" max="3" width="9.140625" style="3"/>
    <col min="4" max="4" width="1.7109375" style="3" customWidth="1"/>
    <col min="5" max="7" width="9.140625" style="3"/>
    <col min="8" max="8" width="5.28515625" style="3" bestFit="1" customWidth="1"/>
    <col min="9" max="12" width="9.140625" style="3" hidden="1" customWidth="1"/>
    <col min="13" max="13" width="3.5703125" style="3" bestFit="1" customWidth="1"/>
    <col min="14" max="26" width="0" style="3" hidden="1" customWidth="1"/>
    <col min="27" max="27" width="12.42578125" style="3" bestFit="1" customWidth="1"/>
    <col min="28" max="28" width="1.7109375" style="3" customWidth="1"/>
    <col min="29" max="29" width="11" style="3" bestFit="1" customWidth="1"/>
    <col min="30" max="30" width="9" style="3" bestFit="1" customWidth="1"/>
    <col min="31" max="31" width="11" style="3" bestFit="1" customWidth="1"/>
    <col min="32" max="32" width="10" style="3" bestFit="1" customWidth="1"/>
    <col min="33" max="33" width="9.28515625" style="3" bestFit="1" customWidth="1"/>
    <col min="34" max="34" width="13.28515625" style="3" bestFit="1" customWidth="1"/>
    <col min="35" max="35" width="13.5703125" style="3" bestFit="1" customWidth="1"/>
    <col min="36" max="36" width="7.85546875" style="3" bestFit="1" customWidth="1"/>
    <col min="37" max="37" width="7.28515625" style="3" bestFit="1" customWidth="1"/>
    <col min="38" max="38" width="12.42578125" style="3" bestFit="1" customWidth="1"/>
    <col min="39" max="40" width="12.5703125" style="3" bestFit="1" customWidth="1"/>
    <col min="41" max="16384" width="9.140625" style="3"/>
  </cols>
  <sheetData>
    <row r="1" spans="1:16152" s="233" customFormat="1" x14ac:dyDescent="0.2">
      <c r="A1" s="652" t="str">
        <f>'# of Students'!A1</f>
        <v>Beacon Academy of Nevada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947" t="s">
        <v>339</v>
      </c>
      <c r="Q1" s="653"/>
      <c r="R1" s="653"/>
      <c r="S1" s="654"/>
      <c r="T1" s="654"/>
      <c r="U1" s="654"/>
      <c r="V1" s="655"/>
      <c r="W1" s="656">
        <v>1.153586</v>
      </c>
      <c r="X1" s="654"/>
      <c r="Y1" s="654"/>
      <c r="Z1" s="654"/>
      <c r="AA1" s="654"/>
      <c r="AB1" s="654"/>
      <c r="AC1" s="657">
        <f>IF('Employee Detail FY21'!AC1="","",'Employee Detail FY21'!AC1)</f>
        <v>7943.76</v>
      </c>
      <c r="AD1" s="658">
        <v>6.2E-2</v>
      </c>
      <c r="AE1" s="658">
        <v>0.155</v>
      </c>
      <c r="AF1" s="658">
        <v>1.4500000000000001E-2</v>
      </c>
      <c r="AG1" s="654"/>
      <c r="AH1" s="659">
        <f>'Employee Detail FY21'!AH1</f>
        <v>9.1023361069124693E-3</v>
      </c>
      <c r="AI1" s="659">
        <v>2.0209115643897075E-3</v>
      </c>
      <c r="AJ1" s="654"/>
      <c r="AK1" s="654"/>
      <c r="AL1" s="654"/>
      <c r="AM1" s="654"/>
      <c r="AN1" s="654"/>
    </row>
    <row r="2" spans="1:16152" s="233" customFormat="1" x14ac:dyDescent="0.2">
      <c r="A2" s="660" t="s">
        <v>315</v>
      </c>
      <c r="B2" s="661"/>
      <c r="C2" s="661" t="str">
        <f>'# of Students'!D6</f>
        <v>FY2223</v>
      </c>
      <c r="D2" s="661"/>
      <c r="E2" s="653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947"/>
      <c r="Q2" s="661"/>
      <c r="R2" s="661"/>
      <c r="S2" s="654"/>
      <c r="T2" s="654"/>
      <c r="U2" s="654"/>
      <c r="V2" s="654"/>
      <c r="W2" s="654"/>
      <c r="X2" s="654"/>
      <c r="Y2" s="654"/>
      <c r="Z2" s="654"/>
      <c r="AA2" s="654"/>
      <c r="AB2" s="654"/>
      <c r="AC2" s="654"/>
      <c r="AD2" s="654"/>
      <c r="AE2" s="658">
        <v>0.29749999999999999</v>
      </c>
      <c r="AF2" s="654"/>
      <c r="AG2" s="654"/>
      <c r="AH2" s="654"/>
      <c r="AI2" s="659">
        <v>2.0209115643897075E-3</v>
      </c>
      <c r="AJ2" s="654"/>
      <c r="AK2" s="654"/>
      <c r="AL2" s="654"/>
      <c r="AM2" s="654"/>
      <c r="AN2" s="654"/>
    </row>
    <row r="3" spans="1:16152" s="243" customFormat="1" ht="57.75" customHeight="1" x14ac:dyDescent="0.2">
      <c r="A3" s="662"/>
      <c r="B3" s="663" t="s">
        <v>117</v>
      </c>
      <c r="C3" s="663" t="s">
        <v>316</v>
      </c>
      <c r="D3" s="663"/>
      <c r="E3" s="663" t="s">
        <v>119</v>
      </c>
      <c r="F3" s="663" t="s">
        <v>120</v>
      </c>
      <c r="G3" s="663" t="s">
        <v>121</v>
      </c>
      <c r="H3" s="663" t="s">
        <v>373</v>
      </c>
      <c r="I3" s="664" t="s">
        <v>317</v>
      </c>
      <c r="J3" s="664" t="s">
        <v>318</v>
      </c>
      <c r="K3" s="664" t="s">
        <v>319</v>
      </c>
      <c r="L3" s="664" t="s">
        <v>320</v>
      </c>
      <c r="M3" s="665" t="s">
        <v>321</v>
      </c>
      <c r="N3" s="666" t="s">
        <v>322</v>
      </c>
      <c r="O3" s="666" t="s">
        <v>323</v>
      </c>
      <c r="P3" s="947"/>
      <c r="Q3" s="665" t="s">
        <v>324</v>
      </c>
      <c r="R3" s="665" t="s">
        <v>325</v>
      </c>
      <c r="S3" s="665" t="s">
        <v>326</v>
      </c>
      <c r="T3" s="665" t="s">
        <v>337</v>
      </c>
      <c r="U3" s="667" t="s">
        <v>327</v>
      </c>
      <c r="V3" s="667" t="s">
        <v>328</v>
      </c>
      <c r="W3" s="667" t="s">
        <v>338</v>
      </c>
      <c r="X3" s="667" t="s">
        <v>329</v>
      </c>
      <c r="Y3" s="667" t="s">
        <v>330</v>
      </c>
      <c r="Z3" s="668" t="s">
        <v>331</v>
      </c>
      <c r="AA3" s="668" t="s">
        <v>332</v>
      </c>
      <c r="AB3" s="669"/>
      <c r="AC3" s="668" t="s">
        <v>333</v>
      </c>
      <c r="AD3" s="668" t="s">
        <v>179</v>
      </c>
      <c r="AE3" s="668" t="s">
        <v>181</v>
      </c>
      <c r="AF3" s="668" t="s">
        <v>183</v>
      </c>
      <c r="AG3" s="668" t="s">
        <v>334</v>
      </c>
      <c r="AH3" s="668" t="s">
        <v>187</v>
      </c>
      <c r="AI3" s="668" t="s">
        <v>189</v>
      </c>
      <c r="AJ3" s="668" t="s">
        <v>335</v>
      </c>
      <c r="AK3" s="668" t="s">
        <v>193</v>
      </c>
      <c r="AL3" s="668" t="s">
        <v>195</v>
      </c>
      <c r="AM3" s="668" t="s">
        <v>332</v>
      </c>
      <c r="AN3" s="668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x14ac:dyDescent="0.2">
      <c r="A4" s="670"/>
      <c r="B4" s="671"/>
      <c r="C4" s="671"/>
      <c r="D4" s="671"/>
      <c r="E4" s="671"/>
      <c r="F4" s="671"/>
      <c r="G4" s="671"/>
      <c r="H4" s="671"/>
      <c r="I4" s="672"/>
      <c r="J4" s="672"/>
      <c r="K4" s="672"/>
      <c r="L4" s="672"/>
      <c r="M4" s="673"/>
      <c r="N4" s="674"/>
      <c r="O4" s="674"/>
      <c r="P4" s="673"/>
      <c r="Q4" s="671"/>
      <c r="R4" s="673"/>
      <c r="S4" s="673"/>
      <c r="T4" s="673"/>
      <c r="U4" s="675"/>
      <c r="V4" s="675"/>
      <c r="W4" s="675" t="s">
        <v>340</v>
      </c>
      <c r="X4" s="675"/>
      <c r="Y4" s="675">
        <v>150</v>
      </c>
      <c r="Z4" s="675">
        <v>160</v>
      </c>
      <c r="AA4" s="676"/>
      <c r="AB4" s="676"/>
      <c r="AC4" s="675">
        <v>210</v>
      </c>
      <c r="AD4" s="675">
        <v>220</v>
      </c>
      <c r="AE4" s="675">
        <v>230</v>
      </c>
      <c r="AF4" s="675">
        <v>240</v>
      </c>
      <c r="AG4" s="675">
        <v>250</v>
      </c>
      <c r="AH4" s="675">
        <v>260</v>
      </c>
      <c r="AI4" s="675">
        <v>270</v>
      </c>
      <c r="AJ4" s="675">
        <v>280</v>
      </c>
      <c r="AK4" s="675">
        <v>290</v>
      </c>
      <c r="AL4" s="675"/>
      <c r="AM4" s="675"/>
      <c r="AN4" s="675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x14ac:dyDescent="0.2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54"/>
      <c r="AI5" s="654"/>
      <c r="AJ5" s="654"/>
      <c r="AK5" s="654"/>
      <c r="AL5" s="654"/>
      <c r="AM5" s="654"/>
      <c r="AN5" s="654"/>
    </row>
    <row r="6" spans="1:16152" x14ac:dyDescent="0.2">
      <c r="A6" s="264" t="str">
        <f>IF('Employee Detail FY21'!A6="","",'Employee Detail FY21'!A6)</f>
        <v/>
      </c>
      <c r="B6" s="646" t="str">
        <f>IF('Employee Detail FY21'!B6="","",'Employee Detail FY21'!B6)</f>
        <v/>
      </c>
      <c r="C6" s="646" t="str">
        <f>IF('Employee Detail FY21'!C6="","",'Employee Detail FY21'!C6)</f>
        <v/>
      </c>
      <c r="D6" s="646"/>
      <c r="E6" s="646" t="str">
        <f>IF('Employee Detail FY21'!E6="","",'Employee Detail FY21'!E6)</f>
        <v/>
      </c>
      <c r="F6" s="646" t="str">
        <f>IF('Employee Detail FY21'!F6="","",'Employee Detail FY21'!F6)</f>
        <v/>
      </c>
      <c r="G6" s="646" t="str">
        <f>IF('Employee Detail FY21'!G6="","",'Employee Detail FY21'!G6)</f>
        <v/>
      </c>
      <c r="H6" s="646"/>
      <c r="I6" s="264" t="str">
        <f>IF('Employee Detail FY21'!I6="","",'Employee Detail FY21'!I6)</f>
        <v/>
      </c>
      <c r="J6" s="264" t="str">
        <f>IF('Employee Detail FY21'!J6="","",'Employee Detail FY21'!J6)</f>
        <v/>
      </c>
      <c r="K6" s="264" t="str">
        <f>IF('Employee Detail FY21'!K6="","",'Employee Detail FY21'!K6)</f>
        <v/>
      </c>
      <c r="L6" s="264" t="str">
        <f>IF('Employee Detail FY21'!L6="","",'Employee Detail FY21'!L6)</f>
        <v/>
      </c>
      <c r="M6" s="267" t="str">
        <f>IF('Employee Detail FY21'!M6="","",'Employee Detail FY21'!M6)</f>
        <v/>
      </c>
      <c r="N6" s="264" t="str">
        <f>IF('Employee Detail FY21'!N6="","",'Employee Detail FY21'!N6)</f>
        <v/>
      </c>
      <c r="O6" s="264" t="str">
        <f>IF('Employee Detail FY21'!O6="","",'Employee Detail FY21'!O6)</f>
        <v/>
      </c>
      <c r="P6" s="264" t="str">
        <f>IF('Employee Detail FY21'!P6="","",'Employee Detail FY21'!P6)</f>
        <v/>
      </c>
      <c r="Q6" s="264" t="str">
        <f>IF('Employee Detail FY21'!Q6="","",'Employee Detail FY21'!Q6)</f>
        <v/>
      </c>
      <c r="R6" s="264" t="str">
        <f>IF('Employee Detail FY21'!R6="","",'Employee Detail FY21'!R6)</f>
        <v/>
      </c>
      <c r="S6" s="264" t="str">
        <f>IF('Employee Detail FY21'!S6="","",'Employee Detail FY21'!S6)</f>
        <v/>
      </c>
      <c r="T6" s="263" t="str">
        <f>+IF(R6="","",R6*S6)</f>
        <v/>
      </c>
      <c r="U6" s="269" t="str">
        <f>IF('Employee Detail FY21'!U6="","",'Employee Detail FY21'!U6)</f>
        <v/>
      </c>
      <c r="V6" s="270" t="str">
        <f>IF($U6="","",$U6*(1+$V$1))</f>
        <v/>
      </c>
      <c r="W6" s="270" t="str">
        <f t="shared" ref="W6" si="0">+IF(P6="EE",+V6*$W$1,"")</f>
        <v/>
      </c>
      <c r="X6" s="270" t="str">
        <f t="shared" ref="X6" si="1">_xlfn.IFS(P6="ER",V6,P6="EE",W6,P6="N",V6,P6="","")</f>
        <v/>
      </c>
      <c r="Y6" s="62">
        <v>0</v>
      </c>
      <c r="Z6" s="62">
        <v>0</v>
      </c>
      <c r="AA6" s="256">
        <f>SUM(X6:Z6)</f>
        <v>0</v>
      </c>
      <c r="AC6" s="62" t="str">
        <f>IF('Employee Detail FY21'!AC6="","",'Employee Detail FY21'!AC6)</f>
        <v/>
      </c>
      <c r="AD6" s="62" t="str">
        <f t="shared" ref="AD6" si="2">_xlfn.IFS(P6="N",$AD$1*AA6,P6="EE","",P6="ER","",P6="","")</f>
        <v/>
      </c>
      <c r="AE6" s="62" t="str">
        <f t="shared" ref="AE6" si="3">_xlfn.IFS(P6="EE",X6*$AE$1,P6="ER",X6*$AE$2,P6="N","",P6="","")</f>
        <v/>
      </c>
      <c r="AF6" s="62" t="str">
        <f t="shared" ref="AF6" si="4">+IF(AA6&gt;1,AA6*$AF$1,"")</f>
        <v/>
      </c>
      <c r="AG6" s="192">
        <v>0</v>
      </c>
      <c r="AH6" s="62" t="str">
        <f t="shared" ref="AH6" si="5">+IF(AA6&gt;1,AA6*$AH$1,"")</f>
        <v/>
      </c>
      <c r="AI6" s="62">
        <f t="shared" ref="AI6" si="6">+_xlfn.IFS(F6&lt;2300,(AA6*$AI$1),F6&gt;=2300,(AA6*$AI$2),F6="","")</f>
        <v>0</v>
      </c>
      <c r="AJ6" s="62"/>
      <c r="AK6" s="62">
        <v>0</v>
      </c>
      <c r="AL6" s="256">
        <f t="shared" ref="AL6" si="7">SUM(AC6:AK6)</f>
        <v>0</v>
      </c>
      <c r="AM6" s="256">
        <f t="shared" ref="AM6:AM69" si="8">AA6</f>
        <v>0</v>
      </c>
      <c r="AN6" s="256">
        <f t="shared" ref="AN6" si="9">SUM(AL6:AM6)</f>
        <v>0</v>
      </c>
    </row>
    <row r="7" spans="1:16152" outlineLevel="1" x14ac:dyDescent="0.2">
      <c r="B7" s="647" t="s">
        <v>468</v>
      </c>
      <c r="C7" s="647" t="s">
        <v>145</v>
      </c>
      <c r="D7" s="647"/>
      <c r="E7" s="647" t="s">
        <v>468</v>
      </c>
      <c r="F7" s="647">
        <v>1000</v>
      </c>
      <c r="G7" s="647" t="s">
        <v>161</v>
      </c>
      <c r="H7" s="647"/>
      <c r="AA7" s="256">
        <f>SUMIFS('Employee Detail FY23'!$AA$6:$AA$132,'Employee Detail FY23'!$B$6:$B$132,$B7,'Employee Detail FY23'!$C$6:$C$132,$C7,'Employee Detail FY23'!$E$6:$E$132,$E7,'Employee Detail FY23'!$F$6:$F$132,$F7,'Employee Detail FY23'!$G$6:$G$132,$G7)</f>
        <v>372361.41462589998</v>
      </c>
      <c r="AB7" s="62"/>
      <c r="AC7" s="399">
        <f>SUMIFS('Employee Detail FY23'!$AC$6:$AC$132,'Employee Detail FY23'!$B$6:$B$132,$B7,'Employee Detail FY23'!$C$6:$C$132,$C7,'Employee Detail FY23'!$E$6:$E$132,$E7,'Employee Detail FY23'!$F$6:$F$132,$F7,'Employee Detail FY23'!$G$6:$G$132,$G7)</f>
        <v>55606.320000000007</v>
      </c>
      <c r="AD7" s="62">
        <f>SUMIFS('Employee Detail FY23'!$AD$6:$AD$132,'Employee Detail FY23'!$B$6:$B$132,$B7,'Employee Detail FY23'!$C$6:$C$132,$C7,'Employee Detail FY23'!$E$6:$E$132,$E7,'Employee Detail FY23'!$F$6:$F$132,$F7,'Employee Detail FY23'!$G$6:$G$132,$G7)</f>
        <v>0</v>
      </c>
      <c r="AE7" s="62">
        <f>SUMIFS('Employee Detail FY23'!$AE$6:$AE$132,'Employee Detail FY23'!$B$6:$B$132,$B7,'Employee Detail FY23'!$C$6:$C$132,$C7,'Employee Detail FY23'!$E$6:$E$132,$E7,'Employee Detail FY23'!$F$6:$F$132,$F7,'Employee Detail FY23'!$G$6:$G$132,$G7)</f>
        <v>94758.743730449743</v>
      </c>
      <c r="AF7" s="62">
        <f>SUMIFS('Employee Detail FY23'!$AF$6:$AF$132,'Employee Detail FY23'!$B$6:$B$132,$B7,'Employee Detail FY23'!$C$6:$C$132,$C7,'Employee Detail FY23'!$E$6:$E$132,$E7,'Employee Detail FY23'!$F$6:$F$132,$F7,'Employee Detail FY23'!$G$6:$G$132,$G7)</f>
        <v>5399.2405120755502</v>
      </c>
      <c r="AG7" s="269">
        <v>0</v>
      </c>
      <c r="AH7" s="62">
        <f>SUMIFS('Employee Detail FY23'!$AH$6:$AH$132,'Employee Detail FY23'!$B$6:$B$132,$B7,'Employee Detail FY23'!$C$6:$C$132,$C7,'Employee Detail FY23'!$E$6:$E$132,$E7,'Employee Detail FY23'!$F$6:$F$132,$F7,'Employee Detail FY23'!$G$6:$G$132,$G7)</f>
        <v>3389.3587491703342</v>
      </c>
      <c r="AI7" s="62">
        <f>SUMIFS('Employee Detail FY23'!$AI$6:$AI$132,'Employee Detail FY23'!$B$6:$B$132,$B7,'Employee Detail FY23'!$C$6:$C$132,$C7,'Employee Detail FY23'!$E$6:$E$132,$E7,'Employee Detail FY23'!$F$6:$F$132,$F7,'Employee Detail FY23'!$G$6:$G$132,$G7)</f>
        <v>1096.6783578852121</v>
      </c>
      <c r="AJ7" s="62">
        <v>0</v>
      </c>
      <c r="AK7" s="62">
        <v>0</v>
      </c>
      <c r="AL7" s="256">
        <f t="shared" ref="AL7:AL69" si="10">SUM(AC7:AK7)</f>
        <v>160250.34134958085</v>
      </c>
      <c r="AM7" s="256">
        <f t="shared" si="8"/>
        <v>372361.41462589998</v>
      </c>
      <c r="AN7" s="256">
        <f t="shared" ref="AN7:AN69" si="11">SUM(AL7:AM7)</f>
        <v>532611.75597548089</v>
      </c>
    </row>
    <row r="8" spans="1:16152" outlineLevel="1" x14ac:dyDescent="0.2">
      <c r="B8" s="647" t="s">
        <v>468</v>
      </c>
      <c r="C8" s="647" t="s">
        <v>145</v>
      </c>
      <c r="D8" s="647"/>
      <c r="E8" s="647" t="s">
        <v>468</v>
      </c>
      <c r="F8" s="647">
        <v>1000</v>
      </c>
      <c r="G8" s="651" t="s">
        <v>169</v>
      </c>
      <c r="H8" s="647"/>
      <c r="AA8" s="256">
        <f>SUMIFS('Employee Detail FY23'!$AA$6:$AA$132,'Employee Detail FY23'!$B$6:$B$132,$B8,'Employee Detail FY23'!$C$6:$C$132,$C8,'Employee Detail FY23'!$E$6:$E$132,$E8,'Employee Detail FY23'!$F$6:$F$132,$F8,'Employee Detail FY23'!$G$6:$G$132,$G8)</f>
        <v>206607.48884999999</v>
      </c>
      <c r="AB8" s="62"/>
      <c r="AC8" s="399">
        <f>SUMIFS('Employee Detail FY23'!$AC$6:$AC$132,'Employee Detail FY23'!$B$6:$B$132,$B8,'Employee Detail FY23'!$C$6:$C$132,$C8,'Employee Detail FY23'!$E$6:$E$132,$E8,'Employee Detail FY23'!$F$6:$F$132,$F8,'Employee Detail FY23'!$G$6:$G$132,$G8)</f>
        <v>47662.560000000005</v>
      </c>
      <c r="AD8" s="62">
        <f>SUMIFS('Employee Detail FY23'!$AD$6:$AD$132,'Employee Detail FY23'!$B$6:$B$132,$B8,'Employee Detail FY23'!$C$6:$C$132,$C8,'Employee Detail FY23'!$E$6:$E$132,$E8,'Employee Detail FY23'!$F$6:$F$132,$F8,'Employee Detail FY23'!$G$6:$G$132,$G8)</f>
        <v>0</v>
      </c>
      <c r="AE8" s="62">
        <f>SUMIFS('Employee Detail FY23'!$AE$6:$AE$132,'Employee Detail FY23'!$B$6:$B$132,$B8,'Employee Detail FY23'!$C$6:$C$132,$C8,'Employee Detail FY23'!$E$6:$E$132,$E8,'Employee Detail FY23'!$F$6:$F$132,$F8,'Employee Detail FY23'!$G$6:$G$132,$G8)</f>
        <v>34233.022049625004</v>
      </c>
      <c r="AF8" s="62">
        <f>SUMIFS('Employee Detail FY23'!$AF$6:$AF$132,'Employee Detail FY23'!$B$6:$B$132,$B8,'Employee Detail FY23'!$C$6:$C$132,$C8,'Employee Detail FY23'!$E$6:$E$132,$E8,'Employee Detail FY23'!$F$6:$F$132,$F8,'Employee Detail FY23'!$G$6:$G$132,$G8)</f>
        <v>2995.8085883249996</v>
      </c>
      <c r="AG8" s="269">
        <v>0</v>
      </c>
      <c r="AH8" s="62">
        <f>SUMIFS('Employee Detail FY23'!$AH$6:$AH$132,'Employee Detail FY23'!$B$6:$B$132,$B8,'Employee Detail FY23'!$C$6:$C$132,$C8,'Employee Detail FY23'!$E$6:$E$132,$E8,'Employee Detail FY23'!$F$6:$F$132,$F8,'Employee Detail FY23'!$G$6:$G$132,$G8)</f>
        <v>1880.6108057178708</v>
      </c>
      <c r="AI8" s="62">
        <f>SUMIFS('Employee Detail FY23'!$AI$6:$AI$132,'Employee Detail FY23'!$B$6:$B$132,$B8,'Employee Detail FY23'!$C$6:$C$132,$C8,'Employee Detail FY23'!$E$6:$E$132,$E8,'Employee Detail FY23'!$F$6:$F$132,$F8,'Employee Detail FY23'!$G$6:$G$132,$G8)</f>
        <v>608.50010956813333</v>
      </c>
      <c r="AJ8" s="62">
        <v>0</v>
      </c>
      <c r="AK8" s="62">
        <v>0</v>
      </c>
      <c r="AL8" s="256">
        <f t="shared" si="10"/>
        <v>87380.501553236012</v>
      </c>
      <c r="AM8" s="256">
        <f t="shared" si="8"/>
        <v>206607.48884999999</v>
      </c>
      <c r="AN8" s="256">
        <f t="shared" si="11"/>
        <v>293987.99040323601</v>
      </c>
    </row>
    <row r="9" spans="1:16152" outlineLevel="1" x14ac:dyDescent="0.2">
      <c r="B9" s="647" t="s">
        <v>135</v>
      </c>
      <c r="C9" s="647" t="s">
        <v>923</v>
      </c>
      <c r="D9" s="647"/>
      <c r="E9" s="647">
        <v>100</v>
      </c>
      <c r="F9" s="647" t="s">
        <v>461</v>
      </c>
      <c r="G9" s="647" t="s">
        <v>161</v>
      </c>
      <c r="H9" s="647"/>
      <c r="AA9" s="256">
        <f>SUMIFS('Employee Detail FY23'!$AA$6:$AA$132,'Employee Detail FY23'!$B$6:$B$132,$B9,'Employee Detail FY23'!$C$6:$C$132,$C9,'Employee Detail FY23'!$E$6:$E$132,$E9,'Employee Detail FY23'!$F$6:$F$132,$F9,'Employee Detail FY23'!$G$6:$G$132,$G9)</f>
        <v>68791.65550768</v>
      </c>
      <c r="AB9" s="62"/>
      <c r="AC9" s="399">
        <f>SUMIFS('Employee Detail FY23'!$AC$6:$AC$132,'Employee Detail FY23'!$B$6:$B$132,$B9,'Employee Detail FY23'!$C$6:$C$132,$C9,'Employee Detail FY23'!$E$6:$E$132,$E9,'Employee Detail FY23'!$F$6:$F$132,$F9,'Employee Detail FY23'!$G$6:$G$132,$G9)</f>
        <v>7943.76</v>
      </c>
      <c r="AD9" s="62">
        <f>SUMIFS('Employee Detail FY23'!$AD$6:$AD$132,'Employee Detail FY23'!$B$6:$B$132,$B9,'Employee Detail FY23'!$C$6:$C$132,$C9,'Employee Detail FY23'!$E$6:$E$132,$E9,'Employee Detail FY23'!$F$6:$F$132,$F9,'Employee Detail FY23'!$G$6:$G$132,$G9)</f>
        <v>0</v>
      </c>
      <c r="AE9" s="62">
        <f>SUMIFS('Employee Detail FY23'!$AE$6:$AE$132,'Employee Detail FY23'!$B$6:$B$132,$B9,'Employee Detail FY23'!$C$6:$C$132,$C9,'Employee Detail FY23'!$E$6:$E$132,$E9,'Employee Detail FY23'!$F$6:$F$132,$F9,'Employee Detail FY23'!$G$6:$G$132,$G9)</f>
        <v>10490.727464921199</v>
      </c>
      <c r="AF9" s="62">
        <f>SUMIFS('Employee Detail FY23'!$AF$6:$AF$132,'Employee Detail FY23'!$B$6:$B$132,$B9,'Employee Detail FY23'!$C$6:$C$132,$C9,'Employee Detail FY23'!$E$6:$E$132,$E9,'Employee Detail FY23'!$F$6:$F$132,$F9,'Employee Detail FY23'!$G$6:$G$132,$G9)</f>
        <v>997.47900486136007</v>
      </c>
      <c r="AG9" s="269">
        <v>0</v>
      </c>
      <c r="AH9" s="62">
        <f>SUMIFS('Employee Detail FY23'!$AH$6:$AH$132,'Employee Detail FY23'!$B$6:$B$132,$B9,'Employee Detail FY23'!$C$6:$C$132,$C9,'Employee Detail FY23'!$E$6:$E$132,$E9,'Employee Detail FY23'!$F$6:$F$132,$F9,'Employee Detail FY23'!$G$6:$G$132,$G9)</f>
        <v>626.16476978183971</v>
      </c>
      <c r="AI9" s="62">
        <f>SUMIFS('Employee Detail FY23'!$AI$6:$AI$132,'Employee Detail FY23'!$B$6:$B$132,$B9,'Employee Detail FY23'!$C$6:$C$132,$C9,'Employee Detail FY23'!$E$6:$E$132,$E9,'Employee Detail FY23'!$F$6:$F$132,$F9,'Employee Detail FY23'!$G$6:$G$132,$G9)</f>
        <v>202.60509503693413</v>
      </c>
      <c r="AJ9" s="62">
        <v>0</v>
      </c>
      <c r="AK9" s="62">
        <v>0</v>
      </c>
      <c r="AL9" s="256">
        <f t="shared" si="10"/>
        <v>20260.736334601337</v>
      </c>
      <c r="AM9" s="256">
        <f t="shared" si="8"/>
        <v>68791.65550768</v>
      </c>
      <c r="AN9" s="256">
        <f t="shared" si="11"/>
        <v>89052.391842281329</v>
      </c>
    </row>
    <row r="10" spans="1:16152" outlineLevel="1" x14ac:dyDescent="0.2">
      <c r="B10" s="647" t="s">
        <v>135</v>
      </c>
      <c r="C10" s="647" t="s">
        <v>923</v>
      </c>
      <c r="D10" s="647"/>
      <c r="E10" s="647">
        <v>100</v>
      </c>
      <c r="F10" s="647">
        <v>1000</v>
      </c>
      <c r="G10" s="647" t="s">
        <v>1043</v>
      </c>
      <c r="H10" s="647"/>
      <c r="AA10" s="256">
        <f>SUMIFS('Employee Detail FY23'!$AA$6:$AA$132,'Employee Detail FY23'!$B$6:$B$132,$B10,'Employee Detail FY23'!$C$6:$C$132,$C10,'Employee Detail FY23'!$E$6:$E$132,$E10,'Employee Detail FY23'!$F$6:$F$132,$F10,'Employee Detail FY23'!$G$6:$G$132,$G10)</f>
        <v>0</v>
      </c>
      <c r="AB10" s="62"/>
      <c r="AC10" s="399">
        <f>SUMIFS('Employee Detail FY23'!$AC$6:$AC$132,'Employee Detail FY23'!$B$6:$B$132,$B10,'Employee Detail FY23'!$C$6:$C$132,$C10,'Employee Detail FY23'!$E$6:$E$132,$E10,'Employee Detail FY23'!$F$6:$F$132,$F10,'Employee Detail FY23'!$G$6:$G$132,$G10)</f>
        <v>0</v>
      </c>
      <c r="AD10" s="62">
        <f>SUMIFS('Employee Detail FY23'!$AD$6:$AD$132,'Employee Detail FY23'!$B$6:$B$132,$B10,'Employee Detail FY23'!$C$6:$C$132,$C10,'Employee Detail FY23'!$E$6:$E$132,$E10,'Employee Detail FY23'!$F$6:$F$132,$F10,'Employee Detail FY23'!$G$6:$G$132,$G10)</f>
        <v>0</v>
      </c>
      <c r="AE10" s="62">
        <f>SUMIFS('Employee Detail FY23'!$AE$6:$AE$132,'Employee Detail FY23'!$B$6:$B$132,$B10,'Employee Detail FY23'!$C$6:$C$132,$C10,'Employee Detail FY23'!$E$6:$E$132,$E10,'Employee Detail FY23'!$F$6:$F$132,$F10,'Employee Detail FY23'!$G$6:$G$132,$G10)</f>
        <v>0</v>
      </c>
      <c r="AF10" s="62">
        <f>SUMIFS('Employee Detail FY23'!$AF$6:$AF$132,'Employee Detail FY23'!$B$6:$B$132,$B10,'Employee Detail FY23'!$C$6:$C$132,$C10,'Employee Detail FY23'!$E$6:$E$132,$E10,'Employee Detail FY23'!$F$6:$F$132,$F10,'Employee Detail FY23'!$G$6:$G$132,$G10)</f>
        <v>0</v>
      </c>
      <c r="AG10" s="269">
        <v>0</v>
      </c>
      <c r="AH10" s="62">
        <f>SUMIFS('Employee Detail FY23'!$AH$6:$AH$132,'Employee Detail FY23'!$B$6:$B$132,$B10,'Employee Detail FY23'!$C$6:$C$132,$C10,'Employee Detail FY23'!$E$6:$E$132,$E10,'Employee Detail FY23'!$F$6:$F$132,$F10,'Employee Detail FY23'!$G$6:$G$132,$G10)</f>
        <v>0</v>
      </c>
      <c r="AI10" s="62">
        <f>SUMIFS('Employee Detail FY23'!$AI$6:$AI$132,'Employee Detail FY23'!$B$6:$B$132,$B10,'Employee Detail FY23'!$C$6:$C$132,$C10,'Employee Detail FY23'!$E$6:$E$132,$E10,'Employee Detail FY23'!$F$6:$F$132,$F10,'Employee Detail FY23'!$G$6:$G$132,$G10)</f>
        <v>0</v>
      </c>
      <c r="AJ10" s="62">
        <v>0</v>
      </c>
      <c r="AK10" s="62">
        <v>0</v>
      </c>
      <c r="AL10" s="256">
        <f t="shared" si="10"/>
        <v>0</v>
      </c>
      <c r="AM10" s="256">
        <f t="shared" si="8"/>
        <v>0</v>
      </c>
      <c r="AN10" s="256">
        <f t="shared" si="11"/>
        <v>0</v>
      </c>
    </row>
    <row r="11" spans="1:16152" outlineLevel="1" x14ac:dyDescent="0.2">
      <c r="B11" s="647" t="s">
        <v>135</v>
      </c>
      <c r="C11" s="647" t="s">
        <v>249</v>
      </c>
      <c r="D11" s="647"/>
      <c r="E11" s="647" t="s">
        <v>468</v>
      </c>
      <c r="F11" s="647" t="s">
        <v>461</v>
      </c>
      <c r="G11" s="647" t="s">
        <v>1043</v>
      </c>
      <c r="H11" s="647"/>
      <c r="AA11" s="256">
        <f>SUMIFS('Employee Detail FY23'!$AA$6:$AA$132,'Employee Detail FY23'!$B$6:$B$132,$B11,'Employee Detail FY23'!$C$6:$C$132,$C11,'Employee Detail FY23'!$E$6:$E$132,$E11,'Employee Detail FY23'!$F$6:$F$132,$F11,'Employee Detail FY23'!$G$6:$G$132,$G11)</f>
        <v>24051.34</v>
      </c>
      <c r="AB11" s="62"/>
      <c r="AC11" s="399">
        <f>SUMIFS('Employee Detail FY23'!$AC$6:$AC$132,'Employee Detail FY23'!$B$6:$B$132,$B11,'Employee Detail FY23'!$C$6:$C$132,$C11,'Employee Detail FY23'!$E$6:$E$132,$E11,'Employee Detail FY23'!$F$6:$F$132,$F11,'Employee Detail FY23'!$G$6:$G$132,$G11)</f>
        <v>0</v>
      </c>
      <c r="AD11" s="62">
        <f>SUMIFS('Employee Detail FY23'!$AD$6:$AD$132,'Employee Detail FY23'!$B$6:$B$132,$B11,'Employee Detail FY23'!$C$6:$C$132,$C11,'Employee Detail FY23'!$E$6:$E$132,$E11,'Employee Detail FY23'!$F$6:$F$132,$F11,'Employee Detail FY23'!$G$6:$G$132,$G11)</f>
        <v>1491.18308</v>
      </c>
      <c r="AE11" s="62">
        <f>SUMIFS('Employee Detail FY23'!$AE$6:$AE$132,'Employee Detail FY23'!$B$6:$B$132,$B11,'Employee Detail FY23'!$C$6:$C$132,$C11,'Employee Detail FY23'!$E$6:$E$132,$E11,'Employee Detail FY23'!$F$6:$F$132,$F11,'Employee Detail FY23'!$G$6:$G$132,$G11)</f>
        <v>0</v>
      </c>
      <c r="AF11" s="62">
        <f>SUMIFS('Employee Detail FY23'!$AF$6:$AF$132,'Employee Detail FY23'!$B$6:$B$132,$B11,'Employee Detail FY23'!$C$6:$C$132,$C11,'Employee Detail FY23'!$E$6:$E$132,$E11,'Employee Detail FY23'!$F$6:$F$132,$F11,'Employee Detail FY23'!$G$6:$G$132,$G11)</f>
        <v>348.74443000000002</v>
      </c>
      <c r="AG11" s="269">
        <v>0</v>
      </c>
      <c r="AH11" s="62">
        <f>SUMIFS('Employee Detail FY23'!$AH$6:$AH$132,'Employee Detail FY23'!$B$6:$B$132,$B11,'Employee Detail FY23'!$C$6:$C$132,$C11,'Employee Detail FY23'!$E$6:$E$132,$E11,'Employee Detail FY23'!$F$6:$F$132,$F11,'Employee Detail FY23'!$G$6:$G$132,$G11)</f>
        <v>218.92338050162815</v>
      </c>
      <c r="AI11" s="62">
        <f>SUMIFS('Employee Detail FY23'!$AI$6:$AI$132,'Employee Detail FY23'!$B$6:$B$132,$B11,'Employee Detail FY23'!$C$6:$C$132,$C11,'Employee Detail FY23'!$E$6:$E$132,$E11,'Employee Detail FY23'!$F$6:$F$132,$F11,'Employee Detail FY23'!$G$6:$G$132,$G11)</f>
        <v>70.835975533712741</v>
      </c>
      <c r="AJ11" s="62">
        <v>0</v>
      </c>
      <c r="AK11" s="62">
        <v>0</v>
      </c>
      <c r="AL11" s="256">
        <f t="shared" si="10"/>
        <v>2129.6868660353412</v>
      </c>
      <c r="AM11" s="256">
        <f t="shared" si="8"/>
        <v>24051.34</v>
      </c>
      <c r="AN11" s="256">
        <f t="shared" si="11"/>
        <v>26181.026866035339</v>
      </c>
    </row>
    <row r="12" spans="1:16152" outlineLevel="1" x14ac:dyDescent="0.2">
      <c r="B12" s="647"/>
      <c r="C12" s="647"/>
      <c r="D12" s="647"/>
      <c r="E12" s="647"/>
      <c r="F12" s="647"/>
      <c r="G12" s="647"/>
      <c r="H12" s="647"/>
      <c r="AA12" s="256">
        <f>SUMIFS('Employee Detail FY23'!$AA$6:$AA$132,'Employee Detail FY23'!$B$6:$B$132,$B12,'Employee Detail FY23'!$C$6:$C$132,$C12,'Employee Detail FY23'!$E$6:$E$132,$E12,'Employee Detail FY23'!$F$6:$F$132,$F12,'Employee Detail FY23'!$G$6:$G$132,$G12)</f>
        <v>0</v>
      </c>
      <c r="AB12" s="62"/>
      <c r="AC12" s="62">
        <f>SUMIFS('Employee Detail FY23'!$AC$6:$AC$132,'Employee Detail FY23'!$B$6:$B$132,$B12,'Employee Detail FY23'!$C$6:$C$132,$C12,'Employee Detail FY23'!$E$6:$E$132,$E12,'Employee Detail FY23'!$F$6:$F$132,$F12,'Employee Detail FY23'!$G$6:$G$132,$G12)</f>
        <v>0</v>
      </c>
      <c r="AD12" s="62">
        <f>SUMIFS('Employee Detail FY23'!$AD$6:$AD$132,'Employee Detail FY23'!$B$6:$B$132,$B12,'Employee Detail FY23'!$C$6:$C$132,$C12,'Employee Detail FY23'!$E$6:$E$132,$E12,'Employee Detail FY23'!$F$6:$F$132,$F12,'Employee Detail FY23'!$G$6:$G$132,$G12)</f>
        <v>0</v>
      </c>
      <c r="AE12" s="62">
        <f>SUMIFS('Employee Detail FY23'!$AE$6:$AE$132,'Employee Detail FY23'!$B$6:$B$132,$B12,'Employee Detail FY23'!$C$6:$C$132,$C12,'Employee Detail FY23'!$E$6:$E$132,$E12,'Employee Detail FY23'!$F$6:$F$132,$F12,'Employee Detail FY23'!$G$6:$G$132,$G12)</f>
        <v>0</v>
      </c>
      <c r="AF12" s="62">
        <f>SUMIFS('Employee Detail FY23'!$AF$6:$AF$132,'Employee Detail FY23'!$B$6:$B$132,$B12,'Employee Detail FY23'!$C$6:$C$132,$C12,'Employee Detail FY23'!$E$6:$E$132,$E12,'Employee Detail FY23'!$F$6:$F$132,$F12,'Employee Detail FY23'!$G$6:$G$132,$G12)</f>
        <v>0</v>
      </c>
      <c r="AG12" s="269">
        <v>0</v>
      </c>
      <c r="AH12" s="62">
        <f>SUMIFS('Employee Detail FY23'!$AH$6:$AH$132,'Employee Detail FY23'!$B$6:$B$132,$B12,'Employee Detail FY23'!$C$6:$C$132,$C12,'Employee Detail FY23'!$E$6:$E$132,$E12,'Employee Detail FY23'!$F$6:$F$132,$F12,'Employee Detail FY23'!$G$6:$G$132,$G12)</f>
        <v>0</v>
      </c>
      <c r="AI12" s="62">
        <f>SUMIFS('Employee Detail FY23'!$AI$6:$AI$132,'Employee Detail FY23'!$B$6:$B$132,$B12,'Employee Detail FY23'!$C$6:$C$132,$C12,'Employee Detail FY23'!$E$6:$E$132,$E12,'Employee Detail FY23'!$F$6:$F$132,$F12,'Employee Detail FY23'!$G$6:$G$132,$G12)</f>
        <v>0</v>
      </c>
      <c r="AJ12" s="62">
        <v>0</v>
      </c>
      <c r="AK12" s="62">
        <v>0</v>
      </c>
      <c r="AL12" s="256">
        <f t="shared" si="10"/>
        <v>0</v>
      </c>
      <c r="AM12" s="256">
        <f t="shared" si="8"/>
        <v>0</v>
      </c>
      <c r="AN12" s="256">
        <f t="shared" si="11"/>
        <v>0</v>
      </c>
    </row>
    <row r="13" spans="1:16152" outlineLevel="1" x14ac:dyDescent="0.2">
      <c r="B13" s="647" t="s">
        <v>468</v>
      </c>
      <c r="C13" s="647" t="s">
        <v>145</v>
      </c>
      <c r="D13" s="647"/>
      <c r="E13" s="647" t="s">
        <v>468</v>
      </c>
      <c r="F13" s="647" t="s">
        <v>461</v>
      </c>
      <c r="G13" s="647" t="s">
        <v>163</v>
      </c>
      <c r="H13" s="647"/>
      <c r="AA13" s="256">
        <f>SUMIFS('Employee Detail FY23'!$AA$6:$AA$132,'Employee Detail FY23'!$B$6:$B$132,$B13,'Employee Detail FY23'!$C$6:$C$132,$C13,'Employee Detail FY23'!$E$6:$E$132,$E13,'Employee Detail FY23'!$F$6:$F$132,$F13,'Employee Detail FY23'!$G$6:$G$132,$G13)</f>
        <v>0</v>
      </c>
      <c r="AB13" s="62"/>
      <c r="AC13" s="399">
        <f>SUMIFS('Employee Detail FY23'!$AC$6:$AC$132,'Employee Detail FY23'!$B$6:$B$132,$B13,'Employee Detail FY23'!$C$6:$C$132,$C13,'Employee Detail FY23'!$E$6:$E$132,$E13,'Employee Detail FY23'!$F$6:$F$132,$F13,'Employee Detail FY23'!$G$6:$G$132,$G13)</f>
        <v>0</v>
      </c>
      <c r="AD13" s="62">
        <f>SUMIFS('Employee Detail FY23'!$AD$6:$AD$132,'Employee Detail FY23'!$B$6:$B$132,$B13,'Employee Detail FY23'!$C$6:$C$132,$C13,'Employee Detail FY23'!$E$6:$E$132,$E13,'Employee Detail FY23'!$F$6:$F$132,$F13,'Employee Detail FY23'!$G$6:$G$132,$G13)</f>
        <v>0</v>
      </c>
      <c r="AE13" s="62">
        <f>SUMIFS('Employee Detail FY23'!$AE$6:$AE$132,'Employee Detail FY23'!$B$6:$B$132,$B13,'Employee Detail FY23'!$C$6:$C$132,$C13,'Employee Detail FY23'!$E$6:$E$132,$E13,'Employee Detail FY23'!$F$6:$F$132,$F13,'Employee Detail FY23'!$G$6:$G$132,$G13)</f>
        <v>0</v>
      </c>
      <c r="AF13" s="62">
        <f>SUMIFS('Employee Detail FY23'!$AF$6:$AF$132,'Employee Detail FY23'!$B$6:$B$132,$B13,'Employee Detail FY23'!$C$6:$C$132,$C13,'Employee Detail FY23'!$E$6:$E$132,$E13,'Employee Detail FY23'!$F$6:$F$132,$F13,'Employee Detail FY23'!$G$6:$G$132,$G13)</f>
        <v>0</v>
      </c>
      <c r="AG13" s="269">
        <v>0</v>
      </c>
      <c r="AH13" s="62">
        <f>SUMIFS('Employee Detail FY23'!$AH$6:$AH$132,'Employee Detail FY23'!$B$6:$B$132,$B13,'Employee Detail FY23'!$C$6:$C$132,$C13,'Employee Detail FY23'!$E$6:$E$132,$E13,'Employee Detail FY23'!$F$6:$F$132,$F13,'Employee Detail FY23'!$G$6:$G$132,$G13)</f>
        <v>0</v>
      </c>
      <c r="AI13" s="62">
        <f>SUMIFS('Employee Detail FY23'!$AI$6:$AI$132,'Employee Detail FY23'!$B$6:$B$132,$B13,'Employee Detail FY23'!$C$6:$C$132,$C13,'Employee Detail FY23'!$E$6:$E$132,$E13,'Employee Detail FY23'!$F$6:$F$132,$F13,'Employee Detail FY23'!$G$6:$G$132,$G13)</f>
        <v>0</v>
      </c>
      <c r="AJ13" s="62">
        <v>0</v>
      </c>
      <c r="AK13" s="62">
        <v>0</v>
      </c>
      <c r="AL13" s="256">
        <f t="shared" si="10"/>
        <v>0</v>
      </c>
      <c r="AM13" s="256">
        <f t="shared" si="8"/>
        <v>0</v>
      </c>
      <c r="AN13" s="256">
        <f t="shared" si="11"/>
        <v>0</v>
      </c>
    </row>
    <row r="14" spans="1:16152" outlineLevel="1" x14ac:dyDescent="0.2">
      <c r="B14" s="647"/>
      <c r="C14" s="647"/>
      <c r="D14" s="647"/>
      <c r="E14" s="647"/>
      <c r="F14" s="647"/>
      <c r="G14" s="647"/>
      <c r="H14" s="647"/>
      <c r="AA14" s="256">
        <f>SUMIFS('Employee Detail FY23'!$AA$6:$AA$132,'Employee Detail FY23'!$B$6:$B$132,$B14,'Employee Detail FY23'!$C$6:$C$132,$C14,'Employee Detail FY23'!$E$6:$E$132,$E14,'Employee Detail FY23'!$F$6:$F$132,$F14,'Employee Detail FY23'!$G$6:$G$132,$G14)</f>
        <v>0</v>
      </c>
      <c r="AB14" s="62"/>
      <c r="AC14" s="62">
        <f>SUMIFS('Employee Detail FY23'!$AC$6:$AC$132,'Employee Detail FY23'!$B$6:$B$132,$B14,'Employee Detail FY23'!$C$6:$C$132,$C14,'Employee Detail FY23'!$E$6:$E$132,$E14,'Employee Detail FY23'!$F$6:$F$132,$F14,'Employee Detail FY23'!$G$6:$G$132,$G14)</f>
        <v>0</v>
      </c>
      <c r="AD14" s="62">
        <f>SUMIFS('Employee Detail FY23'!$AD$6:$AD$132,'Employee Detail FY23'!$B$6:$B$132,$B14,'Employee Detail FY23'!$C$6:$C$132,$C14,'Employee Detail FY23'!$E$6:$E$132,$E14,'Employee Detail FY23'!$F$6:$F$132,$F14,'Employee Detail FY23'!$G$6:$G$132,$G14)</f>
        <v>0</v>
      </c>
      <c r="AE14" s="62">
        <f>SUMIFS('Employee Detail FY23'!$AE$6:$AE$132,'Employee Detail FY23'!$B$6:$B$132,$B14,'Employee Detail FY23'!$C$6:$C$132,$C14,'Employee Detail FY23'!$E$6:$E$132,$E14,'Employee Detail FY23'!$F$6:$F$132,$F14,'Employee Detail FY23'!$G$6:$G$132,$G14)</f>
        <v>0</v>
      </c>
      <c r="AF14" s="62">
        <f>SUMIFS('Employee Detail FY23'!$AF$6:$AF$132,'Employee Detail FY23'!$B$6:$B$132,$B14,'Employee Detail FY23'!$C$6:$C$132,$C14,'Employee Detail FY23'!$E$6:$E$132,$E14,'Employee Detail FY23'!$F$6:$F$132,$F14,'Employee Detail FY23'!$G$6:$G$132,$G14)</f>
        <v>0</v>
      </c>
      <c r="AG14" s="269">
        <v>0</v>
      </c>
      <c r="AH14" s="62">
        <f>SUMIFS('Employee Detail FY23'!$AH$6:$AH$132,'Employee Detail FY23'!$B$6:$B$132,$B14,'Employee Detail FY23'!$C$6:$C$132,$C14,'Employee Detail FY23'!$E$6:$E$132,$E14,'Employee Detail FY23'!$F$6:$F$132,$F14,'Employee Detail FY23'!$G$6:$G$132,$G14)</f>
        <v>0</v>
      </c>
      <c r="AI14" s="62">
        <f>SUMIFS('Employee Detail FY23'!$AI$6:$AI$132,'Employee Detail FY23'!$B$6:$B$132,$B14,'Employee Detail FY23'!$C$6:$C$132,$C14,'Employee Detail FY23'!$E$6:$E$132,$E14,'Employee Detail FY23'!$F$6:$F$132,$F14,'Employee Detail FY23'!$G$6:$G$132,$G14)</f>
        <v>0</v>
      </c>
      <c r="AJ14" s="62">
        <v>0</v>
      </c>
      <c r="AK14" s="62">
        <v>0</v>
      </c>
      <c r="AL14" s="256">
        <f t="shared" si="10"/>
        <v>0</v>
      </c>
      <c r="AM14" s="256">
        <f t="shared" si="8"/>
        <v>0</v>
      </c>
      <c r="AN14" s="256">
        <f t="shared" si="11"/>
        <v>0</v>
      </c>
    </row>
    <row r="15" spans="1:16152" outlineLevel="1" x14ac:dyDescent="0.2">
      <c r="B15" s="647" t="s">
        <v>468</v>
      </c>
      <c r="C15" s="647" t="s">
        <v>145</v>
      </c>
      <c r="D15" s="647"/>
      <c r="E15" s="647" t="s">
        <v>689</v>
      </c>
      <c r="F15" s="647" t="s">
        <v>461</v>
      </c>
      <c r="G15" s="647" t="s">
        <v>161</v>
      </c>
      <c r="H15" s="647"/>
      <c r="AA15" s="256">
        <f>SUMIFS('Employee Detail FY23'!$AA$6:$AA$132,'Employee Detail FY23'!$B$6:$B$132,$B15,'Employee Detail FY23'!$C$6:$C$132,$C15,'Employee Detail FY23'!$E$6:$E$132,$E15,'Employee Detail FY23'!$F$6:$F$132,$F15,'Employee Detail FY23'!$G$6:$G$132,$G15)</f>
        <v>0</v>
      </c>
      <c r="AB15" s="62"/>
      <c r="AC15" s="62">
        <f>SUMIFS('Employee Detail FY23'!$AC$6:$AC$132,'Employee Detail FY23'!$B$6:$B$132,$B15,'Employee Detail FY23'!$C$6:$C$132,$C15,'Employee Detail FY23'!$E$6:$E$132,$E15,'Employee Detail FY23'!$F$6:$F$132,$F15,'Employee Detail FY23'!$G$6:$G$132,$G15)</f>
        <v>0</v>
      </c>
      <c r="AD15" s="62">
        <f>SUMIFS('Employee Detail FY23'!$AD$6:$AD$132,'Employee Detail FY23'!$B$6:$B$132,$B15,'Employee Detail FY23'!$C$6:$C$132,$C15,'Employee Detail FY23'!$E$6:$E$132,$E15,'Employee Detail FY23'!$F$6:$F$132,$F15,'Employee Detail FY23'!$G$6:$G$132,$G15)</f>
        <v>0</v>
      </c>
      <c r="AE15" s="62">
        <f>SUMIFS('Employee Detail FY23'!$AE$6:$AE$132,'Employee Detail FY23'!$B$6:$B$132,$B15,'Employee Detail FY23'!$C$6:$C$132,$C15,'Employee Detail FY23'!$E$6:$E$132,$E15,'Employee Detail FY23'!$F$6:$F$132,$F15,'Employee Detail FY23'!$G$6:$G$132,$G15)</f>
        <v>0</v>
      </c>
      <c r="AF15" s="62">
        <f>SUMIFS('Employee Detail FY23'!$AF$6:$AF$132,'Employee Detail FY23'!$B$6:$B$132,$B15,'Employee Detail FY23'!$C$6:$C$132,$C15,'Employee Detail FY23'!$E$6:$E$132,$E15,'Employee Detail FY23'!$F$6:$F$132,$F15,'Employee Detail FY23'!$G$6:$G$132,$G15)</f>
        <v>0</v>
      </c>
      <c r="AG15" s="269">
        <v>0</v>
      </c>
      <c r="AH15" s="62">
        <f>SUMIFS('Employee Detail FY23'!$AH$6:$AH$132,'Employee Detail FY23'!$B$6:$B$132,$B15,'Employee Detail FY23'!$C$6:$C$132,$C15,'Employee Detail FY23'!$E$6:$E$132,$E15,'Employee Detail FY23'!$F$6:$F$132,$F15,'Employee Detail FY23'!$G$6:$G$132,$G15)</f>
        <v>0</v>
      </c>
      <c r="AI15" s="62">
        <f>SUMIFS('Employee Detail FY23'!$AI$6:$AI$132,'Employee Detail FY23'!$B$6:$B$132,$B15,'Employee Detail FY23'!$C$6:$C$132,$C15,'Employee Detail FY23'!$E$6:$E$132,$E15,'Employee Detail FY23'!$F$6:$F$132,$F15,'Employee Detail FY23'!$G$6:$G$132,$G15)</f>
        <v>0</v>
      </c>
      <c r="AJ15" s="62">
        <v>0</v>
      </c>
      <c r="AK15" s="62">
        <v>0</v>
      </c>
      <c r="AL15" s="256">
        <f t="shared" si="10"/>
        <v>0</v>
      </c>
      <c r="AM15" s="256">
        <f t="shared" si="8"/>
        <v>0</v>
      </c>
      <c r="AN15" s="256">
        <f t="shared" si="11"/>
        <v>0</v>
      </c>
    </row>
    <row r="16" spans="1:16152" outlineLevel="1" x14ac:dyDescent="0.2">
      <c r="B16" s="647"/>
      <c r="C16" s="647"/>
      <c r="D16" s="647"/>
      <c r="E16" s="647"/>
      <c r="F16" s="647"/>
      <c r="G16" s="647"/>
      <c r="H16" s="647"/>
      <c r="AA16" s="256">
        <f>SUMIFS('Employee Detail FY23'!$AA$6:$AA$132,'Employee Detail FY23'!$B$6:$B$132,$B16,'Employee Detail FY23'!$C$6:$C$132,$C16,'Employee Detail FY23'!$E$6:$E$132,$E16,'Employee Detail FY23'!$F$6:$F$132,$F16,'Employee Detail FY23'!$G$6:$G$132,$G16)</f>
        <v>0</v>
      </c>
      <c r="AB16" s="62"/>
      <c r="AC16" s="62">
        <f>SUMIFS('Employee Detail FY23'!$AC$6:$AC$132,'Employee Detail FY23'!$B$6:$B$132,$B16,'Employee Detail FY23'!$C$6:$C$132,$C16,'Employee Detail FY23'!$E$6:$E$132,$E16,'Employee Detail FY23'!$F$6:$F$132,$F16,'Employee Detail FY23'!$G$6:$G$132,$G16)</f>
        <v>0</v>
      </c>
      <c r="AD16" s="62">
        <f>SUMIFS('Employee Detail FY23'!$AD$6:$AD$132,'Employee Detail FY23'!$B$6:$B$132,$B16,'Employee Detail FY23'!$C$6:$C$132,$C16,'Employee Detail FY23'!$E$6:$E$132,$E16,'Employee Detail FY23'!$F$6:$F$132,$F16,'Employee Detail FY23'!$G$6:$G$132,$G16)</f>
        <v>0</v>
      </c>
      <c r="AE16" s="62">
        <f>SUMIFS('Employee Detail FY23'!$AE$6:$AE$132,'Employee Detail FY23'!$B$6:$B$132,$B16,'Employee Detail FY23'!$C$6:$C$132,$C16,'Employee Detail FY23'!$E$6:$E$132,$E16,'Employee Detail FY23'!$F$6:$F$132,$F16,'Employee Detail FY23'!$G$6:$G$132,$G16)</f>
        <v>0</v>
      </c>
      <c r="AF16" s="62">
        <f>SUMIFS('Employee Detail FY23'!$AF$6:$AF$132,'Employee Detail FY23'!$B$6:$B$132,$B16,'Employee Detail FY23'!$C$6:$C$132,$C16,'Employee Detail FY23'!$E$6:$E$132,$E16,'Employee Detail FY23'!$F$6:$F$132,$F16,'Employee Detail FY23'!$G$6:$G$132,$G16)</f>
        <v>0</v>
      </c>
      <c r="AG16" s="269">
        <v>0</v>
      </c>
      <c r="AH16" s="62">
        <f>SUMIFS('Employee Detail FY23'!$AH$6:$AH$132,'Employee Detail FY23'!$B$6:$B$132,$B16,'Employee Detail FY23'!$C$6:$C$132,$C16,'Employee Detail FY23'!$E$6:$E$132,$E16,'Employee Detail FY23'!$F$6:$F$132,$F16,'Employee Detail FY23'!$G$6:$G$132,$G16)</f>
        <v>0</v>
      </c>
      <c r="AI16" s="62">
        <f>SUMIFS('Employee Detail FY23'!$AI$6:$AI$132,'Employee Detail FY23'!$B$6:$B$132,$B16,'Employee Detail FY23'!$C$6:$C$132,$C16,'Employee Detail FY23'!$E$6:$E$132,$E16,'Employee Detail FY23'!$F$6:$F$132,$F16,'Employee Detail FY23'!$G$6:$G$132,$G16)</f>
        <v>0</v>
      </c>
      <c r="AJ16" s="62">
        <v>0</v>
      </c>
      <c r="AK16" s="62">
        <v>0</v>
      </c>
      <c r="AL16" s="256">
        <f t="shared" si="10"/>
        <v>0</v>
      </c>
      <c r="AM16" s="256">
        <f t="shared" si="8"/>
        <v>0</v>
      </c>
      <c r="AN16" s="256">
        <f t="shared" si="11"/>
        <v>0</v>
      </c>
    </row>
    <row r="17" spans="2:40" outlineLevel="1" x14ac:dyDescent="0.2">
      <c r="B17" s="647" t="s">
        <v>468</v>
      </c>
      <c r="C17" s="647" t="s">
        <v>145</v>
      </c>
      <c r="D17" s="647"/>
      <c r="E17" s="647" t="s">
        <v>468</v>
      </c>
      <c r="F17" s="647" t="s">
        <v>465</v>
      </c>
      <c r="G17" s="647" t="s">
        <v>167</v>
      </c>
      <c r="H17" s="647"/>
      <c r="AA17" s="256">
        <f>SUMIFS('Employee Detail FY23'!$AA$6:$AA$132,'Employee Detail FY23'!$B$6:$B$132,$B17,'Employee Detail FY23'!$C$6:$C$132,$C17,'Employee Detail FY23'!$E$6:$E$132,$E17,'Employee Detail FY23'!$F$6:$F$132,$F17,'Employee Detail FY23'!$G$6:$G$132,$G17)</f>
        <v>117662.28690000001</v>
      </c>
      <c r="AB17" s="62"/>
      <c r="AC17" s="399">
        <f>SUMIFS('Employee Detail FY23'!$AC$6:$AC$132,'Employee Detail FY23'!$B$6:$B$132,$B17,'Employee Detail FY23'!$C$6:$C$132,$C17,'Employee Detail FY23'!$E$6:$E$132,$E17,'Employee Detail FY23'!$F$6:$F$132,$F17,'Employee Detail FY23'!$G$6:$G$132,$G17)</f>
        <v>15887.52</v>
      </c>
      <c r="AD17" s="62">
        <f>SUMIFS('Employee Detail FY23'!$AD$6:$AD$132,'Employee Detail FY23'!$B$6:$B$132,$B17,'Employee Detail FY23'!$C$6:$C$132,$C17,'Employee Detail FY23'!$E$6:$E$132,$E17,'Employee Detail FY23'!$F$6:$F$132,$F17,'Employee Detail FY23'!$G$6:$G$132,$G17)</f>
        <v>0</v>
      </c>
      <c r="AE17" s="62">
        <f>SUMIFS('Employee Detail FY23'!$AE$6:$AE$132,'Employee Detail FY23'!$B$6:$B$132,$B17,'Employee Detail FY23'!$C$6:$C$132,$C17,'Employee Detail FY23'!$E$6:$E$132,$E17,'Employee Detail FY23'!$F$6:$F$132,$F17,'Employee Detail FY23'!$G$6:$G$132,$G17)</f>
        <v>25267.128352249998</v>
      </c>
      <c r="AF17" s="62">
        <f>SUMIFS('Employee Detail FY23'!$AF$6:$AF$132,'Employee Detail FY23'!$B$6:$B$132,$B17,'Employee Detail FY23'!$C$6:$C$132,$C17,'Employee Detail FY23'!$E$6:$E$132,$E17,'Employee Detail FY23'!$F$6:$F$132,$F17,'Employee Detail FY23'!$G$6:$G$132,$G17)</f>
        <v>1706.10316005</v>
      </c>
      <c r="AG17" s="269">
        <v>0</v>
      </c>
      <c r="AH17" s="62">
        <f>SUMIFS('Employee Detail FY23'!$AH$6:$AH$132,'Employee Detail FY23'!$B$6:$B$132,$B17,'Employee Detail FY23'!$C$6:$C$132,$C17,'Employee Detail FY23'!$E$6:$E$132,$E17,'Employee Detail FY23'!$F$6:$F$132,$F17,'Employee Detail FY23'!$G$6:$G$132,$G17)</f>
        <v>1071.0016824717641</v>
      </c>
      <c r="AI17" s="62">
        <f>SUMIFS('Employee Detail FY23'!$AI$6:$AI$132,'Employee Detail FY23'!$B$6:$B$132,$B17,'Employee Detail FY23'!$C$6:$C$132,$C17,'Employee Detail FY23'!$E$6:$E$132,$E17,'Employee Detail FY23'!$F$6:$F$132,$F17,'Employee Detail FY23'!$G$6:$G$132,$G17)</f>
        <v>346.53881555410589</v>
      </c>
      <c r="AJ17" s="62">
        <v>0</v>
      </c>
      <c r="AK17" s="62">
        <v>0</v>
      </c>
      <c r="AL17" s="256">
        <f t="shared" si="10"/>
        <v>44278.292010325873</v>
      </c>
      <c r="AM17" s="256">
        <f t="shared" si="8"/>
        <v>117662.28690000001</v>
      </c>
      <c r="AN17" s="256">
        <f t="shared" si="11"/>
        <v>161940.57891032589</v>
      </c>
    </row>
    <row r="18" spans="2:40" outlineLevel="1" x14ac:dyDescent="0.2">
      <c r="B18" s="647" t="s">
        <v>135</v>
      </c>
      <c r="C18" s="647" t="s">
        <v>923</v>
      </c>
      <c r="D18" s="647"/>
      <c r="E18" s="647" t="s">
        <v>468</v>
      </c>
      <c r="F18" s="647" t="s">
        <v>465</v>
      </c>
      <c r="G18" s="647" t="s">
        <v>173</v>
      </c>
      <c r="H18" s="647"/>
      <c r="AA18" s="256">
        <f>SUMIFS('Employee Detail FY23'!$AA$6:$AA$132,'Employee Detail FY23'!$B$6:$B$132,$B18,'Employee Detail FY23'!$C$6:$C$132,$C18,'Employee Detail FY23'!$E$6:$E$132,$E18,'Employee Detail FY23'!$F$6:$F$132,$F18,'Employee Detail FY23'!$G$6:$G$132,$G18)</f>
        <v>42590.912000000004</v>
      </c>
      <c r="AB18" s="62"/>
      <c r="AC18" s="399">
        <f>SUMIFS('Employee Detail FY23'!$AC$6:$AC$132,'Employee Detail FY23'!$B$6:$B$132,$B18,'Employee Detail FY23'!$C$6:$C$132,$C18,'Employee Detail FY23'!$E$6:$E$132,$E18,'Employee Detail FY23'!$F$6:$F$132,$F18,'Employee Detail FY23'!$G$6:$G$132,$G18)</f>
        <v>7943.76</v>
      </c>
      <c r="AD18" s="62">
        <f>SUMIFS('Employee Detail FY23'!$AD$6:$AD$132,'Employee Detail FY23'!$B$6:$B$132,$B18,'Employee Detail FY23'!$C$6:$C$132,$C18,'Employee Detail FY23'!$E$6:$E$132,$E18,'Employee Detail FY23'!$F$6:$F$132,$F18,'Employee Detail FY23'!$G$6:$G$132,$G18)</f>
        <v>0</v>
      </c>
      <c r="AE18" s="62">
        <f>SUMIFS('Employee Detail FY23'!$AE$6:$AE$132,'Employee Detail FY23'!$B$6:$B$132,$B18,'Employee Detail FY23'!$C$6:$C$132,$C18,'Employee Detail FY23'!$E$6:$E$132,$E18,'Employee Detail FY23'!$F$6:$F$132,$F18,'Employee Detail FY23'!$G$6:$G$132,$G18)</f>
        <v>12457.841760000001</v>
      </c>
      <c r="AF18" s="62">
        <f>SUMIFS('Employee Detail FY23'!$AF$6:$AF$132,'Employee Detail FY23'!$B$6:$B$132,$B18,'Employee Detail FY23'!$C$6:$C$132,$C18,'Employee Detail FY23'!$E$6:$E$132,$E18,'Employee Detail FY23'!$F$6:$F$132,$F18,'Employee Detail FY23'!$G$6:$G$132,$G18)</f>
        <v>617.5682240000001</v>
      </c>
      <c r="AG18" s="269">
        <v>0</v>
      </c>
      <c r="AH18" s="62">
        <f>SUMIFS('Employee Detail FY23'!$AH$6:$AH$132,'Employee Detail FY23'!$B$6:$B$132,$B18,'Employee Detail FY23'!$C$6:$C$132,$C18,'Employee Detail FY23'!$E$6:$E$132,$E18,'Employee Detail FY23'!$F$6:$F$132,$F18,'Employee Detail FY23'!$G$6:$G$132,$G18)</f>
        <v>387.67679612393158</v>
      </c>
      <c r="AI18" s="62">
        <f>SUMIFS('Employee Detail FY23'!$AI$6:$AI$132,'Employee Detail FY23'!$B$6:$B$132,$B18,'Employee Detail FY23'!$C$6:$C$132,$C18,'Employee Detail FY23'!$E$6:$E$132,$E18,'Employee Detail FY23'!$F$6:$F$132,$F18,'Employee Detail FY23'!$G$6:$G$132,$G18)</f>
        <v>125.43869906585299</v>
      </c>
      <c r="AJ18" s="62">
        <v>0</v>
      </c>
      <c r="AK18" s="62">
        <v>0</v>
      </c>
      <c r="AL18" s="256">
        <f t="shared" si="10"/>
        <v>21532.285479189784</v>
      </c>
      <c r="AM18" s="256">
        <f t="shared" si="8"/>
        <v>42590.912000000004</v>
      </c>
      <c r="AN18" s="256">
        <f t="shared" si="11"/>
        <v>64123.197479189788</v>
      </c>
    </row>
    <row r="19" spans="2:40" outlineLevel="1" x14ac:dyDescent="0.2">
      <c r="B19" s="647" t="s">
        <v>135</v>
      </c>
      <c r="C19" s="647" t="s">
        <v>923</v>
      </c>
      <c r="D19" s="647"/>
      <c r="E19" s="647" t="s">
        <v>468</v>
      </c>
      <c r="F19" s="647" t="s">
        <v>465</v>
      </c>
      <c r="G19" s="647" t="s">
        <v>167</v>
      </c>
      <c r="H19" s="647"/>
      <c r="AA19" s="256">
        <f>SUMIFS('Employee Detail FY23'!$AA$6:$AA$132,'Employee Detail FY23'!$B$6:$B$132,$B19,'Employee Detail FY23'!$C$6:$C$132,$C19,'Employee Detail FY23'!$E$6:$E$132,$E19,'Employee Detail FY23'!$F$6:$F$132,$F19,'Employee Detail FY23'!$G$6:$G$132,$G19)</f>
        <v>68563.522340320007</v>
      </c>
      <c r="AB19" s="62"/>
      <c r="AC19" s="399">
        <f>SUMIFS('Employee Detail FY23'!$AC$6:$AC$132,'Employee Detail FY23'!$B$6:$B$132,$B19,'Employee Detail FY23'!$C$6:$C$132,$C19,'Employee Detail FY23'!$E$6:$E$132,$E19,'Employee Detail FY23'!$F$6:$F$132,$F19,'Employee Detail FY23'!$G$6:$G$132,$G19)</f>
        <v>7943.76</v>
      </c>
      <c r="AD19" s="62">
        <f>SUMIFS('Employee Detail FY23'!$AD$6:$AD$132,'Employee Detail FY23'!$B$6:$B$132,$B19,'Employee Detail FY23'!$C$6:$C$132,$C19,'Employee Detail FY23'!$E$6:$E$132,$E19,'Employee Detail FY23'!$F$6:$F$132,$F19,'Employee Detail FY23'!$G$6:$G$132,$G19)</f>
        <v>0</v>
      </c>
      <c r="AE19" s="62">
        <f>SUMIFS('Employee Detail FY23'!$AE$6:$AE$132,'Employee Detail FY23'!$B$6:$B$132,$B19,'Employee Detail FY23'!$C$6:$C$132,$C19,'Employee Detail FY23'!$E$6:$E$132,$E19,'Employee Detail FY23'!$F$6:$F$132,$F19,'Employee Detail FY23'!$G$6:$G$132,$G19)</f>
        <v>10455.937156898801</v>
      </c>
      <c r="AF19" s="62">
        <f>SUMIFS('Employee Detail FY23'!$AF$6:$AF$132,'Employee Detail FY23'!$B$6:$B$132,$B19,'Employee Detail FY23'!$C$6:$C$132,$C19,'Employee Detail FY23'!$E$6:$E$132,$E19,'Employee Detail FY23'!$F$6:$F$132,$F19,'Employee Detail FY23'!$G$6:$G$132,$G19)</f>
        <v>994.17107393464016</v>
      </c>
      <c r="AG19" s="269">
        <v>0</v>
      </c>
      <c r="AH19" s="62">
        <f>SUMIFS('Employee Detail FY23'!$AH$6:$AH$132,'Employee Detail FY23'!$B$6:$B$132,$B19,'Employee Detail FY23'!$C$6:$C$132,$C19,'Employee Detail FY23'!$E$6:$E$132,$E19,'Employee Detail FY23'!$F$6:$F$132,$F19,'Employee Detail FY23'!$G$6:$G$132,$G19)</f>
        <v>624.08822501539453</v>
      </c>
      <c r="AI19" s="62">
        <f>SUMIFS('Employee Detail FY23'!$AI$6:$AI$132,'Employee Detail FY23'!$B$6:$B$132,$B19,'Employee Detail FY23'!$C$6:$C$132,$C19,'Employee Detail FY23'!$E$6:$E$132,$E19,'Employee Detail FY23'!$F$6:$F$132,$F19,'Employee Detail FY23'!$G$6:$G$132,$G19)</f>
        <v>201.93319752679372</v>
      </c>
      <c r="AJ19" s="62">
        <v>0</v>
      </c>
      <c r="AK19" s="62">
        <v>0</v>
      </c>
      <c r="AL19" s="256">
        <f t="shared" si="10"/>
        <v>20219.889653375631</v>
      </c>
      <c r="AM19" s="256">
        <f t="shared" si="8"/>
        <v>68563.522340320007</v>
      </c>
      <c r="AN19" s="256">
        <f t="shared" si="11"/>
        <v>88783.411993695641</v>
      </c>
    </row>
    <row r="20" spans="2:40" outlineLevel="1" x14ac:dyDescent="0.2">
      <c r="B20" s="647" t="s">
        <v>135</v>
      </c>
      <c r="C20" s="647" t="s">
        <v>1030</v>
      </c>
      <c r="D20" s="647"/>
      <c r="E20" s="647" t="s">
        <v>468</v>
      </c>
      <c r="F20" s="647" t="s">
        <v>465</v>
      </c>
      <c r="G20" s="647" t="s">
        <v>167</v>
      </c>
      <c r="H20" s="647"/>
      <c r="AA20" s="256">
        <f>SUMIFS('Employee Detail FY23'!$AA$6:$AA$132,'Employee Detail FY23'!$B$6:$B$132,$B20,'Employee Detail FY23'!$C$6:$C$132,$C20,'Employee Detail FY23'!$E$6:$E$132,$E20,'Employee Detail FY23'!$F$6:$F$132,$F20,'Employee Detail FY23'!$G$6:$G$132,$G20)</f>
        <v>112782.14642002</v>
      </c>
      <c r="AB20" s="62"/>
      <c r="AC20" s="399">
        <f>SUMIFS('Employee Detail FY23'!$AC$6:$AC$132,'Employee Detail FY23'!$B$6:$B$132,$B20,'Employee Detail FY23'!$C$6:$C$132,$C20,'Employee Detail FY23'!$E$6:$E$132,$E20,'Employee Detail FY23'!$F$6:$F$132,$F20,'Employee Detail FY23'!$G$6:$G$132,$G20)</f>
        <v>15887.52</v>
      </c>
      <c r="AD20" s="62">
        <f>SUMIFS('Employee Detail FY23'!$AD$6:$AD$132,'Employee Detail FY23'!$B$6:$B$132,$B20,'Employee Detail FY23'!$C$6:$C$132,$C20,'Employee Detail FY23'!$E$6:$E$132,$E20,'Employee Detail FY23'!$F$6:$F$132,$F20,'Employee Detail FY23'!$G$6:$G$132,$G20)</f>
        <v>0</v>
      </c>
      <c r="AE20" s="62">
        <f>SUMIFS('Employee Detail FY23'!$AE$6:$AE$132,'Employee Detail FY23'!$B$6:$B$132,$B20,'Employee Detail FY23'!$C$6:$C$132,$C20,'Employee Detail FY23'!$E$6:$E$132,$E20,'Employee Detail FY23'!$F$6:$F$132,$F20,'Employee Detail FY23'!$G$6:$G$132,$G20)</f>
        <v>17199.277329053049</v>
      </c>
      <c r="AF20" s="62">
        <f>SUMIFS('Employee Detail FY23'!$AF$6:$AF$132,'Employee Detail FY23'!$B$6:$B$132,$B20,'Employee Detail FY23'!$C$6:$C$132,$C20,'Employee Detail FY23'!$E$6:$E$132,$E20,'Employee Detail FY23'!$F$6:$F$132,$F20,'Employee Detail FY23'!$G$6:$G$132,$G20)</f>
        <v>1635.3411230902902</v>
      </c>
      <c r="AG20" s="269">
        <v>0</v>
      </c>
      <c r="AH20" s="62">
        <f>SUMIFS('Employee Detail FY23'!$AH$6:$AH$132,'Employee Detail FY23'!$B$6:$B$132,$B20,'Employee Detail FY23'!$C$6:$C$132,$C20,'Employee Detail FY23'!$E$6:$E$132,$E20,'Employee Detail FY23'!$F$6:$F$132,$F20,'Employee Detail FY23'!$G$6:$G$132,$G20)</f>
        <v>1026.5810035740369</v>
      </c>
      <c r="AI20" s="62">
        <f>SUMIFS('Employee Detail FY23'!$AI$6:$AI$132,'Employee Detail FY23'!$B$6:$B$132,$B20,'Employee Detail FY23'!$C$6:$C$132,$C20,'Employee Detail FY23'!$E$6:$E$132,$E20,'Employee Detail FY23'!$F$6:$F$132,$F20,'Employee Detail FY23'!$G$6:$G$132,$G20)</f>
        <v>332.16583210948511</v>
      </c>
      <c r="AJ20" s="62">
        <v>0</v>
      </c>
      <c r="AK20" s="62">
        <v>0</v>
      </c>
      <c r="AL20" s="256">
        <f t="shared" si="10"/>
        <v>36080.885287826866</v>
      </c>
      <c r="AM20" s="256">
        <f t="shared" si="8"/>
        <v>112782.14642002</v>
      </c>
      <c r="AN20" s="256">
        <f t="shared" si="11"/>
        <v>148863.03170784685</v>
      </c>
    </row>
    <row r="21" spans="2:40" outlineLevel="1" x14ac:dyDescent="0.2">
      <c r="B21" s="647" t="s">
        <v>468</v>
      </c>
      <c r="C21" s="647" t="s">
        <v>145</v>
      </c>
      <c r="D21" s="647"/>
      <c r="E21" s="647" t="s">
        <v>468</v>
      </c>
      <c r="F21" s="647" t="s">
        <v>556</v>
      </c>
      <c r="G21" s="647" t="s">
        <v>167</v>
      </c>
      <c r="H21" s="647"/>
      <c r="AA21" s="256">
        <f>SUMIFS('Employee Detail FY23'!$AA$6:$AA$132,'Employee Detail FY23'!$B$6:$B$132,$B21,'Employee Detail FY23'!$C$6:$C$132,$C21,'Employee Detail FY23'!$E$6:$E$132,$E21,'Employee Detail FY23'!$F$6:$F$132,$F21,'Employee Detail FY23'!$G$6:$G$132,$G21)</f>
        <v>148096.44781119999</v>
      </c>
      <c r="AB21" s="62"/>
      <c r="AC21" s="399">
        <f>SUMIFS('Employee Detail FY23'!$AC$6:$AC$132,'Employee Detail FY23'!$B$6:$B$132,$B21,'Employee Detail FY23'!$C$6:$C$132,$C21,'Employee Detail FY23'!$E$6:$E$132,$E21,'Employee Detail FY23'!$F$6:$F$132,$F21,'Employee Detail FY23'!$G$6:$G$132,$G21)</f>
        <v>15887.52</v>
      </c>
      <c r="AD21" s="62">
        <f>SUMIFS('Employee Detail FY23'!$AD$6:$AD$132,'Employee Detail FY23'!$B$6:$B$132,$B21,'Employee Detail FY23'!$C$6:$C$132,$C21,'Employee Detail FY23'!$E$6:$E$132,$E21,'Employee Detail FY23'!$F$6:$F$132,$F21,'Employee Detail FY23'!$G$6:$G$132,$G21)</f>
        <v>0</v>
      </c>
      <c r="AE21" s="62">
        <f>SUMIFS('Employee Detail FY23'!$AE$6:$AE$132,'Employee Detail FY23'!$B$6:$B$132,$B21,'Employee Detail FY23'!$C$6:$C$132,$C21,'Employee Detail FY23'!$E$6:$E$132,$E21,'Employee Detail FY23'!$F$6:$F$132,$F21,'Employee Detail FY23'!$G$6:$G$132,$G21)</f>
        <v>22584.708291207997</v>
      </c>
      <c r="AF21" s="62">
        <f>SUMIFS('Employee Detail FY23'!$AF$6:$AF$132,'Employee Detail FY23'!$B$6:$B$132,$B21,'Employee Detail FY23'!$C$6:$C$132,$C21,'Employee Detail FY23'!$E$6:$E$132,$E21,'Employee Detail FY23'!$F$6:$F$132,$F21,'Employee Detail FY23'!$G$6:$G$132,$G21)</f>
        <v>2147.3984932623998</v>
      </c>
      <c r="AG21" s="269">
        <v>0</v>
      </c>
      <c r="AH21" s="62">
        <f>SUMIFS('Employee Detail FY23'!$AH$6:$AH$132,'Employee Detail FY23'!$B$6:$B$132,$B21,'Employee Detail FY23'!$C$6:$C$132,$C21,'Employee Detail FY23'!$E$6:$E$132,$E21,'Employee Detail FY23'!$F$6:$F$132,$F21,'Employee Detail FY23'!$G$6:$G$132,$G21)</f>
        <v>1348.0236442173639</v>
      </c>
      <c r="AI21" s="62">
        <f>SUMIFS('Employee Detail FY23'!$AI$6:$AI$132,'Employee Detail FY23'!$B$6:$B$132,$B21,'Employee Detail FY23'!$C$6:$C$132,$C21,'Employee Detail FY23'!$E$6:$E$132,$E21,'Employee Detail FY23'!$F$6:$F$132,$F21,'Employee Detail FY23'!$G$6:$G$132,$G21)</f>
        <v>436.17346699950724</v>
      </c>
      <c r="AJ21" s="62">
        <v>0</v>
      </c>
      <c r="AK21" s="62">
        <v>0</v>
      </c>
      <c r="AL21" s="256">
        <f t="shared" si="10"/>
        <v>42403.823895687266</v>
      </c>
      <c r="AM21" s="256">
        <f t="shared" si="8"/>
        <v>148096.44781119999</v>
      </c>
      <c r="AN21" s="256">
        <f t="shared" si="11"/>
        <v>190500.27170688726</v>
      </c>
    </row>
    <row r="22" spans="2:40" outlineLevel="1" x14ac:dyDescent="0.2">
      <c r="B22" s="647"/>
      <c r="C22" s="647"/>
      <c r="D22" s="647"/>
      <c r="E22" s="647"/>
      <c r="F22" s="647"/>
      <c r="G22" s="647"/>
      <c r="H22" s="647"/>
      <c r="AA22" s="256">
        <f>SUMIFS('Employee Detail FY23'!$AA$6:$AA$132,'Employee Detail FY23'!$B$6:$B$132,$B22,'Employee Detail FY23'!$C$6:$C$132,$C22,'Employee Detail FY23'!$E$6:$E$132,$E22,'Employee Detail FY23'!$F$6:$F$132,$F22,'Employee Detail FY23'!$G$6:$G$132,$G22)</f>
        <v>0</v>
      </c>
      <c r="AB22" s="62"/>
      <c r="AC22" s="62">
        <f>SUMIFS('Employee Detail FY23'!$AC$6:$AC$132,'Employee Detail FY23'!$B$6:$B$132,$B22,'Employee Detail FY23'!$C$6:$C$132,$C22,'Employee Detail FY23'!$E$6:$E$132,$E22,'Employee Detail FY23'!$F$6:$F$132,$F22,'Employee Detail FY23'!$G$6:$G$132,$G22)</f>
        <v>0</v>
      </c>
      <c r="AD22" s="62">
        <f>SUMIFS('Employee Detail FY23'!$AD$6:$AD$132,'Employee Detail FY23'!$B$6:$B$132,$B22,'Employee Detail FY23'!$C$6:$C$132,$C22,'Employee Detail FY23'!$E$6:$E$132,$E22,'Employee Detail FY23'!$F$6:$F$132,$F22,'Employee Detail FY23'!$G$6:$G$132,$G22)</f>
        <v>0</v>
      </c>
      <c r="AE22" s="62">
        <f>SUMIFS('Employee Detail FY23'!$AE$6:$AE$132,'Employee Detail FY23'!$B$6:$B$132,$B22,'Employee Detail FY23'!$C$6:$C$132,$C22,'Employee Detail FY23'!$E$6:$E$132,$E22,'Employee Detail FY23'!$F$6:$F$132,$F22,'Employee Detail FY23'!$G$6:$G$132,$G22)</f>
        <v>0</v>
      </c>
      <c r="AF22" s="62">
        <f>SUMIFS('Employee Detail FY23'!$AF$6:$AF$132,'Employee Detail FY23'!$B$6:$B$132,$B22,'Employee Detail FY23'!$C$6:$C$132,$C22,'Employee Detail FY23'!$E$6:$E$132,$E22,'Employee Detail FY23'!$F$6:$F$132,$F22,'Employee Detail FY23'!$G$6:$G$132,$G22)</f>
        <v>0</v>
      </c>
      <c r="AG22" s="269">
        <v>0</v>
      </c>
      <c r="AH22" s="62">
        <f>SUMIFS('Employee Detail FY23'!$AH$6:$AH$132,'Employee Detail FY23'!$B$6:$B$132,$B22,'Employee Detail FY23'!$C$6:$C$132,$C22,'Employee Detail FY23'!$E$6:$E$132,$E22,'Employee Detail FY23'!$F$6:$F$132,$F22,'Employee Detail FY23'!$G$6:$G$132,$G22)</f>
        <v>0</v>
      </c>
      <c r="AI22" s="62">
        <f>SUMIFS('Employee Detail FY23'!$AI$6:$AI$132,'Employee Detail FY23'!$B$6:$B$132,$B22,'Employee Detail FY23'!$C$6:$C$132,$C22,'Employee Detail FY23'!$E$6:$E$132,$E22,'Employee Detail FY23'!$F$6:$F$132,$F22,'Employee Detail FY23'!$G$6:$G$132,$G22)</f>
        <v>0</v>
      </c>
      <c r="AJ22" s="62">
        <v>0</v>
      </c>
      <c r="AK22" s="62">
        <v>0</v>
      </c>
      <c r="AL22" s="256">
        <f t="shared" si="10"/>
        <v>0</v>
      </c>
      <c r="AM22" s="256">
        <f t="shared" si="8"/>
        <v>0</v>
      </c>
      <c r="AN22" s="256">
        <f t="shared" si="11"/>
        <v>0</v>
      </c>
    </row>
    <row r="23" spans="2:40" outlineLevel="1" x14ac:dyDescent="0.2">
      <c r="B23" s="647" t="s">
        <v>468</v>
      </c>
      <c r="C23" s="647" t="s">
        <v>145</v>
      </c>
      <c r="D23" s="647"/>
      <c r="E23" s="647" t="s">
        <v>468</v>
      </c>
      <c r="F23" s="647" t="s">
        <v>558</v>
      </c>
      <c r="G23" s="647" t="s">
        <v>173</v>
      </c>
      <c r="H23" s="647"/>
      <c r="AA23" s="256">
        <f>SUMIFS('Employee Detail FY23'!$AA$6:$AA$132,'Employee Detail FY23'!$B$6:$B$132,$B23,'Employee Detail FY23'!$C$6:$C$132,$C23,'Employee Detail FY23'!$E$6:$E$132,$E23,'Employee Detail FY23'!$F$6:$F$132,$F23,'Employee Detail FY23'!$G$6:$G$132,$G23)</f>
        <v>50617.046507999999</v>
      </c>
      <c r="AB23" s="62"/>
      <c r="AC23" s="399">
        <f>SUMIFS('Employee Detail FY23'!$AC$6:$AC$132,'Employee Detail FY23'!$B$6:$B$132,$B23,'Employee Detail FY23'!$C$6:$C$132,$C23,'Employee Detail FY23'!$E$6:$E$132,$E23,'Employee Detail FY23'!$F$6:$F$132,$F23,'Employee Detail FY23'!$G$6:$G$132,$G23)</f>
        <v>7943.76</v>
      </c>
      <c r="AD23" s="62">
        <f>SUMIFS('Employee Detail FY23'!$AD$6:$AD$132,'Employee Detail FY23'!$B$6:$B$132,$B23,'Employee Detail FY23'!$C$6:$C$132,$C23,'Employee Detail FY23'!$E$6:$E$132,$E23,'Employee Detail FY23'!$F$6:$F$132,$F23,'Employee Detail FY23'!$G$6:$G$132,$G23)</f>
        <v>0</v>
      </c>
      <c r="AE23" s="62">
        <f>SUMIFS('Employee Detail FY23'!$AE$6:$AE$132,'Employee Detail FY23'!$B$6:$B$132,$B23,'Employee Detail FY23'!$C$6:$C$132,$C23,'Employee Detail FY23'!$E$6:$E$132,$E23,'Employee Detail FY23'!$F$6:$F$132,$F23,'Employee Detail FY23'!$G$6:$G$132,$G23)</f>
        <v>7719.0995924700001</v>
      </c>
      <c r="AF23" s="62">
        <f>SUMIFS('Employee Detail FY23'!$AF$6:$AF$132,'Employee Detail FY23'!$B$6:$B$132,$B23,'Employee Detail FY23'!$C$6:$C$132,$C23,'Employee Detail FY23'!$E$6:$E$132,$E23,'Employee Detail FY23'!$F$6:$F$132,$F23,'Employee Detail FY23'!$G$6:$G$132,$G23)</f>
        <v>733.94717436600001</v>
      </c>
      <c r="AG23" s="269">
        <v>0</v>
      </c>
      <c r="AH23" s="62">
        <f>SUMIFS('Employee Detail FY23'!$AH$6:$AH$132,'Employee Detail FY23'!$B$6:$B$132,$B23,'Employee Detail FY23'!$C$6:$C$132,$C23,'Employee Detail FY23'!$E$6:$E$132,$E23,'Employee Detail FY23'!$F$6:$F$132,$F23,'Employee Detail FY23'!$G$6:$G$132,$G23)</f>
        <v>460.73337005503612</v>
      </c>
      <c r="AI23" s="62">
        <f>SUMIFS('Employee Detail FY23'!$AI$6:$AI$132,'Employee Detail FY23'!$B$6:$B$132,$B23,'Employee Detail FY23'!$C$6:$C$132,$C23,'Employee Detail FY23'!$E$6:$E$132,$E23,'Employee Detail FY23'!$F$6:$F$132,$F23,'Employee Detail FY23'!$G$6:$G$132,$G23)</f>
        <v>149.07726006241182</v>
      </c>
      <c r="AJ23" s="62">
        <v>0</v>
      </c>
      <c r="AK23" s="62">
        <v>0</v>
      </c>
      <c r="AL23" s="256">
        <f t="shared" si="10"/>
        <v>17006.61739695345</v>
      </c>
      <c r="AM23" s="256">
        <f t="shared" si="8"/>
        <v>50617.046507999999</v>
      </c>
      <c r="AN23" s="256">
        <f t="shared" si="11"/>
        <v>67623.663904953457</v>
      </c>
    </row>
    <row r="24" spans="2:40" outlineLevel="1" x14ac:dyDescent="0.2">
      <c r="B24" s="647"/>
      <c r="C24" s="647"/>
      <c r="D24" s="647"/>
      <c r="E24" s="647"/>
      <c r="F24" s="647"/>
      <c r="G24" s="647"/>
      <c r="H24" s="647"/>
      <c r="AA24" s="256">
        <f>SUMIFS('Employee Detail FY23'!$AA$6:$AA$132,'Employee Detail FY23'!$B$6:$B$132,$B24,'Employee Detail FY23'!$C$6:$C$132,$C24,'Employee Detail FY23'!$E$6:$E$132,$E24,'Employee Detail FY23'!$F$6:$F$132,$F24,'Employee Detail FY23'!$G$6:$G$132,$G24)</f>
        <v>0</v>
      </c>
      <c r="AB24" s="62"/>
      <c r="AC24" s="62">
        <f>SUMIFS('Employee Detail FY23'!$AC$6:$AC$132,'Employee Detail FY23'!$B$6:$B$132,$B24,'Employee Detail FY23'!$C$6:$C$132,$C24,'Employee Detail FY23'!$E$6:$E$132,$E24,'Employee Detail FY23'!$F$6:$F$132,$F24,'Employee Detail FY23'!$G$6:$G$132,$G24)</f>
        <v>0</v>
      </c>
      <c r="AD24" s="62">
        <f>SUMIFS('Employee Detail FY23'!$AD$6:$AD$132,'Employee Detail FY23'!$B$6:$B$132,$B24,'Employee Detail FY23'!$C$6:$C$132,$C24,'Employee Detail FY23'!$E$6:$E$132,$E24,'Employee Detail FY23'!$F$6:$F$132,$F24,'Employee Detail FY23'!$G$6:$G$132,$G24)</f>
        <v>0</v>
      </c>
      <c r="AE24" s="62">
        <f>SUMIFS('Employee Detail FY23'!$AE$6:$AE$132,'Employee Detail FY23'!$B$6:$B$132,$B24,'Employee Detail FY23'!$C$6:$C$132,$C24,'Employee Detail FY23'!$E$6:$E$132,$E24,'Employee Detail FY23'!$F$6:$F$132,$F24,'Employee Detail FY23'!$G$6:$G$132,$G24)</f>
        <v>0</v>
      </c>
      <c r="AF24" s="62">
        <f>SUMIFS('Employee Detail FY23'!$AF$6:$AF$132,'Employee Detail FY23'!$B$6:$B$132,$B24,'Employee Detail FY23'!$C$6:$C$132,$C24,'Employee Detail FY23'!$E$6:$E$132,$E24,'Employee Detail FY23'!$F$6:$F$132,$F24,'Employee Detail FY23'!$G$6:$G$132,$G24)</f>
        <v>0</v>
      </c>
      <c r="AG24" s="269">
        <v>0</v>
      </c>
      <c r="AH24" s="62">
        <f>SUMIFS('Employee Detail FY23'!$AH$6:$AH$132,'Employee Detail FY23'!$B$6:$B$132,$B24,'Employee Detail FY23'!$C$6:$C$132,$C24,'Employee Detail FY23'!$E$6:$E$132,$E24,'Employee Detail FY23'!$F$6:$F$132,$F24,'Employee Detail FY23'!$G$6:$G$132,$G24)</f>
        <v>0</v>
      </c>
      <c r="AI24" s="62">
        <f>SUMIFS('Employee Detail FY23'!$AI$6:$AI$132,'Employee Detail FY23'!$B$6:$B$132,$B24,'Employee Detail FY23'!$C$6:$C$132,$C24,'Employee Detail FY23'!$E$6:$E$132,$E24,'Employee Detail FY23'!$F$6:$F$132,$F24,'Employee Detail FY23'!$G$6:$G$132,$G24)</f>
        <v>0</v>
      </c>
      <c r="AJ24" s="62">
        <v>0</v>
      </c>
      <c r="AK24" s="62">
        <v>0</v>
      </c>
      <c r="AL24" s="256">
        <f t="shared" si="10"/>
        <v>0</v>
      </c>
      <c r="AM24" s="256">
        <f t="shared" si="8"/>
        <v>0</v>
      </c>
      <c r="AN24" s="256">
        <f t="shared" si="11"/>
        <v>0</v>
      </c>
    </row>
    <row r="25" spans="2:40" outlineLevel="1" x14ac:dyDescent="0.2">
      <c r="B25" s="647" t="s">
        <v>468</v>
      </c>
      <c r="C25" s="647" t="s">
        <v>145</v>
      </c>
      <c r="D25" s="647"/>
      <c r="E25" s="647" t="s">
        <v>468</v>
      </c>
      <c r="F25" s="647" t="s">
        <v>464</v>
      </c>
      <c r="G25" s="647" t="s">
        <v>165</v>
      </c>
      <c r="H25" s="647"/>
      <c r="AA25" s="256">
        <f>SUMIFS('Employee Detail FY23'!$AA$6:$AA$132,'Employee Detail FY23'!$B$6:$B$132,$B25,'Employee Detail FY23'!$C$6:$C$132,$C25,'Employee Detail FY23'!$E$6:$E$132,$E25,'Employee Detail FY23'!$F$6:$F$132,$F25,'Employee Detail FY23'!$G$6:$G$132,$G25)</f>
        <v>265740</v>
      </c>
      <c r="AB25" s="62"/>
      <c r="AC25" s="399">
        <f>SUMIFS('Employee Detail FY23'!$AC$6:$AC$132,'Employee Detail FY23'!$B$6:$B$132,$B25,'Employee Detail FY23'!$C$6:$C$132,$C25,'Employee Detail FY23'!$E$6:$E$132,$E25,'Employee Detail FY23'!$F$6:$F$132,$F25,'Employee Detail FY23'!$G$6:$G$132,$G25)</f>
        <v>15887.52</v>
      </c>
      <c r="AD25" s="62">
        <f>SUMIFS('Employee Detail FY23'!$AD$6:$AD$132,'Employee Detail FY23'!$B$6:$B$132,$B25,'Employee Detail FY23'!$C$6:$C$132,$C25,'Employee Detail FY23'!$E$6:$E$132,$E25,'Employee Detail FY23'!$F$6:$F$132,$F25,'Employee Detail FY23'!$G$6:$G$132,$G25)</f>
        <v>0</v>
      </c>
      <c r="AE25" s="62">
        <f>SUMIFS('Employee Detail FY23'!$AE$6:$AE$132,'Employee Detail FY23'!$B$6:$B$132,$B25,'Employee Detail FY23'!$C$6:$C$132,$C25,'Employee Detail FY23'!$E$6:$E$132,$E25,'Employee Detail FY23'!$F$6:$F$132,$F25,'Employee Detail FY23'!$G$6:$G$132,$G25)</f>
        <v>77728.95</v>
      </c>
      <c r="AF25" s="62">
        <f>SUMIFS('Employee Detail FY23'!$AF$6:$AF$132,'Employee Detail FY23'!$B$6:$B$132,$B25,'Employee Detail FY23'!$C$6:$C$132,$C25,'Employee Detail FY23'!$E$6:$E$132,$E25,'Employee Detail FY23'!$F$6:$F$132,$F25,'Employee Detail FY23'!$G$6:$G$132,$G25)</f>
        <v>3853.2300000000005</v>
      </c>
      <c r="AG25" s="269">
        <v>0</v>
      </c>
      <c r="AH25" s="62">
        <f>SUMIFS('Employee Detail FY23'!$AH$6:$AH$132,'Employee Detail FY23'!$B$6:$B$132,$B25,'Employee Detail FY23'!$C$6:$C$132,$C25,'Employee Detail FY23'!$E$6:$E$132,$E25,'Employee Detail FY23'!$F$6:$F$132,$F25,'Employee Detail FY23'!$G$6:$G$132,$G25)</f>
        <v>2418.8547970509198</v>
      </c>
      <c r="AI25" s="62">
        <f>SUMIFS('Employee Detail FY23'!$AI$6:$AI$132,'Employee Detail FY23'!$B$6:$B$132,$B25,'Employee Detail FY23'!$C$6:$C$132,$C25,'Employee Detail FY23'!$E$6:$E$132,$E25,'Employee Detail FY23'!$F$6:$F$132,$F25,'Employee Detail FY23'!$G$6:$G$132,$G25)</f>
        <v>782.65710510636097</v>
      </c>
      <c r="AJ25" s="62">
        <v>0</v>
      </c>
      <c r="AK25" s="62">
        <v>0</v>
      </c>
      <c r="AL25" s="256">
        <f t="shared" si="10"/>
        <v>100671.21190215729</v>
      </c>
      <c r="AM25" s="256">
        <f t="shared" si="8"/>
        <v>265740</v>
      </c>
      <c r="AN25" s="256">
        <f t="shared" si="11"/>
        <v>366411.21190215729</v>
      </c>
    </row>
    <row r="26" spans="2:40" outlineLevel="1" x14ac:dyDescent="0.2">
      <c r="B26" s="647"/>
      <c r="C26" s="647"/>
      <c r="D26" s="647"/>
      <c r="E26" s="647"/>
      <c r="F26" s="647"/>
      <c r="G26" s="647"/>
      <c r="H26" s="647"/>
      <c r="AA26" s="256">
        <f>SUMIFS('Employee Detail FY23'!$AA$6:$AA$132,'Employee Detail FY23'!$B$6:$B$132,$B26,'Employee Detail FY23'!$C$6:$C$132,$C26,'Employee Detail FY23'!$E$6:$E$132,$E26,'Employee Detail FY23'!$F$6:$F$132,$F26,'Employee Detail FY23'!$G$6:$G$132,$G26)</f>
        <v>0</v>
      </c>
      <c r="AB26" s="62"/>
      <c r="AC26" s="62">
        <f>SUMIFS('Employee Detail FY23'!$AC$6:$AC$132,'Employee Detail FY23'!$B$6:$B$132,$B26,'Employee Detail FY23'!$C$6:$C$132,$C26,'Employee Detail FY23'!$E$6:$E$132,$E26,'Employee Detail FY23'!$F$6:$F$132,$F26,'Employee Detail FY23'!$G$6:$G$132,$G26)</f>
        <v>0</v>
      </c>
      <c r="AD26" s="62">
        <f>SUMIFS('Employee Detail FY23'!$AD$6:$AD$132,'Employee Detail FY23'!$B$6:$B$132,$B26,'Employee Detail FY23'!$C$6:$C$132,$C26,'Employee Detail FY23'!$E$6:$E$132,$E26,'Employee Detail FY23'!$F$6:$F$132,$F26,'Employee Detail FY23'!$G$6:$G$132,$G26)</f>
        <v>0</v>
      </c>
      <c r="AE26" s="62">
        <f>SUMIFS('Employee Detail FY23'!$AE$6:$AE$132,'Employee Detail FY23'!$B$6:$B$132,$B26,'Employee Detail FY23'!$C$6:$C$132,$C26,'Employee Detail FY23'!$E$6:$E$132,$E26,'Employee Detail FY23'!$F$6:$F$132,$F26,'Employee Detail FY23'!$G$6:$G$132,$G26)</f>
        <v>0</v>
      </c>
      <c r="AF26" s="62">
        <f>SUMIFS('Employee Detail FY23'!$AF$6:$AF$132,'Employee Detail FY23'!$B$6:$B$132,$B26,'Employee Detail FY23'!$C$6:$C$132,$C26,'Employee Detail FY23'!$E$6:$E$132,$E26,'Employee Detail FY23'!$F$6:$F$132,$F26,'Employee Detail FY23'!$G$6:$G$132,$G26)</f>
        <v>0</v>
      </c>
      <c r="AG26" s="269">
        <v>0</v>
      </c>
      <c r="AH26" s="62">
        <f>SUMIFS('Employee Detail FY23'!$AH$6:$AH$132,'Employee Detail FY23'!$B$6:$B$132,$B26,'Employee Detail FY23'!$C$6:$C$132,$C26,'Employee Detail FY23'!$E$6:$E$132,$E26,'Employee Detail FY23'!$F$6:$F$132,$F26,'Employee Detail FY23'!$G$6:$G$132,$G26)</f>
        <v>0</v>
      </c>
      <c r="AI26" s="62">
        <f>SUMIFS('Employee Detail FY23'!$AI$6:$AI$132,'Employee Detail FY23'!$B$6:$B$132,$B26,'Employee Detail FY23'!$C$6:$C$132,$C26,'Employee Detail FY23'!$E$6:$E$132,$E26,'Employee Detail FY23'!$F$6:$F$132,$F26,'Employee Detail FY23'!$G$6:$G$132,$G26)</f>
        <v>0</v>
      </c>
      <c r="AJ26" s="62">
        <v>0</v>
      </c>
      <c r="AK26" s="62">
        <v>0</v>
      </c>
      <c r="AL26" s="256">
        <f t="shared" si="10"/>
        <v>0</v>
      </c>
      <c r="AM26" s="256">
        <f t="shared" si="8"/>
        <v>0</v>
      </c>
      <c r="AN26" s="256">
        <f t="shared" si="11"/>
        <v>0</v>
      </c>
    </row>
    <row r="27" spans="2:40" outlineLevel="1" x14ac:dyDescent="0.2">
      <c r="B27" s="647" t="s">
        <v>468</v>
      </c>
      <c r="C27" s="647" t="s">
        <v>145</v>
      </c>
      <c r="D27" s="647"/>
      <c r="E27" s="647" t="s">
        <v>468</v>
      </c>
      <c r="F27" s="647" t="s">
        <v>460</v>
      </c>
      <c r="G27" s="647" t="s">
        <v>173</v>
      </c>
      <c r="H27" s="647"/>
      <c r="AA27" s="256">
        <f>SUMIFS('Employee Detail FY23'!$AA$6:$AA$132,'Employee Detail FY23'!$B$6:$B$132,$B27,'Employee Detail FY23'!$C$6:$C$132,$C27,'Employee Detail FY23'!$E$6:$E$132,$E27,'Employee Detail FY23'!$F$6:$F$132,$F27,'Employee Detail FY23'!$G$6:$G$132,$G27)</f>
        <v>272632.31504000002</v>
      </c>
      <c r="AB27" s="62"/>
      <c r="AC27" s="399">
        <f>SUMIFS('Employee Detail FY23'!$AC$6:$AC$132,'Employee Detail FY23'!$B$6:$B$132,$B27,'Employee Detail FY23'!$C$6:$C$132,$C27,'Employee Detail FY23'!$E$6:$E$132,$E27,'Employee Detail FY23'!$F$6:$F$132,$F27,'Employee Detail FY23'!$G$6:$G$132,$G27)</f>
        <v>47662.560000000005</v>
      </c>
      <c r="AD27" s="62">
        <f>SUMIFS('Employee Detail FY23'!$AD$6:$AD$132,'Employee Detail FY23'!$B$6:$B$132,$B27,'Employee Detail FY23'!$C$6:$C$132,$C27,'Employee Detail FY23'!$E$6:$E$132,$E27,'Employee Detail FY23'!$F$6:$F$132,$F27,'Employee Detail FY23'!$G$6:$G$132,$G27)</f>
        <v>0</v>
      </c>
      <c r="AE27" s="62">
        <f>SUMIFS('Employee Detail FY23'!$AE$6:$AE$132,'Employee Detail FY23'!$B$6:$B$132,$B27,'Employee Detail FY23'!$C$6:$C$132,$C27,'Employee Detail FY23'!$E$6:$E$132,$E27,'Employee Detail FY23'!$F$6:$F$132,$F27,'Employee Detail FY23'!$G$6:$G$132,$G27)</f>
        <v>65106.407243599999</v>
      </c>
      <c r="AF27" s="62">
        <f>SUMIFS('Employee Detail FY23'!$AF$6:$AF$132,'Employee Detail FY23'!$B$6:$B$132,$B27,'Employee Detail FY23'!$C$6:$C$132,$C27,'Employee Detail FY23'!$E$6:$E$132,$E27,'Employee Detail FY23'!$F$6:$F$132,$F27,'Employee Detail FY23'!$G$6:$G$132,$G27)</f>
        <v>3953.1685680800001</v>
      </c>
      <c r="AG27" s="269">
        <v>0</v>
      </c>
      <c r="AH27" s="62">
        <f>SUMIFS('Employee Detail FY23'!$AH$6:$AH$132,'Employee Detail FY23'!$B$6:$B$132,$B27,'Employee Detail FY23'!$C$6:$C$132,$C27,'Employee Detail FY23'!$E$6:$E$132,$E27,'Employee Detail FY23'!$F$6:$F$132,$F27,'Employee Detail FY23'!$G$6:$G$132,$G27)</f>
        <v>2481.5909650997278</v>
      </c>
      <c r="AI27" s="62">
        <f>SUMIFS('Employee Detail FY23'!$AI$6:$AI$132,'Employee Detail FY23'!$B$6:$B$132,$B27,'Employee Detail FY23'!$C$6:$C$132,$C27,'Employee Detail FY23'!$E$6:$E$132,$E27,'Employee Detail FY23'!$F$6:$F$132,$F27,'Employee Detail FY23'!$G$6:$G$132,$G27)</f>
        <v>802.9563424687733</v>
      </c>
      <c r="AJ27" s="62">
        <v>0</v>
      </c>
      <c r="AK27" s="62">
        <v>0</v>
      </c>
      <c r="AL27" s="256">
        <f t="shared" si="10"/>
        <v>120006.68311924851</v>
      </c>
      <c r="AM27" s="256">
        <f t="shared" si="8"/>
        <v>272632.31504000002</v>
      </c>
      <c r="AN27" s="256">
        <f t="shared" si="11"/>
        <v>392638.9981592485</v>
      </c>
    </row>
    <row r="28" spans="2:40" outlineLevel="1" x14ac:dyDescent="0.2">
      <c r="B28" s="647" t="s">
        <v>135</v>
      </c>
      <c r="C28" s="647" t="s">
        <v>923</v>
      </c>
      <c r="D28" s="647"/>
      <c r="E28" s="647">
        <v>100</v>
      </c>
      <c r="F28" s="647" t="s">
        <v>460</v>
      </c>
      <c r="G28" s="647" t="s">
        <v>173</v>
      </c>
      <c r="H28" s="647"/>
      <c r="AA28" s="256">
        <f>SUMIFS('Employee Detail FY23'!$AA$6:$AA$132,'Employee Detail FY23'!$B$6:$B$132,$B28,'Employee Detail FY23'!$C$6:$C$132,$C28,'Employee Detail FY23'!$E$6:$E$132,$E28,'Employee Detail FY23'!$F$6:$F$132,$F28,'Employee Detail FY23'!$G$6:$G$132,$G28)</f>
        <v>72100</v>
      </c>
      <c r="AB28" s="62"/>
      <c r="AC28" s="399">
        <f>SUMIFS('Employee Detail FY23'!$AC$6:$AC$132,'Employee Detail FY23'!$B$6:$B$132,$B28,'Employee Detail FY23'!$C$6:$C$132,$C28,'Employee Detail FY23'!$E$6:$E$132,$E28,'Employee Detail FY23'!$F$6:$F$132,$F28,'Employee Detail FY23'!$G$6:$G$132,$G28)</f>
        <v>7943.76</v>
      </c>
      <c r="AD28" s="62">
        <f>SUMIFS('Employee Detail FY23'!$AD$6:$AD$132,'Employee Detail FY23'!$B$6:$B$132,$B28,'Employee Detail FY23'!$C$6:$C$132,$C28,'Employee Detail FY23'!$E$6:$E$132,$E28,'Employee Detail FY23'!$F$6:$F$132,$F28,'Employee Detail FY23'!$G$6:$G$132,$G28)</f>
        <v>0</v>
      </c>
      <c r="AE28" s="62">
        <f>SUMIFS('Employee Detail FY23'!$AE$6:$AE$132,'Employee Detail FY23'!$B$6:$B$132,$B28,'Employee Detail FY23'!$C$6:$C$132,$C28,'Employee Detail FY23'!$E$6:$E$132,$E28,'Employee Detail FY23'!$F$6:$F$132,$F28,'Employee Detail FY23'!$G$6:$G$132,$G28)</f>
        <v>21089.25</v>
      </c>
      <c r="AF28" s="62">
        <f>SUMIFS('Employee Detail FY23'!$AF$6:$AF$132,'Employee Detail FY23'!$B$6:$B$132,$B28,'Employee Detail FY23'!$C$6:$C$132,$C28,'Employee Detail FY23'!$E$6:$E$132,$E28,'Employee Detail FY23'!$F$6:$F$132,$F28,'Employee Detail FY23'!$G$6:$G$132,$G28)</f>
        <v>1045.45</v>
      </c>
      <c r="AG28" s="269">
        <v>0</v>
      </c>
      <c r="AH28" s="62">
        <f>SUMIFS('Employee Detail FY23'!$AH$6:$AH$132,'Employee Detail FY23'!$B$6:$B$132,$B28,'Employee Detail FY23'!$C$6:$C$132,$C28,'Employee Detail FY23'!$E$6:$E$132,$E28,'Employee Detail FY23'!$F$6:$F$132,$F28,'Employee Detail FY23'!$G$6:$G$132,$G28)</f>
        <v>656.27843330838903</v>
      </c>
      <c r="AI28" s="62">
        <f>SUMIFS('Employee Detail FY23'!$AI$6:$AI$132,'Employee Detail FY23'!$B$6:$B$132,$B28,'Employee Detail FY23'!$C$6:$C$132,$C28,'Employee Detail FY23'!$E$6:$E$132,$E28,'Employee Detail FY23'!$F$6:$F$132,$F28,'Employee Detail FY23'!$G$6:$G$132,$G28)</f>
        <v>212.34882696684213</v>
      </c>
      <c r="AJ28" s="62">
        <v>0</v>
      </c>
      <c r="AK28" s="62">
        <v>0</v>
      </c>
      <c r="AL28" s="256">
        <f t="shared" si="10"/>
        <v>30947.087260275232</v>
      </c>
      <c r="AM28" s="256">
        <f t="shared" si="8"/>
        <v>72100</v>
      </c>
      <c r="AN28" s="256">
        <f t="shared" si="11"/>
        <v>103047.08726027524</v>
      </c>
    </row>
    <row r="29" spans="2:40" outlineLevel="1" x14ac:dyDescent="0.2">
      <c r="B29" s="647"/>
      <c r="C29" s="647"/>
      <c r="D29" s="647"/>
      <c r="E29" s="647"/>
      <c r="F29" s="647"/>
      <c r="G29" s="647"/>
      <c r="H29" s="647"/>
      <c r="AA29" s="256">
        <f>SUMIFS('Employee Detail FY23'!$AA$6:$AA$132,'Employee Detail FY23'!$B$6:$B$132,$B29,'Employee Detail FY23'!$C$6:$C$132,$C29,'Employee Detail FY23'!$E$6:$E$132,$E29,'Employee Detail FY23'!$F$6:$F$132,$F29,'Employee Detail FY23'!$G$6:$G$132,$G29)</f>
        <v>0</v>
      </c>
      <c r="AB29" s="62"/>
      <c r="AC29" s="62">
        <f>SUMIFS('Employee Detail FY23'!$AC$6:$AC$132,'Employee Detail FY23'!$B$6:$B$132,$B29,'Employee Detail FY23'!$C$6:$C$132,$C29,'Employee Detail FY23'!$E$6:$E$132,$E29,'Employee Detail FY23'!$F$6:$F$132,$F29,'Employee Detail FY23'!$G$6:$G$132,$G29)</f>
        <v>0</v>
      </c>
      <c r="AD29" s="62">
        <f>SUMIFS('Employee Detail FY23'!$AD$6:$AD$132,'Employee Detail FY23'!$B$6:$B$132,$B29,'Employee Detail FY23'!$C$6:$C$132,$C29,'Employee Detail FY23'!$E$6:$E$132,$E29,'Employee Detail FY23'!$F$6:$F$132,$F29,'Employee Detail FY23'!$G$6:$G$132,$G29)</f>
        <v>0</v>
      </c>
      <c r="AE29" s="62">
        <f>SUMIFS('Employee Detail FY23'!$AE$6:$AE$132,'Employee Detail FY23'!$B$6:$B$132,$B29,'Employee Detail FY23'!$C$6:$C$132,$C29,'Employee Detail FY23'!$E$6:$E$132,$E29,'Employee Detail FY23'!$F$6:$F$132,$F29,'Employee Detail FY23'!$G$6:$G$132,$G29)</f>
        <v>0</v>
      </c>
      <c r="AF29" s="62">
        <f>SUMIFS('Employee Detail FY23'!$AF$6:$AF$132,'Employee Detail FY23'!$B$6:$B$132,$B29,'Employee Detail FY23'!$C$6:$C$132,$C29,'Employee Detail FY23'!$E$6:$E$132,$E29,'Employee Detail FY23'!$F$6:$F$132,$F29,'Employee Detail FY23'!$G$6:$G$132,$G29)</f>
        <v>0</v>
      </c>
      <c r="AG29" s="269">
        <v>0</v>
      </c>
      <c r="AH29" s="62">
        <f>SUMIFS('Employee Detail FY23'!$AH$6:$AH$132,'Employee Detail FY23'!$B$6:$B$132,$B29,'Employee Detail FY23'!$C$6:$C$132,$C29,'Employee Detail FY23'!$E$6:$E$132,$E29,'Employee Detail FY23'!$F$6:$F$132,$F29,'Employee Detail FY23'!$G$6:$G$132,$G29)</f>
        <v>0</v>
      </c>
      <c r="AI29" s="62">
        <f>SUMIFS('Employee Detail FY23'!$AI$6:$AI$132,'Employee Detail FY23'!$B$6:$B$132,$B29,'Employee Detail FY23'!$C$6:$C$132,$C29,'Employee Detail FY23'!$E$6:$E$132,$E29,'Employee Detail FY23'!$F$6:$F$132,$F29,'Employee Detail FY23'!$G$6:$G$132,$G29)</f>
        <v>0</v>
      </c>
      <c r="AJ29" s="62">
        <v>0</v>
      </c>
      <c r="AK29" s="62">
        <v>0</v>
      </c>
      <c r="AL29" s="256">
        <f t="shared" si="10"/>
        <v>0</v>
      </c>
      <c r="AM29" s="256">
        <f t="shared" si="8"/>
        <v>0</v>
      </c>
      <c r="AN29" s="256">
        <f t="shared" si="11"/>
        <v>0</v>
      </c>
    </row>
    <row r="30" spans="2:40" outlineLevel="1" x14ac:dyDescent="0.2">
      <c r="B30" s="647" t="s">
        <v>468</v>
      </c>
      <c r="C30" s="647" t="s">
        <v>145</v>
      </c>
      <c r="D30" s="647"/>
      <c r="E30" s="647" t="s">
        <v>468</v>
      </c>
      <c r="F30" s="647" t="s">
        <v>458</v>
      </c>
      <c r="G30" s="647" t="s">
        <v>171</v>
      </c>
      <c r="H30" s="647"/>
      <c r="AA30" s="256">
        <f>SUMIFS('Employee Detail FY23'!$AA$6:$AA$132,'Employee Detail FY23'!$B$6:$B$132,$B30,'Employee Detail FY23'!$C$6:$C$132,$C30,'Employee Detail FY23'!$E$6:$E$132,$E30,'Employee Detail FY23'!$F$6:$F$132,$F30,'Employee Detail FY23'!$G$6:$G$132,$G30)</f>
        <v>63860</v>
      </c>
      <c r="AB30" s="62"/>
      <c r="AC30" s="399">
        <f>SUMIFS('Employee Detail FY23'!$AC$6:$AC$132,'Employee Detail FY23'!$B$6:$B$132,$B30,'Employee Detail FY23'!$C$6:$C$132,$C30,'Employee Detail FY23'!$E$6:$E$132,$E30,'Employee Detail FY23'!$F$6:$F$132,$F30,'Employee Detail FY23'!$G$6:$G$132,$G30)</f>
        <v>7943.76</v>
      </c>
      <c r="AD30" s="62">
        <f>SUMIFS('Employee Detail FY23'!$AD$6:$AD$132,'Employee Detail FY23'!$B$6:$B$132,$B30,'Employee Detail FY23'!$C$6:$C$132,$C30,'Employee Detail FY23'!$E$6:$E$132,$E30,'Employee Detail FY23'!$F$6:$F$132,$F30,'Employee Detail FY23'!$G$6:$G$132,$G30)</f>
        <v>0</v>
      </c>
      <c r="AE30" s="62">
        <f>SUMIFS('Employee Detail FY23'!$AE$6:$AE$132,'Employee Detail FY23'!$B$6:$B$132,$B30,'Employee Detail FY23'!$C$6:$C$132,$C30,'Employee Detail FY23'!$E$6:$E$132,$E30,'Employee Detail FY23'!$F$6:$F$132,$F30,'Employee Detail FY23'!$G$6:$G$132,$G30)</f>
        <v>18679.05</v>
      </c>
      <c r="AF30" s="62">
        <f>SUMIFS('Employee Detail FY23'!$AF$6:$AF$132,'Employee Detail FY23'!$B$6:$B$132,$B30,'Employee Detail FY23'!$C$6:$C$132,$C30,'Employee Detail FY23'!$E$6:$E$132,$E30,'Employee Detail FY23'!$F$6:$F$132,$F30,'Employee Detail FY23'!$G$6:$G$132,$G30)</f>
        <v>925.97</v>
      </c>
      <c r="AG30" s="269">
        <v>0</v>
      </c>
      <c r="AH30" s="62">
        <f>SUMIFS('Employee Detail FY23'!$AH$6:$AH$132,'Employee Detail FY23'!$B$6:$B$132,$B30,'Employee Detail FY23'!$C$6:$C$132,$C30,'Employee Detail FY23'!$E$6:$E$132,$E30,'Employee Detail FY23'!$F$6:$F$132,$F30,'Employee Detail FY23'!$G$6:$G$132,$G30)</f>
        <v>581.27518378743025</v>
      </c>
      <c r="AI30" s="62">
        <f>SUMIFS('Employee Detail FY23'!$AI$6:$AI$132,'Employee Detail FY23'!$B$6:$B$132,$B30,'Employee Detail FY23'!$C$6:$C$132,$C30,'Employee Detail FY23'!$E$6:$E$132,$E30,'Employee Detail FY23'!$F$6:$F$132,$F30,'Employee Detail FY23'!$G$6:$G$132,$G30)</f>
        <v>188.08038959920302</v>
      </c>
      <c r="AJ30" s="62">
        <v>0</v>
      </c>
      <c r="AK30" s="62">
        <v>0</v>
      </c>
      <c r="AL30" s="256">
        <f t="shared" si="10"/>
        <v>28318.135573386633</v>
      </c>
      <c r="AM30" s="256">
        <f t="shared" si="8"/>
        <v>63860</v>
      </c>
      <c r="AN30" s="256">
        <f t="shared" si="11"/>
        <v>92178.135573386637</v>
      </c>
    </row>
    <row r="31" spans="2:40" outlineLevel="1" x14ac:dyDescent="0.2">
      <c r="B31" s="647" t="s">
        <v>468</v>
      </c>
      <c r="C31" s="647" t="s">
        <v>145</v>
      </c>
      <c r="D31" s="647"/>
      <c r="E31" s="647" t="s">
        <v>468</v>
      </c>
      <c r="F31" s="647" t="s">
        <v>479</v>
      </c>
      <c r="G31" s="647" t="s">
        <v>173</v>
      </c>
      <c r="H31" s="647"/>
      <c r="AA31" s="256">
        <f>SUMIFS('Employee Detail FY23'!$AA$6:$AA$132,'Employee Detail FY23'!$B$6:$B$132,$B31,'Employee Detail FY23'!$C$6:$C$132,$C31,'Employee Detail FY23'!$E$6:$E$132,$E31,'Employee Detail FY23'!$F$6:$F$132,$F31,'Employee Detail FY23'!$G$6:$G$132,$G31)</f>
        <v>50470</v>
      </c>
      <c r="AB31" s="62"/>
      <c r="AC31" s="399">
        <f>SUMIFS('Employee Detail FY23'!$AC$6:$AC$132,'Employee Detail FY23'!$B$6:$B$132,$B31,'Employee Detail FY23'!$C$6:$C$132,$C31,'Employee Detail FY23'!$E$6:$E$132,$E31,'Employee Detail FY23'!$F$6:$F$132,$F31,'Employee Detail FY23'!$G$6:$G$132,$G31)</f>
        <v>7943.76</v>
      </c>
      <c r="AD31" s="62">
        <f>SUMIFS('Employee Detail FY23'!$AD$6:$AD$132,'Employee Detail FY23'!$B$6:$B$132,$B31,'Employee Detail FY23'!$C$6:$C$132,$C31,'Employee Detail FY23'!$E$6:$E$132,$E31,'Employee Detail FY23'!$F$6:$F$132,$F31,'Employee Detail FY23'!$G$6:$G$132,$G31)</f>
        <v>0</v>
      </c>
      <c r="AE31" s="62">
        <f>SUMIFS('Employee Detail FY23'!$AE$6:$AE$132,'Employee Detail FY23'!$B$6:$B$132,$B31,'Employee Detail FY23'!$C$6:$C$132,$C31,'Employee Detail FY23'!$E$6:$E$132,$E31,'Employee Detail FY23'!$F$6:$F$132,$F31,'Employee Detail FY23'!$G$6:$G$132,$G31)</f>
        <v>14762.474999999999</v>
      </c>
      <c r="AF31" s="62">
        <f>SUMIFS('Employee Detail FY23'!$AF$6:$AF$132,'Employee Detail FY23'!$B$6:$B$132,$B31,'Employee Detail FY23'!$C$6:$C$132,$C31,'Employee Detail FY23'!$E$6:$E$132,$E31,'Employee Detail FY23'!$F$6:$F$132,$F31,'Employee Detail FY23'!$G$6:$G$132,$G31)</f>
        <v>731.81500000000005</v>
      </c>
      <c r="AG31" s="269">
        <v>0</v>
      </c>
      <c r="AH31" s="62">
        <f>SUMIFS('Employee Detail FY23'!$AH$6:$AH$132,'Employee Detail FY23'!$B$6:$B$132,$B31,'Employee Detail FY23'!$C$6:$C$132,$C31,'Employee Detail FY23'!$E$6:$E$132,$E31,'Employee Detail FY23'!$F$6:$F$132,$F31,'Employee Detail FY23'!$G$6:$G$132,$G31)</f>
        <v>459.39490331587234</v>
      </c>
      <c r="AI31" s="62">
        <f>SUMIFS('Employee Detail FY23'!$AI$6:$AI$132,'Employee Detail FY23'!$B$6:$B$132,$B31,'Employee Detail FY23'!$C$6:$C$132,$C31,'Employee Detail FY23'!$E$6:$E$132,$E31,'Employee Detail FY23'!$F$6:$F$132,$F31,'Employee Detail FY23'!$G$6:$G$132,$G31)</f>
        <v>148.64417887678948</v>
      </c>
      <c r="AJ31" s="62">
        <v>0</v>
      </c>
      <c r="AK31" s="62">
        <v>0</v>
      </c>
      <c r="AL31" s="256">
        <f t="shared" si="10"/>
        <v>24046.089082192659</v>
      </c>
      <c r="AM31" s="256">
        <f t="shared" si="8"/>
        <v>50470</v>
      </c>
      <c r="AN31" s="256">
        <f t="shared" si="11"/>
        <v>74516.089082192659</v>
      </c>
    </row>
    <row r="32" spans="2:40" outlineLevel="1" x14ac:dyDescent="0.2">
      <c r="B32" s="647" t="s">
        <v>468</v>
      </c>
      <c r="C32" s="647" t="s">
        <v>145</v>
      </c>
      <c r="D32" s="647"/>
      <c r="E32" s="647" t="s">
        <v>468</v>
      </c>
      <c r="F32" s="647" t="s">
        <v>459</v>
      </c>
      <c r="G32" s="647" t="s">
        <v>173</v>
      </c>
      <c r="H32" s="647"/>
      <c r="AA32" s="256">
        <f>SUMIFS('Employee Detail FY23'!$AA$6:$AA$132,'Employee Detail FY23'!$B$6:$B$132,$B32,'Employee Detail FY23'!$C$6:$C$132,$C32,'Employee Detail FY23'!$E$6:$E$132,$E32,'Employee Detail FY23'!$F$6:$F$132,$F32,'Employee Detail FY23'!$G$6:$G$132,$G32)</f>
        <v>81391.26023</v>
      </c>
      <c r="AB32" s="62"/>
      <c r="AC32" s="399">
        <f>SUMIFS('Employee Detail FY23'!$AC$6:$AC$132,'Employee Detail FY23'!$B$6:$B$132,$B32,'Employee Detail FY23'!$C$6:$C$132,$C32,'Employee Detail FY23'!$E$6:$E$132,$E32,'Employee Detail FY23'!$F$6:$F$132,$F32,'Employee Detail FY23'!$G$6:$G$132,$G32)</f>
        <v>7943.76</v>
      </c>
      <c r="AD32" s="62">
        <f>SUMIFS('Employee Detail FY23'!$AD$6:$AD$132,'Employee Detail FY23'!$B$6:$B$132,$B32,'Employee Detail FY23'!$C$6:$C$132,$C32,'Employee Detail FY23'!$E$6:$E$132,$E32,'Employee Detail FY23'!$F$6:$F$132,$F32,'Employee Detail FY23'!$G$6:$G$132,$G32)</f>
        <v>0</v>
      </c>
      <c r="AE32" s="62">
        <f>SUMIFS('Employee Detail FY23'!$AE$6:$AE$132,'Employee Detail FY23'!$B$6:$B$132,$B32,'Employee Detail FY23'!$C$6:$C$132,$C32,'Employee Detail FY23'!$E$6:$E$132,$E32,'Employee Detail FY23'!$F$6:$F$132,$F32,'Employee Detail FY23'!$G$6:$G$132,$G32)</f>
        <v>12412.167185074999</v>
      </c>
      <c r="AF32" s="62">
        <f>SUMIFS('Employee Detail FY23'!$AF$6:$AF$132,'Employee Detail FY23'!$B$6:$B$132,$B32,'Employee Detail FY23'!$C$6:$C$132,$C32,'Employee Detail FY23'!$E$6:$E$132,$E32,'Employee Detail FY23'!$F$6:$F$132,$F32,'Employee Detail FY23'!$G$6:$G$132,$G32)</f>
        <v>1180.173273335</v>
      </c>
      <c r="AG32" s="269">
        <v>0</v>
      </c>
      <c r="AH32" s="62">
        <f>SUMIFS('Employee Detail FY23'!$AH$6:$AH$132,'Employee Detail FY23'!$B$6:$B$132,$B32,'Employee Detail FY23'!$C$6:$C$132,$C32,'Employee Detail FY23'!$E$6:$E$132,$E32,'Employee Detail FY23'!$F$6:$F$132,$F32,'Employee Detail FY23'!$G$6:$G$132,$G32)</f>
        <v>740.85060677863794</v>
      </c>
      <c r="AI32" s="62">
        <f>SUMIFS('Employee Detail FY23'!$AI$6:$AI$132,'Employee Detail FY23'!$B$6:$B$132,$B32,'Employee Detail FY23'!$C$6:$C$132,$C32,'Employee Detail FY23'!$E$6:$E$132,$E32,'Employee Detail FY23'!$F$6:$F$132,$F32,'Employee Detail FY23'!$G$6:$G$132,$G32)</f>
        <v>239.71343460739928</v>
      </c>
      <c r="AJ32" s="62">
        <v>0</v>
      </c>
      <c r="AK32" s="62">
        <v>0</v>
      </c>
      <c r="AL32" s="256">
        <f t="shared" si="10"/>
        <v>22516.664499796036</v>
      </c>
      <c r="AM32" s="256">
        <f t="shared" si="8"/>
        <v>81391.26023</v>
      </c>
      <c r="AN32" s="256">
        <f t="shared" si="11"/>
        <v>103907.92472979604</v>
      </c>
    </row>
    <row r="33" spans="1:40" outlineLevel="1" x14ac:dyDescent="0.2">
      <c r="A33" s="397"/>
      <c r="B33" s="650"/>
      <c r="C33" s="650"/>
      <c r="D33" s="650"/>
      <c r="E33" s="650"/>
      <c r="F33" s="650"/>
      <c r="G33" s="650"/>
      <c r="H33" s="647"/>
      <c r="AA33" s="256">
        <f>SUMIFS('Employee Detail FY23'!$AA$6:$AA$132,'Employee Detail FY23'!$B$6:$B$132,$B33,'Employee Detail FY23'!$C$6:$C$132,$C33,'Employee Detail FY23'!$E$6:$E$132,$E33,'Employee Detail FY23'!$F$6:$F$132,$F33,'Employee Detail FY23'!$G$6:$G$132,$G33)</f>
        <v>0</v>
      </c>
      <c r="AB33" s="62"/>
      <c r="AC33" s="62">
        <f>SUMIFS('Employee Detail FY23'!$AC$6:$AC$132,'Employee Detail FY23'!$B$6:$B$132,$B33,'Employee Detail FY23'!$C$6:$C$132,$C33,'Employee Detail FY23'!$E$6:$E$132,$E33,'Employee Detail FY23'!$F$6:$F$132,$F33,'Employee Detail FY23'!$G$6:$G$132,$G33)</f>
        <v>0</v>
      </c>
      <c r="AD33" s="62">
        <f>SUMIFS('Employee Detail FY23'!$AD$6:$AD$132,'Employee Detail FY23'!$B$6:$B$132,$B33,'Employee Detail FY23'!$C$6:$C$132,$C33,'Employee Detail FY23'!$E$6:$E$132,$E33,'Employee Detail FY23'!$F$6:$F$132,$F33,'Employee Detail FY23'!$G$6:$G$132,$G33)</f>
        <v>0</v>
      </c>
      <c r="AE33" s="62">
        <f>SUMIFS('Employee Detail FY23'!$AE$6:$AE$132,'Employee Detail FY23'!$B$6:$B$132,$B33,'Employee Detail FY23'!$C$6:$C$132,$C33,'Employee Detail FY23'!$E$6:$E$132,$E33,'Employee Detail FY23'!$F$6:$F$132,$F33,'Employee Detail FY23'!$G$6:$G$132,$G33)</f>
        <v>0</v>
      </c>
      <c r="AF33" s="62">
        <f>SUMIFS('Employee Detail FY23'!$AF$6:$AF$132,'Employee Detail FY23'!$B$6:$B$132,$B33,'Employee Detail FY23'!$C$6:$C$132,$C33,'Employee Detail FY23'!$E$6:$E$132,$E33,'Employee Detail FY23'!$F$6:$F$132,$F33,'Employee Detail FY23'!$G$6:$G$132,$G33)</f>
        <v>0</v>
      </c>
      <c r="AG33" s="269">
        <v>0</v>
      </c>
      <c r="AH33" s="62">
        <f>SUMIFS('Employee Detail FY23'!$AH$6:$AH$132,'Employee Detail FY23'!$B$6:$B$132,$B33,'Employee Detail FY23'!$C$6:$C$132,$C33,'Employee Detail FY23'!$E$6:$E$132,$E33,'Employee Detail FY23'!$F$6:$F$132,$F33,'Employee Detail FY23'!$G$6:$G$132,$G33)</f>
        <v>0</v>
      </c>
      <c r="AI33" s="62">
        <f>SUMIFS('Employee Detail FY23'!$AI$6:$AI$132,'Employee Detail FY23'!$B$6:$B$132,$B33,'Employee Detail FY23'!$C$6:$C$132,$C33,'Employee Detail FY23'!$E$6:$E$132,$E33,'Employee Detail FY23'!$F$6:$F$132,$F33,'Employee Detail FY23'!$G$6:$G$132,$G33)</f>
        <v>0</v>
      </c>
      <c r="AJ33" s="62">
        <v>0</v>
      </c>
      <c r="AK33" s="62">
        <v>0</v>
      </c>
      <c r="AL33" s="256">
        <f t="shared" si="10"/>
        <v>0</v>
      </c>
      <c r="AM33" s="256">
        <f t="shared" si="8"/>
        <v>0</v>
      </c>
      <c r="AN33" s="256">
        <f t="shared" si="11"/>
        <v>0</v>
      </c>
    </row>
    <row r="34" spans="1:40" outlineLevel="1" x14ac:dyDescent="0.2">
      <c r="B34" s="647" t="s">
        <v>462</v>
      </c>
      <c r="C34" s="647" t="s">
        <v>145</v>
      </c>
      <c r="D34" s="647"/>
      <c r="E34" s="647" t="s">
        <v>463</v>
      </c>
      <c r="F34" s="647">
        <v>1000</v>
      </c>
      <c r="G34" s="647" t="s">
        <v>161</v>
      </c>
      <c r="H34" s="647"/>
      <c r="AA34" s="256">
        <f>SUMIFS('Employee Detail FY23'!$AA$6:$AA$132,'Employee Detail FY23'!$B$6:$B$132,$B34,'Employee Detail FY23'!$C$6:$C$132,$C34,'Employee Detail FY23'!$E$6:$E$132,$E34,'Employee Detail FY23'!$F$6:$F$132,$F34,'Employee Detail FY23'!$G$6:$G$132,$G34)</f>
        <v>169950</v>
      </c>
      <c r="AB34" s="62"/>
      <c r="AC34" s="399">
        <f>SUMIFS('Employee Detail FY23'!$AC$6:$AC$132,'Employee Detail FY23'!$B$6:$B$132,$B34,'Employee Detail FY23'!$C$6:$C$132,$C34,'Employee Detail FY23'!$E$6:$E$132,$E34,'Employee Detail FY23'!$F$6:$F$132,$F34,'Employee Detail FY23'!$G$6:$G$132,$G34)</f>
        <v>23831.279999999999</v>
      </c>
      <c r="AD34" s="62">
        <f>SUMIFS('Employee Detail FY23'!$AD$6:$AD$132,'Employee Detail FY23'!$B$6:$B$132,$B34,'Employee Detail FY23'!$C$6:$C$132,$C34,'Employee Detail FY23'!$E$6:$E$132,$E34,'Employee Detail FY23'!$F$6:$F$132,$F34,'Employee Detail FY23'!$G$6:$G$132,$G34)</f>
        <v>0</v>
      </c>
      <c r="AE34" s="62">
        <f>SUMIFS('Employee Detail FY23'!$AE$6:$AE$132,'Employee Detail FY23'!$B$6:$B$132,$B34,'Employee Detail FY23'!$C$6:$C$132,$C34,'Employee Detail FY23'!$E$6:$E$132,$E34,'Employee Detail FY23'!$F$6:$F$132,$F34,'Employee Detail FY23'!$G$6:$G$132,$G34)</f>
        <v>49710.375</v>
      </c>
      <c r="AF34" s="62">
        <f>SUMIFS('Employee Detail FY23'!$AF$6:$AF$132,'Employee Detail FY23'!$B$6:$B$132,$B34,'Employee Detail FY23'!$C$6:$C$132,$C34,'Employee Detail FY23'!$E$6:$E$132,$E34,'Employee Detail FY23'!$F$6:$F$132,$F34,'Employee Detail FY23'!$G$6:$G$132,$G34)</f>
        <v>2464.2750000000001</v>
      </c>
      <c r="AG34" s="269">
        <v>0</v>
      </c>
      <c r="AH34" s="62">
        <f>SUMIFS('Employee Detail FY23'!$AH$6:$AH$132,'Employee Detail FY23'!$B$6:$B$132,$B34,'Employee Detail FY23'!$C$6:$C$132,$C34,'Employee Detail FY23'!$E$6:$E$132,$E34,'Employee Detail FY23'!$F$6:$F$132,$F34,'Employee Detail FY23'!$G$6:$G$132,$G34)</f>
        <v>1546.942021369774</v>
      </c>
      <c r="AI34" s="62">
        <f>SUMIFS('Employee Detail FY23'!$AI$6:$AI$132,'Employee Detail FY23'!$B$6:$B$132,$B34,'Employee Detail FY23'!$C$6:$C$132,$C34,'Employee Detail FY23'!$E$6:$E$132,$E34,'Employee Detail FY23'!$F$6:$F$132,$F34,'Employee Detail FY23'!$G$6:$G$132,$G34)</f>
        <v>500.53652070755641</v>
      </c>
      <c r="AJ34" s="62">
        <v>0</v>
      </c>
      <c r="AK34" s="62">
        <v>0</v>
      </c>
      <c r="AL34" s="256">
        <f t="shared" si="10"/>
        <v>78053.408542077319</v>
      </c>
      <c r="AM34" s="256">
        <f t="shared" si="8"/>
        <v>169950</v>
      </c>
      <c r="AN34" s="256">
        <f t="shared" si="11"/>
        <v>248003.40854207732</v>
      </c>
    </row>
    <row r="35" spans="1:40" outlineLevel="1" x14ac:dyDescent="0.2">
      <c r="B35" s="647" t="s">
        <v>135</v>
      </c>
      <c r="C35" s="647" t="s">
        <v>247</v>
      </c>
      <c r="D35" s="647"/>
      <c r="E35" s="647">
        <v>200</v>
      </c>
      <c r="F35" s="647">
        <v>1000</v>
      </c>
      <c r="G35" s="647" t="s">
        <v>161</v>
      </c>
      <c r="H35" s="647"/>
      <c r="AA35" s="256">
        <f>SUMIFS('Employee Detail FY23'!$AA$6:$AA$132,'Employee Detail FY23'!$B$6:$B$132,$B35,'Employee Detail FY23'!$C$6:$C$132,$C35,'Employee Detail FY23'!$E$6:$E$132,$E35,'Employee Detail FY23'!$F$6:$F$132,$F35,'Employee Detail FY23'!$G$6:$G$132,$G35)</f>
        <v>111374.93</v>
      </c>
      <c r="AB35" s="62"/>
      <c r="AC35" s="399">
        <f>SUMIFS('Employee Detail FY23'!$AC$6:$AC$132,'Employee Detail FY23'!$B$6:$B$132,$B35,'Employee Detail FY23'!$C$6:$C$132,$C35,'Employee Detail FY23'!$E$6:$E$132,$E35,'Employee Detail FY23'!$F$6:$F$132,$F35,'Employee Detail FY23'!$G$6:$G$132,$G35)</f>
        <v>15887.52</v>
      </c>
      <c r="AD35" s="62">
        <f>SUMIFS('Employee Detail FY23'!$AD$6:$AD$132,'Employee Detail FY23'!$B$6:$B$132,$B35,'Employee Detail FY23'!$C$6:$C$132,$C35,'Employee Detail FY23'!$E$6:$E$132,$E35,'Employee Detail FY23'!$F$6:$F$132,$F35,'Employee Detail FY23'!$G$6:$G$132,$G35)</f>
        <v>0</v>
      </c>
      <c r="AE35" s="62">
        <f>SUMIFS('Employee Detail FY23'!$AE$6:$AE$132,'Employee Detail FY23'!$B$6:$B$132,$B35,'Employee Detail FY23'!$C$6:$C$132,$C35,'Employee Detail FY23'!$E$6:$E$132,$E35,'Employee Detail FY23'!$F$6:$F$132,$F35,'Employee Detail FY23'!$G$6:$G$132,$G35)</f>
        <v>32577.167024999999</v>
      </c>
      <c r="AF35" s="62">
        <f>SUMIFS('Employee Detail FY23'!$AF$6:$AF$132,'Employee Detail FY23'!$B$6:$B$132,$B35,'Employee Detail FY23'!$C$6:$C$132,$C35,'Employee Detail FY23'!$E$6:$E$132,$E35,'Employee Detail FY23'!$F$6:$F$132,$F35,'Employee Detail FY23'!$G$6:$G$132,$G35)</f>
        <v>1614.9364850000002</v>
      </c>
      <c r="AG35" s="269">
        <v>0</v>
      </c>
      <c r="AH35" s="62">
        <f>SUMIFS('Employee Detail FY23'!$AH$6:$AH$132,'Employee Detail FY23'!$B$6:$B$132,$B35,'Employee Detail FY23'!$C$6:$C$132,$C35,'Employee Detail FY23'!$E$6:$E$132,$E35,'Employee Detail FY23'!$F$6:$F$132,$F35,'Employee Detail FY23'!$G$6:$G$132,$G35)</f>
        <v>1013.7720467438487</v>
      </c>
      <c r="AI35" s="62">
        <f>SUMIFS('Employee Detail FY23'!$AI$6:$AI$132,'Employee Detail FY23'!$B$6:$B$132,$B35,'Employee Detail FY23'!$C$6:$C$132,$C35,'Employee Detail FY23'!$E$6:$E$132,$E35,'Employee Detail FY23'!$F$6:$F$132,$F35,'Employee Detail FY23'!$G$6:$G$132,$G35)</f>
        <v>328.02130012502295</v>
      </c>
      <c r="AJ35" s="62">
        <v>0</v>
      </c>
      <c r="AK35" s="62">
        <v>0</v>
      </c>
      <c r="AL35" s="256">
        <f t="shared" si="10"/>
        <v>51421.416856868869</v>
      </c>
      <c r="AM35" s="256">
        <f t="shared" si="8"/>
        <v>111374.93</v>
      </c>
      <c r="AN35" s="256">
        <f t="shared" si="11"/>
        <v>162796.34685686885</v>
      </c>
    </row>
    <row r="36" spans="1:40" outlineLevel="1" x14ac:dyDescent="0.2">
      <c r="B36" s="647"/>
      <c r="C36" s="647"/>
      <c r="D36" s="647"/>
      <c r="E36" s="647"/>
      <c r="F36" s="647"/>
      <c r="G36" s="647"/>
      <c r="H36" s="647"/>
      <c r="AA36" s="256">
        <f>SUMIFS('Employee Detail FY23'!$AA$6:$AA$132,'Employee Detail FY23'!$B$6:$B$132,$B36,'Employee Detail FY23'!$C$6:$C$132,$C36,'Employee Detail FY23'!$E$6:$E$132,$E36,'Employee Detail FY23'!$F$6:$F$132,$F36,'Employee Detail FY23'!$G$6:$G$132,$G36)</f>
        <v>0</v>
      </c>
      <c r="AB36" s="62"/>
      <c r="AC36" s="62">
        <f>SUMIFS('Employee Detail FY23'!$AC$6:$AC$132,'Employee Detail FY23'!$B$6:$B$132,$B36,'Employee Detail FY23'!$C$6:$C$132,$C36,'Employee Detail FY23'!$E$6:$E$132,$E36,'Employee Detail FY23'!$F$6:$F$132,$F36,'Employee Detail FY23'!$G$6:$G$132,$G36)</f>
        <v>0</v>
      </c>
      <c r="AD36" s="62">
        <f>SUMIFS('Employee Detail FY23'!$AD$6:$AD$132,'Employee Detail FY23'!$B$6:$B$132,$B36,'Employee Detail FY23'!$C$6:$C$132,$C36,'Employee Detail FY23'!$E$6:$E$132,$E36,'Employee Detail FY23'!$F$6:$F$132,$F36,'Employee Detail FY23'!$G$6:$G$132,$G36)</f>
        <v>0</v>
      </c>
      <c r="AE36" s="62">
        <f>SUMIFS('Employee Detail FY23'!$AE$6:$AE$132,'Employee Detail FY23'!$B$6:$B$132,$B36,'Employee Detail FY23'!$C$6:$C$132,$C36,'Employee Detail FY23'!$E$6:$E$132,$E36,'Employee Detail FY23'!$F$6:$F$132,$F36,'Employee Detail FY23'!$G$6:$G$132,$G36)</f>
        <v>0</v>
      </c>
      <c r="AF36" s="62">
        <f>SUMIFS('Employee Detail FY23'!$AF$6:$AF$132,'Employee Detail FY23'!$B$6:$B$132,$B36,'Employee Detail FY23'!$C$6:$C$132,$C36,'Employee Detail FY23'!$E$6:$E$132,$E36,'Employee Detail FY23'!$F$6:$F$132,$F36,'Employee Detail FY23'!$G$6:$G$132,$G36)</f>
        <v>0</v>
      </c>
      <c r="AG36" s="269">
        <v>0</v>
      </c>
      <c r="AH36" s="62">
        <f>SUMIFS('Employee Detail FY23'!$AH$6:$AH$132,'Employee Detail FY23'!$B$6:$B$132,$B36,'Employee Detail FY23'!$C$6:$C$132,$C36,'Employee Detail FY23'!$E$6:$E$132,$E36,'Employee Detail FY23'!$F$6:$F$132,$F36,'Employee Detail FY23'!$G$6:$G$132,$G36)</f>
        <v>0</v>
      </c>
      <c r="AI36" s="62">
        <f>SUMIFS('Employee Detail FY23'!$AI$6:$AI$132,'Employee Detail FY23'!$B$6:$B$132,$B36,'Employee Detail FY23'!$C$6:$C$132,$C36,'Employee Detail FY23'!$E$6:$E$132,$E36,'Employee Detail FY23'!$F$6:$F$132,$F36,'Employee Detail FY23'!$G$6:$G$132,$G36)</f>
        <v>0</v>
      </c>
      <c r="AJ36" s="62">
        <v>0</v>
      </c>
      <c r="AK36" s="62">
        <v>0</v>
      </c>
      <c r="AL36" s="256">
        <f t="shared" si="10"/>
        <v>0</v>
      </c>
      <c r="AM36" s="256">
        <f t="shared" si="8"/>
        <v>0</v>
      </c>
      <c r="AN36" s="256">
        <f t="shared" si="11"/>
        <v>0</v>
      </c>
    </row>
    <row r="37" spans="1:40" outlineLevel="1" x14ac:dyDescent="0.2">
      <c r="B37" s="647" t="s">
        <v>462</v>
      </c>
      <c r="C37" s="647" t="s">
        <v>132</v>
      </c>
      <c r="D37" s="647"/>
      <c r="E37" s="647">
        <v>200</v>
      </c>
      <c r="F37" s="647">
        <v>1000</v>
      </c>
      <c r="G37" s="651" t="s">
        <v>171</v>
      </c>
      <c r="H37" s="647"/>
      <c r="AA37" s="256">
        <f>SUMIFS('Employee Detail FY23'!$AA$6:$AA$132,'Employee Detail FY23'!$B$6:$B$132,$B37,'Employee Detail FY23'!$C$6:$C$132,$C37,'Employee Detail FY23'!$E$6:$E$132,$E37,'Employee Detail FY23'!$F$6:$F$132,$F37,'Employee Detail FY23'!$G$6:$G$132,$G37)</f>
        <v>83945</v>
      </c>
      <c r="AB37" s="62"/>
      <c r="AC37" s="399">
        <f>SUMIFS('Employee Detail FY23'!$AC$6:$AC$132,'Employee Detail FY23'!$B$6:$B$132,$B37,'Employee Detail FY23'!$C$6:$C$132,$C37,'Employee Detail FY23'!$E$6:$E$132,$E37,'Employee Detail FY23'!$F$6:$F$132,$F37,'Employee Detail FY23'!$G$6:$G$132,$G37)</f>
        <v>7943.76</v>
      </c>
      <c r="AD37" s="62">
        <f>SUMIFS('Employee Detail FY23'!$AD$6:$AD$132,'Employee Detail FY23'!$B$6:$B$132,$B37,'Employee Detail FY23'!$C$6:$C$132,$C37,'Employee Detail FY23'!$E$6:$E$132,$E37,'Employee Detail FY23'!$F$6:$F$132,$F37,'Employee Detail FY23'!$G$6:$G$132,$G37)</f>
        <v>0</v>
      </c>
      <c r="AE37" s="62">
        <f>SUMIFS('Employee Detail FY23'!$AE$6:$AE$132,'Employee Detail FY23'!$B$6:$B$132,$B37,'Employee Detail FY23'!$C$6:$C$132,$C37,'Employee Detail FY23'!$E$6:$E$132,$E37,'Employee Detail FY23'!$F$6:$F$132,$F37,'Employee Detail FY23'!$G$6:$G$132,$G37)</f>
        <v>24553.912499999999</v>
      </c>
      <c r="AF37" s="62">
        <f>SUMIFS('Employee Detail FY23'!$AF$6:$AF$132,'Employee Detail FY23'!$B$6:$B$132,$B37,'Employee Detail FY23'!$C$6:$C$132,$C37,'Employee Detail FY23'!$E$6:$E$132,$E37,'Employee Detail FY23'!$F$6:$F$132,$F37,'Employee Detail FY23'!$G$6:$G$132,$G37)</f>
        <v>1217.2025000000001</v>
      </c>
      <c r="AG37" s="269">
        <v>0</v>
      </c>
      <c r="AH37" s="62">
        <f>SUMIFS('Employee Detail FY23'!$AH$6:$AH$132,'Employee Detail FY23'!$B$6:$B$132,$B37,'Employee Detail FY23'!$C$6:$C$132,$C37,'Employee Detail FY23'!$E$6:$E$132,$E37,'Employee Detail FY23'!$F$6:$F$132,$F37,'Employee Detail FY23'!$G$6:$G$132,$G37)</f>
        <v>764.09560449476726</v>
      </c>
      <c r="AI37" s="62">
        <f>SUMIFS('Employee Detail FY23'!$AI$6:$AI$132,'Employee Detail FY23'!$B$6:$B$132,$B37,'Employee Detail FY23'!$C$6:$C$132,$C37,'Employee Detail FY23'!$E$6:$E$132,$E37,'Employee Detail FY23'!$F$6:$F$132,$F37,'Employee Detail FY23'!$G$6:$G$132,$G37)</f>
        <v>247.23470568282332</v>
      </c>
      <c r="AJ37" s="62">
        <v>0</v>
      </c>
      <c r="AK37" s="62">
        <v>0</v>
      </c>
      <c r="AL37" s="256">
        <f t="shared" ref="AL37:AL38" si="12">SUM(AC37:AK37)</f>
        <v>34726.205310177589</v>
      </c>
      <c r="AM37" s="256">
        <f t="shared" ref="AM37:AM38" si="13">AA37</f>
        <v>83945</v>
      </c>
      <c r="AN37" s="256">
        <f t="shared" ref="AN37:AN38" si="14">SUM(AL37:AM37)</f>
        <v>118671.20531017758</v>
      </c>
    </row>
    <row r="38" spans="1:40" outlineLevel="1" x14ac:dyDescent="0.2">
      <c r="B38" s="647"/>
      <c r="C38" s="647"/>
      <c r="D38" s="647"/>
      <c r="E38" s="647"/>
      <c r="F38" s="647"/>
      <c r="G38" s="647"/>
      <c r="H38" s="647"/>
      <c r="AA38" s="256">
        <f>SUMIFS('Employee Detail FY23'!$AA$6:$AA$132,'Employee Detail FY23'!$B$6:$B$132,$B38,'Employee Detail FY23'!$C$6:$C$132,$C38,'Employee Detail FY23'!$E$6:$E$132,$E38,'Employee Detail FY23'!$F$6:$F$132,$F38,'Employee Detail FY23'!$G$6:$G$132,$G38)</f>
        <v>0</v>
      </c>
      <c r="AB38" s="62"/>
      <c r="AC38" s="62">
        <f>SUMIFS('Employee Detail FY23'!$AC$6:$AC$132,'Employee Detail FY23'!$B$6:$B$132,$B38,'Employee Detail FY23'!$C$6:$C$132,$C38,'Employee Detail FY23'!$E$6:$E$132,$E38,'Employee Detail FY23'!$F$6:$F$132,$F38,'Employee Detail FY23'!$G$6:$G$132,$G38)</f>
        <v>0</v>
      </c>
      <c r="AD38" s="62">
        <f>SUMIFS('Employee Detail FY23'!$AD$6:$AD$132,'Employee Detail FY23'!$B$6:$B$132,$B38,'Employee Detail FY23'!$C$6:$C$132,$C38,'Employee Detail FY23'!$E$6:$E$132,$E38,'Employee Detail FY23'!$F$6:$F$132,$F38,'Employee Detail FY23'!$G$6:$G$132,$G38)</f>
        <v>0</v>
      </c>
      <c r="AE38" s="62">
        <f>SUMIFS('Employee Detail FY23'!$AE$6:$AE$132,'Employee Detail FY23'!$B$6:$B$132,$B38,'Employee Detail FY23'!$C$6:$C$132,$C38,'Employee Detail FY23'!$E$6:$E$132,$E38,'Employee Detail FY23'!$F$6:$F$132,$F38,'Employee Detail FY23'!$G$6:$G$132,$G38)</f>
        <v>0</v>
      </c>
      <c r="AF38" s="62">
        <f>SUMIFS('Employee Detail FY23'!$AF$6:$AF$132,'Employee Detail FY23'!$B$6:$B$132,$B38,'Employee Detail FY23'!$C$6:$C$132,$C38,'Employee Detail FY23'!$E$6:$E$132,$E38,'Employee Detail FY23'!$F$6:$F$132,$F38,'Employee Detail FY23'!$G$6:$G$132,$G38)</f>
        <v>0</v>
      </c>
      <c r="AG38" s="269">
        <v>0</v>
      </c>
      <c r="AH38" s="62">
        <f>SUMIFS('Employee Detail FY23'!$AH$6:$AH$132,'Employee Detail FY23'!$B$6:$B$132,$B38,'Employee Detail FY23'!$C$6:$C$132,$C38,'Employee Detail FY23'!$E$6:$E$132,$E38,'Employee Detail FY23'!$F$6:$F$132,$F38,'Employee Detail FY23'!$G$6:$G$132,$G38)</f>
        <v>0</v>
      </c>
      <c r="AI38" s="62">
        <f>SUMIFS('Employee Detail FY23'!$AI$6:$AI$132,'Employee Detail FY23'!$B$6:$B$132,$B38,'Employee Detail FY23'!$C$6:$C$132,$C38,'Employee Detail FY23'!$E$6:$E$132,$E38,'Employee Detail FY23'!$F$6:$F$132,$F38,'Employee Detail FY23'!$G$6:$G$132,$G38)</f>
        <v>0</v>
      </c>
      <c r="AJ38" s="62">
        <v>0</v>
      </c>
      <c r="AK38" s="62">
        <v>0</v>
      </c>
      <c r="AL38" s="256">
        <f t="shared" si="12"/>
        <v>0</v>
      </c>
      <c r="AM38" s="256">
        <f t="shared" si="13"/>
        <v>0</v>
      </c>
      <c r="AN38" s="256">
        <f t="shared" si="14"/>
        <v>0</v>
      </c>
    </row>
    <row r="39" spans="1:40" outlineLevel="1" x14ac:dyDescent="0.2">
      <c r="B39" s="647" t="s">
        <v>462</v>
      </c>
      <c r="C39" s="647" t="s">
        <v>132</v>
      </c>
      <c r="D39" s="647"/>
      <c r="E39" s="647" t="s">
        <v>463</v>
      </c>
      <c r="F39" s="647">
        <v>2130</v>
      </c>
      <c r="G39" s="647" t="s">
        <v>167</v>
      </c>
      <c r="H39" s="647"/>
      <c r="AA39" s="256">
        <f>SUMIFS('Employee Detail FY23'!$AA$6:$AA$132,'Employee Detail FY23'!$B$6:$B$132,$B39,'Employee Detail FY23'!$C$6:$C$132,$C39,'Employee Detail FY23'!$E$6:$E$132,$E39,'Employee Detail FY23'!$F$6:$F$132,$F39,'Employee Detail FY23'!$G$6:$G$132,$G39)</f>
        <v>24287.4</v>
      </c>
      <c r="AB39" s="62"/>
      <c r="AC39" s="399">
        <f>SUMIFS('Employee Detail FY23'!$AC$6:$AC$132,'Employee Detail FY23'!$B$6:$B$132,$B39,'Employee Detail FY23'!$C$6:$C$132,$C39,'Employee Detail FY23'!$E$6:$E$132,$E39,'Employee Detail FY23'!$F$6:$F$132,$F39,'Employee Detail FY23'!$G$6:$G$132,$G39)</f>
        <v>0</v>
      </c>
      <c r="AD39" s="62">
        <f>SUMIFS('Employee Detail FY23'!$AD$6:$AD$132,'Employee Detail FY23'!$B$6:$B$132,$B39,'Employee Detail FY23'!$C$6:$C$132,$C39,'Employee Detail FY23'!$E$6:$E$132,$E39,'Employee Detail FY23'!$F$6:$F$132,$F39,'Employee Detail FY23'!$G$6:$G$132,$G39)</f>
        <v>1505.8188</v>
      </c>
      <c r="AE39" s="62">
        <f>SUMIFS('Employee Detail FY23'!$AE$6:$AE$132,'Employee Detail FY23'!$B$6:$B$132,$B39,'Employee Detail FY23'!$C$6:$C$132,$C39,'Employee Detail FY23'!$E$6:$E$132,$E39,'Employee Detail FY23'!$F$6:$F$132,$F39,'Employee Detail FY23'!$G$6:$G$132,$G39)</f>
        <v>0</v>
      </c>
      <c r="AF39" s="62">
        <f>SUMIFS('Employee Detail FY23'!$AF$6:$AF$132,'Employee Detail FY23'!$B$6:$B$132,$B39,'Employee Detail FY23'!$C$6:$C$132,$C39,'Employee Detail FY23'!$E$6:$E$132,$E39,'Employee Detail FY23'!$F$6:$F$132,$F39,'Employee Detail FY23'!$G$6:$G$132,$G39)</f>
        <v>352.16730000000001</v>
      </c>
      <c r="AG39" s="269">
        <v>0</v>
      </c>
      <c r="AH39" s="62">
        <f>SUMIFS('Employee Detail FY23'!$AH$6:$AH$132,'Employee Detail FY23'!$B$6:$B$132,$B39,'Employee Detail FY23'!$C$6:$C$132,$C39,'Employee Detail FY23'!$E$6:$E$132,$E39,'Employee Detail FY23'!$F$6:$F$132,$F39,'Employee Detail FY23'!$G$6:$G$132,$G39)</f>
        <v>221.07207796302592</v>
      </c>
      <c r="AI39" s="62">
        <f>SUMIFS('Employee Detail FY23'!$AI$6:$AI$132,'Employee Detail FY23'!$B$6:$B$132,$B39,'Employee Detail FY23'!$C$6:$C$132,$C39,'Employee Detail FY23'!$E$6:$E$132,$E39,'Employee Detail FY23'!$F$6:$F$132,$F39,'Employee Detail FY23'!$G$6:$G$132,$G39)</f>
        <v>71.531219141116253</v>
      </c>
      <c r="AJ39" s="62">
        <v>0</v>
      </c>
      <c r="AK39" s="62">
        <v>0</v>
      </c>
      <c r="AL39" s="256">
        <f t="shared" si="10"/>
        <v>2150.5893971041423</v>
      </c>
      <c r="AM39" s="256">
        <f t="shared" si="8"/>
        <v>24287.4</v>
      </c>
      <c r="AN39" s="256">
        <f t="shared" si="11"/>
        <v>26437.989397104146</v>
      </c>
    </row>
    <row r="40" spans="1:40" outlineLevel="1" x14ac:dyDescent="0.2">
      <c r="B40" s="647" t="s">
        <v>462</v>
      </c>
      <c r="C40" s="647" t="s">
        <v>132</v>
      </c>
      <c r="D40" s="647"/>
      <c r="E40" s="647" t="s">
        <v>463</v>
      </c>
      <c r="F40" s="647">
        <v>2140</v>
      </c>
      <c r="G40" s="647" t="s">
        <v>167</v>
      </c>
      <c r="H40" s="647"/>
      <c r="AA40" s="256">
        <f>SUMIFS('Employee Detail FY23'!$AA$6:$AA$132,'Employee Detail FY23'!$B$6:$B$132,$B40,'Employee Detail FY23'!$C$6:$C$132,$C40,'Employee Detail FY23'!$E$6:$E$132,$E40,'Employee Detail FY23'!$F$6:$F$132,$F40,'Employee Detail FY23'!$G$6:$G$132,$G40)</f>
        <v>86463.420984304001</v>
      </c>
      <c r="AB40" s="62"/>
      <c r="AC40" s="399">
        <f>SUMIFS('Employee Detail FY23'!$AC$6:$AC$132,'Employee Detail FY23'!$B$6:$B$132,$B40,'Employee Detail FY23'!$C$6:$C$132,$C40,'Employee Detail FY23'!$E$6:$E$132,$E40,'Employee Detail FY23'!$F$6:$F$132,$F40,'Employee Detail FY23'!$G$6:$G$132,$G40)</f>
        <v>7943.76</v>
      </c>
      <c r="AD40" s="62">
        <f>SUMIFS('Employee Detail FY23'!$AD$6:$AD$132,'Employee Detail FY23'!$B$6:$B$132,$B40,'Employee Detail FY23'!$C$6:$C$132,$C40,'Employee Detail FY23'!$E$6:$E$132,$E40,'Employee Detail FY23'!$F$6:$F$132,$F40,'Employee Detail FY23'!$G$6:$G$132,$G40)</f>
        <v>0</v>
      </c>
      <c r="AE40" s="62">
        <f>SUMIFS('Employee Detail FY23'!$AE$6:$AE$132,'Employee Detail FY23'!$B$6:$B$132,$B40,'Employee Detail FY23'!$C$6:$C$132,$C40,'Employee Detail FY23'!$E$6:$E$132,$E40,'Employee Detail FY23'!$F$6:$F$132,$F40,'Employee Detail FY23'!$G$6:$G$132,$G40)</f>
        <v>13185.671700106361</v>
      </c>
      <c r="AF40" s="62">
        <f>SUMIFS('Employee Detail FY23'!$AF$6:$AF$132,'Employee Detail FY23'!$B$6:$B$132,$B40,'Employee Detail FY23'!$C$6:$C$132,$C40,'Employee Detail FY23'!$E$6:$E$132,$E40,'Employee Detail FY23'!$F$6:$F$132,$F40,'Employee Detail FY23'!$G$6:$G$132,$G40)</f>
        <v>1253.7196042724081</v>
      </c>
      <c r="AG40" s="269">
        <v>0</v>
      </c>
      <c r="AH40" s="62">
        <f>SUMIFS('Employee Detail FY23'!$AH$6:$AH$132,'Employee Detail FY23'!$B$6:$B$132,$B40,'Employee Detail FY23'!$C$6:$C$132,$C40,'Employee Detail FY23'!$E$6:$E$132,$E40,'Employee Detail FY23'!$F$6:$F$132,$F40,'Employee Detail FY23'!$G$6:$G$132,$G40)</f>
        <v>787.01911875260362</v>
      </c>
      <c r="AI40" s="62">
        <f>SUMIFS('Employee Detail FY23'!$AI$6:$AI$132,'Employee Detail FY23'!$B$6:$B$132,$B40,'Employee Detail FY23'!$C$6:$C$132,$C40,'Employee Detail FY23'!$E$6:$E$132,$E40,'Employee Detail FY23'!$F$6:$F$132,$F40,'Employee Detail FY23'!$G$6:$G$132,$G40)</f>
        <v>254.65195591618857</v>
      </c>
      <c r="AJ40" s="62">
        <v>0</v>
      </c>
      <c r="AK40" s="62">
        <v>0</v>
      </c>
      <c r="AL40" s="256">
        <f t="shared" si="10"/>
        <v>23424.822379047564</v>
      </c>
      <c r="AM40" s="256">
        <f t="shared" si="8"/>
        <v>86463.420984304001</v>
      </c>
      <c r="AN40" s="256">
        <f t="shared" si="11"/>
        <v>109888.24336335156</v>
      </c>
    </row>
    <row r="41" spans="1:40" outlineLevel="1" x14ac:dyDescent="0.2">
      <c r="B41" s="647"/>
      <c r="C41" s="647"/>
      <c r="D41" s="647"/>
      <c r="E41" s="647"/>
      <c r="F41" s="647"/>
      <c r="G41" s="647"/>
      <c r="H41" s="647"/>
      <c r="AA41" s="256">
        <f>SUMIFS('Employee Detail FY23'!$AA$6:$AA$132,'Employee Detail FY23'!$B$6:$B$132,$B41,'Employee Detail FY23'!$C$6:$C$132,$C41,'Employee Detail FY23'!$E$6:$E$132,$E41,'Employee Detail FY23'!$F$6:$F$132,$F41,'Employee Detail FY23'!$G$6:$G$132,$G41)</f>
        <v>0</v>
      </c>
      <c r="AB41" s="62"/>
      <c r="AC41" s="62">
        <f>SUMIFS('Employee Detail FY23'!$AC$6:$AC$132,'Employee Detail FY23'!$B$6:$B$132,$B41,'Employee Detail FY23'!$C$6:$C$132,$C41,'Employee Detail FY23'!$E$6:$E$132,$E41,'Employee Detail FY23'!$F$6:$F$132,$F41,'Employee Detail FY23'!$G$6:$G$132,$G41)</f>
        <v>0</v>
      </c>
      <c r="AD41" s="62">
        <f>SUMIFS('Employee Detail FY23'!$AD$6:$AD$132,'Employee Detail FY23'!$B$6:$B$132,$B41,'Employee Detail FY23'!$C$6:$C$132,$C41,'Employee Detail FY23'!$E$6:$E$132,$E41,'Employee Detail FY23'!$F$6:$F$132,$F41,'Employee Detail FY23'!$G$6:$G$132,$G41)</f>
        <v>0</v>
      </c>
      <c r="AE41" s="62">
        <f>SUMIFS('Employee Detail FY23'!$AE$6:$AE$132,'Employee Detail FY23'!$B$6:$B$132,$B41,'Employee Detail FY23'!$C$6:$C$132,$C41,'Employee Detail FY23'!$E$6:$E$132,$E41,'Employee Detail FY23'!$F$6:$F$132,$F41,'Employee Detail FY23'!$G$6:$G$132,$G41)</f>
        <v>0</v>
      </c>
      <c r="AF41" s="62">
        <f>SUMIFS('Employee Detail FY23'!$AF$6:$AF$132,'Employee Detail FY23'!$B$6:$B$132,$B41,'Employee Detail FY23'!$C$6:$C$132,$C41,'Employee Detail FY23'!$E$6:$E$132,$E41,'Employee Detail FY23'!$F$6:$F$132,$F41,'Employee Detail FY23'!$G$6:$G$132,$G41)</f>
        <v>0</v>
      </c>
      <c r="AG41" s="269">
        <v>0</v>
      </c>
      <c r="AH41" s="62">
        <f>SUMIFS('Employee Detail FY23'!$AH$6:$AH$132,'Employee Detail FY23'!$B$6:$B$132,$B41,'Employee Detail FY23'!$C$6:$C$132,$C41,'Employee Detail FY23'!$E$6:$E$132,$E41,'Employee Detail FY23'!$F$6:$F$132,$F41,'Employee Detail FY23'!$G$6:$G$132,$G41)</f>
        <v>0</v>
      </c>
      <c r="AI41" s="62">
        <f>SUMIFS('Employee Detail FY23'!$AI$6:$AI$132,'Employee Detail FY23'!$B$6:$B$132,$B41,'Employee Detail FY23'!$C$6:$C$132,$C41,'Employee Detail FY23'!$E$6:$E$132,$E41,'Employee Detail FY23'!$F$6:$F$132,$F41,'Employee Detail FY23'!$G$6:$G$132,$G41)</f>
        <v>0</v>
      </c>
      <c r="AJ41" s="62">
        <v>0</v>
      </c>
      <c r="AK41" s="62">
        <v>0</v>
      </c>
      <c r="AL41" s="256">
        <f t="shared" si="10"/>
        <v>0</v>
      </c>
      <c r="AM41" s="256">
        <f t="shared" si="8"/>
        <v>0</v>
      </c>
      <c r="AN41" s="256">
        <f t="shared" si="11"/>
        <v>0</v>
      </c>
    </row>
    <row r="42" spans="1:40" outlineLevel="1" x14ac:dyDescent="0.2">
      <c r="B42" s="647" t="s">
        <v>462</v>
      </c>
      <c r="C42" s="647">
        <v>205</v>
      </c>
      <c r="D42" s="647"/>
      <c r="E42" s="647" t="s">
        <v>463</v>
      </c>
      <c r="F42" s="647">
        <v>2410</v>
      </c>
      <c r="G42" s="647" t="s">
        <v>173</v>
      </c>
      <c r="H42" s="647"/>
      <c r="AA42" s="256">
        <f>SUMIFS('Employee Detail FY23'!$AA$6:$AA$132,'Employee Detail FY23'!$B$6:$B$132,$B42,'Employee Detail FY23'!$C$6:$C$132,$C42,'Employee Detail FY23'!$E$6:$E$132,$E42,'Employee Detail FY23'!$F$6:$F$132,$F42,'Employee Detail FY23'!$G$6:$G$132,$G42)</f>
        <v>47822.41520784</v>
      </c>
      <c r="AB42" s="62"/>
      <c r="AC42" s="399">
        <f>SUMIFS('Employee Detail FY23'!$AC$6:$AC$132,'Employee Detail FY23'!$B$6:$B$132,$B42,'Employee Detail FY23'!$C$6:$C$132,$C42,'Employee Detail FY23'!$E$6:$E$132,$E42,'Employee Detail FY23'!$F$6:$F$132,$F42,'Employee Detail FY23'!$G$6:$G$132,$G42)</f>
        <v>7943.76</v>
      </c>
      <c r="AD42" s="62">
        <f>SUMIFS('Employee Detail FY23'!$AD$6:$AD$132,'Employee Detail FY23'!$B$6:$B$132,$B42,'Employee Detail FY23'!$C$6:$C$132,$C42,'Employee Detail FY23'!$E$6:$E$132,$E42,'Employee Detail FY23'!$F$6:$F$132,$F42,'Employee Detail FY23'!$G$6:$G$132,$G42)</f>
        <v>0</v>
      </c>
      <c r="AE42" s="62">
        <f>SUMIFS('Employee Detail FY23'!$AE$6:$AE$132,'Employee Detail FY23'!$B$6:$B$132,$B42,'Employee Detail FY23'!$C$6:$C$132,$C42,'Employee Detail FY23'!$E$6:$E$132,$E42,'Employee Detail FY23'!$F$6:$F$132,$F42,'Employee Detail FY23'!$G$6:$G$132,$G42)</f>
        <v>7292.9183191955999</v>
      </c>
      <c r="AF42" s="62">
        <f>SUMIFS('Employee Detail FY23'!$AF$6:$AF$132,'Employee Detail FY23'!$B$6:$B$132,$B42,'Employee Detail FY23'!$C$6:$C$132,$C42,'Employee Detail FY23'!$E$6:$E$132,$E42,'Employee Detail FY23'!$F$6:$F$132,$F42,'Employee Detail FY23'!$G$6:$G$132,$G42)</f>
        <v>693.42502051368001</v>
      </c>
      <c r="AG42" s="269">
        <v>0</v>
      </c>
      <c r="AH42" s="62">
        <f>SUMIFS('Employee Detail FY23'!$AH$6:$AH$132,'Employee Detail FY23'!$B$6:$B$132,$B42,'Employee Detail FY23'!$C$6:$C$132,$C42,'Employee Detail FY23'!$E$6:$E$132,$E42,'Employee Detail FY23'!$F$6:$F$132,$F42,'Employee Detail FY23'!$G$6:$G$132,$G42)</f>
        <v>435.29569666608199</v>
      </c>
      <c r="AI42" s="62">
        <f>SUMIFS('Employee Detail FY23'!$AI$6:$AI$132,'Employee Detail FY23'!$B$6:$B$132,$B42,'Employee Detail FY23'!$C$6:$C$132,$C42,'Employee Detail FY23'!$E$6:$E$132,$E42,'Employee Detail FY23'!$F$6:$F$132,$F42,'Employee Detail FY23'!$G$6:$G$132,$G42)</f>
        <v>140.84651556319133</v>
      </c>
      <c r="AJ42" s="62">
        <v>0</v>
      </c>
      <c r="AK42" s="62">
        <v>0</v>
      </c>
      <c r="AL42" s="256">
        <f t="shared" si="10"/>
        <v>16506.245551938555</v>
      </c>
      <c r="AM42" s="256">
        <f t="shared" si="8"/>
        <v>47822.41520784</v>
      </c>
      <c r="AN42" s="256">
        <f t="shared" si="11"/>
        <v>64328.660759778555</v>
      </c>
    </row>
    <row r="43" spans="1:40" outlineLevel="1" x14ac:dyDescent="0.2">
      <c r="A43" s="397"/>
      <c r="B43" s="650"/>
      <c r="C43" s="650"/>
      <c r="D43" s="650"/>
      <c r="E43" s="650"/>
      <c r="F43" s="650"/>
      <c r="G43" s="650"/>
      <c r="H43" s="647"/>
      <c r="AA43" s="256">
        <f>SUMIFS('Employee Detail FY23'!$AA$6:$AA$132,'Employee Detail FY23'!$B$6:$B$132,$B43,'Employee Detail FY23'!$C$6:$C$132,$C43,'Employee Detail FY23'!$E$6:$E$132,$E43,'Employee Detail FY23'!$F$6:$F$132,$F43,'Employee Detail FY23'!$G$6:$G$132,$G43)</f>
        <v>0</v>
      </c>
      <c r="AB43" s="62"/>
      <c r="AC43" s="62">
        <f>SUMIFS('Employee Detail FY23'!$AC$6:$AC$132,'Employee Detail FY23'!$B$6:$B$132,$B43,'Employee Detail FY23'!$C$6:$C$132,$C43,'Employee Detail FY23'!$E$6:$E$132,$E43,'Employee Detail FY23'!$F$6:$F$132,$F43,'Employee Detail FY23'!$G$6:$G$132,$G43)</f>
        <v>0</v>
      </c>
      <c r="AD43" s="62">
        <f>SUMIFS('Employee Detail FY23'!$AD$6:$AD$132,'Employee Detail FY23'!$B$6:$B$132,$B43,'Employee Detail FY23'!$C$6:$C$132,$C43,'Employee Detail FY23'!$E$6:$E$132,$E43,'Employee Detail FY23'!$F$6:$F$132,$F43,'Employee Detail FY23'!$G$6:$G$132,$G43)</f>
        <v>0</v>
      </c>
      <c r="AE43" s="62">
        <f>SUMIFS('Employee Detail FY23'!$AE$6:$AE$132,'Employee Detail FY23'!$B$6:$B$132,$B43,'Employee Detail FY23'!$C$6:$C$132,$C43,'Employee Detail FY23'!$E$6:$E$132,$E43,'Employee Detail FY23'!$F$6:$F$132,$F43,'Employee Detail FY23'!$G$6:$G$132,$G43)</f>
        <v>0</v>
      </c>
      <c r="AF43" s="62">
        <f>SUMIFS('Employee Detail FY23'!$AF$6:$AF$132,'Employee Detail FY23'!$B$6:$B$132,$B43,'Employee Detail FY23'!$C$6:$C$132,$C43,'Employee Detail FY23'!$E$6:$E$132,$E43,'Employee Detail FY23'!$F$6:$F$132,$F43,'Employee Detail FY23'!$G$6:$G$132,$G43)</f>
        <v>0</v>
      </c>
      <c r="AG43" s="269">
        <v>0</v>
      </c>
      <c r="AH43" s="62">
        <f>SUMIFS('Employee Detail FY23'!$AH$6:$AH$132,'Employee Detail FY23'!$B$6:$B$132,$B43,'Employee Detail FY23'!$C$6:$C$132,$C43,'Employee Detail FY23'!$E$6:$E$132,$E43,'Employee Detail FY23'!$F$6:$F$132,$F43,'Employee Detail FY23'!$G$6:$G$132,$G43)</f>
        <v>0</v>
      </c>
      <c r="AI43" s="62">
        <f>SUMIFS('Employee Detail FY23'!$AI$6:$AI$132,'Employee Detail FY23'!$B$6:$B$132,$B43,'Employee Detail FY23'!$C$6:$C$132,$C43,'Employee Detail FY23'!$E$6:$E$132,$E43,'Employee Detail FY23'!$F$6:$F$132,$F43,'Employee Detail FY23'!$G$6:$G$132,$G43)</f>
        <v>0</v>
      </c>
      <c r="AJ43" s="62">
        <v>0</v>
      </c>
      <c r="AK43" s="62">
        <v>0</v>
      </c>
      <c r="AL43" s="256">
        <f t="shared" si="10"/>
        <v>0</v>
      </c>
      <c r="AM43" s="256">
        <f t="shared" si="8"/>
        <v>0</v>
      </c>
      <c r="AN43" s="256">
        <f t="shared" si="11"/>
        <v>0</v>
      </c>
    </row>
    <row r="44" spans="1:40" outlineLevel="1" x14ac:dyDescent="0.2">
      <c r="B44" s="647" t="s">
        <v>135</v>
      </c>
      <c r="C44" s="647" t="s">
        <v>247</v>
      </c>
      <c r="D44" s="647"/>
      <c r="E44" s="647" t="s">
        <v>473</v>
      </c>
      <c r="F44" s="647" t="s">
        <v>461</v>
      </c>
      <c r="G44" s="647" t="s">
        <v>161</v>
      </c>
      <c r="H44" s="647"/>
      <c r="AA44" s="256">
        <f>SUMIFS('Employee Detail FY23'!$AA$6:$AA$132,'Employee Detail FY23'!$B$6:$B$132,$B44,'Employee Detail FY23'!$C$6:$C$132,$C44,'Employee Detail FY23'!$E$6:$E$132,$E44,'Employee Detail FY23'!$F$6:$F$132,$F44,'Employee Detail FY23'!$G$6:$G$132,$G44)</f>
        <v>0</v>
      </c>
      <c r="AB44" s="62"/>
      <c r="AC44" s="399">
        <f>SUMIFS('Employee Detail FY23'!$AC$6:$AC$132,'Employee Detail FY23'!$B$6:$B$132,$B44,'Employee Detail FY23'!$C$6:$C$132,$C44,'Employee Detail FY23'!$E$6:$E$132,$E44,'Employee Detail FY23'!$F$6:$F$132,$F44,'Employee Detail FY23'!$G$6:$G$132,$G44)</f>
        <v>0</v>
      </c>
      <c r="AD44" s="62">
        <f>SUMIFS('Employee Detail FY23'!$AD$6:$AD$132,'Employee Detail FY23'!$B$6:$B$132,$B44,'Employee Detail FY23'!$C$6:$C$132,$C44,'Employee Detail FY23'!$E$6:$E$132,$E44,'Employee Detail FY23'!$F$6:$F$132,$F44,'Employee Detail FY23'!$G$6:$G$132,$G44)</f>
        <v>0</v>
      </c>
      <c r="AE44" s="62">
        <f>SUMIFS('Employee Detail FY23'!$AE$6:$AE$132,'Employee Detail FY23'!$B$6:$B$132,$B44,'Employee Detail FY23'!$C$6:$C$132,$C44,'Employee Detail FY23'!$E$6:$E$132,$E44,'Employee Detail FY23'!$F$6:$F$132,$F44,'Employee Detail FY23'!$G$6:$G$132,$G44)</f>
        <v>0</v>
      </c>
      <c r="AF44" s="62">
        <f>SUMIFS('Employee Detail FY23'!$AF$6:$AF$132,'Employee Detail FY23'!$B$6:$B$132,$B44,'Employee Detail FY23'!$C$6:$C$132,$C44,'Employee Detail FY23'!$E$6:$E$132,$E44,'Employee Detail FY23'!$F$6:$F$132,$F44,'Employee Detail FY23'!$G$6:$G$132,$G44)</f>
        <v>0</v>
      </c>
      <c r="AG44" s="269">
        <v>0</v>
      </c>
      <c r="AH44" s="62">
        <f>SUMIFS('Employee Detail FY23'!$AH$6:$AH$132,'Employee Detail FY23'!$B$6:$B$132,$B44,'Employee Detail FY23'!$C$6:$C$132,$C44,'Employee Detail FY23'!$E$6:$E$132,$E44,'Employee Detail FY23'!$F$6:$F$132,$F44,'Employee Detail FY23'!$G$6:$G$132,$G44)</f>
        <v>0</v>
      </c>
      <c r="AI44" s="62">
        <f>SUMIFS('Employee Detail FY23'!$AI$6:$AI$132,'Employee Detail FY23'!$B$6:$B$132,$B44,'Employee Detail FY23'!$C$6:$C$132,$C44,'Employee Detail FY23'!$E$6:$E$132,$E44,'Employee Detail FY23'!$F$6:$F$132,$F44,'Employee Detail FY23'!$G$6:$G$132,$G44)</f>
        <v>0</v>
      </c>
      <c r="AJ44" s="62">
        <v>0</v>
      </c>
      <c r="AK44" s="62">
        <v>0</v>
      </c>
      <c r="AL44" s="256">
        <f t="shared" si="10"/>
        <v>0</v>
      </c>
      <c r="AM44" s="256">
        <f t="shared" si="8"/>
        <v>0</v>
      </c>
      <c r="AN44" s="256">
        <f t="shared" si="11"/>
        <v>0</v>
      </c>
    </row>
    <row r="45" spans="1:40" outlineLevel="1" x14ac:dyDescent="0.2">
      <c r="B45" s="647"/>
      <c r="C45" s="647"/>
      <c r="D45" s="647"/>
      <c r="E45" s="647"/>
      <c r="F45" s="647"/>
      <c r="G45" s="647"/>
      <c r="H45" s="647"/>
      <c r="AA45" s="256">
        <f>SUMIFS('Employee Detail FY23'!$AA$6:$AA$132,'Employee Detail FY23'!$B$6:$B$132,$B45,'Employee Detail FY23'!$C$6:$C$132,$C45,'Employee Detail FY23'!$E$6:$E$132,$E45,'Employee Detail FY23'!$F$6:$F$132,$F45,'Employee Detail FY23'!$G$6:$G$132,$G45)</f>
        <v>0</v>
      </c>
      <c r="AB45" s="62"/>
      <c r="AC45" s="62">
        <f>SUMIFS('Employee Detail FY23'!$AC$6:$AC$132,'Employee Detail FY23'!$B$6:$B$132,$B45,'Employee Detail FY23'!$C$6:$C$132,$C45,'Employee Detail FY23'!$E$6:$E$132,$E45,'Employee Detail FY23'!$F$6:$F$132,$F45,'Employee Detail FY23'!$G$6:$G$132,$G45)</f>
        <v>0</v>
      </c>
      <c r="AD45" s="62">
        <f>SUMIFS('Employee Detail FY23'!$AD$6:$AD$132,'Employee Detail FY23'!$B$6:$B$132,$B45,'Employee Detail FY23'!$C$6:$C$132,$C45,'Employee Detail FY23'!$E$6:$E$132,$E45,'Employee Detail FY23'!$F$6:$F$132,$F45,'Employee Detail FY23'!$G$6:$G$132,$G45)</f>
        <v>0</v>
      </c>
      <c r="AE45" s="62">
        <f>SUMIFS('Employee Detail FY23'!$AE$6:$AE$132,'Employee Detail FY23'!$B$6:$B$132,$B45,'Employee Detail FY23'!$C$6:$C$132,$C45,'Employee Detail FY23'!$E$6:$E$132,$E45,'Employee Detail FY23'!$F$6:$F$132,$F45,'Employee Detail FY23'!$G$6:$G$132,$G45)</f>
        <v>0</v>
      </c>
      <c r="AF45" s="62">
        <f>SUMIFS('Employee Detail FY23'!$AF$6:$AF$132,'Employee Detail FY23'!$B$6:$B$132,$B45,'Employee Detail FY23'!$C$6:$C$132,$C45,'Employee Detail FY23'!$E$6:$E$132,$E45,'Employee Detail FY23'!$F$6:$F$132,$F45,'Employee Detail FY23'!$G$6:$G$132,$G45)</f>
        <v>0</v>
      </c>
      <c r="AG45" s="269">
        <v>0</v>
      </c>
      <c r="AH45" s="62">
        <f>SUMIFS('Employee Detail FY23'!$AH$6:$AH$132,'Employee Detail FY23'!$B$6:$B$132,$B45,'Employee Detail FY23'!$C$6:$C$132,$C45,'Employee Detail FY23'!$E$6:$E$132,$E45,'Employee Detail FY23'!$F$6:$F$132,$F45,'Employee Detail FY23'!$G$6:$G$132,$G45)</f>
        <v>0</v>
      </c>
      <c r="AI45" s="62">
        <f>SUMIFS('Employee Detail FY23'!$AI$6:$AI$132,'Employee Detail FY23'!$B$6:$B$132,$B45,'Employee Detail FY23'!$C$6:$C$132,$C45,'Employee Detail FY23'!$E$6:$E$132,$E45,'Employee Detail FY23'!$F$6:$F$132,$F45,'Employee Detail FY23'!$G$6:$G$132,$G45)</f>
        <v>0</v>
      </c>
      <c r="AJ45" s="62">
        <v>0</v>
      </c>
      <c r="AK45" s="62">
        <v>0</v>
      </c>
      <c r="AL45" s="256">
        <f t="shared" si="10"/>
        <v>0</v>
      </c>
      <c r="AM45" s="256">
        <f t="shared" si="8"/>
        <v>0</v>
      </c>
      <c r="AN45" s="256">
        <f t="shared" si="11"/>
        <v>0</v>
      </c>
    </row>
    <row r="46" spans="1:40" outlineLevel="1" x14ac:dyDescent="0.2">
      <c r="B46" s="647" t="s">
        <v>135</v>
      </c>
      <c r="C46" s="647" t="s">
        <v>864</v>
      </c>
      <c r="D46" s="647"/>
      <c r="E46" s="647">
        <v>420</v>
      </c>
      <c r="F46" s="647">
        <v>2120</v>
      </c>
      <c r="G46" s="647" t="s">
        <v>173</v>
      </c>
      <c r="H46" s="647"/>
      <c r="AA46" s="256">
        <f>SUMIFS('Employee Detail FY23'!$AA$6:$AA$132,'Employee Detail FY23'!$B$6:$B$132,$B46,'Employee Detail FY23'!$C$6:$C$132,$C46,'Employee Detail FY23'!$E$6:$E$132,$E46,'Employee Detail FY23'!$F$6:$F$132,$F46,'Employee Detail FY23'!$G$6:$G$132,$G46)</f>
        <v>6683</v>
      </c>
      <c r="AB46" s="62"/>
      <c r="AC46" s="399">
        <f>SUMIFS('Employee Detail FY23'!$AC$6:$AC$132,'Employee Detail FY23'!$B$6:$B$132,$B46,'Employee Detail FY23'!$C$6:$C$132,$C46,'Employee Detail FY23'!$E$6:$E$132,$E46,'Employee Detail FY23'!$F$6:$F$132,$F46,'Employee Detail FY23'!$G$6:$G$132,$G46)</f>
        <v>0</v>
      </c>
      <c r="AD46" s="62">
        <f>SUMIFS('Employee Detail FY23'!$AD$6:$AD$132,'Employee Detail FY23'!$B$6:$B$132,$B46,'Employee Detail FY23'!$C$6:$C$132,$C46,'Employee Detail FY23'!$E$6:$E$132,$E46,'Employee Detail FY23'!$F$6:$F$132,$F46,'Employee Detail FY23'!$G$6:$G$132,$G46)</f>
        <v>414.346</v>
      </c>
      <c r="AE46" s="62">
        <f>SUMIFS('Employee Detail FY23'!$AE$6:$AE$132,'Employee Detail FY23'!$B$6:$B$132,$B46,'Employee Detail FY23'!$C$6:$C$132,$C46,'Employee Detail FY23'!$E$6:$E$132,$E46,'Employee Detail FY23'!$F$6:$F$132,$F46,'Employee Detail FY23'!$G$6:$G$132,$G46)</f>
        <v>0</v>
      </c>
      <c r="AF46" s="62">
        <f>SUMIFS('Employee Detail FY23'!$AF$6:$AF$132,'Employee Detail FY23'!$B$6:$B$132,$B46,'Employee Detail FY23'!$C$6:$C$132,$C46,'Employee Detail FY23'!$E$6:$E$132,$E46,'Employee Detail FY23'!$F$6:$F$132,$F46,'Employee Detail FY23'!$G$6:$G$132,$G46)</f>
        <v>96.903500000000008</v>
      </c>
      <c r="AG46" s="269">
        <v>0</v>
      </c>
      <c r="AH46" s="62">
        <f>SUMIFS('Employee Detail FY23'!$AH$6:$AH$132,'Employee Detail FY23'!$B$6:$B$132,$B46,'Employee Detail FY23'!$C$6:$C$132,$C46,'Employee Detail FY23'!$E$6:$E$132,$E46,'Employee Detail FY23'!$F$6:$F$132,$F46,'Employee Detail FY23'!$G$6:$G$132,$G46)</f>
        <v>60.83091220249603</v>
      </c>
      <c r="AI46" s="62">
        <f>SUMIFS('Employee Detail FY23'!$AI$6:$AI$132,'Employee Detail FY23'!$B$6:$B$132,$B46,'Employee Detail FY23'!$C$6:$C$132,$C46,'Employee Detail FY23'!$E$6:$E$132,$E46,'Employee Detail FY23'!$F$6:$F$132,$F46,'Employee Detail FY23'!$G$6:$G$132,$G46)</f>
        <v>19.682762976690789</v>
      </c>
      <c r="AJ46" s="62">
        <v>0</v>
      </c>
      <c r="AK46" s="62">
        <v>0</v>
      </c>
      <c r="AL46" s="256">
        <f t="shared" si="10"/>
        <v>591.76317517918687</v>
      </c>
      <c r="AM46" s="256">
        <f t="shared" si="8"/>
        <v>6683</v>
      </c>
      <c r="AN46" s="256">
        <f t="shared" si="11"/>
        <v>7274.7631751791869</v>
      </c>
    </row>
    <row r="47" spans="1:40" outlineLevel="1" x14ac:dyDescent="0.2">
      <c r="B47" s="647" t="s">
        <v>135</v>
      </c>
      <c r="C47" s="647" t="s">
        <v>864</v>
      </c>
      <c r="D47" s="647"/>
      <c r="E47" s="647" t="s">
        <v>557</v>
      </c>
      <c r="F47" s="647" t="s">
        <v>465</v>
      </c>
      <c r="G47" s="647" t="s">
        <v>993</v>
      </c>
      <c r="H47" s="647"/>
      <c r="AA47" s="256">
        <f>SUMIFS('Employee Detail FY23'!$AA$6:$AA$132,'Employee Detail FY23'!$B$6:$B$132,$B47,'Employee Detail FY23'!$C$6:$C$132,$C47,'Employee Detail FY23'!$E$6:$E$132,$E47,'Employee Detail FY23'!$F$6:$F$132,$F47,'Employee Detail FY23'!$G$6:$G$132,$G47)</f>
        <v>0</v>
      </c>
      <c r="AB47" s="62"/>
      <c r="AC47" s="399">
        <f>SUMIFS('Employee Detail FY23'!$AC$6:$AC$132,'Employee Detail FY23'!$B$6:$B$132,$B47,'Employee Detail FY23'!$C$6:$C$132,$C47,'Employee Detail FY23'!$E$6:$E$132,$E47,'Employee Detail FY23'!$F$6:$F$132,$F47,'Employee Detail FY23'!$G$6:$G$132,$G47)</f>
        <v>0</v>
      </c>
      <c r="AD47" s="62">
        <f>SUMIFS('Employee Detail FY23'!$AD$6:$AD$132,'Employee Detail FY23'!$B$6:$B$132,$B47,'Employee Detail FY23'!$C$6:$C$132,$C47,'Employee Detail FY23'!$E$6:$E$132,$E47,'Employee Detail FY23'!$F$6:$F$132,$F47,'Employee Detail FY23'!$G$6:$G$132,$G47)</f>
        <v>0</v>
      </c>
      <c r="AE47" s="62">
        <f>SUMIFS('Employee Detail FY23'!$AE$6:$AE$132,'Employee Detail FY23'!$B$6:$B$132,$B47,'Employee Detail FY23'!$C$6:$C$132,$C47,'Employee Detail FY23'!$E$6:$E$132,$E47,'Employee Detail FY23'!$F$6:$F$132,$F47,'Employee Detail FY23'!$G$6:$G$132,$G47)</f>
        <v>0</v>
      </c>
      <c r="AF47" s="62">
        <f>SUMIFS('Employee Detail FY23'!$AF$6:$AF$132,'Employee Detail FY23'!$B$6:$B$132,$B47,'Employee Detail FY23'!$C$6:$C$132,$C47,'Employee Detail FY23'!$E$6:$E$132,$E47,'Employee Detail FY23'!$F$6:$F$132,$F47,'Employee Detail FY23'!$G$6:$G$132,$G47)</f>
        <v>0</v>
      </c>
      <c r="AG47" s="269">
        <v>0</v>
      </c>
      <c r="AH47" s="62">
        <f>SUMIFS('Employee Detail FY23'!$AH$6:$AH$132,'Employee Detail FY23'!$B$6:$B$132,$B47,'Employee Detail FY23'!$C$6:$C$132,$C47,'Employee Detail FY23'!$E$6:$E$132,$E47,'Employee Detail FY23'!$F$6:$F$132,$F47,'Employee Detail FY23'!$G$6:$G$132,$G47)</f>
        <v>0</v>
      </c>
      <c r="AI47" s="62">
        <f>SUMIFS('Employee Detail FY23'!$AI$6:$AI$132,'Employee Detail FY23'!$B$6:$B$132,$B47,'Employee Detail FY23'!$C$6:$C$132,$C47,'Employee Detail FY23'!$E$6:$E$132,$E47,'Employee Detail FY23'!$F$6:$F$132,$F47,'Employee Detail FY23'!$G$6:$G$132,$G47)</f>
        <v>0</v>
      </c>
      <c r="AJ47" s="62">
        <v>0</v>
      </c>
      <c r="AK47" s="62">
        <v>0</v>
      </c>
      <c r="AL47" s="256">
        <f t="shared" si="10"/>
        <v>0</v>
      </c>
      <c r="AM47" s="256">
        <f t="shared" si="8"/>
        <v>0</v>
      </c>
      <c r="AN47" s="256">
        <f t="shared" si="11"/>
        <v>0</v>
      </c>
    </row>
    <row r="48" spans="1:40" outlineLevel="1" x14ac:dyDescent="0.2">
      <c r="B48" s="647"/>
      <c r="C48" s="647"/>
      <c r="D48" s="647"/>
      <c r="E48" s="647"/>
      <c r="F48" s="647"/>
      <c r="G48" s="647"/>
      <c r="H48" s="647"/>
      <c r="AA48" s="256">
        <f>SUMIFS('Employee Detail FY23'!$AA$6:$AA$132,'Employee Detail FY23'!$B$6:$B$132,$B48,'Employee Detail FY23'!$C$6:$C$132,$C48,'Employee Detail FY23'!$E$6:$E$132,$E48,'Employee Detail FY23'!$F$6:$F$132,$F48,'Employee Detail FY23'!$G$6:$G$132,$G48)</f>
        <v>0</v>
      </c>
      <c r="AB48" s="62"/>
      <c r="AC48" s="62">
        <f>SUMIFS('Employee Detail FY23'!$AC$6:$AC$132,'Employee Detail FY23'!$B$6:$B$132,$B48,'Employee Detail FY23'!$C$6:$C$132,$C48,'Employee Detail FY23'!$E$6:$E$132,$E48,'Employee Detail FY23'!$F$6:$F$132,$F48,'Employee Detail FY23'!$G$6:$G$132,$G48)</f>
        <v>0</v>
      </c>
      <c r="AD48" s="62">
        <f>SUMIFS('Employee Detail FY23'!$AD$6:$AD$132,'Employee Detail FY23'!$B$6:$B$132,$B48,'Employee Detail FY23'!$C$6:$C$132,$C48,'Employee Detail FY23'!$E$6:$E$132,$E48,'Employee Detail FY23'!$F$6:$F$132,$F48,'Employee Detail FY23'!$G$6:$G$132,$G48)</f>
        <v>0</v>
      </c>
      <c r="AE48" s="62">
        <f>SUMIFS('Employee Detail FY23'!$AE$6:$AE$132,'Employee Detail FY23'!$B$6:$B$132,$B48,'Employee Detail FY23'!$C$6:$C$132,$C48,'Employee Detail FY23'!$E$6:$E$132,$E48,'Employee Detail FY23'!$F$6:$F$132,$F48,'Employee Detail FY23'!$G$6:$G$132,$G48)</f>
        <v>0</v>
      </c>
      <c r="AF48" s="62">
        <f>SUMIFS('Employee Detail FY23'!$AF$6:$AF$132,'Employee Detail FY23'!$B$6:$B$132,$B48,'Employee Detail FY23'!$C$6:$C$132,$C48,'Employee Detail FY23'!$E$6:$E$132,$E48,'Employee Detail FY23'!$F$6:$F$132,$F48,'Employee Detail FY23'!$G$6:$G$132,$G48)</f>
        <v>0</v>
      </c>
      <c r="AG48" s="269">
        <v>0</v>
      </c>
      <c r="AH48" s="62">
        <f>SUMIFS('Employee Detail FY23'!$AH$6:$AH$132,'Employee Detail FY23'!$B$6:$B$132,$B48,'Employee Detail FY23'!$C$6:$C$132,$C48,'Employee Detail FY23'!$E$6:$E$132,$E48,'Employee Detail FY23'!$F$6:$F$132,$F48,'Employee Detail FY23'!$G$6:$G$132,$G48)</f>
        <v>0</v>
      </c>
      <c r="AI48" s="62">
        <f>SUMIFS('Employee Detail FY23'!$AI$6:$AI$132,'Employee Detail FY23'!$B$6:$B$132,$B48,'Employee Detail FY23'!$C$6:$C$132,$C48,'Employee Detail FY23'!$E$6:$E$132,$E48,'Employee Detail FY23'!$F$6:$F$132,$F48,'Employee Detail FY23'!$G$6:$G$132,$G48)</f>
        <v>0</v>
      </c>
      <c r="AJ48" s="62">
        <v>0</v>
      </c>
      <c r="AK48" s="62">
        <v>0</v>
      </c>
      <c r="AL48" s="256">
        <f t="shared" si="10"/>
        <v>0</v>
      </c>
      <c r="AM48" s="256">
        <f t="shared" si="8"/>
        <v>0</v>
      </c>
      <c r="AN48" s="256">
        <f t="shared" si="11"/>
        <v>0</v>
      </c>
    </row>
    <row r="49" spans="2:40" outlineLevel="1" x14ac:dyDescent="0.2">
      <c r="B49" s="647" t="s">
        <v>135</v>
      </c>
      <c r="C49" s="647" t="s">
        <v>864</v>
      </c>
      <c r="D49" s="647"/>
      <c r="E49" s="647" t="s">
        <v>557</v>
      </c>
      <c r="F49" s="647" t="s">
        <v>558</v>
      </c>
      <c r="G49" s="647" t="s">
        <v>993</v>
      </c>
      <c r="H49" s="647"/>
      <c r="AA49" s="256">
        <f>SUMIFS('Employee Detail FY23'!$AA$6:$AA$132,'Employee Detail FY23'!$B$6:$B$132,$B49,'Employee Detail FY23'!$C$6:$C$132,$C49,'Employee Detail FY23'!$E$6:$E$132,$E49,'Employee Detail FY23'!$F$6:$F$132,$F49,'Employee Detail FY23'!$G$6:$G$132,$G49)</f>
        <v>0</v>
      </c>
      <c r="AB49" s="62"/>
      <c r="AC49" s="62">
        <f>SUMIFS('Employee Detail FY23'!$AC$6:$AC$132,'Employee Detail FY23'!$B$6:$B$132,$B49,'Employee Detail FY23'!$C$6:$C$132,$C49,'Employee Detail FY23'!$E$6:$E$132,$E49,'Employee Detail FY23'!$F$6:$F$132,$F49,'Employee Detail FY23'!$G$6:$G$132,$G49)</f>
        <v>0</v>
      </c>
      <c r="AD49" s="62">
        <f>SUMIFS('Employee Detail FY23'!$AD$6:$AD$132,'Employee Detail FY23'!$B$6:$B$132,$B49,'Employee Detail FY23'!$C$6:$C$132,$C49,'Employee Detail FY23'!$E$6:$E$132,$E49,'Employee Detail FY23'!$F$6:$F$132,$F49,'Employee Detail FY23'!$G$6:$G$132,$G49)</f>
        <v>0</v>
      </c>
      <c r="AE49" s="62">
        <f>SUMIFS('Employee Detail FY23'!$AE$6:$AE$132,'Employee Detail FY23'!$B$6:$B$132,$B49,'Employee Detail FY23'!$C$6:$C$132,$C49,'Employee Detail FY23'!$E$6:$E$132,$E49,'Employee Detail FY23'!$F$6:$F$132,$F49,'Employee Detail FY23'!$G$6:$G$132,$G49)</f>
        <v>0</v>
      </c>
      <c r="AF49" s="62">
        <f>SUMIFS('Employee Detail FY23'!$AF$6:$AF$132,'Employee Detail FY23'!$B$6:$B$132,$B49,'Employee Detail FY23'!$C$6:$C$132,$C49,'Employee Detail FY23'!$E$6:$E$132,$E49,'Employee Detail FY23'!$F$6:$F$132,$F49,'Employee Detail FY23'!$G$6:$G$132,$G49)</f>
        <v>0</v>
      </c>
      <c r="AG49" s="269">
        <v>0</v>
      </c>
      <c r="AH49" s="62">
        <f>SUMIFS('Employee Detail FY23'!$AH$6:$AH$132,'Employee Detail FY23'!$B$6:$B$132,$B49,'Employee Detail FY23'!$C$6:$C$132,$C49,'Employee Detail FY23'!$E$6:$E$132,$E49,'Employee Detail FY23'!$F$6:$F$132,$F49,'Employee Detail FY23'!$G$6:$G$132,$G49)</f>
        <v>0</v>
      </c>
      <c r="AI49" s="62">
        <f>SUMIFS('Employee Detail FY23'!$AI$6:$AI$132,'Employee Detail FY23'!$B$6:$B$132,$B49,'Employee Detail FY23'!$C$6:$C$132,$C49,'Employee Detail FY23'!$E$6:$E$132,$E49,'Employee Detail FY23'!$F$6:$F$132,$F49,'Employee Detail FY23'!$G$6:$G$132,$G49)</f>
        <v>0</v>
      </c>
      <c r="AJ49" s="62">
        <v>0</v>
      </c>
      <c r="AK49" s="62">
        <v>0</v>
      </c>
      <c r="AL49" s="256">
        <f t="shared" si="10"/>
        <v>0</v>
      </c>
      <c r="AM49" s="256">
        <f t="shared" si="8"/>
        <v>0</v>
      </c>
      <c r="AN49" s="256">
        <f t="shared" si="11"/>
        <v>0</v>
      </c>
    </row>
    <row r="50" spans="2:40" outlineLevel="1" x14ac:dyDescent="0.2">
      <c r="B50" s="647"/>
      <c r="C50" s="647"/>
      <c r="D50" s="647"/>
      <c r="E50" s="647"/>
      <c r="F50" s="647"/>
      <c r="G50" s="647"/>
      <c r="H50" s="647"/>
      <c r="AA50" s="256">
        <f>SUMIFS('Employee Detail FY23'!$AA$6:$AA$132,'Employee Detail FY23'!$B$6:$B$132,$B50,'Employee Detail FY23'!$C$6:$C$132,$C50,'Employee Detail FY23'!$E$6:$E$132,$E50,'Employee Detail FY23'!$F$6:$F$132,$F50,'Employee Detail FY23'!$G$6:$G$132,$G50)</f>
        <v>0</v>
      </c>
      <c r="AB50" s="62"/>
      <c r="AC50" s="62">
        <f>SUMIFS('Employee Detail FY23'!$AC$6:$AC$132,'Employee Detail FY23'!$B$6:$B$132,$B50,'Employee Detail FY23'!$C$6:$C$132,$C50,'Employee Detail FY23'!$E$6:$E$132,$E50,'Employee Detail FY23'!$F$6:$F$132,$F50,'Employee Detail FY23'!$G$6:$G$132,$G50)</f>
        <v>0</v>
      </c>
      <c r="AD50" s="62">
        <f>SUMIFS('Employee Detail FY23'!$AD$6:$AD$132,'Employee Detail FY23'!$B$6:$B$132,$B50,'Employee Detail FY23'!$C$6:$C$132,$C50,'Employee Detail FY23'!$E$6:$E$132,$E50,'Employee Detail FY23'!$F$6:$F$132,$F50,'Employee Detail FY23'!$G$6:$G$132,$G50)</f>
        <v>0</v>
      </c>
      <c r="AE50" s="62">
        <f>SUMIFS('Employee Detail FY23'!$AE$6:$AE$132,'Employee Detail FY23'!$B$6:$B$132,$B50,'Employee Detail FY23'!$C$6:$C$132,$C50,'Employee Detail FY23'!$E$6:$E$132,$E50,'Employee Detail FY23'!$F$6:$F$132,$F50,'Employee Detail FY23'!$G$6:$G$132,$G50)</f>
        <v>0</v>
      </c>
      <c r="AF50" s="62">
        <f>SUMIFS('Employee Detail FY23'!$AF$6:$AF$132,'Employee Detail FY23'!$B$6:$B$132,$B50,'Employee Detail FY23'!$C$6:$C$132,$C50,'Employee Detail FY23'!$E$6:$E$132,$E50,'Employee Detail FY23'!$F$6:$F$132,$F50,'Employee Detail FY23'!$G$6:$G$132,$G50)</f>
        <v>0</v>
      </c>
      <c r="AG50" s="269">
        <v>0</v>
      </c>
      <c r="AH50" s="62">
        <f>SUMIFS('Employee Detail FY23'!$AH$6:$AH$132,'Employee Detail FY23'!$B$6:$B$132,$B50,'Employee Detail FY23'!$C$6:$C$132,$C50,'Employee Detail FY23'!$E$6:$E$132,$E50,'Employee Detail FY23'!$F$6:$F$132,$F50,'Employee Detail FY23'!$G$6:$G$132,$G50)</f>
        <v>0</v>
      </c>
      <c r="AI50" s="62">
        <f>SUMIFS('Employee Detail FY23'!$AI$6:$AI$132,'Employee Detail FY23'!$B$6:$B$132,$B50,'Employee Detail FY23'!$C$6:$C$132,$C50,'Employee Detail FY23'!$E$6:$E$132,$E50,'Employee Detail FY23'!$F$6:$F$132,$F50,'Employee Detail FY23'!$G$6:$G$132,$G50)</f>
        <v>0</v>
      </c>
      <c r="AJ50" s="62">
        <v>0</v>
      </c>
      <c r="AK50" s="62">
        <v>0</v>
      </c>
      <c r="AL50" s="256">
        <f t="shared" si="10"/>
        <v>0</v>
      </c>
      <c r="AM50" s="256">
        <f t="shared" si="8"/>
        <v>0</v>
      </c>
      <c r="AN50" s="256">
        <f t="shared" si="11"/>
        <v>0</v>
      </c>
    </row>
    <row r="51" spans="2:40" outlineLevel="1" x14ac:dyDescent="0.2">
      <c r="B51" s="647" t="s">
        <v>135</v>
      </c>
      <c r="C51" s="647" t="s">
        <v>245</v>
      </c>
      <c r="D51" s="647"/>
      <c r="E51" s="647">
        <v>430</v>
      </c>
      <c r="F51" s="647" t="s">
        <v>461</v>
      </c>
      <c r="G51" s="647" t="s">
        <v>161</v>
      </c>
      <c r="H51" s="647"/>
      <c r="AA51" s="256">
        <f>SUMIFS('Employee Detail FY23'!$AA$6:$AA$132,'Employee Detail FY23'!$B$6:$B$132,$B51,'Employee Detail FY23'!$C$6:$C$132,$C51,'Employee Detail FY23'!$E$6:$E$132,$E51,'Employee Detail FY23'!$F$6:$F$132,$F51,'Employee Detail FY23'!$G$6:$G$132,$G51)</f>
        <v>0</v>
      </c>
      <c r="AB51" s="62"/>
      <c r="AC51" s="399">
        <f>SUMIFS('Employee Detail FY23'!$AC$6:$AC$132,'Employee Detail FY23'!$B$6:$B$132,$B51,'Employee Detail FY23'!$C$6:$C$132,$C51,'Employee Detail FY23'!$E$6:$E$132,$E51,'Employee Detail FY23'!$F$6:$F$132,$F51,'Employee Detail FY23'!$G$6:$G$132,$G51)</f>
        <v>0</v>
      </c>
      <c r="AD51" s="62">
        <f>SUMIFS('Employee Detail FY23'!$AD$6:$AD$132,'Employee Detail FY23'!$B$6:$B$132,$B51,'Employee Detail FY23'!$C$6:$C$132,$C51,'Employee Detail FY23'!$E$6:$E$132,$E51,'Employee Detail FY23'!$F$6:$F$132,$F51,'Employee Detail FY23'!$G$6:$G$132,$G51)</f>
        <v>0</v>
      </c>
      <c r="AE51" s="62">
        <f>SUMIFS('Employee Detail FY23'!$AE$6:$AE$132,'Employee Detail FY23'!$B$6:$B$132,$B51,'Employee Detail FY23'!$C$6:$C$132,$C51,'Employee Detail FY23'!$E$6:$E$132,$E51,'Employee Detail FY23'!$F$6:$F$132,$F51,'Employee Detail FY23'!$G$6:$G$132,$G51)</f>
        <v>0</v>
      </c>
      <c r="AF51" s="62">
        <f>SUMIFS('Employee Detail FY23'!$AF$6:$AF$132,'Employee Detail FY23'!$B$6:$B$132,$B51,'Employee Detail FY23'!$C$6:$C$132,$C51,'Employee Detail FY23'!$E$6:$E$132,$E51,'Employee Detail FY23'!$F$6:$F$132,$F51,'Employee Detail FY23'!$G$6:$G$132,$G51)</f>
        <v>0</v>
      </c>
      <c r="AG51" s="269">
        <v>0</v>
      </c>
      <c r="AH51" s="62">
        <f>SUMIFS('Employee Detail FY23'!$AH$6:$AH$132,'Employee Detail FY23'!$B$6:$B$132,$B51,'Employee Detail FY23'!$C$6:$C$132,$C51,'Employee Detail FY23'!$E$6:$E$132,$E51,'Employee Detail FY23'!$F$6:$F$132,$F51,'Employee Detail FY23'!$G$6:$G$132,$G51)</f>
        <v>0</v>
      </c>
      <c r="AI51" s="62">
        <f>SUMIFS('Employee Detail FY23'!$AI$6:$AI$132,'Employee Detail FY23'!$B$6:$B$132,$B51,'Employee Detail FY23'!$C$6:$C$132,$C51,'Employee Detail FY23'!$E$6:$E$132,$E51,'Employee Detail FY23'!$F$6:$F$132,$F51,'Employee Detail FY23'!$G$6:$G$132,$G51)</f>
        <v>0</v>
      </c>
      <c r="AJ51" s="62">
        <v>0</v>
      </c>
      <c r="AK51" s="62">
        <v>0</v>
      </c>
      <c r="AL51" s="256">
        <f t="shared" si="10"/>
        <v>0</v>
      </c>
      <c r="AM51" s="256">
        <f t="shared" si="8"/>
        <v>0</v>
      </c>
      <c r="AN51" s="256">
        <f t="shared" si="11"/>
        <v>0</v>
      </c>
    </row>
    <row r="52" spans="2:40" outlineLevel="1" x14ac:dyDescent="0.2">
      <c r="B52" s="647" t="s">
        <v>135</v>
      </c>
      <c r="C52" s="647" t="s">
        <v>245</v>
      </c>
      <c r="D52" s="647"/>
      <c r="E52" s="647">
        <v>430</v>
      </c>
      <c r="F52" s="647" t="s">
        <v>461</v>
      </c>
      <c r="G52" s="647" t="s">
        <v>169</v>
      </c>
      <c r="H52" s="647"/>
      <c r="AA52" s="256">
        <f>SUMIFS('Employee Detail FY23'!$AA$6:$AA$132,'Employee Detail FY23'!$B$6:$B$132,$B52,'Employee Detail FY23'!$C$6:$C$132,$C52,'Employee Detail FY23'!$E$6:$E$132,$E52,'Employee Detail FY23'!$F$6:$F$132,$F52,'Employee Detail FY23'!$G$6:$G$132,$G52)</f>
        <v>37428.09777</v>
      </c>
      <c r="AB52" s="62"/>
      <c r="AC52" s="399">
        <f>SUMIFS('Employee Detail FY23'!$AC$6:$AC$132,'Employee Detail FY23'!$B$6:$B$132,$B52,'Employee Detail FY23'!$C$6:$C$132,$C52,'Employee Detail FY23'!$E$6:$E$132,$E52,'Employee Detail FY23'!$F$6:$F$132,$F52,'Employee Detail FY23'!$G$6:$G$132,$G52)</f>
        <v>7943.76</v>
      </c>
      <c r="AD52" s="62">
        <f>SUMIFS('Employee Detail FY23'!$AD$6:$AD$132,'Employee Detail FY23'!$B$6:$B$132,$B52,'Employee Detail FY23'!$C$6:$C$132,$C52,'Employee Detail FY23'!$E$6:$E$132,$E52,'Employee Detail FY23'!$F$6:$F$132,$F52,'Employee Detail FY23'!$G$6:$G$132,$G52)</f>
        <v>0</v>
      </c>
      <c r="AE52" s="62">
        <f>SUMIFS('Employee Detail FY23'!$AE$6:$AE$132,'Employee Detail FY23'!$B$6:$B$132,$B52,'Employee Detail FY23'!$C$6:$C$132,$C52,'Employee Detail FY23'!$E$6:$E$132,$E52,'Employee Detail FY23'!$F$6:$F$132,$F52,'Employee Detail FY23'!$G$6:$G$132,$G52)</f>
        <v>5707.7849099249997</v>
      </c>
      <c r="AF52" s="62">
        <f>SUMIFS('Employee Detail FY23'!$AF$6:$AF$132,'Employee Detail FY23'!$B$6:$B$132,$B52,'Employee Detail FY23'!$C$6:$C$132,$C52,'Employee Detail FY23'!$E$6:$E$132,$E52,'Employee Detail FY23'!$F$6:$F$132,$F52,'Employee Detail FY23'!$G$6:$G$132,$G52)</f>
        <v>542.70741766499998</v>
      </c>
      <c r="AG52" s="269">
        <v>0</v>
      </c>
      <c r="AH52" s="62">
        <f>SUMIFS('Employee Detail FY23'!$AH$6:$AH$132,'Employee Detail FY23'!$B$6:$B$132,$B52,'Employee Detail FY23'!$C$6:$C$132,$C52,'Employee Detail FY23'!$E$6:$E$132,$E52,'Employee Detail FY23'!$F$6:$F$132,$F52,'Employee Detail FY23'!$G$6:$G$132,$G52)</f>
        <v>340.68312574492109</v>
      </c>
      <c r="AI52" s="62">
        <f>SUMIFS('Employee Detail FY23'!$AI$6:$AI$132,'Employee Detail FY23'!$B$6:$B$132,$B52,'Employee Detail FY23'!$C$6:$C$132,$C52,'Employee Detail FY23'!$E$6:$E$132,$E52,'Employee Detail FY23'!$F$6:$F$132,$F52,'Employee Detail FY23'!$G$6:$G$132,$G52)</f>
        <v>110.23318525741719</v>
      </c>
      <c r="AJ52" s="62">
        <v>0</v>
      </c>
      <c r="AK52" s="62">
        <v>0</v>
      </c>
      <c r="AL52" s="256">
        <f t="shared" si="10"/>
        <v>14645.168638592339</v>
      </c>
      <c r="AM52" s="256">
        <f t="shared" si="8"/>
        <v>37428.09777</v>
      </c>
      <c r="AN52" s="256">
        <f t="shared" si="11"/>
        <v>52073.266408592339</v>
      </c>
    </row>
    <row r="53" spans="2:40" outlineLevel="1" x14ac:dyDescent="0.2">
      <c r="B53" s="647" t="s">
        <v>135</v>
      </c>
      <c r="C53" s="647" t="s">
        <v>242</v>
      </c>
      <c r="D53" s="647"/>
      <c r="E53" s="647" t="s">
        <v>532</v>
      </c>
      <c r="F53" s="647" t="s">
        <v>461</v>
      </c>
      <c r="G53" s="647" t="s">
        <v>171</v>
      </c>
      <c r="H53" s="647"/>
      <c r="AA53" s="256">
        <f>SUMIFS('Employee Detail FY23'!$AA$6:$AA$132,'Employee Detail FY23'!$B$6:$B$132,$B53,'Employee Detail FY23'!$C$6:$C$132,$C53,'Employee Detail FY23'!$E$6:$E$132,$E53,'Employee Detail FY23'!$F$6:$F$132,$F53,'Employee Detail FY23'!$G$6:$G$132,$G53)</f>
        <v>0</v>
      </c>
      <c r="AB53" s="62"/>
      <c r="AC53" s="399">
        <f>SUMIFS('Employee Detail FY23'!$AC$6:$AC$132,'Employee Detail FY23'!$B$6:$B$132,$B53,'Employee Detail FY23'!$C$6:$C$132,$C53,'Employee Detail FY23'!$E$6:$E$132,$E53,'Employee Detail FY23'!$F$6:$F$132,$F53,'Employee Detail FY23'!$G$6:$G$132,$G53)</f>
        <v>0</v>
      </c>
      <c r="AD53" s="62">
        <f>SUMIFS('Employee Detail FY23'!$AD$6:$AD$132,'Employee Detail FY23'!$B$6:$B$132,$B53,'Employee Detail FY23'!$C$6:$C$132,$C53,'Employee Detail FY23'!$E$6:$E$132,$E53,'Employee Detail FY23'!$F$6:$F$132,$F53,'Employee Detail FY23'!$G$6:$G$132,$G53)</f>
        <v>0</v>
      </c>
      <c r="AE53" s="62">
        <f>SUMIFS('Employee Detail FY23'!$AE$6:$AE$132,'Employee Detail FY23'!$B$6:$B$132,$B53,'Employee Detail FY23'!$C$6:$C$132,$C53,'Employee Detail FY23'!$E$6:$E$132,$E53,'Employee Detail FY23'!$F$6:$F$132,$F53,'Employee Detail FY23'!$G$6:$G$132,$G53)</f>
        <v>0</v>
      </c>
      <c r="AF53" s="62">
        <f>SUMIFS('Employee Detail FY23'!$AF$6:$AF$132,'Employee Detail FY23'!$B$6:$B$132,$B53,'Employee Detail FY23'!$C$6:$C$132,$C53,'Employee Detail FY23'!$E$6:$E$132,$E53,'Employee Detail FY23'!$F$6:$F$132,$F53,'Employee Detail FY23'!$G$6:$G$132,$G53)</f>
        <v>0</v>
      </c>
      <c r="AG53" s="269">
        <v>0</v>
      </c>
      <c r="AH53" s="62">
        <f>SUMIFS('Employee Detail FY23'!$AH$6:$AH$132,'Employee Detail FY23'!$B$6:$B$132,$B53,'Employee Detail FY23'!$C$6:$C$132,$C53,'Employee Detail FY23'!$E$6:$E$132,$E53,'Employee Detail FY23'!$F$6:$F$132,$F53,'Employee Detail FY23'!$G$6:$G$132,$G53)</f>
        <v>0</v>
      </c>
      <c r="AI53" s="62">
        <f>SUMIFS('Employee Detail FY23'!$AI$6:$AI$132,'Employee Detail FY23'!$B$6:$B$132,$B53,'Employee Detail FY23'!$C$6:$C$132,$C53,'Employee Detail FY23'!$E$6:$E$132,$E53,'Employee Detail FY23'!$F$6:$F$132,$F53,'Employee Detail FY23'!$G$6:$G$132,$G53)</f>
        <v>0</v>
      </c>
      <c r="AJ53" s="62">
        <v>0</v>
      </c>
      <c r="AK53" s="62">
        <v>0</v>
      </c>
      <c r="AL53" s="256">
        <f t="shared" si="10"/>
        <v>0</v>
      </c>
      <c r="AM53" s="256">
        <f t="shared" si="8"/>
        <v>0</v>
      </c>
      <c r="AN53" s="256">
        <f t="shared" si="11"/>
        <v>0</v>
      </c>
    </row>
    <row r="54" spans="2:40" outlineLevel="1" x14ac:dyDescent="0.2">
      <c r="B54" s="647" t="s">
        <v>135</v>
      </c>
      <c r="C54" s="647" t="s">
        <v>242</v>
      </c>
      <c r="D54" s="647"/>
      <c r="E54" s="647" t="s">
        <v>532</v>
      </c>
      <c r="F54" s="647" t="s">
        <v>461</v>
      </c>
      <c r="G54" s="647" t="s">
        <v>1043</v>
      </c>
      <c r="H54" s="647"/>
      <c r="AA54" s="256">
        <f>SUMIFS('Employee Detail FY23'!$AA$6:$AA$132,'Employee Detail FY23'!$B$6:$B$132,$B54,'Employee Detail FY23'!$C$6:$C$132,$C54,'Employee Detail FY23'!$E$6:$E$132,$E54,'Employee Detail FY23'!$F$6:$F$132,$F54,'Employee Detail FY23'!$G$6:$G$132,$G54)</f>
        <v>0</v>
      </c>
      <c r="AB54" s="62"/>
      <c r="AC54" s="399">
        <f>SUMIFS('Employee Detail FY23'!$AC$6:$AC$132,'Employee Detail FY23'!$B$6:$B$132,$B54,'Employee Detail FY23'!$C$6:$C$132,$C54,'Employee Detail FY23'!$E$6:$E$132,$E54,'Employee Detail FY23'!$F$6:$F$132,$F54,'Employee Detail FY23'!$G$6:$G$132,$G54)</f>
        <v>0</v>
      </c>
      <c r="AD54" s="62">
        <f>SUMIFS('Employee Detail FY23'!$AD$6:$AD$132,'Employee Detail FY23'!$B$6:$B$132,$B54,'Employee Detail FY23'!$C$6:$C$132,$C54,'Employee Detail FY23'!$E$6:$E$132,$E54,'Employee Detail FY23'!$F$6:$F$132,$F54,'Employee Detail FY23'!$G$6:$G$132,$G54)</f>
        <v>0</v>
      </c>
      <c r="AE54" s="62">
        <f>SUMIFS('Employee Detail FY23'!$AE$6:$AE$132,'Employee Detail FY23'!$B$6:$B$132,$B54,'Employee Detail FY23'!$C$6:$C$132,$C54,'Employee Detail FY23'!$E$6:$E$132,$E54,'Employee Detail FY23'!$F$6:$F$132,$F54,'Employee Detail FY23'!$G$6:$G$132,$G54)</f>
        <v>0</v>
      </c>
      <c r="AF54" s="62">
        <f>SUMIFS('Employee Detail FY23'!$AF$6:$AF$132,'Employee Detail FY23'!$B$6:$B$132,$B54,'Employee Detail FY23'!$C$6:$C$132,$C54,'Employee Detail FY23'!$E$6:$E$132,$E54,'Employee Detail FY23'!$F$6:$F$132,$F54,'Employee Detail FY23'!$G$6:$G$132,$G54)</f>
        <v>0</v>
      </c>
      <c r="AG54" s="269">
        <v>0</v>
      </c>
      <c r="AH54" s="62">
        <f>SUMIFS('Employee Detail FY23'!$AH$6:$AH$132,'Employee Detail FY23'!$B$6:$B$132,$B54,'Employee Detail FY23'!$C$6:$C$132,$C54,'Employee Detail FY23'!$E$6:$E$132,$E54,'Employee Detail FY23'!$F$6:$F$132,$F54,'Employee Detail FY23'!$G$6:$G$132,$G54)</f>
        <v>0</v>
      </c>
      <c r="AI54" s="62">
        <f>SUMIFS('Employee Detail FY23'!$AI$6:$AI$132,'Employee Detail FY23'!$B$6:$B$132,$B54,'Employee Detail FY23'!$C$6:$C$132,$C54,'Employee Detail FY23'!$E$6:$E$132,$E54,'Employee Detail FY23'!$F$6:$F$132,$F54,'Employee Detail FY23'!$G$6:$G$132,$G54)</f>
        <v>0</v>
      </c>
      <c r="AJ54" s="62">
        <v>0</v>
      </c>
      <c r="AK54" s="62">
        <v>0</v>
      </c>
      <c r="AL54" s="256">
        <f t="shared" si="10"/>
        <v>0</v>
      </c>
      <c r="AM54" s="256">
        <f t="shared" si="8"/>
        <v>0</v>
      </c>
      <c r="AN54" s="256">
        <f t="shared" si="11"/>
        <v>0</v>
      </c>
    </row>
    <row r="55" spans="2:40" outlineLevel="1" x14ac:dyDescent="0.2">
      <c r="B55" s="647" t="s">
        <v>135</v>
      </c>
      <c r="C55" s="647" t="s">
        <v>242</v>
      </c>
      <c r="D55" s="647"/>
      <c r="E55" s="647" t="s">
        <v>532</v>
      </c>
      <c r="F55" s="647" t="s">
        <v>461</v>
      </c>
      <c r="G55" s="647" t="s">
        <v>1062</v>
      </c>
      <c r="H55" s="647"/>
      <c r="AA55" s="256">
        <f>SUMIFS('Employee Detail FY23'!$AA$6:$AA$132,'Employee Detail FY23'!$B$6:$B$132,$B55,'Employee Detail FY23'!$C$6:$C$132,$C55,'Employee Detail FY23'!$E$6:$E$132,$E55,'Employee Detail FY23'!$F$6:$F$132,$F55,'Employee Detail FY23'!$G$6:$G$132,$G55)</f>
        <v>0</v>
      </c>
      <c r="AB55" s="62"/>
      <c r="AC55" s="399">
        <f>SUMIFS('Employee Detail FY23'!$AC$6:$AC$132,'Employee Detail FY23'!$B$6:$B$132,$B55,'Employee Detail FY23'!$C$6:$C$132,$C55,'Employee Detail FY23'!$E$6:$E$132,$E55,'Employee Detail FY23'!$F$6:$F$132,$F55,'Employee Detail FY23'!$G$6:$G$132,$G55)</f>
        <v>0</v>
      </c>
      <c r="AD55" s="62">
        <f>SUMIFS('Employee Detail FY23'!$AD$6:$AD$132,'Employee Detail FY23'!$B$6:$B$132,$B55,'Employee Detail FY23'!$C$6:$C$132,$C55,'Employee Detail FY23'!$E$6:$E$132,$E55,'Employee Detail FY23'!$F$6:$F$132,$F55,'Employee Detail FY23'!$G$6:$G$132,$G55)</f>
        <v>0</v>
      </c>
      <c r="AE55" s="62">
        <f>SUMIFS('Employee Detail FY23'!$AE$6:$AE$132,'Employee Detail FY23'!$B$6:$B$132,$B55,'Employee Detail FY23'!$C$6:$C$132,$C55,'Employee Detail FY23'!$E$6:$E$132,$E55,'Employee Detail FY23'!$F$6:$F$132,$F55,'Employee Detail FY23'!$G$6:$G$132,$G55)</f>
        <v>0</v>
      </c>
      <c r="AF55" s="62">
        <f>SUMIFS('Employee Detail FY23'!$AF$6:$AF$132,'Employee Detail FY23'!$B$6:$B$132,$B55,'Employee Detail FY23'!$C$6:$C$132,$C55,'Employee Detail FY23'!$E$6:$E$132,$E55,'Employee Detail FY23'!$F$6:$F$132,$F55,'Employee Detail FY23'!$G$6:$G$132,$G55)</f>
        <v>0</v>
      </c>
      <c r="AG55" s="269">
        <v>0</v>
      </c>
      <c r="AH55" s="62">
        <f>SUMIFS('Employee Detail FY23'!$AH$6:$AH$132,'Employee Detail FY23'!$B$6:$B$132,$B55,'Employee Detail FY23'!$C$6:$C$132,$C55,'Employee Detail FY23'!$E$6:$E$132,$E55,'Employee Detail FY23'!$F$6:$F$132,$F55,'Employee Detail FY23'!$G$6:$G$132,$G55)</f>
        <v>0</v>
      </c>
      <c r="AI55" s="62">
        <f>SUMIFS('Employee Detail FY23'!$AI$6:$AI$132,'Employee Detail FY23'!$B$6:$B$132,$B55,'Employee Detail FY23'!$C$6:$C$132,$C55,'Employee Detail FY23'!$E$6:$E$132,$E55,'Employee Detail FY23'!$F$6:$F$132,$F55,'Employee Detail FY23'!$G$6:$G$132,$G55)</f>
        <v>0</v>
      </c>
      <c r="AJ55" s="62">
        <v>0</v>
      </c>
      <c r="AK55" s="62">
        <v>0</v>
      </c>
      <c r="AL55" s="256">
        <f t="shared" si="10"/>
        <v>0</v>
      </c>
      <c r="AM55" s="256">
        <f t="shared" si="8"/>
        <v>0</v>
      </c>
      <c r="AN55" s="256">
        <f t="shared" si="11"/>
        <v>0</v>
      </c>
    </row>
    <row r="56" spans="2:40" outlineLevel="1" x14ac:dyDescent="0.2">
      <c r="B56" s="647"/>
      <c r="C56" s="647"/>
      <c r="D56" s="647"/>
      <c r="E56" s="647"/>
      <c r="F56" s="647"/>
      <c r="G56" s="647"/>
      <c r="H56" s="647"/>
      <c r="AA56" s="256">
        <f>SUMIFS('Employee Detail FY23'!$AA$6:$AA$132,'Employee Detail FY23'!$B$6:$B$132,$B56,'Employee Detail FY23'!$C$6:$C$132,$C56,'Employee Detail FY23'!$E$6:$E$132,$E56,'Employee Detail FY23'!$F$6:$F$132,$F56,'Employee Detail FY23'!$G$6:$G$132,$G56)</f>
        <v>0</v>
      </c>
      <c r="AB56" s="62"/>
      <c r="AC56" s="62">
        <f>SUMIFS('Employee Detail FY23'!$AC$6:$AC$132,'Employee Detail FY23'!$B$6:$B$132,$B56,'Employee Detail FY23'!$C$6:$C$132,$C56,'Employee Detail FY23'!$E$6:$E$132,$E56,'Employee Detail FY23'!$F$6:$F$132,$F56,'Employee Detail FY23'!$G$6:$G$132,$G56)</f>
        <v>0</v>
      </c>
      <c r="AD56" s="62">
        <f>SUMIFS('Employee Detail FY23'!$AD$6:$AD$132,'Employee Detail FY23'!$B$6:$B$132,$B56,'Employee Detail FY23'!$C$6:$C$132,$C56,'Employee Detail FY23'!$E$6:$E$132,$E56,'Employee Detail FY23'!$F$6:$F$132,$F56,'Employee Detail FY23'!$G$6:$G$132,$G56)</f>
        <v>0</v>
      </c>
      <c r="AE56" s="62">
        <f>SUMIFS('Employee Detail FY23'!$AE$6:$AE$132,'Employee Detail FY23'!$B$6:$B$132,$B56,'Employee Detail FY23'!$C$6:$C$132,$C56,'Employee Detail FY23'!$E$6:$E$132,$E56,'Employee Detail FY23'!$F$6:$F$132,$F56,'Employee Detail FY23'!$G$6:$G$132,$G56)</f>
        <v>0</v>
      </c>
      <c r="AF56" s="62">
        <f>SUMIFS('Employee Detail FY23'!$AF$6:$AF$132,'Employee Detail FY23'!$B$6:$B$132,$B56,'Employee Detail FY23'!$C$6:$C$132,$C56,'Employee Detail FY23'!$E$6:$E$132,$E56,'Employee Detail FY23'!$F$6:$F$132,$F56,'Employee Detail FY23'!$G$6:$G$132,$G56)</f>
        <v>0</v>
      </c>
      <c r="AG56" s="269">
        <v>0</v>
      </c>
      <c r="AH56" s="62">
        <f>SUMIFS('Employee Detail FY23'!$AH$6:$AH$132,'Employee Detail FY23'!$B$6:$B$132,$B56,'Employee Detail FY23'!$C$6:$C$132,$C56,'Employee Detail FY23'!$E$6:$E$132,$E56,'Employee Detail FY23'!$F$6:$F$132,$F56,'Employee Detail FY23'!$G$6:$G$132,$G56)</f>
        <v>0</v>
      </c>
      <c r="AI56" s="62">
        <f>SUMIFS('Employee Detail FY23'!$AI$6:$AI$132,'Employee Detail FY23'!$B$6:$B$132,$B56,'Employee Detail FY23'!$C$6:$C$132,$C56,'Employee Detail FY23'!$E$6:$E$132,$E56,'Employee Detail FY23'!$F$6:$F$132,$F56,'Employee Detail FY23'!$G$6:$G$132,$G56)</f>
        <v>0</v>
      </c>
      <c r="AJ56" s="62">
        <v>0</v>
      </c>
      <c r="AK56" s="62">
        <v>0</v>
      </c>
      <c r="AL56" s="256">
        <f t="shared" si="10"/>
        <v>0</v>
      </c>
      <c r="AM56" s="256">
        <f t="shared" si="8"/>
        <v>0</v>
      </c>
      <c r="AN56" s="256">
        <f t="shared" si="11"/>
        <v>0</v>
      </c>
    </row>
    <row r="57" spans="2:40" outlineLevel="1" x14ac:dyDescent="0.2">
      <c r="B57" s="647" t="s">
        <v>135</v>
      </c>
      <c r="C57" s="647" t="s">
        <v>242</v>
      </c>
      <c r="D57" s="647"/>
      <c r="E57" s="647" t="s">
        <v>532</v>
      </c>
      <c r="F57" s="647" t="s">
        <v>465</v>
      </c>
      <c r="G57" s="647" t="s">
        <v>993</v>
      </c>
      <c r="H57" s="647"/>
      <c r="AA57" s="256">
        <f>SUMIFS('Employee Detail FY23'!$AA$6:$AA$132,'Employee Detail FY23'!$B$6:$B$132,$B57,'Employee Detail FY23'!$C$6:$C$132,$C57,'Employee Detail FY23'!$E$6:$E$132,$E57,'Employee Detail FY23'!$F$6:$F$132,$F57,'Employee Detail FY23'!$G$6:$G$132,$G57)</f>
        <v>0</v>
      </c>
      <c r="AB57" s="62"/>
      <c r="AC57" s="399">
        <f>SUMIFS('Employee Detail FY23'!$AC$6:$AC$132,'Employee Detail FY23'!$B$6:$B$132,$B57,'Employee Detail FY23'!$C$6:$C$132,$C57,'Employee Detail FY23'!$E$6:$E$132,$E57,'Employee Detail FY23'!$F$6:$F$132,$F57,'Employee Detail FY23'!$G$6:$G$132,$G57)</f>
        <v>0</v>
      </c>
      <c r="AD57" s="62">
        <f>SUMIFS('Employee Detail FY23'!$AD$6:$AD$132,'Employee Detail FY23'!$B$6:$B$132,$B57,'Employee Detail FY23'!$C$6:$C$132,$C57,'Employee Detail FY23'!$E$6:$E$132,$E57,'Employee Detail FY23'!$F$6:$F$132,$F57,'Employee Detail FY23'!$G$6:$G$132,$G57)</f>
        <v>0</v>
      </c>
      <c r="AE57" s="62">
        <f>SUMIFS('Employee Detail FY23'!$AE$6:$AE$132,'Employee Detail FY23'!$B$6:$B$132,$B57,'Employee Detail FY23'!$C$6:$C$132,$C57,'Employee Detail FY23'!$E$6:$E$132,$E57,'Employee Detail FY23'!$F$6:$F$132,$F57,'Employee Detail FY23'!$G$6:$G$132,$G57)</f>
        <v>0</v>
      </c>
      <c r="AF57" s="62">
        <f>SUMIFS('Employee Detail FY23'!$AF$6:$AF$132,'Employee Detail FY23'!$B$6:$B$132,$B57,'Employee Detail FY23'!$C$6:$C$132,$C57,'Employee Detail FY23'!$E$6:$E$132,$E57,'Employee Detail FY23'!$F$6:$F$132,$F57,'Employee Detail FY23'!$G$6:$G$132,$G57)</f>
        <v>0</v>
      </c>
      <c r="AG57" s="269">
        <v>0</v>
      </c>
      <c r="AH57" s="62">
        <f>SUMIFS('Employee Detail FY23'!$AH$6:$AH$132,'Employee Detail FY23'!$B$6:$B$132,$B57,'Employee Detail FY23'!$C$6:$C$132,$C57,'Employee Detail FY23'!$E$6:$E$132,$E57,'Employee Detail FY23'!$F$6:$F$132,$F57,'Employee Detail FY23'!$G$6:$G$132,$G57)</f>
        <v>0</v>
      </c>
      <c r="AI57" s="62">
        <f>SUMIFS('Employee Detail FY23'!$AI$6:$AI$132,'Employee Detail FY23'!$B$6:$B$132,$B57,'Employee Detail FY23'!$C$6:$C$132,$C57,'Employee Detail FY23'!$E$6:$E$132,$E57,'Employee Detail FY23'!$F$6:$F$132,$F57,'Employee Detail FY23'!$G$6:$G$132,$G57)</f>
        <v>0</v>
      </c>
      <c r="AJ57" s="62">
        <v>0</v>
      </c>
      <c r="AK57" s="62">
        <v>0</v>
      </c>
      <c r="AL57" s="256">
        <f t="shared" si="10"/>
        <v>0</v>
      </c>
      <c r="AM57" s="256">
        <f t="shared" si="8"/>
        <v>0</v>
      </c>
      <c r="AN57" s="256">
        <f t="shared" si="11"/>
        <v>0</v>
      </c>
    </row>
    <row r="58" spans="2:40" outlineLevel="1" x14ac:dyDescent="0.2">
      <c r="B58" s="647" t="s">
        <v>135</v>
      </c>
      <c r="C58" s="647" t="s">
        <v>242</v>
      </c>
      <c r="D58" s="647"/>
      <c r="E58" s="647" t="s">
        <v>532</v>
      </c>
      <c r="F58" s="647" t="s">
        <v>556</v>
      </c>
      <c r="G58" s="647" t="s">
        <v>1046</v>
      </c>
      <c r="H58" s="647"/>
      <c r="AA58" s="256">
        <f>SUMIFS('Employee Detail FY23'!$AA$6:$AA$132,'Employee Detail FY23'!$B$6:$B$132,$B58,'Employee Detail FY23'!$C$6:$C$132,$C58,'Employee Detail FY23'!$E$6:$E$132,$E58,'Employee Detail FY23'!$F$6:$F$132,$F58,'Employee Detail FY23'!$G$6:$G$132,$G58)</f>
        <v>0</v>
      </c>
      <c r="AB58" s="62"/>
      <c r="AC58" s="399">
        <f>SUMIFS('Employee Detail FY23'!$AC$6:$AC$132,'Employee Detail FY23'!$B$6:$B$132,$B58,'Employee Detail FY23'!$C$6:$C$132,$C58,'Employee Detail FY23'!$E$6:$E$132,$E58,'Employee Detail FY23'!$F$6:$F$132,$F58,'Employee Detail FY23'!$G$6:$G$132,$G58)</f>
        <v>0</v>
      </c>
      <c r="AD58" s="62">
        <f>SUMIFS('Employee Detail FY23'!$AD$6:$AD$132,'Employee Detail FY23'!$B$6:$B$132,$B58,'Employee Detail FY23'!$C$6:$C$132,$C58,'Employee Detail FY23'!$E$6:$E$132,$E58,'Employee Detail FY23'!$F$6:$F$132,$F58,'Employee Detail FY23'!$G$6:$G$132,$G58)</f>
        <v>0</v>
      </c>
      <c r="AE58" s="62">
        <f>SUMIFS('Employee Detail FY23'!$AE$6:$AE$132,'Employee Detail FY23'!$B$6:$B$132,$B58,'Employee Detail FY23'!$C$6:$C$132,$C58,'Employee Detail FY23'!$E$6:$E$132,$E58,'Employee Detail FY23'!$F$6:$F$132,$F58,'Employee Detail FY23'!$G$6:$G$132,$G58)</f>
        <v>0</v>
      </c>
      <c r="AF58" s="62">
        <f>SUMIFS('Employee Detail FY23'!$AF$6:$AF$132,'Employee Detail FY23'!$B$6:$B$132,$B58,'Employee Detail FY23'!$C$6:$C$132,$C58,'Employee Detail FY23'!$E$6:$E$132,$E58,'Employee Detail FY23'!$F$6:$F$132,$F58,'Employee Detail FY23'!$G$6:$G$132,$G58)</f>
        <v>0</v>
      </c>
      <c r="AG58" s="269">
        <v>0</v>
      </c>
      <c r="AH58" s="62">
        <f>SUMIFS('Employee Detail FY23'!$AH$6:$AH$132,'Employee Detail FY23'!$B$6:$B$132,$B58,'Employee Detail FY23'!$C$6:$C$132,$C58,'Employee Detail FY23'!$E$6:$E$132,$E58,'Employee Detail FY23'!$F$6:$F$132,$F58,'Employee Detail FY23'!$G$6:$G$132,$G58)</f>
        <v>0</v>
      </c>
      <c r="AI58" s="62">
        <f>SUMIFS('Employee Detail FY23'!$AI$6:$AI$132,'Employee Detail FY23'!$B$6:$B$132,$B58,'Employee Detail FY23'!$C$6:$C$132,$C58,'Employee Detail FY23'!$E$6:$E$132,$E58,'Employee Detail FY23'!$F$6:$F$132,$F58,'Employee Detail FY23'!$G$6:$G$132,$G58)</f>
        <v>0</v>
      </c>
      <c r="AJ58" s="62">
        <v>0</v>
      </c>
      <c r="AK58" s="62">
        <v>0</v>
      </c>
      <c r="AL58" s="256">
        <f t="shared" si="10"/>
        <v>0</v>
      </c>
      <c r="AM58" s="256">
        <f t="shared" si="8"/>
        <v>0</v>
      </c>
      <c r="AN58" s="256">
        <f t="shared" si="11"/>
        <v>0</v>
      </c>
    </row>
    <row r="59" spans="2:40" outlineLevel="1" x14ac:dyDescent="0.2">
      <c r="B59" s="647" t="s">
        <v>135</v>
      </c>
      <c r="C59" s="647" t="s">
        <v>550</v>
      </c>
      <c r="D59" s="647"/>
      <c r="E59" s="647">
        <v>430</v>
      </c>
      <c r="F59" s="647" t="s">
        <v>484</v>
      </c>
      <c r="G59" s="647" t="s">
        <v>167</v>
      </c>
      <c r="H59" s="647"/>
      <c r="AA59" s="256">
        <f>SUMIFS('Employee Detail FY23'!$AA$6:$AA$132,'Employee Detail FY23'!$B$6:$B$132,$B59,'Employee Detail FY23'!$C$6:$C$132,$C59,'Employee Detail FY23'!$E$6:$E$132,$E59,'Employee Detail FY23'!$F$6:$F$132,$F59,'Employee Detail FY23'!$G$6:$G$132,$G59)</f>
        <v>11993.319999999998</v>
      </c>
      <c r="AB59" s="62"/>
      <c r="AC59" s="399">
        <f>SUMIFS('Employee Detail FY23'!$AC$6:$AC$132,'Employee Detail FY23'!$B$6:$B$132,$B59,'Employee Detail FY23'!$C$6:$C$132,$C59,'Employee Detail FY23'!$E$6:$E$132,$E59,'Employee Detail FY23'!$F$6:$F$132,$F59,'Employee Detail FY23'!$G$6:$G$132,$G59)</f>
        <v>0</v>
      </c>
      <c r="AD59" s="62">
        <f>SUMIFS('Employee Detail FY23'!$AD$6:$AD$132,'Employee Detail FY23'!$B$6:$B$132,$B59,'Employee Detail FY23'!$C$6:$C$132,$C59,'Employee Detail FY23'!$E$6:$E$132,$E59,'Employee Detail FY23'!$F$6:$F$132,$F59,'Employee Detail FY23'!$G$6:$G$132,$G59)</f>
        <v>743.58583999999985</v>
      </c>
      <c r="AE59" s="62">
        <f>SUMIFS('Employee Detail FY23'!$AE$6:$AE$132,'Employee Detail FY23'!$B$6:$B$132,$B59,'Employee Detail FY23'!$C$6:$C$132,$C59,'Employee Detail FY23'!$E$6:$E$132,$E59,'Employee Detail FY23'!$F$6:$F$132,$F59,'Employee Detail FY23'!$G$6:$G$132,$G59)</f>
        <v>0</v>
      </c>
      <c r="AF59" s="62">
        <f>SUMIFS('Employee Detail FY23'!$AF$6:$AF$132,'Employee Detail FY23'!$B$6:$B$132,$B59,'Employee Detail FY23'!$C$6:$C$132,$C59,'Employee Detail FY23'!$E$6:$E$132,$E59,'Employee Detail FY23'!$F$6:$F$132,$F59,'Employee Detail FY23'!$G$6:$G$132,$G59)</f>
        <v>173.90313999999998</v>
      </c>
      <c r="AG59" s="269">
        <v>0</v>
      </c>
      <c r="AH59" s="62">
        <f>SUMIFS('Employee Detail FY23'!$AH$6:$AH$132,'Employee Detail FY23'!$B$6:$B$132,$B59,'Employee Detail FY23'!$C$6:$C$132,$C59,'Employee Detail FY23'!$E$6:$E$132,$E59,'Employee Detail FY23'!$F$6:$F$132,$F59,'Employee Detail FY23'!$G$6:$G$132,$G59)</f>
        <v>109.16722967775544</v>
      </c>
      <c r="AI59" s="62">
        <f>SUMIFS('Employee Detail FY23'!$AI$6:$AI$132,'Employee Detail FY23'!$B$6:$B$132,$B59,'Employee Detail FY23'!$C$6:$C$132,$C59,'Employee Detail FY23'!$E$6:$E$132,$E59,'Employee Detail FY23'!$F$6:$F$132,$F59,'Employee Detail FY23'!$G$6:$G$132,$G59)</f>
        <v>35.322710588598703</v>
      </c>
      <c r="AJ59" s="62">
        <v>0</v>
      </c>
      <c r="AK59" s="62">
        <v>0</v>
      </c>
      <c r="AL59" s="256">
        <f t="shared" si="10"/>
        <v>1061.978920266354</v>
      </c>
      <c r="AM59" s="256">
        <f t="shared" si="8"/>
        <v>11993.319999999998</v>
      </c>
      <c r="AN59" s="256">
        <f t="shared" si="11"/>
        <v>13055.298920266352</v>
      </c>
    </row>
    <row r="60" spans="2:40" outlineLevel="1" x14ac:dyDescent="0.2">
      <c r="B60" s="647" t="s">
        <v>135</v>
      </c>
      <c r="C60" s="647" t="s">
        <v>242</v>
      </c>
      <c r="D60" s="647"/>
      <c r="E60" s="647" t="s">
        <v>532</v>
      </c>
      <c r="F60" s="647" t="s">
        <v>485</v>
      </c>
      <c r="G60" s="647" t="s">
        <v>1046</v>
      </c>
      <c r="H60" s="647"/>
      <c r="AA60" s="256">
        <f>SUMIFS('Employee Detail FY23'!$AA$6:$AA$132,'Employee Detail FY23'!$B$6:$B$132,$B60,'Employee Detail FY23'!$C$6:$C$132,$C60,'Employee Detail FY23'!$E$6:$E$132,$E60,'Employee Detail FY23'!$F$6:$F$132,$F60,'Employee Detail FY23'!$G$6:$G$132,$G60)</f>
        <v>0</v>
      </c>
      <c r="AB60" s="62"/>
      <c r="AC60" s="399">
        <f>SUMIFS('Employee Detail FY23'!$AC$6:$AC$132,'Employee Detail FY23'!$B$6:$B$132,$B60,'Employee Detail FY23'!$C$6:$C$132,$C60,'Employee Detail FY23'!$E$6:$E$132,$E60,'Employee Detail FY23'!$F$6:$F$132,$F60,'Employee Detail FY23'!$G$6:$G$132,$G60)</f>
        <v>0</v>
      </c>
      <c r="AD60" s="62">
        <f>SUMIFS('Employee Detail FY23'!$AD$6:$AD$132,'Employee Detail FY23'!$B$6:$B$132,$B60,'Employee Detail FY23'!$C$6:$C$132,$C60,'Employee Detail FY23'!$E$6:$E$132,$E60,'Employee Detail FY23'!$F$6:$F$132,$F60,'Employee Detail FY23'!$G$6:$G$132,$G60)</f>
        <v>0</v>
      </c>
      <c r="AE60" s="62">
        <f>SUMIFS('Employee Detail FY23'!$AE$6:$AE$132,'Employee Detail FY23'!$B$6:$B$132,$B60,'Employee Detail FY23'!$C$6:$C$132,$C60,'Employee Detail FY23'!$E$6:$E$132,$E60,'Employee Detail FY23'!$F$6:$F$132,$F60,'Employee Detail FY23'!$G$6:$G$132,$G60)</f>
        <v>0</v>
      </c>
      <c r="AF60" s="62">
        <f>SUMIFS('Employee Detail FY23'!$AF$6:$AF$132,'Employee Detail FY23'!$B$6:$B$132,$B60,'Employee Detail FY23'!$C$6:$C$132,$C60,'Employee Detail FY23'!$E$6:$E$132,$E60,'Employee Detail FY23'!$F$6:$F$132,$F60,'Employee Detail FY23'!$G$6:$G$132,$G60)</f>
        <v>0</v>
      </c>
      <c r="AG60" s="269">
        <v>0</v>
      </c>
      <c r="AH60" s="62">
        <f>SUMIFS('Employee Detail FY23'!$AH$6:$AH$132,'Employee Detail FY23'!$B$6:$B$132,$B60,'Employee Detail FY23'!$C$6:$C$132,$C60,'Employee Detail FY23'!$E$6:$E$132,$E60,'Employee Detail FY23'!$F$6:$F$132,$F60,'Employee Detail FY23'!$G$6:$G$132,$G60)</f>
        <v>0</v>
      </c>
      <c r="AI60" s="62">
        <f>SUMIFS('Employee Detail FY23'!$AI$6:$AI$132,'Employee Detail FY23'!$B$6:$B$132,$B60,'Employee Detail FY23'!$C$6:$C$132,$C60,'Employee Detail FY23'!$E$6:$E$132,$E60,'Employee Detail FY23'!$F$6:$F$132,$F60,'Employee Detail FY23'!$G$6:$G$132,$G60)</f>
        <v>0</v>
      </c>
      <c r="AJ60" s="62">
        <v>0</v>
      </c>
      <c r="AK60" s="62">
        <v>0</v>
      </c>
      <c r="AL60" s="256">
        <f t="shared" si="10"/>
        <v>0</v>
      </c>
      <c r="AM60" s="256">
        <f t="shared" si="8"/>
        <v>0</v>
      </c>
      <c r="AN60" s="256">
        <f t="shared" si="11"/>
        <v>0</v>
      </c>
    </row>
    <row r="61" spans="2:40" outlineLevel="1" x14ac:dyDescent="0.2">
      <c r="B61" s="647"/>
      <c r="C61" s="647"/>
      <c r="D61" s="647"/>
      <c r="E61" s="647"/>
      <c r="F61" s="647"/>
      <c r="G61" s="647"/>
      <c r="H61" s="647"/>
      <c r="AA61" s="256">
        <f>SUMIFS('Employee Detail FY23'!$AA$6:$AA$132,'Employee Detail FY23'!$B$6:$B$132,$B61,'Employee Detail FY23'!$C$6:$C$132,$C61,'Employee Detail FY23'!$E$6:$E$132,$E61,'Employee Detail FY23'!$F$6:$F$132,$F61,'Employee Detail FY23'!$G$6:$G$132,$G61)</f>
        <v>0</v>
      </c>
      <c r="AB61" s="62"/>
      <c r="AC61" s="62">
        <f>SUMIFS('Employee Detail FY23'!$AC$6:$AC$132,'Employee Detail FY23'!$B$6:$B$132,$B61,'Employee Detail FY23'!$C$6:$C$132,$C61,'Employee Detail FY23'!$E$6:$E$132,$E61,'Employee Detail FY23'!$F$6:$F$132,$F61,'Employee Detail FY23'!$G$6:$G$132,$G61)</f>
        <v>0</v>
      </c>
      <c r="AD61" s="62">
        <f>SUMIFS('Employee Detail FY23'!$AD$6:$AD$132,'Employee Detail FY23'!$B$6:$B$132,$B61,'Employee Detail FY23'!$C$6:$C$132,$C61,'Employee Detail FY23'!$E$6:$E$132,$E61,'Employee Detail FY23'!$F$6:$F$132,$F61,'Employee Detail FY23'!$G$6:$G$132,$G61)</f>
        <v>0</v>
      </c>
      <c r="AE61" s="62">
        <f>SUMIFS('Employee Detail FY23'!$AE$6:$AE$132,'Employee Detail FY23'!$B$6:$B$132,$B61,'Employee Detail FY23'!$C$6:$C$132,$C61,'Employee Detail FY23'!$E$6:$E$132,$E61,'Employee Detail FY23'!$F$6:$F$132,$F61,'Employee Detail FY23'!$G$6:$G$132,$G61)</f>
        <v>0</v>
      </c>
      <c r="AF61" s="62">
        <f>SUMIFS('Employee Detail FY23'!$AF$6:$AF$132,'Employee Detail FY23'!$B$6:$B$132,$B61,'Employee Detail FY23'!$C$6:$C$132,$C61,'Employee Detail FY23'!$E$6:$E$132,$E61,'Employee Detail FY23'!$F$6:$F$132,$F61,'Employee Detail FY23'!$G$6:$G$132,$G61)</f>
        <v>0</v>
      </c>
      <c r="AG61" s="269">
        <v>0</v>
      </c>
      <c r="AH61" s="62">
        <f>SUMIFS('Employee Detail FY23'!$AH$6:$AH$132,'Employee Detail FY23'!$B$6:$B$132,$B61,'Employee Detail FY23'!$C$6:$C$132,$C61,'Employee Detail FY23'!$E$6:$E$132,$E61,'Employee Detail FY23'!$F$6:$F$132,$F61,'Employee Detail FY23'!$G$6:$G$132,$G61)</f>
        <v>0</v>
      </c>
      <c r="AI61" s="62">
        <f>SUMIFS('Employee Detail FY23'!$AI$6:$AI$132,'Employee Detail FY23'!$B$6:$B$132,$B61,'Employee Detail FY23'!$C$6:$C$132,$C61,'Employee Detail FY23'!$E$6:$E$132,$E61,'Employee Detail FY23'!$F$6:$F$132,$F61,'Employee Detail FY23'!$G$6:$G$132,$G61)</f>
        <v>0</v>
      </c>
      <c r="AJ61" s="62">
        <v>0</v>
      </c>
      <c r="AK61" s="62">
        <v>0</v>
      </c>
      <c r="AL61" s="256">
        <f t="shared" si="10"/>
        <v>0</v>
      </c>
      <c r="AM61" s="256">
        <f t="shared" si="8"/>
        <v>0</v>
      </c>
      <c r="AN61" s="256">
        <f t="shared" si="11"/>
        <v>0</v>
      </c>
    </row>
    <row r="62" spans="2:40" outlineLevel="1" x14ac:dyDescent="0.2">
      <c r="B62" s="647" t="s">
        <v>135</v>
      </c>
      <c r="C62" s="647" t="s">
        <v>242</v>
      </c>
      <c r="D62" s="647"/>
      <c r="E62" s="647" t="s">
        <v>532</v>
      </c>
      <c r="F62" s="647" t="s">
        <v>534</v>
      </c>
      <c r="G62" s="647" t="s">
        <v>161</v>
      </c>
      <c r="H62" s="647"/>
      <c r="AA62" s="256">
        <f>SUMIFS('Employee Detail FY23'!$AA$6:$AA$132,'Employee Detail FY23'!$B$6:$B$132,$B62,'Employee Detail FY23'!$C$6:$C$132,$C62,'Employee Detail FY23'!$E$6:$E$132,$E62,'Employee Detail FY23'!$F$6:$F$132,$F62,'Employee Detail FY23'!$G$6:$G$132,$G62)</f>
        <v>65042.44</v>
      </c>
      <c r="AB62" s="62"/>
      <c r="AC62" s="399">
        <f>SUMIFS('Employee Detail FY23'!$AC$6:$AC$132,'Employee Detail FY23'!$B$6:$B$132,$B62,'Employee Detail FY23'!$C$6:$C$132,$C62,'Employee Detail FY23'!$E$6:$E$132,$E62,'Employee Detail FY23'!$F$6:$F$132,$F62,'Employee Detail FY23'!$G$6:$G$132,$G62)</f>
        <v>7943.76</v>
      </c>
      <c r="AD62" s="62">
        <f>SUMIFS('Employee Detail FY23'!$AD$6:$AD$132,'Employee Detail FY23'!$B$6:$B$132,$B62,'Employee Detail FY23'!$C$6:$C$132,$C62,'Employee Detail FY23'!$E$6:$E$132,$E62,'Employee Detail FY23'!$F$6:$F$132,$F62,'Employee Detail FY23'!$G$6:$G$132,$G62)</f>
        <v>0</v>
      </c>
      <c r="AE62" s="62">
        <f>SUMIFS('Employee Detail FY23'!$AE$6:$AE$132,'Employee Detail FY23'!$B$6:$B$132,$B62,'Employee Detail FY23'!$C$6:$C$132,$C62,'Employee Detail FY23'!$E$6:$E$132,$E62,'Employee Detail FY23'!$F$6:$F$132,$F62,'Employee Detail FY23'!$G$6:$G$132,$G62)</f>
        <v>19024.913700000001</v>
      </c>
      <c r="AF62" s="62">
        <f>SUMIFS('Employee Detail FY23'!$AF$6:$AF$132,'Employee Detail FY23'!$B$6:$B$132,$B62,'Employee Detail FY23'!$C$6:$C$132,$C62,'Employee Detail FY23'!$E$6:$E$132,$E62,'Employee Detail FY23'!$F$6:$F$132,$F62,'Employee Detail FY23'!$G$6:$G$132,$G62)</f>
        <v>943.11538000000007</v>
      </c>
      <c r="AG62" s="269">
        <v>0</v>
      </c>
      <c r="AH62" s="62">
        <f>SUMIFS('Employee Detail FY23'!$AH$6:$AH$132,'Employee Detail FY23'!$B$6:$B$132,$B62,'Employee Detail FY23'!$C$6:$C$132,$C62,'Employee Detail FY23'!$E$6:$E$132,$E62,'Employee Detail FY23'!$F$6:$F$132,$F62,'Employee Detail FY23'!$G$6:$G$132,$G62)</f>
        <v>592.03815009368793</v>
      </c>
      <c r="AI62" s="62">
        <f>SUMIFS('Employee Detail FY23'!$AI$6:$AI$132,'Employee Detail FY23'!$B$6:$B$132,$B62,'Employee Detail FY23'!$C$6:$C$132,$C62,'Employee Detail FY23'!$E$6:$E$132,$E62,'Employee Detail FY23'!$F$6:$F$132,$F62,'Employee Detail FY23'!$G$6:$G$132,$G62)</f>
        <v>191.56291036145925</v>
      </c>
      <c r="AJ62" s="62">
        <v>0</v>
      </c>
      <c r="AK62" s="62">
        <v>0</v>
      </c>
      <c r="AL62" s="256">
        <f t="shared" si="10"/>
        <v>28695.390140455147</v>
      </c>
      <c r="AM62" s="256">
        <f t="shared" si="8"/>
        <v>65042.44</v>
      </c>
      <c r="AN62" s="256">
        <f t="shared" si="11"/>
        <v>93737.830140455146</v>
      </c>
    </row>
    <row r="63" spans="2:40" outlineLevel="1" x14ac:dyDescent="0.2">
      <c r="B63" s="647" t="s">
        <v>135</v>
      </c>
      <c r="C63" s="647" t="s">
        <v>245</v>
      </c>
      <c r="D63" s="647"/>
      <c r="E63" s="647">
        <v>430</v>
      </c>
      <c r="F63" s="647" t="s">
        <v>534</v>
      </c>
      <c r="G63" s="647" t="s">
        <v>161</v>
      </c>
      <c r="H63" s="647"/>
      <c r="AA63" s="256">
        <f>SUMIFS('Employee Detail FY23'!$AA$6:$AA$132,'Employee Detail FY23'!$B$6:$B$132,$B63,'Employee Detail FY23'!$C$6:$C$132,$C63,'Employee Detail FY23'!$E$6:$E$132,$E63,'Employee Detail FY23'!$F$6:$F$132,$F63,'Employee Detail FY23'!$G$6:$G$132,$G63)</f>
        <v>76532.736681380004</v>
      </c>
      <c r="AB63" s="62"/>
      <c r="AC63" s="399">
        <f>SUMIFS('Employee Detail FY23'!$AC$6:$AC$132,'Employee Detail FY23'!$B$6:$B$132,$B63,'Employee Detail FY23'!$C$6:$C$132,$C63,'Employee Detail FY23'!$E$6:$E$132,$E63,'Employee Detail FY23'!$F$6:$F$132,$F63,'Employee Detail FY23'!$G$6:$G$132,$G63)</f>
        <v>7943.76</v>
      </c>
      <c r="AD63" s="62">
        <f>SUMIFS('Employee Detail FY23'!$AD$6:$AD$132,'Employee Detail FY23'!$B$6:$B$132,$B63,'Employee Detail FY23'!$C$6:$C$132,$C63,'Employee Detail FY23'!$E$6:$E$132,$E63,'Employee Detail FY23'!$F$6:$F$132,$F63,'Employee Detail FY23'!$G$6:$G$132,$G63)</f>
        <v>0</v>
      </c>
      <c r="AE63" s="62">
        <f>SUMIFS('Employee Detail FY23'!$AE$6:$AE$132,'Employee Detail FY23'!$B$6:$B$132,$B63,'Employee Detail FY23'!$C$6:$C$132,$C63,'Employee Detail FY23'!$E$6:$E$132,$E63,'Employee Detail FY23'!$F$6:$F$132,$F63,'Employee Detail FY23'!$G$6:$G$132,$G63)</f>
        <v>11671.24234391045</v>
      </c>
      <c r="AF63" s="62">
        <f>SUMIFS('Employee Detail FY23'!$AF$6:$AF$132,'Employee Detail FY23'!$B$6:$B$132,$B63,'Employee Detail FY23'!$C$6:$C$132,$C63,'Employee Detail FY23'!$E$6:$E$132,$E63,'Employee Detail FY23'!$F$6:$F$132,$F63,'Employee Detail FY23'!$G$6:$G$132,$G63)</f>
        <v>1109.7246818800102</v>
      </c>
      <c r="AG63" s="269">
        <v>0</v>
      </c>
      <c r="AH63" s="62">
        <f>SUMIFS('Employee Detail FY23'!$AH$6:$AH$132,'Employee Detail FY23'!$B$6:$B$132,$B63,'Employee Detail FY23'!$C$6:$C$132,$C63,'Employee Detail FY23'!$E$6:$E$132,$E63,'Employee Detail FY23'!$F$6:$F$132,$F63,'Employee Detail FY23'!$G$6:$G$132,$G63)</f>
        <v>696.62669245574955</v>
      </c>
      <c r="AI63" s="62">
        <f>SUMIFS('Employee Detail FY23'!$AI$6:$AI$132,'Employee Detail FY23'!$B$6:$B$132,$B63,'Employee Detail FY23'!$C$6:$C$132,$C63,'Employee Detail FY23'!$E$6:$E$132,$E63,'Employee Detail FY23'!$F$6:$F$132,$F63,'Employee Detail FY23'!$G$6:$G$132,$G63)</f>
        <v>225.40411732112696</v>
      </c>
      <c r="AJ63" s="62">
        <v>0</v>
      </c>
      <c r="AK63" s="62">
        <v>0</v>
      </c>
      <c r="AL63" s="256">
        <f t="shared" si="10"/>
        <v>21646.757835567332</v>
      </c>
      <c r="AM63" s="256">
        <f t="shared" si="8"/>
        <v>76532.736681380004</v>
      </c>
      <c r="AN63" s="256">
        <f t="shared" si="11"/>
        <v>98179.494516947336</v>
      </c>
    </row>
    <row r="64" spans="2:40" outlineLevel="1" x14ac:dyDescent="0.2">
      <c r="B64" s="647" t="s">
        <v>135</v>
      </c>
      <c r="C64" s="647" t="s">
        <v>242</v>
      </c>
      <c r="D64" s="647"/>
      <c r="E64" s="647" t="s">
        <v>532</v>
      </c>
      <c r="F64" s="647" t="s">
        <v>534</v>
      </c>
      <c r="G64" s="647" t="s">
        <v>1043</v>
      </c>
      <c r="H64" s="647"/>
      <c r="AA64" s="256">
        <f>SUMIFS('Employee Detail FY23'!$AA$6:$AA$132,'Employee Detail FY23'!$B$6:$B$132,$B64,'Employee Detail FY23'!$C$6:$C$132,$C64,'Employee Detail FY23'!$E$6:$E$132,$E64,'Employee Detail FY23'!$F$6:$F$132,$F64,'Employee Detail FY23'!$G$6:$G$132,$G64)</f>
        <v>0</v>
      </c>
      <c r="AB64" s="62"/>
      <c r="AC64" s="399">
        <f>SUMIFS('Employee Detail FY23'!$AC$6:$AC$132,'Employee Detail FY23'!$B$6:$B$132,$B64,'Employee Detail FY23'!$C$6:$C$132,$C64,'Employee Detail FY23'!$E$6:$E$132,$E64,'Employee Detail FY23'!$F$6:$F$132,$F64,'Employee Detail FY23'!$G$6:$G$132,$G64)</f>
        <v>0</v>
      </c>
      <c r="AD64" s="62">
        <f>SUMIFS('Employee Detail FY23'!$AD$6:$AD$132,'Employee Detail FY23'!$B$6:$B$132,$B64,'Employee Detail FY23'!$C$6:$C$132,$C64,'Employee Detail FY23'!$E$6:$E$132,$E64,'Employee Detail FY23'!$F$6:$F$132,$F64,'Employee Detail FY23'!$G$6:$G$132,$G64)</f>
        <v>0</v>
      </c>
      <c r="AE64" s="62">
        <f>SUMIFS('Employee Detail FY23'!$AE$6:$AE$132,'Employee Detail FY23'!$B$6:$B$132,$B64,'Employee Detail FY23'!$C$6:$C$132,$C64,'Employee Detail FY23'!$E$6:$E$132,$E64,'Employee Detail FY23'!$F$6:$F$132,$F64,'Employee Detail FY23'!$G$6:$G$132,$G64)</f>
        <v>0</v>
      </c>
      <c r="AF64" s="62">
        <f>SUMIFS('Employee Detail FY23'!$AF$6:$AF$132,'Employee Detail FY23'!$B$6:$B$132,$B64,'Employee Detail FY23'!$C$6:$C$132,$C64,'Employee Detail FY23'!$E$6:$E$132,$E64,'Employee Detail FY23'!$F$6:$F$132,$F64,'Employee Detail FY23'!$G$6:$G$132,$G64)</f>
        <v>0</v>
      </c>
      <c r="AG64" s="269">
        <v>0</v>
      </c>
      <c r="AH64" s="62">
        <f>SUMIFS('Employee Detail FY23'!$AH$6:$AH$132,'Employee Detail FY23'!$B$6:$B$132,$B64,'Employee Detail FY23'!$C$6:$C$132,$C64,'Employee Detail FY23'!$E$6:$E$132,$E64,'Employee Detail FY23'!$F$6:$F$132,$F64,'Employee Detail FY23'!$G$6:$G$132,$G64)</f>
        <v>0</v>
      </c>
      <c r="AI64" s="62">
        <f>SUMIFS('Employee Detail FY23'!$AI$6:$AI$132,'Employee Detail FY23'!$B$6:$B$132,$B64,'Employee Detail FY23'!$C$6:$C$132,$C64,'Employee Detail FY23'!$E$6:$E$132,$E64,'Employee Detail FY23'!$F$6:$F$132,$F64,'Employee Detail FY23'!$G$6:$G$132,$G64)</f>
        <v>0</v>
      </c>
      <c r="AJ64" s="62">
        <v>0</v>
      </c>
      <c r="AK64" s="62">
        <v>0</v>
      </c>
      <c r="AL64" s="256">
        <f t="shared" si="10"/>
        <v>0</v>
      </c>
      <c r="AM64" s="256">
        <f t="shared" si="8"/>
        <v>0</v>
      </c>
      <c r="AN64" s="256">
        <f t="shared" si="11"/>
        <v>0</v>
      </c>
    </row>
    <row r="65" spans="1:40" outlineLevel="1" x14ac:dyDescent="0.2">
      <c r="B65" s="647" t="s">
        <v>135</v>
      </c>
      <c r="C65" s="647" t="s">
        <v>242</v>
      </c>
      <c r="D65" s="647"/>
      <c r="E65" s="647" t="s">
        <v>532</v>
      </c>
      <c r="F65" s="647" t="s">
        <v>558</v>
      </c>
      <c r="G65" s="647" t="s">
        <v>993</v>
      </c>
      <c r="H65" s="647"/>
      <c r="AA65" s="256">
        <f>SUMIFS('Employee Detail FY23'!$AA$6:$AA$132,'Employee Detail FY23'!$B$6:$B$132,$B65,'Employee Detail FY23'!$C$6:$C$132,$C65,'Employee Detail FY23'!$E$6:$E$132,$E65,'Employee Detail FY23'!$F$6:$F$132,$F65,'Employee Detail FY23'!$G$6:$G$132,$G65)</f>
        <v>0</v>
      </c>
      <c r="AB65" s="62"/>
      <c r="AC65" s="399">
        <f>SUMIFS('Employee Detail FY23'!$AC$6:$AC$132,'Employee Detail FY23'!$B$6:$B$132,$B65,'Employee Detail FY23'!$C$6:$C$132,$C65,'Employee Detail FY23'!$E$6:$E$132,$E65,'Employee Detail FY23'!$F$6:$F$132,$F65,'Employee Detail FY23'!$G$6:$G$132,$G65)</f>
        <v>0</v>
      </c>
      <c r="AD65" s="62">
        <f>SUMIFS('Employee Detail FY23'!$AD$6:$AD$132,'Employee Detail FY23'!$B$6:$B$132,$B65,'Employee Detail FY23'!$C$6:$C$132,$C65,'Employee Detail FY23'!$E$6:$E$132,$E65,'Employee Detail FY23'!$F$6:$F$132,$F65,'Employee Detail FY23'!$G$6:$G$132,$G65)</f>
        <v>0</v>
      </c>
      <c r="AE65" s="62">
        <f>SUMIFS('Employee Detail FY23'!$AE$6:$AE$132,'Employee Detail FY23'!$B$6:$B$132,$B65,'Employee Detail FY23'!$C$6:$C$132,$C65,'Employee Detail FY23'!$E$6:$E$132,$E65,'Employee Detail FY23'!$F$6:$F$132,$F65,'Employee Detail FY23'!$G$6:$G$132,$G65)</f>
        <v>0</v>
      </c>
      <c r="AF65" s="62">
        <f>SUMIFS('Employee Detail FY23'!$AF$6:$AF$132,'Employee Detail FY23'!$B$6:$B$132,$B65,'Employee Detail FY23'!$C$6:$C$132,$C65,'Employee Detail FY23'!$E$6:$E$132,$E65,'Employee Detail FY23'!$F$6:$F$132,$F65,'Employee Detail FY23'!$G$6:$G$132,$G65)</f>
        <v>0</v>
      </c>
      <c r="AG65" s="269">
        <v>0</v>
      </c>
      <c r="AH65" s="62">
        <f>SUMIFS('Employee Detail FY23'!$AH$6:$AH$132,'Employee Detail FY23'!$B$6:$B$132,$B65,'Employee Detail FY23'!$C$6:$C$132,$C65,'Employee Detail FY23'!$E$6:$E$132,$E65,'Employee Detail FY23'!$F$6:$F$132,$F65,'Employee Detail FY23'!$G$6:$G$132,$G65)</f>
        <v>0</v>
      </c>
      <c r="AI65" s="62">
        <f>SUMIFS('Employee Detail FY23'!$AI$6:$AI$132,'Employee Detail FY23'!$B$6:$B$132,$B65,'Employee Detail FY23'!$C$6:$C$132,$C65,'Employee Detail FY23'!$E$6:$E$132,$E65,'Employee Detail FY23'!$F$6:$F$132,$F65,'Employee Detail FY23'!$G$6:$G$132,$G65)</f>
        <v>0</v>
      </c>
      <c r="AJ65" s="62">
        <v>0</v>
      </c>
      <c r="AK65" s="62">
        <v>0</v>
      </c>
      <c r="AL65" s="256">
        <f t="shared" si="10"/>
        <v>0</v>
      </c>
      <c r="AM65" s="256">
        <f t="shared" si="8"/>
        <v>0</v>
      </c>
      <c r="AN65" s="256">
        <f t="shared" si="11"/>
        <v>0</v>
      </c>
    </row>
    <row r="66" spans="1:40" outlineLevel="1" x14ac:dyDescent="0.2">
      <c r="B66" s="647"/>
      <c r="C66" s="647"/>
      <c r="D66" s="647"/>
      <c r="E66" s="647"/>
      <c r="F66" s="647"/>
      <c r="G66" s="647"/>
      <c r="H66" s="647"/>
      <c r="AA66" s="256">
        <f>SUMIFS('Employee Detail FY23'!$AA$6:$AA$132,'Employee Detail FY23'!$B$6:$B$132,$B66,'Employee Detail FY23'!$C$6:$C$132,$C66,'Employee Detail FY23'!$E$6:$E$132,$E66,'Employee Detail FY23'!$F$6:$F$132,$F66,'Employee Detail FY23'!$G$6:$G$132,$G66)</f>
        <v>0</v>
      </c>
      <c r="AB66" s="62"/>
      <c r="AC66" s="62">
        <f>SUMIFS('Employee Detail FY23'!$AC$6:$AC$132,'Employee Detail FY23'!$B$6:$B$132,$B66,'Employee Detail FY23'!$C$6:$C$132,$C66,'Employee Detail FY23'!$E$6:$E$132,$E66,'Employee Detail FY23'!$F$6:$F$132,$F66,'Employee Detail FY23'!$G$6:$G$132,$G66)</f>
        <v>0</v>
      </c>
      <c r="AD66" s="62">
        <f>SUMIFS('Employee Detail FY23'!$AD$6:$AD$132,'Employee Detail FY23'!$B$6:$B$132,$B66,'Employee Detail FY23'!$C$6:$C$132,$C66,'Employee Detail FY23'!$E$6:$E$132,$E66,'Employee Detail FY23'!$F$6:$F$132,$F66,'Employee Detail FY23'!$G$6:$G$132,$G66)</f>
        <v>0</v>
      </c>
      <c r="AE66" s="62">
        <f>SUMIFS('Employee Detail FY23'!$AE$6:$AE$132,'Employee Detail FY23'!$B$6:$B$132,$B66,'Employee Detail FY23'!$C$6:$C$132,$C66,'Employee Detail FY23'!$E$6:$E$132,$E66,'Employee Detail FY23'!$F$6:$F$132,$F66,'Employee Detail FY23'!$G$6:$G$132,$G66)</f>
        <v>0</v>
      </c>
      <c r="AF66" s="62">
        <f>SUMIFS('Employee Detail FY23'!$AF$6:$AF$132,'Employee Detail FY23'!$B$6:$B$132,$B66,'Employee Detail FY23'!$C$6:$C$132,$C66,'Employee Detail FY23'!$E$6:$E$132,$E66,'Employee Detail FY23'!$F$6:$F$132,$F66,'Employee Detail FY23'!$G$6:$G$132,$G66)</f>
        <v>0</v>
      </c>
      <c r="AG66" s="269">
        <v>0</v>
      </c>
      <c r="AH66" s="62">
        <f>SUMIFS('Employee Detail FY23'!$AH$6:$AH$132,'Employee Detail FY23'!$B$6:$B$132,$B66,'Employee Detail FY23'!$C$6:$C$132,$C66,'Employee Detail FY23'!$E$6:$E$132,$E66,'Employee Detail FY23'!$F$6:$F$132,$F66,'Employee Detail FY23'!$G$6:$G$132,$G66)</f>
        <v>0</v>
      </c>
      <c r="AI66" s="62">
        <f>SUMIFS('Employee Detail FY23'!$AI$6:$AI$132,'Employee Detail FY23'!$B$6:$B$132,$B66,'Employee Detail FY23'!$C$6:$C$132,$C66,'Employee Detail FY23'!$E$6:$E$132,$E66,'Employee Detail FY23'!$F$6:$F$132,$F66,'Employee Detail FY23'!$G$6:$G$132,$G66)</f>
        <v>0</v>
      </c>
      <c r="AJ66" s="62">
        <v>0</v>
      </c>
      <c r="AK66" s="62">
        <v>0</v>
      </c>
      <c r="AL66" s="256">
        <f t="shared" si="10"/>
        <v>0</v>
      </c>
      <c r="AM66" s="256">
        <f t="shared" si="8"/>
        <v>0</v>
      </c>
      <c r="AN66" s="256">
        <f t="shared" si="11"/>
        <v>0</v>
      </c>
    </row>
    <row r="67" spans="1:40" outlineLevel="1" x14ac:dyDescent="0.2">
      <c r="B67" s="647" t="s">
        <v>135</v>
      </c>
      <c r="C67" s="647" t="s">
        <v>242</v>
      </c>
      <c r="D67" s="647"/>
      <c r="E67" s="647">
        <v>430</v>
      </c>
      <c r="F67" s="647" t="s">
        <v>460</v>
      </c>
      <c r="G67" s="647" t="s">
        <v>165</v>
      </c>
      <c r="H67" s="647"/>
      <c r="AA67" s="256">
        <f>SUMIFS('Employee Detail FY23'!$AA$6:$AA$132,'Employee Detail FY23'!$B$6:$B$132,$B67,'Employee Detail FY23'!$C$6:$C$132,$C67,'Employee Detail FY23'!$E$6:$E$132,$E67,'Employee Detail FY23'!$F$6:$F$132,$F67,'Employee Detail FY23'!$G$6:$G$132,$G67)</f>
        <v>91670</v>
      </c>
      <c r="AB67" s="62"/>
      <c r="AC67" s="399">
        <f>SUMIFS('Employee Detail FY23'!$AC$6:$AC$132,'Employee Detail FY23'!$B$6:$B$132,$B67,'Employee Detail FY23'!$C$6:$C$132,$C67,'Employee Detail FY23'!$E$6:$E$132,$E67,'Employee Detail FY23'!$F$6:$F$132,$F67,'Employee Detail FY23'!$G$6:$G$132,$G67)</f>
        <v>7943.76</v>
      </c>
      <c r="AD67" s="62">
        <f>SUMIFS('Employee Detail FY23'!$AD$6:$AD$132,'Employee Detail FY23'!$B$6:$B$132,$B67,'Employee Detail FY23'!$C$6:$C$132,$C67,'Employee Detail FY23'!$E$6:$E$132,$E67,'Employee Detail FY23'!$F$6:$F$132,$F67,'Employee Detail FY23'!$G$6:$G$132,$G67)</f>
        <v>0</v>
      </c>
      <c r="AE67" s="62">
        <f>SUMIFS('Employee Detail FY23'!$AE$6:$AE$132,'Employee Detail FY23'!$B$6:$B$132,$B67,'Employee Detail FY23'!$C$6:$C$132,$C67,'Employee Detail FY23'!$E$6:$E$132,$E67,'Employee Detail FY23'!$F$6:$F$132,$F67,'Employee Detail FY23'!$G$6:$G$132,$G67)</f>
        <v>26813.474999999999</v>
      </c>
      <c r="AF67" s="62">
        <f>SUMIFS('Employee Detail FY23'!$AF$6:$AF$132,'Employee Detail FY23'!$B$6:$B$132,$B67,'Employee Detail FY23'!$C$6:$C$132,$C67,'Employee Detail FY23'!$E$6:$E$132,$E67,'Employee Detail FY23'!$F$6:$F$132,$F67,'Employee Detail FY23'!$G$6:$G$132,$G67)</f>
        <v>1329.2150000000001</v>
      </c>
      <c r="AG67" s="269">
        <v>0</v>
      </c>
      <c r="AH67" s="62">
        <f>SUMIFS('Employee Detail FY23'!$AH$6:$AH$132,'Employee Detail FY23'!$B$6:$B$132,$B67,'Employee Detail FY23'!$C$6:$C$132,$C67,'Employee Detail FY23'!$E$6:$E$132,$E67,'Employee Detail FY23'!$F$6:$F$132,$F67,'Employee Detail FY23'!$G$6:$G$132,$G67)</f>
        <v>834.41115092066605</v>
      </c>
      <c r="AI67" s="62">
        <f>SUMIFS('Employee Detail FY23'!$AI$6:$AI$132,'Employee Detail FY23'!$B$6:$B$132,$B67,'Employee Detail FY23'!$C$6:$C$132,$C67,'Employee Detail FY23'!$E$6:$E$132,$E67,'Employee Detail FY23'!$F$6:$F$132,$F67,'Employee Detail FY23'!$G$6:$G$132,$G67)</f>
        <v>269.98636571498497</v>
      </c>
      <c r="AJ67" s="62">
        <v>0</v>
      </c>
      <c r="AK67" s="62">
        <v>0</v>
      </c>
      <c r="AL67" s="256">
        <f t="shared" si="10"/>
        <v>37190.847516635644</v>
      </c>
      <c r="AM67" s="256">
        <f t="shared" si="8"/>
        <v>91670</v>
      </c>
      <c r="AN67" s="256">
        <f t="shared" si="11"/>
        <v>128860.84751663564</v>
      </c>
    </row>
    <row r="68" spans="1:40" outlineLevel="1" x14ac:dyDescent="0.2">
      <c r="B68" s="647" t="s">
        <v>135</v>
      </c>
      <c r="C68" s="647" t="s">
        <v>242</v>
      </c>
      <c r="D68" s="647"/>
      <c r="E68" s="647" t="s">
        <v>532</v>
      </c>
      <c r="F68" s="647" t="s">
        <v>460</v>
      </c>
      <c r="G68" s="647" t="s">
        <v>1045</v>
      </c>
      <c r="H68" s="647"/>
      <c r="AA68" s="256">
        <f>SUMIFS('Employee Detail FY23'!$AA$6:$AA$132,'Employee Detail FY23'!$B$6:$B$132,$B68,'Employee Detail FY23'!$C$6:$C$132,$C68,'Employee Detail FY23'!$E$6:$E$132,$E68,'Employee Detail FY23'!$F$6:$F$132,$F68,'Employee Detail FY23'!$G$6:$G$132,$G68)</f>
        <v>0</v>
      </c>
      <c r="AB68" s="62"/>
      <c r="AC68" s="399">
        <f>SUMIFS('Employee Detail FY23'!$AC$6:$AC$132,'Employee Detail FY23'!$B$6:$B$132,$B68,'Employee Detail FY23'!$C$6:$C$132,$C68,'Employee Detail FY23'!$E$6:$E$132,$E68,'Employee Detail FY23'!$F$6:$F$132,$F68,'Employee Detail FY23'!$G$6:$G$132,$G68)</f>
        <v>0</v>
      </c>
      <c r="AD68" s="62">
        <f>SUMIFS('Employee Detail FY23'!$AD$6:$AD$132,'Employee Detail FY23'!$B$6:$B$132,$B68,'Employee Detail FY23'!$C$6:$C$132,$C68,'Employee Detail FY23'!$E$6:$E$132,$E68,'Employee Detail FY23'!$F$6:$F$132,$F68,'Employee Detail FY23'!$G$6:$G$132,$G68)</f>
        <v>0</v>
      </c>
      <c r="AE68" s="62">
        <f>SUMIFS('Employee Detail FY23'!$AE$6:$AE$132,'Employee Detail FY23'!$B$6:$B$132,$B68,'Employee Detail FY23'!$C$6:$C$132,$C68,'Employee Detail FY23'!$E$6:$E$132,$E68,'Employee Detail FY23'!$F$6:$F$132,$F68,'Employee Detail FY23'!$G$6:$G$132,$G68)</f>
        <v>0</v>
      </c>
      <c r="AF68" s="62">
        <f>SUMIFS('Employee Detail FY23'!$AF$6:$AF$132,'Employee Detail FY23'!$B$6:$B$132,$B68,'Employee Detail FY23'!$C$6:$C$132,$C68,'Employee Detail FY23'!$E$6:$E$132,$E68,'Employee Detail FY23'!$F$6:$F$132,$F68,'Employee Detail FY23'!$G$6:$G$132,$G68)</f>
        <v>0</v>
      </c>
      <c r="AG68" s="269">
        <v>0</v>
      </c>
      <c r="AH68" s="62">
        <f>SUMIFS('Employee Detail FY23'!$AH$6:$AH$132,'Employee Detail FY23'!$B$6:$B$132,$B68,'Employee Detail FY23'!$C$6:$C$132,$C68,'Employee Detail FY23'!$E$6:$E$132,$E68,'Employee Detail FY23'!$F$6:$F$132,$F68,'Employee Detail FY23'!$G$6:$G$132,$G68)</f>
        <v>0</v>
      </c>
      <c r="AI68" s="62">
        <f>SUMIFS('Employee Detail FY23'!$AI$6:$AI$132,'Employee Detail FY23'!$B$6:$B$132,$B68,'Employee Detail FY23'!$C$6:$C$132,$C68,'Employee Detail FY23'!$E$6:$E$132,$E68,'Employee Detail FY23'!$F$6:$F$132,$F68,'Employee Detail FY23'!$G$6:$G$132,$G68)</f>
        <v>0</v>
      </c>
      <c r="AJ68" s="62">
        <v>0</v>
      </c>
      <c r="AK68" s="62">
        <v>0</v>
      </c>
      <c r="AL68" s="256">
        <f t="shared" si="10"/>
        <v>0</v>
      </c>
      <c r="AM68" s="256">
        <f t="shared" si="8"/>
        <v>0</v>
      </c>
      <c r="AN68" s="256">
        <f t="shared" si="11"/>
        <v>0</v>
      </c>
    </row>
    <row r="69" spans="1:40" outlineLevel="1" x14ac:dyDescent="0.2">
      <c r="B69" s="647"/>
      <c r="C69" s="647"/>
      <c r="D69" s="647"/>
      <c r="E69" s="647"/>
      <c r="F69" s="647"/>
      <c r="G69" s="647"/>
      <c r="H69" s="647"/>
      <c r="AA69" s="256">
        <f>SUMIFS('Employee Detail FY23'!$AA$6:$AA$132,'Employee Detail FY23'!$B$6:$B$132,$B69,'Employee Detail FY23'!$C$6:$C$132,$C69,'Employee Detail FY23'!$E$6:$E$132,$E69,'Employee Detail FY23'!$F$6:$F$132,$F69,'Employee Detail FY23'!$G$6:$G$132,$G69)</f>
        <v>0</v>
      </c>
      <c r="AB69" s="62"/>
      <c r="AC69" s="62">
        <f>SUMIFS('Employee Detail FY23'!$AC$6:$AC$132,'Employee Detail FY23'!$B$6:$B$132,$B69,'Employee Detail FY23'!$C$6:$C$132,$C69,'Employee Detail FY23'!$E$6:$E$132,$E69,'Employee Detail FY23'!$F$6:$F$132,$F69,'Employee Detail FY23'!$G$6:$G$132,$G69)</f>
        <v>0</v>
      </c>
      <c r="AD69" s="62">
        <f>SUMIFS('Employee Detail FY23'!$AD$6:$AD$132,'Employee Detail FY23'!$B$6:$B$132,$B69,'Employee Detail FY23'!$C$6:$C$132,$C69,'Employee Detail FY23'!$E$6:$E$132,$E69,'Employee Detail FY23'!$F$6:$F$132,$F69,'Employee Detail FY23'!$G$6:$G$132,$G69)</f>
        <v>0</v>
      </c>
      <c r="AE69" s="62">
        <f>SUMIFS('Employee Detail FY23'!$AE$6:$AE$132,'Employee Detail FY23'!$B$6:$B$132,$B69,'Employee Detail FY23'!$C$6:$C$132,$C69,'Employee Detail FY23'!$E$6:$E$132,$E69,'Employee Detail FY23'!$F$6:$F$132,$F69,'Employee Detail FY23'!$G$6:$G$132,$G69)</f>
        <v>0</v>
      </c>
      <c r="AF69" s="62">
        <f>SUMIFS('Employee Detail FY23'!$AF$6:$AF$132,'Employee Detail FY23'!$B$6:$B$132,$B69,'Employee Detail FY23'!$C$6:$C$132,$C69,'Employee Detail FY23'!$E$6:$E$132,$E69,'Employee Detail FY23'!$F$6:$F$132,$F69,'Employee Detail FY23'!$G$6:$G$132,$G69)</f>
        <v>0</v>
      </c>
      <c r="AG69" s="269">
        <v>0</v>
      </c>
      <c r="AH69" s="62">
        <f>SUMIFS('Employee Detail FY23'!$AH$6:$AH$132,'Employee Detail FY23'!$B$6:$B$132,$B69,'Employee Detail FY23'!$C$6:$C$132,$C69,'Employee Detail FY23'!$E$6:$E$132,$E69,'Employee Detail FY23'!$F$6:$F$132,$F69,'Employee Detail FY23'!$G$6:$G$132,$G69)</f>
        <v>0</v>
      </c>
      <c r="AI69" s="62">
        <f>SUMIFS('Employee Detail FY23'!$AI$6:$AI$132,'Employee Detail FY23'!$B$6:$B$132,$B69,'Employee Detail FY23'!$C$6:$C$132,$C69,'Employee Detail FY23'!$E$6:$E$132,$E69,'Employee Detail FY23'!$F$6:$F$132,$F69,'Employee Detail FY23'!$G$6:$G$132,$G69)</f>
        <v>0</v>
      </c>
      <c r="AJ69" s="62">
        <v>0</v>
      </c>
      <c r="AK69" s="62">
        <v>0</v>
      </c>
      <c r="AL69" s="256">
        <f t="shared" si="10"/>
        <v>0</v>
      </c>
      <c r="AM69" s="256">
        <f t="shared" si="8"/>
        <v>0</v>
      </c>
      <c r="AN69" s="256">
        <f t="shared" si="11"/>
        <v>0</v>
      </c>
    </row>
    <row r="70" spans="1:40" ht="13.5" thickBot="1" x14ac:dyDescent="0.25">
      <c r="A70" s="5"/>
      <c r="B70" s="648"/>
      <c r="C70" s="648"/>
      <c r="D70" s="648"/>
      <c r="E70" s="648"/>
      <c r="F70" s="648"/>
      <c r="G70" s="648"/>
      <c r="H70" s="648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57">
        <f>SUM(AA6:AA69)</f>
        <v>2831510.5968766436</v>
      </c>
      <c r="AB70" s="257">
        <f t="shared" ref="AB70:AN70" si="15">SUM(AB6:AB69)</f>
        <v>0</v>
      </c>
      <c r="AC70" s="257">
        <f t="shared" si="15"/>
        <v>373356.72000000009</v>
      </c>
      <c r="AD70" s="257">
        <f t="shared" si="15"/>
        <v>4154.93372</v>
      </c>
      <c r="AE70" s="257">
        <f t="shared" si="15"/>
        <v>635482.24565368821</v>
      </c>
      <c r="AF70" s="257">
        <f t="shared" si="15"/>
        <v>41056.90365471135</v>
      </c>
      <c r="AG70" s="257">
        <f t="shared" si="15"/>
        <v>0</v>
      </c>
      <c r="AH70" s="257">
        <f t="shared" si="15"/>
        <v>25773.361143055547</v>
      </c>
      <c r="AI70" s="257">
        <f t="shared" si="15"/>
        <v>8339.3613563236941</v>
      </c>
      <c r="AJ70" s="257">
        <f t="shared" si="15"/>
        <v>0</v>
      </c>
      <c r="AK70" s="257">
        <f t="shared" si="15"/>
        <v>0</v>
      </c>
      <c r="AL70" s="257">
        <f t="shared" si="15"/>
        <v>1088163.5255277785</v>
      </c>
      <c r="AM70" s="257">
        <f t="shared" si="15"/>
        <v>2831510.5968766436</v>
      </c>
      <c r="AN70" s="257">
        <f t="shared" si="15"/>
        <v>3919674.1224044231</v>
      </c>
    </row>
    <row r="71" spans="1:40" ht="13.5" thickTop="1" x14ac:dyDescent="0.2">
      <c r="B71" s="647"/>
      <c r="C71" s="647"/>
      <c r="D71" s="647"/>
      <c r="E71" s="647"/>
      <c r="F71" s="647"/>
      <c r="G71" s="647"/>
      <c r="H71" s="647"/>
      <c r="AA71" s="62">
        <f>SUBTOTAL(9,AA6:AA69)</f>
        <v>2831510.5968766436</v>
      </c>
      <c r="AB71" s="62">
        <f t="shared" ref="AB71:AN71" si="16">SUBTOTAL(9,AB6:AB69)</f>
        <v>0</v>
      </c>
      <c r="AC71" s="62">
        <f t="shared" si="16"/>
        <v>373356.72000000009</v>
      </c>
      <c r="AD71" s="62">
        <f t="shared" si="16"/>
        <v>4154.93372</v>
      </c>
      <c r="AE71" s="62">
        <f t="shared" si="16"/>
        <v>635482.24565368821</v>
      </c>
      <c r="AF71" s="62">
        <f t="shared" si="16"/>
        <v>41056.90365471135</v>
      </c>
      <c r="AG71" s="62">
        <f t="shared" si="16"/>
        <v>0</v>
      </c>
      <c r="AH71" s="62">
        <f t="shared" si="16"/>
        <v>25773.361143055547</v>
      </c>
      <c r="AI71" s="62">
        <f t="shared" si="16"/>
        <v>8339.3613563236941</v>
      </c>
      <c r="AJ71" s="62">
        <f t="shared" si="16"/>
        <v>0</v>
      </c>
      <c r="AK71" s="62">
        <f t="shared" si="16"/>
        <v>0</v>
      </c>
      <c r="AL71" s="62">
        <f t="shared" si="16"/>
        <v>1088163.5255277785</v>
      </c>
      <c r="AM71" s="62">
        <f t="shared" si="16"/>
        <v>2831510.5968766436</v>
      </c>
      <c r="AN71" s="62">
        <f t="shared" si="16"/>
        <v>3919674.1224044231</v>
      </c>
    </row>
    <row r="72" spans="1:40" x14ac:dyDescent="0.2">
      <c r="B72" s="647"/>
      <c r="C72" s="647"/>
      <c r="D72" s="647"/>
      <c r="E72" s="647"/>
      <c r="F72" s="647"/>
      <c r="G72" s="647"/>
      <c r="H72" s="647"/>
      <c r="AA72" s="62">
        <f>'Employee Detail FY23'!AA131</f>
        <v>2831510.5968766441</v>
      </c>
      <c r="AB72" s="62">
        <f>'Employee Detail FY23'!AB131</f>
        <v>0</v>
      </c>
      <c r="AC72" s="62">
        <f>'Employee Detail FY23'!AC131</f>
        <v>373356.72000000026</v>
      </c>
      <c r="AD72" s="62">
        <f>'Employee Detail FY23'!AD131</f>
        <v>4154.93372</v>
      </c>
      <c r="AE72" s="62">
        <f>'Employee Detail FY23'!AE131</f>
        <v>635482.24565368833</v>
      </c>
      <c r="AF72" s="62">
        <f>'Employee Detail FY23'!AF131</f>
        <v>41056.903654711321</v>
      </c>
      <c r="AG72" s="62">
        <f>'Employee Detail FY23'!AG131</f>
        <v>0</v>
      </c>
      <c r="AH72" s="62">
        <f>'Employee Detail FY23'!AH131</f>
        <v>25773.361143055532</v>
      </c>
      <c r="AI72" s="62">
        <f>'Employee Detail FY23'!AI131</f>
        <v>8339.3613563236941</v>
      </c>
      <c r="AJ72" s="62">
        <f>'Employee Detail FY23'!AJ131</f>
        <v>0</v>
      </c>
      <c r="AK72" s="62">
        <f>'Employee Detail FY23'!AK131</f>
        <v>0</v>
      </c>
      <c r="AL72" s="62">
        <f>'Employee Detail FY23'!AL131</f>
        <v>1088163.5255277788</v>
      </c>
      <c r="AM72" s="62">
        <f>'Employee Detail FY23'!AM131</f>
        <v>2831510.5968766441</v>
      </c>
      <c r="AN72" s="62">
        <f>'Employee Detail FY23'!AN131</f>
        <v>3919674.1224044235</v>
      </c>
    </row>
    <row r="73" spans="1:40" x14ac:dyDescent="0.2">
      <c r="B73" s="647"/>
      <c r="C73" s="647"/>
      <c r="D73" s="647"/>
      <c r="E73" s="647"/>
      <c r="F73" s="647"/>
      <c r="G73" s="647"/>
      <c r="H73" s="647"/>
      <c r="AA73" s="355">
        <f>AA72-AA70</f>
        <v>0</v>
      </c>
      <c r="AB73" s="355">
        <f t="shared" ref="AB73:AN73" si="17">AB72-AB70</f>
        <v>0</v>
      </c>
      <c r="AC73" s="355">
        <f t="shared" si="17"/>
        <v>0</v>
      </c>
      <c r="AD73" s="355">
        <f t="shared" si="17"/>
        <v>0</v>
      </c>
      <c r="AE73" s="355">
        <f t="shared" si="17"/>
        <v>0</v>
      </c>
      <c r="AF73" s="355">
        <f t="shared" si="17"/>
        <v>0</v>
      </c>
      <c r="AG73" s="355">
        <f t="shared" si="17"/>
        <v>0</v>
      </c>
      <c r="AH73" s="355">
        <f t="shared" si="17"/>
        <v>0</v>
      </c>
      <c r="AI73" s="355">
        <f t="shared" si="17"/>
        <v>0</v>
      </c>
      <c r="AJ73" s="355">
        <f t="shared" si="17"/>
        <v>0</v>
      </c>
      <c r="AK73" s="355">
        <f t="shared" si="17"/>
        <v>0</v>
      </c>
      <c r="AL73" s="355">
        <f t="shared" si="17"/>
        <v>0</v>
      </c>
      <c r="AM73" s="355">
        <f t="shared" si="17"/>
        <v>0</v>
      </c>
      <c r="AN73" s="355">
        <f t="shared" si="17"/>
        <v>0</v>
      </c>
    </row>
    <row r="74" spans="1:40" x14ac:dyDescent="0.2">
      <c r="B74" s="647"/>
      <c r="C74" s="647"/>
      <c r="D74" s="647"/>
      <c r="E74" s="647"/>
      <c r="F74" s="647"/>
      <c r="G74" s="647"/>
      <c r="H74" s="647"/>
    </row>
    <row r="75" spans="1:40" x14ac:dyDescent="0.2">
      <c r="B75" s="647"/>
      <c r="C75" s="647"/>
      <c r="D75" s="647"/>
      <c r="E75" s="647"/>
      <c r="F75" s="647"/>
      <c r="G75" s="647"/>
      <c r="H75" s="647"/>
    </row>
    <row r="76" spans="1:40" x14ac:dyDescent="0.2">
      <c r="A76" s="680"/>
      <c r="B76" s="681"/>
      <c r="C76" s="681"/>
      <c r="D76" s="681"/>
      <c r="E76" s="681"/>
      <c r="F76" s="681"/>
      <c r="G76" s="681"/>
      <c r="H76" s="681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80"/>
      <c r="AC76" s="680"/>
      <c r="AD76" s="680"/>
      <c r="AE76" s="680"/>
      <c r="AF76" s="680"/>
      <c r="AG76" s="680"/>
      <c r="AH76" s="680"/>
      <c r="AI76" s="680"/>
      <c r="AJ76" s="680"/>
      <c r="AK76" s="680"/>
      <c r="AL76" s="680"/>
      <c r="AM76" s="680"/>
      <c r="AN76" s="680"/>
    </row>
    <row r="77" spans="1:40" x14ac:dyDescent="0.2">
      <c r="B77" s="647" t="s">
        <v>468</v>
      </c>
      <c r="C77" s="647" t="s">
        <v>145</v>
      </c>
      <c r="D77" s="647"/>
      <c r="E77" s="647" t="s">
        <v>468</v>
      </c>
      <c r="F77" s="647">
        <v>1000</v>
      </c>
      <c r="G77" s="647"/>
      <c r="H77" s="647"/>
      <c r="AL77" s="62">
        <f>SUMIFS('Employee Detail FY23'!$AL$6:$AL$132,'Employee Detail FY23'!$B$6:$B$132,$B77,'Employee Detail FY23'!$C$6:$C$132,$C77,'Employee Detail FY23'!$E$6:$E$132,$E77,'Employee Detail FY23'!$F$6:$F$132,$F77)</f>
        <v>247630.84290281689</v>
      </c>
      <c r="AM77" s="62">
        <f>SUMIFS('Employee Detail FY23'!$AM$6:$AM$132,'Employee Detail FY23'!$B$6:$B$132,$B77,'Employee Detail FY23'!$C$6:$C$132,$C77,'Employee Detail FY23'!$E$6:$E$132,$E77,'Employee Detail FY23'!$F$6:$F$132,$F77)</f>
        <v>578968.90347589995</v>
      </c>
      <c r="AN77" s="62">
        <f t="shared" ref="AN77:AN79" si="18">SUM(AL77:AM77)</f>
        <v>826599.74637871678</v>
      </c>
    </row>
    <row r="78" spans="1:40" x14ac:dyDescent="0.2">
      <c r="B78" s="647" t="s">
        <v>135</v>
      </c>
      <c r="C78" s="647" t="s">
        <v>923</v>
      </c>
      <c r="D78" s="647"/>
      <c r="E78" s="647">
        <v>100</v>
      </c>
      <c r="F78" s="647">
        <v>1000</v>
      </c>
      <c r="G78" s="647"/>
      <c r="H78" s="647"/>
      <c r="AL78" s="62">
        <f>SUMIFS('Employee Detail FY23'!$AL$6:$AL$132,'Employee Detail FY23'!$B$6:$B$132,$B78,'Employee Detail FY23'!$C$6:$C$132,$C78,'Employee Detail FY23'!$E$6:$E$132,$E78,'Employee Detail FY23'!$F$6:$F$132,$F78)</f>
        <v>20260.736334601337</v>
      </c>
      <c r="AM78" s="62">
        <f>SUMIFS('Employee Detail FY23'!$AM$6:$AM$132,'Employee Detail FY23'!$B$6:$B$132,$B78,'Employee Detail FY23'!$C$6:$C$132,$C78,'Employee Detail FY23'!$E$6:$E$132,$E78,'Employee Detail FY23'!$F$6:$F$132,$F78)</f>
        <v>68791.65550768</v>
      </c>
      <c r="AN78" s="62">
        <f t="shared" si="18"/>
        <v>89052.391842281329</v>
      </c>
    </row>
    <row r="79" spans="1:40" x14ac:dyDescent="0.2">
      <c r="B79" s="647" t="s">
        <v>135</v>
      </c>
      <c r="C79" s="647" t="s">
        <v>249</v>
      </c>
      <c r="D79" s="647"/>
      <c r="E79" s="647" t="s">
        <v>468</v>
      </c>
      <c r="F79" s="647" t="s">
        <v>461</v>
      </c>
      <c r="G79" s="647"/>
      <c r="H79" s="647"/>
      <c r="AL79" s="62">
        <f>SUMIFS('Employee Detail FY23'!$AL$6:$AL$132,'Employee Detail FY23'!$B$6:$B$132,$B79,'Employee Detail FY23'!$C$6:$C$132,$C79,'Employee Detail FY23'!$E$6:$E$132,$E79,'Employee Detail FY23'!$F$6:$F$132,$F79)</f>
        <v>2129.6868660353412</v>
      </c>
      <c r="AM79" s="62">
        <f>SUMIFS('Employee Detail FY23'!$AM$6:$AM$132,'Employee Detail FY23'!$B$6:$B$132,$B79,'Employee Detail FY23'!$C$6:$C$132,$C79,'Employee Detail FY23'!$E$6:$E$132,$E79,'Employee Detail FY23'!$F$6:$F$132,$F79)</f>
        <v>24051.34</v>
      </c>
      <c r="AN79" s="62">
        <f t="shared" si="18"/>
        <v>26181.026866035339</v>
      </c>
    </row>
    <row r="80" spans="1:40" x14ac:dyDescent="0.2">
      <c r="A80" s="508"/>
      <c r="B80" s="677"/>
      <c r="C80" s="677"/>
      <c r="D80" s="677"/>
      <c r="E80" s="677"/>
      <c r="F80" s="677"/>
      <c r="G80" s="677"/>
      <c r="H80" s="677"/>
      <c r="I80" s="508"/>
      <c r="J80" s="508"/>
      <c r="K80" s="508"/>
      <c r="L80" s="508"/>
      <c r="M80" s="508"/>
      <c r="N80" s="508"/>
      <c r="O80" s="508"/>
      <c r="P80" s="508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08"/>
      <c r="AD80" s="508"/>
      <c r="AE80" s="508"/>
      <c r="AF80" s="508"/>
      <c r="AG80" s="508"/>
      <c r="AH80" s="508"/>
      <c r="AI80" s="508"/>
      <c r="AJ80" s="508"/>
      <c r="AK80" s="508"/>
      <c r="AL80" s="933">
        <f t="shared" ref="AL80:AN80" si="19">SUM(AL77:AL79)</f>
        <v>270021.26610345358</v>
      </c>
      <c r="AM80" s="933">
        <f t="shared" si="19"/>
        <v>671811.89898357994</v>
      </c>
      <c r="AN80" s="933">
        <f t="shared" si="19"/>
        <v>941833.16508703341</v>
      </c>
    </row>
    <row r="81" spans="1:40" x14ac:dyDescent="0.2">
      <c r="B81" s="647"/>
      <c r="C81" s="647"/>
      <c r="D81" s="647"/>
      <c r="E81" s="647"/>
      <c r="F81" s="647"/>
      <c r="G81" s="647"/>
      <c r="H81" s="647"/>
      <c r="AL81" s="62"/>
      <c r="AM81" s="62"/>
      <c r="AN81" s="62"/>
    </row>
    <row r="82" spans="1:40" x14ac:dyDescent="0.2">
      <c r="B82" s="647" t="s">
        <v>468</v>
      </c>
      <c r="C82" s="647" t="s">
        <v>145</v>
      </c>
      <c r="D82" s="647"/>
      <c r="E82" s="647" t="s">
        <v>689</v>
      </c>
      <c r="F82" s="647" t="s">
        <v>461</v>
      </c>
      <c r="AL82" s="62">
        <f>SUMIFS('Employee Detail FY23'!$AL$6:$AL$132,'Employee Detail FY23'!$B$6:$B$132,$B82,'Employee Detail FY23'!$C$6:$C$132,$C82,'Employee Detail FY23'!$E$6:$E$132,$E82,'Employee Detail FY23'!$F$6:$F$132,$F82)</f>
        <v>0</v>
      </c>
      <c r="AM82" s="62">
        <f>SUMIFS('Employee Detail FY23'!$AM$6:$AM$132,'Employee Detail FY23'!$B$6:$B$132,$B82,'Employee Detail FY23'!$C$6:$C$132,$C82,'Employee Detail FY23'!$E$6:$E$132,$E82,'Employee Detail FY23'!$F$6:$F$132,$F82)</f>
        <v>0</v>
      </c>
      <c r="AN82" s="62">
        <f>SUM(AL82:AM82)</f>
        <v>0</v>
      </c>
    </row>
    <row r="83" spans="1:40" x14ac:dyDescent="0.2">
      <c r="A83" s="508"/>
      <c r="B83" s="677"/>
      <c r="C83" s="677"/>
      <c r="D83" s="677"/>
      <c r="E83" s="677"/>
      <c r="F83" s="677"/>
      <c r="G83" s="508"/>
      <c r="H83" s="508"/>
      <c r="I83" s="508"/>
      <c r="J83" s="508"/>
      <c r="K83" s="508"/>
      <c r="L83" s="508"/>
      <c r="M83" s="508"/>
      <c r="N83" s="508"/>
      <c r="O83" s="508"/>
      <c r="P83" s="508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08"/>
      <c r="AD83" s="508"/>
      <c r="AE83" s="508"/>
      <c r="AF83" s="508"/>
      <c r="AG83" s="508"/>
      <c r="AH83" s="508"/>
      <c r="AI83" s="508"/>
      <c r="AJ83" s="508"/>
      <c r="AK83" s="508"/>
      <c r="AL83" s="679">
        <f t="shared" ref="AL83:AN83" si="20">SUM(AL82)</f>
        <v>0</v>
      </c>
      <c r="AM83" s="679">
        <f t="shared" si="20"/>
        <v>0</v>
      </c>
      <c r="AN83" s="679">
        <f t="shared" si="20"/>
        <v>0</v>
      </c>
    </row>
    <row r="84" spans="1:40" x14ac:dyDescent="0.2">
      <c r="B84" s="647"/>
      <c r="C84" s="647"/>
      <c r="D84" s="647"/>
      <c r="E84" s="647"/>
      <c r="F84" s="647"/>
      <c r="AL84" s="62"/>
      <c r="AM84" s="62"/>
      <c r="AN84" s="62"/>
    </row>
    <row r="85" spans="1:40" x14ac:dyDescent="0.2">
      <c r="B85" s="647" t="s">
        <v>468</v>
      </c>
      <c r="C85" s="647" t="s">
        <v>145</v>
      </c>
      <c r="D85" s="647"/>
      <c r="E85" s="647" t="s">
        <v>468</v>
      </c>
      <c r="F85" s="647" t="s">
        <v>465</v>
      </c>
      <c r="AL85" s="62">
        <f>SUMIFS('Employee Detail FY23'!$AL$6:$AL$132,'Employee Detail FY23'!$B$6:$B$132,$B85,'Employee Detail FY23'!$C$6:$C$132,$C85,'Employee Detail FY23'!$E$6:$E$132,$E85,'Employee Detail FY23'!$F$6:$F$132,$F85)</f>
        <v>44278.292010325866</v>
      </c>
      <c r="AM85" s="62">
        <f>SUMIFS('Employee Detail FY23'!$AM$6:$AM$132,'Employee Detail FY23'!$B$6:$B$132,$B85,'Employee Detail FY23'!$C$6:$C$132,$C85,'Employee Detail FY23'!$E$6:$E$132,$E85,'Employee Detail FY23'!$F$6:$F$132,$F85)</f>
        <v>117662.28690000001</v>
      </c>
      <c r="AN85" s="62">
        <f t="shared" ref="AN85:AN88" si="21">SUM(AL85:AM85)</f>
        <v>161940.57891032589</v>
      </c>
    </row>
    <row r="86" spans="1:40" x14ac:dyDescent="0.2">
      <c r="B86" s="647" t="s">
        <v>135</v>
      </c>
      <c r="C86" s="647" t="s">
        <v>923</v>
      </c>
      <c r="D86" s="647"/>
      <c r="E86" s="647" t="s">
        <v>468</v>
      </c>
      <c r="F86" s="647" t="s">
        <v>465</v>
      </c>
      <c r="AL86" s="62">
        <f>SUMIFS('Employee Detail FY23'!$AL$6:$AL$132,'Employee Detail FY23'!$B$6:$B$132,$B86,'Employee Detail FY23'!$C$6:$C$132,$C86,'Employee Detail FY23'!$E$6:$E$132,$E86,'Employee Detail FY23'!$F$6:$F$132,$F86)</f>
        <v>41752.175132565419</v>
      </c>
      <c r="AM86" s="62">
        <f>SUMIFS('Employee Detail FY23'!$AM$6:$AM$132,'Employee Detail FY23'!$B$6:$B$132,$B86,'Employee Detail FY23'!$C$6:$C$132,$C86,'Employee Detail FY23'!$E$6:$E$132,$E86,'Employee Detail FY23'!$F$6:$F$132,$F86)</f>
        <v>111154.43434032</v>
      </c>
      <c r="AN86" s="62">
        <f t="shared" si="21"/>
        <v>152906.60947288544</v>
      </c>
    </row>
    <row r="87" spans="1:40" x14ac:dyDescent="0.2">
      <c r="B87" s="647" t="s">
        <v>135</v>
      </c>
      <c r="C87" s="647" t="s">
        <v>1030</v>
      </c>
      <c r="D87" s="647"/>
      <c r="E87" s="647" t="s">
        <v>468</v>
      </c>
      <c r="F87" s="647" t="s">
        <v>465</v>
      </c>
      <c r="AL87" s="62">
        <f>SUMIFS('Employee Detail FY23'!$AL$6:$AL$132,'Employee Detail FY23'!$B$6:$B$132,$B87,'Employee Detail FY23'!$C$6:$C$132,$C87,'Employee Detail FY23'!$E$6:$E$132,$E87,'Employee Detail FY23'!$F$6:$F$132,$F87)</f>
        <v>36080.885287826859</v>
      </c>
      <c r="AM87" s="62">
        <f>SUMIFS('Employee Detail FY23'!$AM$6:$AM$132,'Employee Detail FY23'!$B$6:$B$132,$B87,'Employee Detail FY23'!$C$6:$C$132,$C87,'Employee Detail FY23'!$E$6:$E$132,$E87,'Employee Detail FY23'!$F$6:$F$132,$F87)</f>
        <v>112782.14642002</v>
      </c>
      <c r="AN87" s="62">
        <f t="shared" si="21"/>
        <v>148863.03170784685</v>
      </c>
    </row>
    <row r="88" spans="1:40" x14ac:dyDescent="0.2">
      <c r="B88" s="647" t="s">
        <v>468</v>
      </c>
      <c r="C88" s="647" t="s">
        <v>145</v>
      </c>
      <c r="D88" s="647"/>
      <c r="E88" s="647" t="s">
        <v>468</v>
      </c>
      <c r="F88" s="647" t="s">
        <v>556</v>
      </c>
      <c r="AL88" s="62">
        <f>SUMIFS('Employee Detail FY23'!$AL$6:$AL$132,'Employee Detail FY23'!$B$6:$B$132,$B88,'Employee Detail FY23'!$C$6:$C$132,$C88,'Employee Detail FY23'!$E$6:$E$132,$E88,'Employee Detail FY23'!$F$6:$F$132,$F88)</f>
        <v>42403.823895687266</v>
      </c>
      <c r="AM88" s="62">
        <f>SUMIFS('Employee Detail FY23'!$AM$6:$AM$132,'Employee Detail FY23'!$B$6:$B$132,$B88,'Employee Detail FY23'!$C$6:$C$132,$C88,'Employee Detail FY23'!$E$6:$E$132,$E88,'Employee Detail FY23'!$F$6:$F$132,$F88)</f>
        <v>148096.44781119999</v>
      </c>
      <c r="AN88" s="62">
        <f t="shared" si="21"/>
        <v>190500.27170688726</v>
      </c>
    </row>
    <row r="89" spans="1:40" x14ac:dyDescent="0.2">
      <c r="A89" s="508"/>
      <c r="B89" s="677"/>
      <c r="C89" s="677"/>
      <c r="D89" s="677"/>
      <c r="E89" s="677"/>
      <c r="F89" s="677"/>
      <c r="G89" s="508"/>
      <c r="H89" s="508"/>
      <c r="I89" s="508"/>
      <c r="J89" s="508"/>
      <c r="K89" s="508"/>
      <c r="L89" s="508"/>
      <c r="M89" s="508"/>
      <c r="N89" s="508"/>
      <c r="O89" s="508"/>
      <c r="P89" s="508"/>
      <c r="Q89" s="508"/>
      <c r="R89" s="508"/>
      <c r="S89" s="508"/>
      <c r="T89" s="508"/>
      <c r="U89" s="508"/>
      <c r="V89" s="508"/>
      <c r="W89" s="508"/>
      <c r="X89" s="508"/>
      <c r="Y89" s="508"/>
      <c r="Z89" s="508"/>
      <c r="AA89" s="508"/>
      <c r="AB89" s="508"/>
      <c r="AC89" s="508"/>
      <c r="AD89" s="508"/>
      <c r="AE89" s="508"/>
      <c r="AF89" s="508"/>
      <c r="AG89" s="508"/>
      <c r="AH89" s="508"/>
      <c r="AI89" s="508"/>
      <c r="AJ89" s="508"/>
      <c r="AK89" s="508"/>
      <c r="AL89" s="933">
        <f>SUM(AL85:AL88)</f>
        <v>164515.1763264054</v>
      </c>
      <c r="AM89" s="933">
        <f t="shared" ref="AM89:AN89" si="22">SUM(AM85:AM88)</f>
        <v>489695.31547154003</v>
      </c>
      <c r="AN89" s="933">
        <f t="shared" si="22"/>
        <v>654210.49179794546</v>
      </c>
    </row>
    <row r="90" spans="1:40" x14ac:dyDescent="0.2">
      <c r="B90" s="647"/>
      <c r="C90" s="647"/>
      <c r="D90" s="647"/>
      <c r="E90" s="647"/>
      <c r="F90" s="647"/>
      <c r="AL90" s="62"/>
      <c r="AM90" s="62"/>
      <c r="AN90" s="62"/>
    </row>
    <row r="91" spans="1:40" x14ac:dyDescent="0.2">
      <c r="B91" s="647" t="s">
        <v>468</v>
      </c>
      <c r="C91" s="647" t="s">
        <v>145</v>
      </c>
      <c r="D91" s="647"/>
      <c r="E91" s="647" t="s">
        <v>468</v>
      </c>
      <c r="F91" s="647" t="s">
        <v>558</v>
      </c>
      <c r="AL91" s="62">
        <f>SUMIFS('Employee Detail FY23'!$AL$6:$AL$132,'Employee Detail FY23'!$B$6:$B$132,$B91,'Employee Detail FY23'!$C$6:$C$132,$C91,'Employee Detail FY23'!$E$6:$E$132,$E91,'Employee Detail FY23'!$F$6:$F$132,$F91)</f>
        <v>17006.61739695345</v>
      </c>
      <c r="AM91" s="62">
        <f>SUMIFS('Employee Detail FY23'!$AM$6:$AM$132,'Employee Detail FY23'!$B$6:$B$132,$B91,'Employee Detail FY23'!$C$6:$C$132,$C91,'Employee Detail FY23'!$E$6:$E$132,$E91,'Employee Detail FY23'!$F$6:$F$132,$F91)</f>
        <v>50617.046507999999</v>
      </c>
      <c r="AN91" s="62">
        <f>SUM(AL91:AM91)</f>
        <v>67623.663904953457</v>
      </c>
    </row>
    <row r="92" spans="1:40" x14ac:dyDescent="0.2">
      <c r="A92" s="508"/>
      <c r="B92" s="677"/>
      <c r="C92" s="677"/>
      <c r="D92" s="677"/>
      <c r="E92" s="677"/>
      <c r="F92" s="677"/>
      <c r="G92" s="508"/>
      <c r="H92" s="508"/>
      <c r="I92" s="508"/>
      <c r="J92" s="508"/>
      <c r="K92" s="508"/>
      <c r="L92" s="508"/>
      <c r="M92" s="508"/>
      <c r="N92" s="508"/>
      <c r="O92" s="508"/>
      <c r="P92" s="508"/>
      <c r="Q92" s="508"/>
      <c r="R92" s="508"/>
      <c r="S92" s="508"/>
      <c r="T92" s="508"/>
      <c r="U92" s="508"/>
      <c r="V92" s="508"/>
      <c r="W92" s="508"/>
      <c r="X92" s="508"/>
      <c r="Y92" s="508"/>
      <c r="Z92" s="508"/>
      <c r="AA92" s="508"/>
      <c r="AB92" s="508"/>
      <c r="AC92" s="508"/>
      <c r="AD92" s="508"/>
      <c r="AE92" s="508"/>
      <c r="AF92" s="508"/>
      <c r="AG92" s="508"/>
      <c r="AH92" s="508"/>
      <c r="AI92" s="508"/>
      <c r="AJ92" s="508"/>
      <c r="AK92" s="508"/>
      <c r="AL92" s="679">
        <f t="shared" ref="AL92:AN92" si="23">SUM(AL91)</f>
        <v>17006.61739695345</v>
      </c>
      <c r="AM92" s="679">
        <f t="shared" si="23"/>
        <v>50617.046507999999</v>
      </c>
      <c r="AN92" s="679">
        <f t="shared" si="23"/>
        <v>67623.663904953457</v>
      </c>
    </row>
    <row r="93" spans="1:40" x14ac:dyDescent="0.2">
      <c r="B93" s="647"/>
      <c r="C93" s="647"/>
      <c r="D93" s="647"/>
      <c r="E93" s="647"/>
      <c r="F93" s="647"/>
      <c r="AL93" s="62"/>
      <c r="AM93" s="62"/>
      <c r="AN93" s="62"/>
    </row>
    <row r="94" spans="1:40" x14ac:dyDescent="0.2">
      <c r="B94" s="647" t="s">
        <v>468</v>
      </c>
      <c r="C94" s="647" t="s">
        <v>145</v>
      </c>
      <c r="D94" s="647"/>
      <c r="E94" s="647" t="s">
        <v>468</v>
      </c>
      <c r="F94" s="647" t="s">
        <v>464</v>
      </c>
      <c r="AL94" s="62">
        <f>SUMIFS('Employee Detail FY23'!$AL$6:$AL$132,'Employee Detail FY23'!$B$6:$B$132,$B94,'Employee Detail FY23'!$C$6:$C$132,$C94,'Employee Detail FY23'!$E$6:$E$132,$E94,'Employee Detail FY23'!$F$6:$F$132,$F94)</f>
        <v>100671.21190215729</v>
      </c>
      <c r="AM94" s="62">
        <f>SUMIFS('Employee Detail FY23'!$AM$6:$AM$132,'Employee Detail FY23'!$B$6:$B$132,$B94,'Employee Detail FY23'!$C$6:$C$132,$C94,'Employee Detail FY23'!$E$6:$E$132,$E94,'Employee Detail FY23'!$F$6:$F$132,$F94)</f>
        <v>265740</v>
      </c>
      <c r="AN94" s="62">
        <f>SUM(AL94:AM94)</f>
        <v>366411.21190215729</v>
      </c>
    </row>
    <row r="95" spans="1:40" x14ac:dyDescent="0.2">
      <c r="A95" s="508"/>
      <c r="B95" s="677"/>
      <c r="C95" s="677"/>
      <c r="D95" s="677"/>
      <c r="E95" s="677"/>
      <c r="F95" s="677"/>
      <c r="G95" s="508"/>
      <c r="H95" s="508"/>
      <c r="I95" s="508"/>
      <c r="J95" s="508"/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508"/>
      <c r="Y95" s="508"/>
      <c r="Z95" s="508"/>
      <c r="AA95" s="508"/>
      <c r="AB95" s="508"/>
      <c r="AC95" s="508"/>
      <c r="AD95" s="508"/>
      <c r="AE95" s="508"/>
      <c r="AF95" s="508"/>
      <c r="AG95" s="508"/>
      <c r="AH95" s="508"/>
      <c r="AI95" s="508"/>
      <c r="AJ95" s="508"/>
      <c r="AK95" s="508"/>
      <c r="AL95" s="933">
        <f t="shared" ref="AL95:AN95" si="24">SUM(AL94)</f>
        <v>100671.21190215729</v>
      </c>
      <c r="AM95" s="933">
        <f t="shared" si="24"/>
        <v>265740</v>
      </c>
      <c r="AN95" s="933">
        <f t="shared" si="24"/>
        <v>366411.21190215729</v>
      </c>
    </row>
    <row r="96" spans="1:40" x14ac:dyDescent="0.2">
      <c r="B96" s="647"/>
      <c r="C96" s="647"/>
      <c r="D96" s="647"/>
      <c r="E96" s="647"/>
      <c r="F96" s="647"/>
      <c r="AL96" s="62"/>
      <c r="AM96" s="62"/>
      <c r="AN96" s="62"/>
    </row>
    <row r="97" spans="1:40" x14ac:dyDescent="0.2">
      <c r="B97" s="647" t="s">
        <v>468</v>
      </c>
      <c r="C97" s="647" t="s">
        <v>145</v>
      </c>
      <c r="D97" s="647"/>
      <c r="E97" s="647" t="s">
        <v>468</v>
      </c>
      <c r="F97" s="647" t="s">
        <v>460</v>
      </c>
      <c r="AL97" s="62">
        <f>SUMIFS('Employee Detail FY23'!$AL$6:$AL$132,'Employee Detail FY23'!$B$6:$B$132,$B97,'Employee Detail FY23'!$C$6:$C$132,$C97,'Employee Detail FY23'!$E$6:$E$132,$E97,'Employee Detail FY23'!$F$6:$F$132,$F97)</f>
        <v>120006.68311924851</v>
      </c>
      <c r="AM97" s="62">
        <f>SUMIFS('Employee Detail FY23'!$AM$6:$AM$132,'Employee Detail FY23'!$B$6:$B$132,$B97,'Employee Detail FY23'!$C$6:$C$132,$C97,'Employee Detail FY23'!$E$6:$E$132,$E97,'Employee Detail FY23'!$F$6:$F$132,$F97)</f>
        <v>272632.31504000002</v>
      </c>
      <c r="AN97" s="62">
        <f>SUM(AL97:AM97)</f>
        <v>392638.9981592485</v>
      </c>
    </row>
    <row r="98" spans="1:40" x14ac:dyDescent="0.2">
      <c r="B98" s="647" t="s">
        <v>135</v>
      </c>
      <c r="C98" s="647" t="s">
        <v>923</v>
      </c>
      <c r="D98" s="647"/>
      <c r="E98" s="647">
        <v>100</v>
      </c>
      <c r="F98" s="647" t="s">
        <v>460</v>
      </c>
      <c r="AL98" s="62">
        <f>SUMIFS('Employee Detail FY23'!$AL$6:$AL$132,'Employee Detail FY23'!$B$6:$B$132,$B98,'Employee Detail FY23'!$C$6:$C$132,$C98,'Employee Detail FY23'!$E$6:$E$132,$E98,'Employee Detail FY23'!$F$6:$F$132,$F98)</f>
        <v>30947.087260275232</v>
      </c>
      <c r="AM98" s="62">
        <f>SUMIFS('Employee Detail FY23'!$AM$6:$AM$132,'Employee Detail FY23'!$B$6:$B$132,$B98,'Employee Detail FY23'!$C$6:$C$132,$C98,'Employee Detail FY23'!$E$6:$E$132,$E98,'Employee Detail FY23'!$F$6:$F$132,$F98)</f>
        <v>72100</v>
      </c>
      <c r="AN98" s="62">
        <f>SUM(AL98:AM98)</f>
        <v>103047.08726027524</v>
      </c>
    </row>
    <row r="99" spans="1:40" x14ac:dyDescent="0.2">
      <c r="A99" s="508"/>
      <c r="B99" s="677"/>
      <c r="C99" s="677"/>
      <c r="D99" s="677"/>
      <c r="E99" s="677"/>
      <c r="F99" s="677"/>
      <c r="G99" s="508"/>
      <c r="H99" s="508"/>
      <c r="I99" s="508"/>
      <c r="J99" s="508"/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08"/>
      <c r="AD99" s="508"/>
      <c r="AE99" s="508"/>
      <c r="AF99" s="508"/>
      <c r="AG99" s="508"/>
      <c r="AH99" s="508"/>
      <c r="AI99" s="508"/>
      <c r="AJ99" s="508"/>
      <c r="AK99" s="508"/>
      <c r="AL99" s="933">
        <f t="shared" ref="AL99:AN99" si="25">SUM(AL97:AL98)</f>
        <v>150953.77037952375</v>
      </c>
      <c r="AM99" s="933">
        <f t="shared" si="25"/>
        <v>344732.31504000002</v>
      </c>
      <c r="AN99" s="933">
        <f t="shared" si="25"/>
        <v>495686.08541952376</v>
      </c>
    </row>
    <row r="100" spans="1:40" x14ac:dyDescent="0.2">
      <c r="B100" s="647"/>
      <c r="C100" s="647"/>
      <c r="D100" s="647"/>
      <c r="E100" s="647"/>
      <c r="F100" s="647"/>
      <c r="AL100" s="62"/>
      <c r="AM100" s="62"/>
      <c r="AN100" s="62"/>
    </row>
    <row r="101" spans="1:40" x14ac:dyDescent="0.2">
      <c r="B101" s="647" t="s">
        <v>468</v>
      </c>
      <c r="C101" s="647" t="s">
        <v>145</v>
      </c>
      <c r="D101" s="647"/>
      <c r="E101" s="647" t="s">
        <v>468</v>
      </c>
      <c r="F101" s="647" t="s">
        <v>458</v>
      </c>
      <c r="AL101" s="62">
        <f>SUMIFS('Employee Detail FY23'!$AL$6:$AL$132,'Employee Detail FY23'!$B$6:$B$132,$B101,'Employee Detail FY23'!$C$6:$C$132,$C101,'Employee Detail FY23'!$E$6:$E$132,$E101,'Employee Detail FY23'!$F$6:$F$132,$F101)</f>
        <v>28318.135573386633</v>
      </c>
      <c r="AM101" s="62">
        <f>SUMIFS('Employee Detail FY23'!$AM$6:$AM$132,'Employee Detail FY23'!$B$6:$B$132,$B101,'Employee Detail FY23'!$C$6:$C$132,$C101,'Employee Detail FY23'!$E$6:$E$132,$E101,'Employee Detail FY23'!$F$6:$F$132,$F101)</f>
        <v>63860</v>
      </c>
      <c r="AN101" s="62">
        <f t="shared" ref="AN101:AN103" si="26">SUM(AL101:AM101)</f>
        <v>92178.135573386637</v>
      </c>
    </row>
    <row r="102" spans="1:40" x14ac:dyDescent="0.2">
      <c r="B102" s="647" t="s">
        <v>468</v>
      </c>
      <c r="C102" s="647" t="s">
        <v>145</v>
      </c>
      <c r="D102" s="647"/>
      <c r="E102" s="647" t="s">
        <v>468</v>
      </c>
      <c r="F102" s="647" t="s">
        <v>479</v>
      </c>
      <c r="AL102" s="62">
        <f>SUMIFS('Employee Detail FY23'!$AL$6:$AL$132,'Employee Detail FY23'!$B$6:$B$132,$B102,'Employee Detail FY23'!$C$6:$C$132,$C102,'Employee Detail FY23'!$E$6:$E$132,$E102,'Employee Detail FY23'!$F$6:$F$132,$F102)</f>
        <v>24046.089082192659</v>
      </c>
      <c r="AM102" s="62">
        <f>SUMIFS('Employee Detail FY23'!$AM$6:$AM$132,'Employee Detail FY23'!$B$6:$B$132,$B102,'Employee Detail FY23'!$C$6:$C$132,$C102,'Employee Detail FY23'!$E$6:$E$132,$E102,'Employee Detail FY23'!$F$6:$F$132,$F102)</f>
        <v>50470</v>
      </c>
      <c r="AN102" s="62">
        <f t="shared" si="26"/>
        <v>74516.089082192659</v>
      </c>
    </row>
    <row r="103" spans="1:40" x14ac:dyDescent="0.2">
      <c r="B103" s="647" t="s">
        <v>468</v>
      </c>
      <c r="C103" s="647" t="s">
        <v>145</v>
      </c>
      <c r="D103" s="647"/>
      <c r="E103" s="647" t="s">
        <v>468</v>
      </c>
      <c r="F103" s="647" t="s">
        <v>459</v>
      </c>
      <c r="AL103" s="62">
        <f>SUMIFS('Employee Detail FY23'!$AL$6:$AL$132,'Employee Detail FY23'!$B$6:$B$132,$B103,'Employee Detail FY23'!$C$6:$C$132,$C103,'Employee Detail FY23'!$E$6:$E$132,$E103,'Employee Detail FY23'!$F$6:$F$132,$F103)</f>
        <v>22516.664499796036</v>
      </c>
      <c r="AM103" s="62">
        <f>SUMIFS('Employee Detail FY23'!$AM$6:$AM$132,'Employee Detail FY23'!$B$6:$B$132,$B103,'Employee Detail FY23'!$C$6:$C$132,$C103,'Employee Detail FY23'!$E$6:$E$132,$E103,'Employee Detail FY23'!$F$6:$F$132,$F103)</f>
        <v>81391.26023</v>
      </c>
      <c r="AN103" s="62">
        <f t="shared" si="26"/>
        <v>103907.92472979604</v>
      </c>
    </row>
    <row r="104" spans="1:40" x14ac:dyDescent="0.2">
      <c r="A104" s="508"/>
      <c r="B104" s="677"/>
      <c r="C104" s="677"/>
      <c r="D104" s="677"/>
      <c r="E104" s="677"/>
      <c r="F104" s="677"/>
      <c r="G104" s="508"/>
      <c r="H104" s="508"/>
      <c r="I104" s="508"/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  <c r="AA104" s="508"/>
      <c r="AB104" s="508"/>
      <c r="AC104" s="508"/>
      <c r="AD104" s="508"/>
      <c r="AE104" s="508"/>
      <c r="AF104" s="508"/>
      <c r="AG104" s="508"/>
      <c r="AH104" s="508"/>
      <c r="AI104" s="508"/>
      <c r="AJ104" s="508"/>
      <c r="AK104" s="508"/>
      <c r="AL104" s="933">
        <f>SUM(AL101:AL103)</f>
        <v>74880.889155375335</v>
      </c>
      <c r="AM104" s="933">
        <f>SUM(AM101:AM103)</f>
        <v>195721.26023000001</v>
      </c>
      <c r="AN104" s="933">
        <f t="shared" ref="AN104" si="27">SUM(AN101:AN103)</f>
        <v>270602.14938537532</v>
      </c>
    </row>
    <row r="105" spans="1:40" s="386" customFormat="1" x14ac:dyDescent="0.2">
      <c r="B105" s="678"/>
      <c r="C105" s="678"/>
      <c r="D105" s="678"/>
      <c r="E105" s="678"/>
      <c r="F105" s="678"/>
      <c r="AL105" s="389"/>
      <c r="AM105" s="389"/>
      <c r="AN105" s="389"/>
    </row>
    <row r="106" spans="1:40" x14ac:dyDescent="0.2">
      <c r="B106" s="647" t="s">
        <v>462</v>
      </c>
      <c r="C106" s="647" t="s">
        <v>145</v>
      </c>
      <c r="D106" s="647"/>
      <c r="E106" s="647" t="s">
        <v>463</v>
      </c>
      <c r="F106" s="647">
        <v>1000</v>
      </c>
      <c r="AL106" s="62">
        <f>SUMIFS('Employee Detail FY23'!$AL$6:$AL$132,'Employee Detail FY23'!$B$6:$B$132,$B106,'Employee Detail FY23'!$C$6:$C$132,$C106,'Employee Detail FY23'!$E$6:$E$132,$E106,'Employee Detail FY23'!$F$6:$F$132,$F106)</f>
        <v>78053.408542077348</v>
      </c>
      <c r="AM106" s="62">
        <f>SUMIFS('Employee Detail FY23'!$AM$6:$AM$132,'Employee Detail FY23'!$B$6:$B$132,$B106,'Employee Detail FY23'!$C$6:$C$132,$C106,'Employee Detail FY23'!$E$6:$E$132,$E106,'Employee Detail FY23'!$F$6:$F$132,$F106)</f>
        <v>169950</v>
      </c>
      <c r="AN106" s="62">
        <f t="shared" ref="AN106:AN108" si="28">SUM(AL106:AM106)</f>
        <v>248003.40854207735</v>
      </c>
    </row>
    <row r="107" spans="1:40" x14ac:dyDescent="0.2">
      <c r="B107" s="647" t="s">
        <v>462</v>
      </c>
      <c r="C107" s="647" t="s">
        <v>132</v>
      </c>
      <c r="D107" s="647"/>
      <c r="E107" s="647" t="s">
        <v>463</v>
      </c>
      <c r="F107" s="647">
        <v>1000</v>
      </c>
      <c r="AL107" s="62">
        <f>SUMIFS('Employee Detail FY23'!$AL$6:$AL$132,'Employee Detail FY23'!$B$6:$B$132,$B107,'Employee Detail FY23'!$C$6:$C$132,$C107,'Employee Detail FY23'!$E$6:$E$132,$E107,'Employee Detail FY23'!$F$6:$F$132,$F107)</f>
        <v>34726.205310177589</v>
      </c>
      <c r="AM107" s="62">
        <f>SUMIFS('Employee Detail FY23'!$AM$6:$AM$132,'Employee Detail FY23'!$B$6:$B$132,$B107,'Employee Detail FY23'!$C$6:$C$132,$C107,'Employee Detail FY23'!$E$6:$E$132,$E107,'Employee Detail FY23'!$F$6:$F$132,$F107)</f>
        <v>83945</v>
      </c>
      <c r="AN107" s="62">
        <f t="shared" ref="AN107" si="29">SUM(AL107:AM107)</f>
        <v>118671.20531017758</v>
      </c>
    </row>
    <row r="108" spans="1:40" x14ac:dyDescent="0.2">
      <c r="B108" s="647" t="s">
        <v>135</v>
      </c>
      <c r="C108" s="647" t="s">
        <v>247</v>
      </c>
      <c r="D108" s="647"/>
      <c r="E108" s="647">
        <v>200</v>
      </c>
      <c r="F108" s="647">
        <v>1000</v>
      </c>
      <c r="AL108" s="62">
        <f>SUMIFS('Employee Detail FY23'!$AL$6:$AL$132,'Employee Detail FY23'!$B$6:$B$132,$B108,'Employee Detail FY23'!$C$6:$C$132,$C108,'Employee Detail FY23'!$E$6:$E$132,$E108,'Employee Detail FY23'!$F$6:$F$132,$F108)</f>
        <v>51421.416856868876</v>
      </c>
      <c r="AM108" s="62">
        <f>SUMIFS('Employee Detail FY23'!$AM$6:$AM$132,'Employee Detail FY23'!$B$6:$B$132,$B108,'Employee Detail FY23'!$C$6:$C$132,$C108,'Employee Detail FY23'!$E$6:$E$132,$E108,'Employee Detail FY23'!$F$6:$F$132,$F108)</f>
        <v>111374.93</v>
      </c>
      <c r="AN108" s="62">
        <f t="shared" si="28"/>
        <v>162796.34685686888</v>
      </c>
    </row>
    <row r="109" spans="1:40" x14ac:dyDescent="0.2">
      <c r="A109" s="508"/>
      <c r="B109" s="677"/>
      <c r="C109" s="677"/>
      <c r="D109" s="677"/>
      <c r="E109" s="677"/>
      <c r="F109" s="677"/>
      <c r="G109" s="508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  <c r="Z109" s="508"/>
      <c r="AA109" s="508"/>
      <c r="AB109" s="508"/>
      <c r="AC109" s="508"/>
      <c r="AD109" s="508"/>
      <c r="AE109" s="508"/>
      <c r="AF109" s="508"/>
      <c r="AG109" s="508"/>
      <c r="AH109" s="508"/>
      <c r="AI109" s="508"/>
      <c r="AJ109" s="508"/>
      <c r="AK109" s="508"/>
      <c r="AL109" s="933">
        <f t="shared" ref="AL109:AN109" si="30">SUM(AL106:AL108)</f>
        <v>164201.03070912382</v>
      </c>
      <c r="AM109" s="933">
        <f t="shared" si="30"/>
        <v>365269.93</v>
      </c>
      <c r="AN109" s="933">
        <f t="shared" si="30"/>
        <v>529470.96070912387</v>
      </c>
    </row>
    <row r="110" spans="1:40" x14ac:dyDescent="0.2">
      <c r="B110" s="647"/>
      <c r="C110" s="647"/>
      <c r="D110" s="647"/>
      <c r="E110" s="647"/>
      <c r="F110" s="647"/>
      <c r="AL110" s="62"/>
      <c r="AM110" s="62"/>
      <c r="AN110" s="62"/>
    </row>
    <row r="111" spans="1:40" x14ac:dyDescent="0.2">
      <c r="B111" s="647" t="s">
        <v>462</v>
      </c>
      <c r="C111" s="647" t="s">
        <v>132</v>
      </c>
      <c r="D111" s="647"/>
      <c r="E111" s="647" t="s">
        <v>463</v>
      </c>
      <c r="F111" s="647">
        <v>2130</v>
      </c>
      <c r="AL111" s="62">
        <f>SUMIFS('Employee Detail FY23'!$AL$6:$AL$132,'Employee Detail FY23'!$B$6:$B$132,$B111,'Employee Detail FY23'!$C$6:$C$132,$C111,'Employee Detail FY23'!$E$6:$E$132,$E111,'Employee Detail FY23'!$F$6:$F$132,$F111)</f>
        <v>2150.5893971041423</v>
      </c>
      <c r="AM111" s="62">
        <f>SUMIFS('Employee Detail FY23'!$AM$6:$AM$132,'Employee Detail FY23'!$B$6:$B$132,$B111,'Employee Detail FY23'!$C$6:$C$132,$C111,'Employee Detail FY23'!$E$6:$E$132,$E111,'Employee Detail FY23'!$F$6:$F$132,$F111)</f>
        <v>24287.4</v>
      </c>
      <c r="AN111" s="62">
        <f t="shared" ref="AN111:AN112" si="31">SUM(AL111:AM111)</f>
        <v>26437.989397104146</v>
      </c>
    </row>
    <row r="112" spans="1:40" x14ac:dyDescent="0.2">
      <c r="B112" s="647" t="s">
        <v>462</v>
      </c>
      <c r="C112" s="647" t="s">
        <v>132</v>
      </c>
      <c r="D112" s="647"/>
      <c r="E112" s="647" t="s">
        <v>463</v>
      </c>
      <c r="F112" s="647">
        <v>2140</v>
      </c>
      <c r="AL112" s="62">
        <f>SUMIFS('Employee Detail FY23'!$AL$6:$AL$132,'Employee Detail FY23'!$B$6:$B$132,$B112,'Employee Detail FY23'!$C$6:$C$132,$C112,'Employee Detail FY23'!$E$6:$E$132,$E112,'Employee Detail FY23'!$F$6:$F$132,$F112)</f>
        <v>23424.822379047564</v>
      </c>
      <c r="AM112" s="62">
        <f>SUMIFS('Employee Detail FY23'!$AM$6:$AM$132,'Employee Detail FY23'!$B$6:$B$132,$B112,'Employee Detail FY23'!$C$6:$C$132,$C112,'Employee Detail FY23'!$E$6:$E$132,$E112,'Employee Detail FY23'!$F$6:$F$132,$F112)</f>
        <v>86463.420984304001</v>
      </c>
      <c r="AN112" s="62">
        <f t="shared" si="31"/>
        <v>109888.24336335156</v>
      </c>
    </row>
    <row r="113" spans="1:40" x14ac:dyDescent="0.2">
      <c r="A113" s="508"/>
      <c r="B113" s="677"/>
      <c r="C113" s="677"/>
      <c r="D113" s="677"/>
      <c r="E113" s="677"/>
      <c r="F113" s="677"/>
      <c r="G113" s="508"/>
      <c r="H113" s="508"/>
      <c r="I113" s="508"/>
      <c r="J113" s="508"/>
      <c r="K113" s="508"/>
      <c r="L113" s="508"/>
      <c r="M113" s="508"/>
      <c r="N113" s="508"/>
      <c r="O113" s="508"/>
      <c r="P113" s="508"/>
      <c r="Q113" s="508"/>
      <c r="R113" s="508"/>
      <c r="S113" s="508"/>
      <c r="T113" s="508"/>
      <c r="U113" s="508"/>
      <c r="V113" s="508"/>
      <c r="W113" s="508"/>
      <c r="X113" s="508"/>
      <c r="Y113" s="508"/>
      <c r="Z113" s="508"/>
      <c r="AA113" s="508"/>
      <c r="AB113" s="508"/>
      <c r="AC113" s="508"/>
      <c r="AD113" s="508"/>
      <c r="AE113" s="508"/>
      <c r="AF113" s="508"/>
      <c r="AG113" s="508"/>
      <c r="AH113" s="508"/>
      <c r="AI113" s="508"/>
      <c r="AJ113" s="508"/>
      <c r="AK113" s="508"/>
      <c r="AL113" s="933">
        <f t="shared" ref="AL113:AN113" si="32">SUM(AL111:AL112)</f>
        <v>25575.411776151705</v>
      </c>
      <c r="AM113" s="933">
        <f t="shared" si="32"/>
        <v>110750.82098430401</v>
      </c>
      <c r="AN113" s="933">
        <f t="shared" si="32"/>
        <v>136326.23276045569</v>
      </c>
    </row>
    <row r="114" spans="1:40" x14ac:dyDescent="0.2">
      <c r="B114" s="647"/>
      <c r="C114" s="647"/>
      <c r="D114" s="647"/>
      <c r="E114" s="647"/>
      <c r="F114" s="647"/>
      <c r="AL114" s="62"/>
      <c r="AM114" s="62"/>
      <c r="AN114" s="62"/>
    </row>
    <row r="115" spans="1:40" x14ac:dyDescent="0.2">
      <c r="B115" s="647" t="s">
        <v>462</v>
      </c>
      <c r="C115" s="647">
        <v>205</v>
      </c>
      <c r="D115" s="647"/>
      <c r="E115" s="647" t="s">
        <v>463</v>
      </c>
      <c r="F115" s="647">
        <v>2410</v>
      </c>
      <c r="AL115" s="62">
        <f>SUMIFS('Employee Detail FY23'!$AL$6:$AL$132,'Employee Detail FY23'!$B$6:$B$132,$B115,'Employee Detail FY23'!$C$6:$C$132,$C115,'Employee Detail FY23'!$E$6:$E$132,$E115,'Employee Detail FY23'!$F$6:$F$132,$F115)</f>
        <v>16506.245551938555</v>
      </c>
      <c r="AM115" s="62">
        <f>SUMIFS('Employee Detail FY23'!$AM$6:$AM$132,'Employee Detail FY23'!$B$6:$B$132,$B115,'Employee Detail FY23'!$C$6:$C$132,$C115,'Employee Detail FY23'!$E$6:$E$132,$E115,'Employee Detail FY23'!$F$6:$F$132,$F115)</f>
        <v>47822.41520784</v>
      </c>
      <c r="AN115" s="62">
        <f>SUM(AL115:AM115)</f>
        <v>64328.660759778555</v>
      </c>
    </row>
    <row r="116" spans="1:40" x14ac:dyDescent="0.2">
      <c r="A116" s="508"/>
      <c r="B116" s="677"/>
      <c r="C116" s="677"/>
      <c r="D116" s="677"/>
      <c r="E116" s="677"/>
      <c r="F116" s="677"/>
      <c r="G116" s="508"/>
      <c r="H116" s="508"/>
      <c r="I116" s="508"/>
      <c r="J116" s="508"/>
      <c r="K116" s="508"/>
      <c r="L116" s="508"/>
      <c r="M116" s="508"/>
      <c r="N116" s="508"/>
      <c r="O116" s="508"/>
      <c r="P116" s="508"/>
      <c r="Q116" s="508"/>
      <c r="R116" s="508"/>
      <c r="S116" s="508"/>
      <c r="T116" s="508"/>
      <c r="U116" s="508"/>
      <c r="V116" s="508"/>
      <c r="W116" s="508"/>
      <c r="X116" s="508"/>
      <c r="Y116" s="508"/>
      <c r="Z116" s="508"/>
      <c r="AA116" s="508"/>
      <c r="AB116" s="508"/>
      <c r="AC116" s="508"/>
      <c r="AD116" s="508"/>
      <c r="AE116" s="508"/>
      <c r="AF116" s="508"/>
      <c r="AG116" s="508"/>
      <c r="AH116" s="508"/>
      <c r="AI116" s="508"/>
      <c r="AJ116" s="508"/>
      <c r="AK116" s="508"/>
      <c r="AL116" s="933">
        <f t="shared" ref="AL116:AN116" si="33">SUM(AL115)</f>
        <v>16506.245551938555</v>
      </c>
      <c r="AM116" s="933">
        <f t="shared" si="33"/>
        <v>47822.41520784</v>
      </c>
      <c r="AN116" s="933">
        <f t="shared" si="33"/>
        <v>64328.660759778555</v>
      </c>
    </row>
    <row r="117" spans="1:40" s="386" customFormat="1" x14ac:dyDescent="0.2">
      <c r="B117" s="678"/>
      <c r="C117" s="678"/>
      <c r="D117" s="678"/>
      <c r="E117" s="678"/>
      <c r="F117" s="678"/>
      <c r="AL117" s="389">
        <f>+AL116+AL113</f>
        <v>42081.657328090259</v>
      </c>
      <c r="AM117" s="389">
        <f>+AM116+AM113</f>
        <v>158573.23619214402</v>
      </c>
      <c r="AN117" s="389"/>
    </row>
    <row r="118" spans="1:40" x14ac:dyDescent="0.2">
      <c r="B118" s="647" t="s">
        <v>135</v>
      </c>
      <c r="C118" s="647" t="s">
        <v>247</v>
      </c>
      <c r="D118" s="647"/>
      <c r="E118" s="647" t="s">
        <v>473</v>
      </c>
      <c r="F118" s="647" t="s">
        <v>461</v>
      </c>
      <c r="AL118" s="62">
        <f>SUMIFS('Employee Detail FY23'!$AL$6:$AL$132,'Employee Detail FY23'!$B$6:$B$132,$B118,'Employee Detail FY23'!$C$6:$C$132,$C118,'Employee Detail FY23'!$E$6:$E$132,$E118,'Employee Detail FY23'!$F$6:$F$132,$F118)</f>
        <v>0</v>
      </c>
      <c r="AM118" s="62">
        <f>SUMIFS('Employee Detail FY23'!$AM$6:$AM$132,'Employee Detail FY23'!$B$6:$B$132,$B118,'Employee Detail FY23'!$C$6:$C$132,$C118,'Employee Detail FY23'!$E$6:$E$132,$E118,'Employee Detail FY23'!$F$6:$F$132,$F118)</f>
        <v>0</v>
      </c>
      <c r="AN118" s="62">
        <f>SUM(AL118:AM118)</f>
        <v>0</v>
      </c>
    </row>
    <row r="119" spans="1:40" x14ac:dyDescent="0.2">
      <c r="A119" s="508"/>
      <c r="B119" s="677"/>
      <c r="C119" s="677"/>
      <c r="D119" s="677"/>
      <c r="E119" s="677"/>
      <c r="F119" s="677"/>
      <c r="G119" s="508"/>
      <c r="H119" s="508"/>
      <c r="I119" s="508"/>
      <c r="J119" s="508"/>
      <c r="K119" s="508"/>
      <c r="L119" s="508"/>
      <c r="M119" s="508"/>
      <c r="N119" s="508"/>
      <c r="O119" s="508"/>
      <c r="P119" s="508"/>
      <c r="Q119" s="508"/>
      <c r="R119" s="508"/>
      <c r="S119" s="508"/>
      <c r="T119" s="508"/>
      <c r="U119" s="508"/>
      <c r="V119" s="508"/>
      <c r="W119" s="508"/>
      <c r="X119" s="508"/>
      <c r="Y119" s="508"/>
      <c r="Z119" s="508"/>
      <c r="AA119" s="508"/>
      <c r="AB119" s="508"/>
      <c r="AC119" s="508"/>
      <c r="AD119" s="508"/>
      <c r="AE119" s="508"/>
      <c r="AF119" s="508"/>
      <c r="AG119" s="508"/>
      <c r="AH119" s="508"/>
      <c r="AI119" s="508"/>
      <c r="AJ119" s="508"/>
      <c r="AK119" s="508"/>
      <c r="AL119" s="933">
        <f t="shared" ref="AL119:AN119" si="34">SUM(AL118)</f>
        <v>0</v>
      </c>
      <c r="AM119" s="933">
        <f t="shared" si="34"/>
        <v>0</v>
      </c>
      <c r="AN119" s="933">
        <f t="shared" si="34"/>
        <v>0</v>
      </c>
    </row>
    <row r="120" spans="1:40" x14ac:dyDescent="0.2">
      <c r="B120" s="647"/>
      <c r="C120" s="647"/>
      <c r="D120" s="647"/>
      <c r="E120" s="647"/>
      <c r="F120" s="647"/>
      <c r="AL120" s="62"/>
      <c r="AM120" s="62"/>
      <c r="AN120" s="62"/>
    </row>
    <row r="121" spans="1:40" x14ac:dyDescent="0.2">
      <c r="B121" s="647" t="s">
        <v>135</v>
      </c>
      <c r="C121" s="647" t="s">
        <v>864</v>
      </c>
      <c r="D121" s="647"/>
      <c r="E121" s="647" t="s">
        <v>557</v>
      </c>
      <c r="F121" s="647" t="s">
        <v>465</v>
      </c>
      <c r="AL121" s="62">
        <f>SUMIFS('Employee Detail FY23'!$AL$6:$AL$132,'Employee Detail FY23'!$B$6:$B$132,$B121,'Employee Detail FY23'!$C$6:$C$132,$C121,'Employee Detail FY23'!$E$6:$E$132,$E121,'Employee Detail FY23'!$F$6:$F$132,$F121)</f>
        <v>0</v>
      </c>
      <c r="AM121" s="62">
        <f>SUMIFS('Employee Detail FY23'!$AM$6:$AM$132,'Employee Detail FY23'!$B$6:$B$132,$B121,'Employee Detail FY23'!$C$6:$C$132,$C121,'Employee Detail FY23'!$E$6:$E$132,$E121,'Employee Detail FY23'!$F$6:$F$132,$F121)</f>
        <v>0</v>
      </c>
      <c r="AN121" s="62">
        <f t="shared" ref="AN121:AN122" si="35">SUM(AL121:AM121)</f>
        <v>0</v>
      </c>
    </row>
    <row r="122" spans="1:40" x14ac:dyDescent="0.2">
      <c r="B122" s="647" t="s">
        <v>135</v>
      </c>
      <c r="C122" s="647" t="s">
        <v>864</v>
      </c>
      <c r="D122" s="647"/>
      <c r="E122" s="647">
        <v>420</v>
      </c>
      <c r="F122" s="647">
        <v>2120</v>
      </c>
      <c r="AL122" s="62">
        <f>SUMIFS('Employee Detail FY23'!$AL$6:$AL$132,'Employee Detail FY23'!$B$6:$B$132,$B122,'Employee Detail FY23'!$C$6:$C$132,$C122,'Employee Detail FY23'!$E$6:$E$132,$E122,'Employee Detail FY23'!$F$6:$F$132,$F122)</f>
        <v>591.76317517918687</v>
      </c>
      <c r="AM122" s="62">
        <f>SUMIFS('Employee Detail FY23'!$AM$6:$AM$132,'Employee Detail FY23'!$B$6:$B$132,$B122,'Employee Detail FY23'!$C$6:$C$132,$C122,'Employee Detail FY23'!$E$6:$E$132,$E122,'Employee Detail FY23'!$F$6:$F$132,$F122)</f>
        <v>6683</v>
      </c>
      <c r="AN122" s="62">
        <f t="shared" si="35"/>
        <v>7274.7631751791869</v>
      </c>
    </row>
    <row r="123" spans="1:40" x14ac:dyDescent="0.2">
      <c r="A123" s="508"/>
      <c r="B123" s="677"/>
      <c r="C123" s="677"/>
      <c r="D123" s="677"/>
      <c r="E123" s="677"/>
      <c r="F123" s="677"/>
      <c r="G123" s="508"/>
      <c r="H123" s="508"/>
      <c r="I123" s="508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508"/>
      <c r="W123" s="508"/>
      <c r="X123" s="508"/>
      <c r="Y123" s="508"/>
      <c r="Z123" s="508"/>
      <c r="AA123" s="508"/>
      <c r="AB123" s="508"/>
      <c r="AC123" s="508"/>
      <c r="AD123" s="508"/>
      <c r="AE123" s="508"/>
      <c r="AF123" s="508"/>
      <c r="AG123" s="508"/>
      <c r="AH123" s="508"/>
      <c r="AI123" s="508"/>
      <c r="AJ123" s="508"/>
      <c r="AK123" s="508"/>
      <c r="AL123" s="933">
        <f t="shared" ref="AL123:AN123" si="36">SUM(AL121:AL122)</f>
        <v>591.76317517918687</v>
      </c>
      <c r="AM123" s="933">
        <f t="shared" si="36"/>
        <v>6683</v>
      </c>
      <c r="AN123" s="933">
        <f t="shared" si="36"/>
        <v>7274.7631751791869</v>
      </c>
    </row>
    <row r="124" spans="1:40" x14ac:dyDescent="0.2">
      <c r="B124" s="647"/>
      <c r="C124" s="647"/>
      <c r="D124" s="647"/>
      <c r="E124" s="647"/>
      <c r="F124" s="647"/>
      <c r="AL124" s="62"/>
      <c r="AM124" s="62"/>
      <c r="AN124" s="62"/>
    </row>
    <row r="125" spans="1:40" x14ac:dyDescent="0.2">
      <c r="B125" s="647" t="s">
        <v>135</v>
      </c>
      <c r="C125" s="647" t="s">
        <v>864</v>
      </c>
      <c r="D125" s="647"/>
      <c r="E125" s="647" t="s">
        <v>557</v>
      </c>
      <c r="F125" s="647" t="s">
        <v>558</v>
      </c>
      <c r="AL125" s="62">
        <f>SUMIFS('Employee Detail FY23'!$AL$6:$AL$132,'Employee Detail FY23'!$B$6:$B$132,$B125,'Employee Detail FY23'!$C$6:$C$132,$C125,'Employee Detail FY23'!$E$6:$E$132,$E125,'Employee Detail FY23'!$F$6:$F$132,$F125)</f>
        <v>0</v>
      </c>
      <c r="AM125" s="62">
        <f>SUMIFS('Employee Detail FY23'!$AM$6:$AM$132,'Employee Detail FY23'!$B$6:$B$132,$B125,'Employee Detail FY23'!$C$6:$C$132,$C125,'Employee Detail FY23'!$E$6:$E$132,$E125,'Employee Detail FY23'!$F$6:$F$132,$F125)</f>
        <v>0</v>
      </c>
      <c r="AN125" s="62">
        <f>SUM(AL125:AM125)</f>
        <v>0</v>
      </c>
    </row>
    <row r="126" spans="1:40" x14ac:dyDescent="0.2">
      <c r="A126" s="508"/>
      <c r="B126" s="677"/>
      <c r="C126" s="677"/>
      <c r="D126" s="677"/>
      <c r="E126" s="677"/>
      <c r="F126" s="677"/>
      <c r="G126" s="508"/>
      <c r="H126" s="508"/>
      <c r="I126" s="508"/>
      <c r="J126" s="508"/>
      <c r="K126" s="508"/>
      <c r="L126" s="508"/>
      <c r="M126" s="508"/>
      <c r="N126" s="508"/>
      <c r="O126" s="508"/>
      <c r="P126" s="508"/>
      <c r="Q126" s="508"/>
      <c r="R126" s="508"/>
      <c r="S126" s="508"/>
      <c r="T126" s="508"/>
      <c r="U126" s="508"/>
      <c r="V126" s="508"/>
      <c r="W126" s="508"/>
      <c r="X126" s="508"/>
      <c r="Y126" s="508"/>
      <c r="Z126" s="508"/>
      <c r="AA126" s="508"/>
      <c r="AB126" s="508"/>
      <c r="AC126" s="508"/>
      <c r="AD126" s="508"/>
      <c r="AE126" s="508"/>
      <c r="AF126" s="508"/>
      <c r="AG126" s="508"/>
      <c r="AH126" s="508"/>
      <c r="AI126" s="508"/>
      <c r="AJ126" s="508"/>
      <c r="AK126" s="508"/>
      <c r="AL126" s="933">
        <f t="shared" ref="AL126:AN126" si="37">SUM(AL125)</f>
        <v>0</v>
      </c>
      <c r="AM126" s="933">
        <f t="shared" si="37"/>
        <v>0</v>
      </c>
      <c r="AN126" s="933">
        <f t="shared" si="37"/>
        <v>0</v>
      </c>
    </row>
    <row r="127" spans="1:40" x14ac:dyDescent="0.2">
      <c r="B127" s="647"/>
      <c r="C127" s="647"/>
      <c r="D127" s="647"/>
      <c r="E127" s="647"/>
      <c r="F127" s="647"/>
      <c r="AL127" s="62"/>
      <c r="AM127" s="62"/>
      <c r="AN127" s="62"/>
    </row>
    <row r="128" spans="1:40" x14ac:dyDescent="0.2">
      <c r="B128" s="647" t="s">
        <v>135</v>
      </c>
      <c r="C128" s="647" t="s">
        <v>245</v>
      </c>
      <c r="D128" s="647"/>
      <c r="E128" s="647">
        <v>430</v>
      </c>
      <c r="F128" s="647" t="s">
        <v>461</v>
      </c>
      <c r="AL128" s="62">
        <f>SUMIFS('Employee Detail FY23'!$AL$6:$AL$132,'Employee Detail FY23'!$B$6:$B$132,$B128,'Employee Detail FY23'!$C$6:$C$132,$C128,'Employee Detail FY23'!$E$6:$E$132,$E128,'Employee Detail FY23'!$F$6:$F$132,$F128)</f>
        <v>14645.168638592339</v>
      </c>
      <c r="AM128" s="62">
        <f>SUMIFS('Employee Detail FY23'!$AM$6:$AM$132,'Employee Detail FY23'!$B$6:$B$132,$B128,'Employee Detail FY23'!$C$6:$C$132,$C128,'Employee Detail FY23'!$E$6:$E$132,$E128,'Employee Detail FY23'!$F$6:$F$132,$F128)</f>
        <v>37428.09777</v>
      </c>
      <c r="AN128" s="62">
        <f t="shared" ref="AN128:AN129" si="38">SUM(AL128:AM128)</f>
        <v>52073.266408592339</v>
      </c>
    </row>
    <row r="129" spans="1:40" x14ac:dyDescent="0.2">
      <c r="B129" s="647" t="s">
        <v>135</v>
      </c>
      <c r="C129" s="647" t="s">
        <v>242</v>
      </c>
      <c r="D129" s="647"/>
      <c r="E129" s="647" t="s">
        <v>532</v>
      </c>
      <c r="F129" s="647" t="s">
        <v>461</v>
      </c>
      <c r="AL129" s="62">
        <f>SUMIFS('Employee Detail FY23'!$AL$6:$AL$132,'Employee Detail FY23'!$B$6:$B$132,$B129,'Employee Detail FY23'!$C$6:$C$132,$C129,'Employee Detail FY23'!$E$6:$E$132,$E129,'Employee Detail FY23'!$F$6:$F$132,$F129)</f>
        <v>0</v>
      </c>
      <c r="AM129" s="62">
        <f>SUMIFS('Employee Detail FY23'!$AM$6:$AM$132,'Employee Detail FY23'!$B$6:$B$132,$B129,'Employee Detail FY23'!$C$6:$C$132,$C129,'Employee Detail FY23'!$E$6:$E$132,$E129,'Employee Detail FY23'!$F$6:$F$132,$F129)</f>
        <v>0</v>
      </c>
      <c r="AN129" s="62">
        <f t="shared" si="38"/>
        <v>0</v>
      </c>
    </row>
    <row r="130" spans="1:40" x14ac:dyDescent="0.2">
      <c r="A130" s="508"/>
      <c r="B130" s="677"/>
      <c r="C130" s="677"/>
      <c r="D130" s="677"/>
      <c r="E130" s="677"/>
      <c r="F130" s="677"/>
      <c r="G130" s="508"/>
      <c r="H130" s="508"/>
      <c r="I130" s="508"/>
      <c r="J130" s="508"/>
      <c r="K130" s="508"/>
      <c r="L130" s="508"/>
      <c r="M130" s="508"/>
      <c r="N130" s="508"/>
      <c r="O130" s="508"/>
      <c r="P130" s="508"/>
      <c r="Q130" s="508"/>
      <c r="R130" s="508"/>
      <c r="S130" s="508"/>
      <c r="T130" s="508"/>
      <c r="U130" s="508"/>
      <c r="V130" s="508"/>
      <c r="W130" s="508"/>
      <c r="X130" s="508"/>
      <c r="Y130" s="508"/>
      <c r="Z130" s="508"/>
      <c r="AA130" s="508"/>
      <c r="AB130" s="508"/>
      <c r="AC130" s="508"/>
      <c r="AD130" s="508"/>
      <c r="AE130" s="508"/>
      <c r="AF130" s="508"/>
      <c r="AG130" s="508"/>
      <c r="AH130" s="508"/>
      <c r="AI130" s="508"/>
      <c r="AJ130" s="508"/>
      <c r="AK130" s="508"/>
      <c r="AL130" s="933">
        <f t="shared" ref="AL130:AN130" si="39">SUM(AL128:AL129)</f>
        <v>14645.168638592339</v>
      </c>
      <c r="AM130" s="933">
        <f t="shared" si="39"/>
        <v>37428.09777</v>
      </c>
      <c r="AN130" s="933">
        <f t="shared" si="39"/>
        <v>52073.266408592339</v>
      </c>
    </row>
    <row r="131" spans="1:40" x14ac:dyDescent="0.2">
      <c r="B131" s="647"/>
      <c r="C131" s="647"/>
      <c r="D131" s="647"/>
      <c r="E131" s="647"/>
      <c r="F131" s="647"/>
      <c r="AL131" s="62"/>
      <c r="AM131" s="62"/>
      <c r="AN131" s="62"/>
    </row>
    <row r="132" spans="1:40" x14ac:dyDescent="0.2">
      <c r="B132" s="647" t="s">
        <v>135</v>
      </c>
      <c r="C132" s="647" t="s">
        <v>242</v>
      </c>
      <c r="D132" s="647"/>
      <c r="E132" s="647" t="s">
        <v>532</v>
      </c>
      <c r="F132" s="647" t="s">
        <v>465</v>
      </c>
      <c r="AL132" s="62">
        <f>SUMIFS('Employee Detail FY23'!$AL$6:$AL$132,'Employee Detail FY23'!$B$6:$B$132,$B132,'Employee Detail FY23'!$C$6:$C$132,$C132,'Employee Detail FY23'!$E$6:$E$132,$E132,'Employee Detail FY23'!$F$6:$F$132,$F132)</f>
        <v>0</v>
      </c>
      <c r="AM132" s="62">
        <f>SUMIFS('Employee Detail FY23'!$AM$6:$AM$132,'Employee Detail FY23'!$B$6:$B$132,$B132,'Employee Detail FY23'!$C$6:$C$132,$C132,'Employee Detail FY23'!$E$6:$E$132,$E132,'Employee Detail FY23'!$F$6:$F$132,$F132)</f>
        <v>0</v>
      </c>
      <c r="AN132" s="62">
        <f t="shared" ref="AN132:AN135" si="40">SUM(AL132:AM132)</f>
        <v>0</v>
      </c>
    </row>
    <row r="133" spans="1:40" x14ac:dyDescent="0.2">
      <c r="B133" s="647" t="s">
        <v>135</v>
      </c>
      <c r="C133" s="647" t="s">
        <v>242</v>
      </c>
      <c r="D133" s="647"/>
      <c r="E133" s="647" t="s">
        <v>532</v>
      </c>
      <c r="F133" s="647" t="s">
        <v>556</v>
      </c>
      <c r="AL133" s="62">
        <f>SUMIFS('Employee Detail FY23'!$AL$6:$AL$132,'Employee Detail FY23'!$B$6:$B$132,$B133,'Employee Detail FY23'!$C$6:$C$132,$C133,'Employee Detail FY23'!$E$6:$E$132,$E133,'Employee Detail FY23'!$F$6:$F$132,$F133)</f>
        <v>0</v>
      </c>
      <c r="AM133" s="62">
        <f>SUMIFS('Employee Detail FY23'!$AM$6:$AM$132,'Employee Detail FY23'!$B$6:$B$132,$B133,'Employee Detail FY23'!$C$6:$C$132,$C133,'Employee Detail FY23'!$E$6:$E$132,$E133,'Employee Detail FY23'!$F$6:$F$132,$F133)</f>
        <v>0</v>
      </c>
      <c r="AN133" s="62">
        <f t="shared" si="40"/>
        <v>0</v>
      </c>
    </row>
    <row r="134" spans="1:40" x14ac:dyDescent="0.2">
      <c r="B134" s="647" t="s">
        <v>135</v>
      </c>
      <c r="C134" s="647" t="s">
        <v>550</v>
      </c>
      <c r="D134" s="647"/>
      <c r="E134" s="647">
        <v>430</v>
      </c>
      <c r="F134" s="647" t="s">
        <v>484</v>
      </c>
      <c r="AL134" s="62">
        <f>SUMIFS('Employee Detail FY23'!$AL$6:$AL$132,'Employee Detail FY23'!$B$6:$B$132,$B134,'Employee Detail FY23'!$C$6:$C$132,$C134,'Employee Detail FY23'!$E$6:$E$132,$E134,'Employee Detail FY23'!$F$6:$F$132,$F134)</f>
        <v>1061.978920266354</v>
      </c>
      <c r="AM134" s="62">
        <f>SUMIFS('Employee Detail FY23'!$AM$6:$AM$132,'Employee Detail FY23'!$B$6:$B$132,$B134,'Employee Detail FY23'!$C$6:$C$132,$C134,'Employee Detail FY23'!$E$6:$E$132,$E134,'Employee Detail FY23'!$F$6:$F$132,$F134)</f>
        <v>11993.319999999998</v>
      </c>
      <c r="AN134" s="62">
        <f t="shared" si="40"/>
        <v>13055.298920266352</v>
      </c>
    </row>
    <row r="135" spans="1:40" x14ac:dyDescent="0.2">
      <c r="B135" s="647" t="s">
        <v>135</v>
      </c>
      <c r="C135" s="647" t="s">
        <v>242</v>
      </c>
      <c r="D135" s="647"/>
      <c r="E135" s="647" t="s">
        <v>532</v>
      </c>
      <c r="F135" s="647" t="s">
        <v>485</v>
      </c>
      <c r="AL135" s="62">
        <f>SUMIFS('Employee Detail FY23'!$AL$6:$AL$132,'Employee Detail FY23'!$B$6:$B$132,$B135,'Employee Detail FY23'!$C$6:$C$132,$C135,'Employee Detail FY23'!$E$6:$E$132,$E135,'Employee Detail FY23'!$F$6:$F$132,$F135)</f>
        <v>0</v>
      </c>
      <c r="AM135" s="62">
        <f>SUMIFS('Employee Detail FY23'!$AM$6:$AM$132,'Employee Detail FY23'!$B$6:$B$132,$B135,'Employee Detail FY23'!$C$6:$C$132,$C135,'Employee Detail FY23'!$E$6:$E$132,$E135,'Employee Detail FY23'!$F$6:$F$132,$F135)</f>
        <v>0</v>
      </c>
      <c r="AN135" s="62">
        <f t="shared" si="40"/>
        <v>0</v>
      </c>
    </row>
    <row r="136" spans="1:40" x14ac:dyDescent="0.2">
      <c r="A136" s="508"/>
      <c r="B136" s="677"/>
      <c r="C136" s="677"/>
      <c r="D136" s="677"/>
      <c r="E136" s="677"/>
      <c r="F136" s="677"/>
      <c r="G136" s="508"/>
      <c r="H136" s="508"/>
      <c r="I136" s="508"/>
      <c r="J136" s="508"/>
      <c r="K136" s="508"/>
      <c r="L136" s="508"/>
      <c r="M136" s="508"/>
      <c r="N136" s="508"/>
      <c r="O136" s="508"/>
      <c r="P136" s="508"/>
      <c r="Q136" s="508"/>
      <c r="R136" s="508"/>
      <c r="S136" s="508"/>
      <c r="T136" s="508"/>
      <c r="U136" s="508"/>
      <c r="V136" s="508"/>
      <c r="W136" s="508"/>
      <c r="X136" s="508"/>
      <c r="Y136" s="508"/>
      <c r="Z136" s="508"/>
      <c r="AA136" s="508"/>
      <c r="AB136" s="508"/>
      <c r="AC136" s="508"/>
      <c r="AD136" s="508"/>
      <c r="AE136" s="508"/>
      <c r="AF136" s="508"/>
      <c r="AG136" s="508"/>
      <c r="AH136" s="508"/>
      <c r="AI136" s="508"/>
      <c r="AJ136" s="508"/>
      <c r="AK136" s="508"/>
      <c r="AL136" s="933">
        <f t="shared" ref="AL136:AN136" si="41">SUM(AL132:AL135)</f>
        <v>1061.978920266354</v>
      </c>
      <c r="AM136" s="933">
        <f t="shared" si="41"/>
        <v>11993.319999999998</v>
      </c>
      <c r="AN136" s="933">
        <f t="shared" si="41"/>
        <v>13055.298920266352</v>
      </c>
    </row>
    <row r="137" spans="1:40" x14ac:dyDescent="0.2">
      <c r="B137" s="647"/>
      <c r="C137" s="647"/>
      <c r="D137" s="647"/>
      <c r="E137" s="647"/>
      <c r="F137" s="647"/>
      <c r="AL137" s="62"/>
      <c r="AM137" s="62"/>
      <c r="AN137" s="62"/>
    </row>
    <row r="138" spans="1:40" x14ac:dyDescent="0.2">
      <c r="B138" s="647" t="s">
        <v>135</v>
      </c>
      <c r="C138" s="647" t="s">
        <v>242</v>
      </c>
      <c r="D138" s="647"/>
      <c r="E138" s="647" t="s">
        <v>532</v>
      </c>
      <c r="F138" s="647" t="s">
        <v>534</v>
      </c>
      <c r="AL138" s="62">
        <f>SUMIFS('Employee Detail FY23'!$AL$6:$AL$132,'Employee Detail FY23'!$B$6:$B$132,$B138,'Employee Detail FY23'!$C$6:$C$132,$C138,'Employee Detail FY23'!$E$6:$E$132,$E138,'Employee Detail FY23'!$F$6:$F$132,$F138)</f>
        <v>28695.390140455147</v>
      </c>
      <c r="AM138" s="62">
        <f>SUMIFS('Employee Detail FY23'!$AM$6:$AM$132,'Employee Detail FY23'!$B$6:$B$132,$B138,'Employee Detail FY23'!$C$6:$C$132,$C138,'Employee Detail FY23'!$E$6:$E$132,$E138,'Employee Detail FY23'!$F$6:$F$132,$F138)</f>
        <v>65042.44</v>
      </c>
      <c r="AN138" s="62">
        <f t="shared" ref="AN138:AN140" si="42">SUM(AL138:AM138)</f>
        <v>93737.830140455146</v>
      </c>
    </row>
    <row r="139" spans="1:40" x14ac:dyDescent="0.2">
      <c r="B139" s="647" t="s">
        <v>135</v>
      </c>
      <c r="C139" s="647" t="s">
        <v>245</v>
      </c>
      <c r="D139" s="647"/>
      <c r="E139" s="647">
        <v>430</v>
      </c>
      <c r="F139" s="647" t="s">
        <v>534</v>
      </c>
      <c r="AL139" s="62">
        <f>SUMIFS('Employee Detail FY23'!$AL$6:$AL$132,'Employee Detail FY23'!$B$6:$B$132,$B139,'Employee Detail FY23'!$C$6:$C$132,$C139,'Employee Detail FY23'!$E$6:$E$132,$E139,'Employee Detail FY23'!$F$6:$F$132,$F139)</f>
        <v>21646.757835567332</v>
      </c>
      <c r="AM139" s="62">
        <f>SUMIFS('Employee Detail FY23'!$AM$6:$AM$132,'Employee Detail FY23'!$B$6:$B$132,$B139,'Employee Detail FY23'!$C$6:$C$132,$C139,'Employee Detail FY23'!$E$6:$E$132,$E139,'Employee Detail FY23'!$F$6:$F$132,$F139)</f>
        <v>76532.736681380004</v>
      </c>
      <c r="AN139" s="62">
        <f t="shared" si="42"/>
        <v>98179.494516947336</v>
      </c>
    </row>
    <row r="140" spans="1:40" x14ac:dyDescent="0.2">
      <c r="B140" s="647" t="s">
        <v>135</v>
      </c>
      <c r="C140" s="647" t="s">
        <v>242</v>
      </c>
      <c r="D140" s="647"/>
      <c r="E140" s="647" t="s">
        <v>532</v>
      </c>
      <c r="F140" s="647" t="s">
        <v>558</v>
      </c>
      <c r="AL140" s="62">
        <f>SUMIFS('Employee Detail FY23'!$AL$6:$AL$132,'Employee Detail FY23'!$B$6:$B$132,$B140,'Employee Detail FY23'!$C$6:$C$132,$C140,'Employee Detail FY23'!$E$6:$E$132,$E140,'Employee Detail FY23'!$F$6:$F$132,$F140)</f>
        <v>0</v>
      </c>
      <c r="AM140" s="62">
        <f>SUMIFS('Employee Detail FY23'!$AM$6:$AM$132,'Employee Detail FY23'!$B$6:$B$132,$B140,'Employee Detail FY23'!$C$6:$C$132,$C140,'Employee Detail FY23'!$E$6:$E$132,$E140,'Employee Detail FY23'!$F$6:$F$132,$F140)</f>
        <v>0</v>
      </c>
      <c r="AN140" s="62">
        <f t="shared" si="42"/>
        <v>0</v>
      </c>
    </row>
    <row r="141" spans="1:40" x14ac:dyDescent="0.2">
      <c r="A141" s="508"/>
      <c r="B141" s="677"/>
      <c r="C141" s="677"/>
      <c r="D141" s="677"/>
      <c r="E141" s="677"/>
      <c r="F141" s="677"/>
      <c r="G141" s="508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  <c r="R141" s="508"/>
      <c r="S141" s="508"/>
      <c r="T141" s="508"/>
      <c r="U141" s="508"/>
      <c r="V141" s="508"/>
      <c r="W141" s="508"/>
      <c r="X141" s="508"/>
      <c r="Y141" s="508"/>
      <c r="Z141" s="508"/>
      <c r="AA141" s="508"/>
      <c r="AB141" s="508"/>
      <c r="AC141" s="508"/>
      <c r="AD141" s="508"/>
      <c r="AE141" s="508"/>
      <c r="AF141" s="508"/>
      <c r="AG141" s="508"/>
      <c r="AH141" s="508"/>
      <c r="AI141" s="508"/>
      <c r="AJ141" s="508"/>
      <c r="AK141" s="508"/>
      <c r="AL141" s="933">
        <f t="shared" ref="AL141:AN141" si="43">SUM(AL138:AL140)</f>
        <v>50342.147976022476</v>
      </c>
      <c r="AM141" s="933">
        <f t="shared" si="43"/>
        <v>141575.17668138002</v>
      </c>
      <c r="AN141" s="933">
        <f t="shared" si="43"/>
        <v>191917.32465740247</v>
      </c>
    </row>
    <row r="142" spans="1:40" x14ac:dyDescent="0.2">
      <c r="B142" s="647"/>
      <c r="C142" s="647"/>
      <c r="D142" s="647"/>
      <c r="E142" s="647"/>
      <c r="F142" s="647"/>
      <c r="AL142" s="62"/>
      <c r="AM142" s="62"/>
      <c r="AN142" s="62"/>
    </row>
    <row r="143" spans="1:40" x14ac:dyDescent="0.2">
      <c r="B143" s="647" t="s">
        <v>135</v>
      </c>
      <c r="C143" s="647" t="s">
        <v>242</v>
      </c>
      <c r="D143" s="647"/>
      <c r="E143" s="647">
        <v>430</v>
      </c>
      <c r="F143" s="647" t="s">
        <v>460</v>
      </c>
      <c r="AL143" s="62">
        <f>SUMIFS('Employee Detail FY23'!$AL$6:$AL$132,'Employee Detail FY23'!$B$6:$B$132,$B143,'Employee Detail FY23'!$C$6:$C$132,$C143,'Employee Detail FY23'!$E$6:$E$132,$E143,'Employee Detail FY23'!$F$6:$F$132,$F143)</f>
        <v>37190.847516635644</v>
      </c>
      <c r="AM143" s="62">
        <f>SUMIFS('Employee Detail FY23'!$AM$6:$AM$132,'Employee Detail FY23'!$B$6:$B$132,$B143,'Employee Detail FY23'!$C$6:$C$132,$C143,'Employee Detail FY23'!$E$6:$E$132,$E143,'Employee Detail FY23'!$F$6:$F$132,$F143)</f>
        <v>91670</v>
      </c>
      <c r="AN143" s="62">
        <f>SUM(AL143:AM143)</f>
        <v>128860.84751663564</v>
      </c>
    </row>
    <row r="144" spans="1:40" x14ac:dyDescent="0.2">
      <c r="A144" s="508"/>
      <c r="B144" s="677"/>
      <c r="C144" s="677"/>
      <c r="D144" s="677"/>
      <c r="E144" s="677"/>
      <c r="F144" s="677"/>
      <c r="G144" s="508"/>
      <c r="H144" s="508"/>
      <c r="I144" s="508"/>
      <c r="J144" s="508"/>
      <c r="K144" s="508"/>
      <c r="L144" s="508"/>
      <c r="M144" s="508"/>
      <c r="N144" s="508"/>
      <c r="O144" s="508"/>
      <c r="P144" s="508"/>
      <c r="Q144" s="508"/>
      <c r="R144" s="508"/>
      <c r="S144" s="508"/>
      <c r="T144" s="508"/>
      <c r="U144" s="508"/>
      <c r="V144" s="508"/>
      <c r="W144" s="508"/>
      <c r="X144" s="508"/>
      <c r="Y144" s="508"/>
      <c r="Z144" s="508"/>
      <c r="AA144" s="508"/>
      <c r="AB144" s="508"/>
      <c r="AC144" s="508"/>
      <c r="AD144" s="508"/>
      <c r="AE144" s="508"/>
      <c r="AF144" s="508"/>
      <c r="AG144" s="508"/>
      <c r="AH144" s="508"/>
      <c r="AI144" s="508"/>
      <c r="AJ144" s="508"/>
      <c r="AK144" s="508"/>
      <c r="AL144" s="933">
        <f t="shared" ref="AL144:AN144" si="44">SUM(AL143)</f>
        <v>37190.847516635644</v>
      </c>
      <c r="AM144" s="933">
        <f t="shared" si="44"/>
        <v>91670</v>
      </c>
      <c r="AN144" s="933">
        <f t="shared" si="44"/>
        <v>128860.84751663564</v>
      </c>
    </row>
    <row r="145" spans="1:40" x14ac:dyDescent="0.2">
      <c r="B145" s="647"/>
      <c r="C145" s="647"/>
      <c r="D145" s="647"/>
      <c r="E145" s="647"/>
      <c r="F145" s="647"/>
      <c r="AL145" s="62">
        <f>+AL144+AL141+AL136</f>
        <v>88594.974412924465</v>
      </c>
      <c r="AM145" s="62">
        <f>+AM144+AM141+AM136</f>
        <v>245238.49668138003</v>
      </c>
      <c r="AN145" s="62"/>
    </row>
    <row r="146" spans="1:40" ht="13.5" thickBot="1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938">
        <f>SUM(AL144,AL141,AL136,AL130,AL126,AL123,AL119,AL116,AL113,AL109,AL104,AL99,AL95,AL92,AL89,AL83,AL80)</f>
        <v>1088163.5255277788</v>
      </c>
      <c r="AM146" s="938">
        <f t="shared" ref="AM146:AN146" si="45">SUM(AM144,AM141,AM136,AM130,AM126,AM123,AM119,AM116,AM113,AM109,AM104,AM99,AM95,AM92,AM89,AM83,AM80)</f>
        <v>2831510.5968766441</v>
      </c>
      <c r="AN146" s="938">
        <f t="shared" si="45"/>
        <v>3919674.1224044226</v>
      </c>
    </row>
    <row r="147" spans="1:40" ht="13.5" thickTop="1" x14ac:dyDescent="0.2">
      <c r="AL147" s="355">
        <f>AL70-AL146</f>
        <v>0</v>
      </c>
      <c r="AM147" s="355">
        <f t="shared" ref="AM147:AN147" si="46">AM70-AM146</f>
        <v>0</v>
      </c>
      <c r="AN147" s="355">
        <f t="shared" si="46"/>
        <v>0</v>
      </c>
    </row>
  </sheetData>
  <autoFilter ref="B3:H69" xr:uid="{47EF2766-5D1D-478D-B533-CA37A277F5E8}"/>
  <mergeCells count="1">
    <mergeCell ref="P1:P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40F5A-3006-4075-BE75-14877F1A0615}">
  <sheetPr codeName="Sheet19" filterMode="1"/>
  <dimension ref="A1:WWF154"/>
  <sheetViews>
    <sheetView workbookViewId="0">
      <pane xSplit="8" ySplit="5" topLeftCell="AA93" activePane="bottomRight" state="frozen"/>
      <selection activeCell="C412" sqref="C412"/>
      <selection pane="topRight" activeCell="C412" sqref="C412"/>
      <selection pane="bottomLeft" activeCell="C412" sqref="C412"/>
      <selection pane="bottomRight" activeCell="C412" sqref="C412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style="253" bestFit="1" customWidth="1"/>
    <col min="10" max="10" width="9.42578125" style="253" bestFit="1" customWidth="1"/>
    <col min="11" max="11" width="10.140625" style="253" bestFit="1" customWidth="1"/>
    <col min="12" max="12" width="42.7109375" style="253" bestFit="1" customWidth="1"/>
    <col min="13" max="13" width="9.140625" customWidth="1"/>
    <col min="16" max="16" width="11.140625" customWidth="1"/>
    <col min="21" max="22" width="11" bestFit="1" customWidth="1"/>
    <col min="23" max="23" width="10.5703125" customWidth="1"/>
    <col min="24" max="24" width="12" customWidth="1"/>
    <col min="25" max="25" width="12.28515625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10" bestFit="1" customWidth="1"/>
    <col min="36" max="36" width="7.85546875" bestFit="1" customWidth="1"/>
    <col min="37" max="37" width="7.28515625" bestFit="1" customWidth="1"/>
    <col min="38" max="39" width="12.42578125" bestFit="1" customWidth="1"/>
    <col min="40" max="40" width="12.85546875" customWidth="1"/>
    <col min="41" max="52" width="9.140625" style="3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f>'Employee Detail FY23'!V1+0.03</f>
        <v>0.06</v>
      </c>
      <c r="W1" s="226">
        <f>IF('Employee Detail FY23'!W1="","",'Employee Detail FY23'!W1)</f>
        <v>1.153586</v>
      </c>
      <c r="X1" s="229"/>
      <c r="Y1" s="229"/>
      <c r="Z1" s="229"/>
      <c r="AA1" s="229"/>
      <c r="AB1" s="229"/>
      <c r="AC1" s="192">
        <f>IF('Employee Detail FY23'!AC1="","",'Employee Detail FY23'!AC1)</f>
        <v>7943.76</v>
      </c>
      <c r="AD1" s="232">
        <v>6.2E-2</v>
      </c>
      <c r="AE1" s="232">
        <v>0.1525</v>
      </c>
      <c r="AF1" s="232">
        <v>1.4500000000000001E-2</v>
      </c>
      <c r="AG1" s="229"/>
      <c r="AH1" s="281">
        <f>'Employee Detail FY21'!AH1</f>
        <v>9.1023361069124693E-3</v>
      </c>
      <c r="AI1" s="282">
        <f>'Employee Detail FY21'!AI1</f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Students'!F6</f>
        <v>FY2425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0.29249999999999998</v>
      </c>
      <c r="AF2" s="229"/>
      <c r="AG2" s="229"/>
      <c r="AH2" s="229"/>
      <c r="AI2" s="282">
        <f>'Employee Detail FY21'!AI2</f>
        <v>2.9451987096649392E-3</v>
      </c>
      <c r="AJ2" s="229"/>
      <c r="AK2" s="229"/>
      <c r="AL2" s="229"/>
      <c r="AM2" s="229"/>
      <c r="AN2" s="229"/>
    </row>
    <row r="3" spans="1:16152" s="243" customFormat="1" ht="40.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238" t="s">
        <v>339</v>
      </c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hidden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hidden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hidden="1" x14ac:dyDescent="0.2">
      <c r="A6" s="264" t="str">
        <f>IF('Employee Detail FY23'!A6="","",'Employee Detail FY23'!A6)</f>
        <v/>
      </c>
      <c r="B6" s="264" t="str">
        <f>IF('Employee Detail FY23'!B6="","",'Employee Detail FY23'!B6)</f>
        <v/>
      </c>
      <c r="C6" s="264" t="str">
        <f>IF('Employee Detail FY23'!C6="","",'Employee Detail FY23'!C6)</f>
        <v/>
      </c>
      <c r="D6" s="264"/>
      <c r="E6" s="264" t="str">
        <f>IF('Employee Detail FY23'!E6="","",'Employee Detail FY23'!E6)</f>
        <v/>
      </c>
      <c r="F6" s="264" t="str">
        <f>IF('Employee Detail FY23'!F6="","",'Employee Detail FY23'!F6)</f>
        <v/>
      </c>
      <c r="G6" s="264" t="str">
        <f>IF('Employee Detail FY23'!G6="","",'Employee Detail FY23'!G6)</f>
        <v/>
      </c>
      <c r="H6" s="264"/>
      <c r="I6" s="264" t="str">
        <f>IF('Employee Detail FY23'!I6="","",'Employee Detail FY23'!I6)</f>
        <v/>
      </c>
      <c r="J6" s="264" t="str">
        <f>IF('Employee Detail FY23'!J6="","",'Employee Detail FY23'!J6)</f>
        <v/>
      </c>
      <c r="K6" s="264" t="str">
        <f>IF('Employee Detail FY23'!K6="","",'Employee Detail FY23'!K6)</f>
        <v/>
      </c>
      <c r="L6" s="264" t="str">
        <f>IF('Employee Detail FY23'!L6="","",'Employee Detail FY23'!L6)</f>
        <v/>
      </c>
      <c r="M6" s="267" t="str">
        <f>IF('Employee Detail FY23'!M6="","",'Employee Detail FY23'!M6)</f>
        <v/>
      </c>
      <c r="N6" s="264" t="str">
        <f>IF('Employee Detail FY23'!N6="","",'Employee Detail FY23'!N6)</f>
        <v/>
      </c>
      <c r="O6" s="264" t="str">
        <f>IF('Employee Detail FY23'!O6="","",'Employee Detail FY23'!O6)</f>
        <v/>
      </c>
      <c r="P6" s="264" t="str">
        <f>IF('Employee Detail FY23'!P6="","",'Employee Detail FY23'!P6)</f>
        <v/>
      </c>
      <c r="Q6" s="264" t="str">
        <f>IF('Employee Detail FY23'!Q6="","",'Employee Detail FY23'!Q6)</f>
        <v/>
      </c>
      <c r="R6" s="264" t="str">
        <f>IF('Employee Detail FY23'!R6="","",'Employee Detail FY23'!R6)</f>
        <v/>
      </c>
      <c r="S6" s="264" t="str">
        <f>IF('Employee Detail FY23'!S6="","",'Employee Detail FY23'!S6)</f>
        <v/>
      </c>
      <c r="T6" s="263" t="str">
        <f>+IF(R6="","",R6*S6)</f>
        <v/>
      </c>
      <c r="U6" s="269" t="str">
        <f>IF('Employee Detail FY23'!U6="","",'Employee Detail FY23'!U6)</f>
        <v/>
      </c>
      <c r="V6" s="270" t="str">
        <f>IF($U6="","",$U6*(1+$V$1))</f>
        <v/>
      </c>
      <c r="W6" s="270" t="str">
        <f>+IF(P6="EE",+V6*$W$1,"")</f>
        <v/>
      </c>
      <c r="X6" s="270" t="str">
        <f>_xlfn.IFS(P6="ER",V6,P6="EE",W6,P6="N",V6,P6="","")</f>
        <v/>
      </c>
      <c r="Y6" s="62">
        <v>0</v>
      </c>
      <c r="Z6" s="62">
        <v>0</v>
      </c>
      <c r="AA6" s="256">
        <f t="shared" ref="AA6:AA130" si="0">SUM(X6:Z6)</f>
        <v>0</v>
      </c>
      <c r="AB6" s="3"/>
      <c r="AC6" s="62" t="str">
        <f>IF(AND(M6=1,P6&lt;&gt;"N"),$AC$1,"")</f>
        <v/>
      </c>
      <c r="AD6" s="62" t="str">
        <f t="shared" ref="AD6:AD130" si="1">_xlfn.IFS(P6="N",$AD$1*AA6,P6="EE","",P6="ER","",P6="","")</f>
        <v/>
      </c>
      <c r="AE6" s="62" t="str">
        <f t="shared" ref="AE6:AE130" si="2">_xlfn.IFS(P6="EE",X6*$AE$1,P6="ER",X6*$AE$2,P6="N","",P6="","")</f>
        <v/>
      </c>
      <c r="AF6" s="62" t="str">
        <f t="shared" ref="AF6:AF130" si="3">+IF(AA6&gt;1,AA6*$AF$1,"")</f>
        <v/>
      </c>
      <c r="AG6" s="192">
        <v>0</v>
      </c>
      <c r="AH6" s="62" t="str">
        <f>+IF(AA6&gt;1,AA6*$AH$1,"")</f>
        <v/>
      </c>
      <c r="AI6" s="62">
        <f>+_xlfn.IFS(F6&lt;2300,(AA6*$AI$1),F6&gt;=2300,(AA6*$AI$2),F6="","")</f>
        <v>0</v>
      </c>
      <c r="AJ6" s="62"/>
      <c r="AK6" s="62">
        <v>0</v>
      </c>
      <c r="AL6" s="256">
        <f>SUM(AC6:AK6)</f>
        <v>0</v>
      </c>
      <c r="AM6" s="256">
        <f>AA6</f>
        <v>0</v>
      </c>
      <c r="AN6" s="256">
        <f>SUM(AL6:AM6)</f>
        <v>0</v>
      </c>
    </row>
    <row r="7" spans="1:16152" hidden="1" x14ac:dyDescent="0.2">
      <c r="A7" s="3" t="str">
        <f>IF('Employee Detail FY23'!A7="","",'Employee Detail FY23'!A7)</f>
        <v/>
      </c>
      <c r="B7" s="647">
        <f>IF('Employee Detail FY23'!B7="","",'Employee Detail FY23'!B7)</f>
        <v>100</v>
      </c>
      <c r="C7" s="647" t="str">
        <f>IF('Employee Detail FY23'!C7="","",'Employee Detail FY23'!C7)</f>
        <v>000</v>
      </c>
      <c r="D7" s="647"/>
      <c r="E7" s="647">
        <f>IF('Employee Detail FY23'!E7="","",'Employee Detail FY23'!E7)</f>
        <v>100</v>
      </c>
      <c r="F7" s="647" t="str">
        <f>IF('Employee Detail FY23'!F7="","",'Employee Detail FY23'!F7)</f>
        <v>2320</v>
      </c>
      <c r="G7" s="647" t="str">
        <f>IF('Employee Detail FY23'!G7="","",'Employee Detail FY23'!G7)</f>
        <v>0104</v>
      </c>
      <c r="H7" s="3"/>
      <c r="I7" s="255" t="str">
        <f>IF('Employee Detail FY23'!I7="","",'Employee Detail FY23'!I7)</f>
        <v>DAMORE</v>
      </c>
      <c r="J7" s="255" t="str">
        <f>IF('Employee Detail FY23'!J7="","",'Employee Detail FY23'!J7)</f>
        <v>ANDREA</v>
      </c>
      <c r="K7" s="255" t="str">
        <f>IF('Employee Detail FY23'!K7="","",'Employee Detail FY23'!K7)</f>
        <v>Admnistration</v>
      </c>
      <c r="L7" s="255" t="str">
        <f>IF('Employee Detail FY23'!L7="","",'Employee Detail FY23'!L7)</f>
        <v>EXEC. DIR. ACADEMICS</v>
      </c>
      <c r="M7" s="92">
        <f>IF('Employee Detail FY23'!M7="","",'Employee Detail FY23'!M7)</f>
        <v>1</v>
      </c>
      <c r="N7" s="3" t="str">
        <f>IF('Employee Detail FY23'!N7="","",'Employee Detail FY23'!N7)</f>
        <v>S</v>
      </c>
      <c r="O7" s="3">
        <f>IF('Employee Detail FY23'!O7="","",'Employee Detail FY23'!O7)</f>
        <v>1</v>
      </c>
      <c r="P7" s="3" t="str">
        <f>IF('Employee Detail FY23'!P7="","",'Employee Detail FY23'!P7)</f>
        <v>ER</v>
      </c>
      <c r="Q7" s="3" t="str">
        <f>IF('Employee Detail FY23'!Q7="","",'Employee Detail FY23'!Q7)</f>
        <v/>
      </c>
      <c r="R7" s="3">
        <f>IF('Employee Detail FY23'!R7="","",'Employee Detail FY23'!R7)</f>
        <v>261</v>
      </c>
      <c r="S7" s="3">
        <f>IF('Employee Detail FY23'!S7="","",'Employee Detail FY23'!S7)</f>
        <v>8</v>
      </c>
      <c r="T7" s="263">
        <f t="shared" ref="T7:T68" si="4">+IF(R7="","",R7*S7)</f>
        <v>2088</v>
      </c>
      <c r="U7" s="269">
        <f>IF('Employee Detail FY23'!U7="","",'Employee Detail FY23'!U7)</f>
        <v>123000</v>
      </c>
      <c r="V7" s="270">
        <f t="shared" ref="V7:V68" si="5">IF($U7="","",$U7*(1+$V$1))</f>
        <v>130380</v>
      </c>
      <c r="W7" s="270" t="str">
        <f t="shared" ref="W7:W68" si="6">+IF(P7="EE",+V7*$W$1,"")</f>
        <v/>
      </c>
      <c r="X7" s="270">
        <f t="shared" ref="X7:X68" si="7">_xlfn.IFS(P7="ER",V7,P7="EE",W7,P7="N",V7,P7="","")</f>
        <v>130380</v>
      </c>
      <c r="Y7" s="62">
        <v>0</v>
      </c>
      <c r="Z7" s="62">
        <v>0</v>
      </c>
      <c r="AA7" s="256">
        <f t="shared" ref="AA7:AA68" si="8">SUM(X7:Z7)</f>
        <v>130380</v>
      </c>
      <c r="AB7" s="3"/>
      <c r="AC7" s="62">
        <f t="shared" ref="AC7:AC68" si="9">IF(AND(M7=1,P7&lt;&gt;"N"),$AC$1,"")</f>
        <v>7943.76</v>
      </c>
      <c r="AD7" s="62" t="str">
        <f t="shared" ref="AD7:AD68" si="10">_xlfn.IFS(P7="N",$AD$1*AA7,P7="EE","",P7="ER","",P7="","")</f>
        <v/>
      </c>
      <c r="AE7" s="62">
        <f t="shared" ref="AE7:AE68" si="11">_xlfn.IFS(P7="EE",X7*$AE$1,P7="ER",X7*$AE$2,P7="N","",P7="","")</f>
        <v>38136.149999999994</v>
      </c>
      <c r="AF7" s="62">
        <f t="shared" ref="AF7:AF68" si="12">+IF(AA7&gt;1,AA7*$AF$1,"")</f>
        <v>1890.51</v>
      </c>
      <c r="AG7" s="192">
        <v>0</v>
      </c>
      <c r="AH7" s="62">
        <f t="shared" ref="AH7:AH68" si="13">+IF(AA7&gt;1,AA7*$AH$1,"")</f>
        <v>1186.7625816192478</v>
      </c>
      <c r="AI7" s="62">
        <f t="shared" ref="AI7:AI68" si="14">+_xlfn.IFS(F7&lt;2300,(AA7*$AI$1),F7&gt;=2300,(AA7*$AI$2),F7="","")</f>
        <v>383.99500776611478</v>
      </c>
      <c r="AJ7" s="62"/>
      <c r="AK7" s="62">
        <v>0</v>
      </c>
      <c r="AL7" s="256">
        <f t="shared" ref="AL7:AL68" si="15">SUM(AC7:AK7)</f>
        <v>49541.177589385356</v>
      </c>
      <c r="AM7" s="256">
        <f t="shared" ref="AM7:AM68" si="16">AA7</f>
        <v>130380</v>
      </c>
      <c r="AN7" s="256">
        <f t="shared" ref="AN7:AN68" si="17">SUM(AL7:AM7)</f>
        <v>179921.17758938536</v>
      </c>
    </row>
    <row r="8" spans="1:16152" hidden="1" x14ac:dyDescent="0.2">
      <c r="A8" s="3" t="str">
        <f>IF('Employee Detail FY23'!A8="","",'Employee Detail FY23'!A8)</f>
        <v/>
      </c>
      <c r="B8" s="647">
        <f>IF('Employee Detail FY23'!B8="","",'Employee Detail FY23'!B8)</f>
        <v>100</v>
      </c>
      <c r="C8" s="647" t="str">
        <f>IF('Employee Detail FY23'!C8="","",'Employee Detail FY23'!C8)</f>
        <v>000</v>
      </c>
      <c r="D8" s="647"/>
      <c r="E8" s="647">
        <f>IF('Employee Detail FY23'!E8="","",'Employee Detail FY23'!E8)</f>
        <v>100</v>
      </c>
      <c r="F8" s="647" t="str">
        <f>IF('Employee Detail FY23'!F8="","",'Employee Detail FY23'!F8)</f>
        <v>2320</v>
      </c>
      <c r="G8" s="647" t="str">
        <f>IF('Employee Detail FY23'!G8="","",'Employee Detail FY23'!G8)</f>
        <v>0104</v>
      </c>
      <c r="H8" s="3"/>
      <c r="I8" s="255" t="str">
        <f>IF('Employee Detail FY23'!I8="","",'Employee Detail FY23'!I8)</f>
        <v>TONDRYK</v>
      </c>
      <c r="J8" s="255" t="str">
        <f>IF('Employee Detail FY23'!J8="","",'Employee Detail FY23'!J8)</f>
        <v>Tambre</v>
      </c>
      <c r="K8" s="255" t="str">
        <f>IF('Employee Detail FY23'!K8="","",'Employee Detail FY23'!K8)</f>
        <v>Administration</v>
      </c>
      <c r="L8" s="255" t="str">
        <f>IF('Employee Detail FY23'!L8="","",'Employee Detail FY23'!L8)</f>
        <v>Exec. Dir. Operations</v>
      </c>
      <c r="M8" s="92">
        <f>IF('Employee Detail FY23'!M8="","",'Employee Detail FY23'!M8)</f>
        <v>1</v>
      </c>
      <c r="N8" s="3" t="str">
        <f>IF('Employee Detail FY23'!N8="","",'Employee Detail FY23'!N8)</f>
        <v/>
      </c>
      <c r="O8" s="3">
        <f>IF('Employee Detail FY23'!O8="","",'Employee Detail FY23'!O8)</f>
        <v>26</v>
      </c>
      <c r="P8" s="3" t="str">
        <f>IF('Employee Detail FY23'!P8="","",'Employee Detail FY23'!P8)</f>
        <v>ER</v>
      </c>
      <c r="Q8" s="3" t="str">
        <f>IF('Employee Detail FY23'!Q8="","",'Employee Detail FY23'!Q8)</f>
        <v/>
      </c>
      <c r="R8" s="3">
        <f>IF('Employee Detail FY23'!R8="","",'Employee Detail FY23'!R8)</f>
        <v>261</v>
      </c>
      <c r="S8" s="3">
        <f>IF('Employee Detail FY23'!S8="","",'Employee Detail FY23'!S8)</f>
        <v>8</v>
      </c>
      <c r="T8" s="263">
        <f t="shared" si="4"/>
        <v>2088</v>
      </c>
      <c r="U8" s="269">
        <f>IF('Employee Detail FY23'!U8="","",'Employee Detail FY23'!U8)</f>
        <v>135000</v>
      </c>
      <c r="V8" s="270">
        <f t="shared" si="5"/>
        <v>143100</v>
      </c>
      <c r="W8" s="270" t="str">
        <f t="shared" si="6"/>
        <v/>
      </c>
      <c r="X8" s="270">
        <f t="shared" si="7"/>
        <v>143100</v>
      </c>
      <c r="Y8" s="62">
        <v>0</v>
      </c>
      <c r="Z8" s="62">
        <v>0</v>
      </c>
      <c r="AA8" s="256">
        <f t="shared" si="8"/>
        <v>143100</v>
      </c>
      <c r="AB8" s="3"/>
      <c r="AC8" s="62">
        <f t="shared" si="9"/>
        <v>7943.76</v>
      </c>
      <c r="AD8" s="62" t="str">
        <f t="shared" si="10"/>
        <v/>
      </c>
      <c r="AE8" s="62">
        <f t="shared" si="11"/>
        <v>41856.75</v>
      </c>
      <c r="AF8" s="62">
        <f t="shared" si="12"/>
        <v>2074.9500000000003</v>
      </c>
      <c r="AG8" s="192">
        <v>0</v>
      </c>
      <c r="AH8" s="62">
        <f t="shared" si="13"/>
        <v>1302.5442968991742</v>
      </c>
      <c r="AI8" s="62">
        <f t="shared" si="14"/>
        <v>421.45793535305279</v>
      </c>
      <c r="AJ8" s="62"/>
      <c r="AK8" s="62">
        <v>0</v>
      </c>
      <c r="AL8" s="256">
        <f t="shared" si="15"/>
        <v>53599.462232252226</v>
      </c>
      <c r="AM8" s="256">
        <f t="shared" si="16"/>
        <v>143100</v>
      </c>
      <c r="AN8" s="256">
        <f t="shared" si="17"/>
        <v>196699.46223225223</v>
      </c>
      <c r="AO8" s="3" t="s">
        <v>1276</v>
      </c>
    </row>
    <row r="9" spans="1:16152" hidden="1" x14ac:dyDescent="0.2">
      <c r="A9" s="3" t="str">
        <f>IF('Employee Detail FY23'!A9="","",'Employee Detail FY23'!A9)</f>
        <v/>
      </c>
      <c r="B9" s="647" t="str">
        <f>IF('Employee Detail FY23'!B9="","",'Employee Detail FY23'!B9)</f>
        <v/>
      </c>
      <c r="C9" s="647" t="str">
        <f>IF('Employee Detail FY23'!C9="","",'Employee Detail FY23'!C9)</f>
        <v/>
      </c>
      <c r="D9" s="647"/>
      <c r="E9" s="647" t="str">
        <f>IF('Employee Detail FY23'!E9="","",'Employee Detail FY23'!E9)</f>
        <v/>
      </c>
      <c r="F9" s="647" t="str">
        <f>IF('Employee Detail FY23'!F9="","",'Employee Detail FY23'!F9)</f>
        <v/>
      </c>
      <c r="G9" s="647" t="str">
        <f>IF('Employee Detail FY23'!G9="","",'Employee Detail FY23'!G9)</f>
        <v/>
      </c>
      <c r="H9" s="3"/>
      <c r="I9" s="255" t="str">
        <f>IF('Employee Detail FY23'!I9="","",'Employee Detail FY23'!I9)</f>
        <v/>
      </c>
      <c r="J9" s="255" t="str">
        <f>IF('Employee Detail FY23'!J9="","",'Employee Detail FY23'!J9)</f>
        <v/>
      </c>
      <c r="K9" s="255" t="str">
        <f>IF('Employee Detail FY23'!K9="","",'Employee Detail FY23'!K9)</f>
        <v/>
      </c>
      <c r="L9" s="255" t="str">
        <f>IF('Employee Detail FY23'!L9="","",'Employee Detail FY23'!L9)</f>
        <v/>
      </c>
      <c r="M9" s="92" t="str">
        <f>IF('Employee Detail FY23'!M9="","",'Employee Detail FY23'!M9)</f>
        <v/>
      </c>
      <c r="N9" s="3" t="str">
        <f>IF('Employee Detail FY23'!N9="","",'Employee Detail FY23'!N9)</f>
        <v/>
      </c>
      <c r="O9" s="3" t="str">
        <f>IF('Employee Detail FY23'!O9="","",'Employee Detail FY23'!O9)</f>
        <v/>
      </c>
      <c r="P9" s="3" t="str">
        <f>IF('Employee Detail FY23'!P9="","",'Employee Detail FY23'!P9)</f>
        <v/>
      </c>
      <c r="Q9" s="3" t="str">
        <f>IF('Employee Detail FY23'!Q9="","",'Employee Detail FY23'!Q9)</f>
        <v/>
      </c>
      <c r="R9" s="3" t="str">
        <f>IF('Employee Detail FY23'!R9="","",'Employee Detail FY23'!R9)</f>
        <v/>
      </c>
      <c r="S9" s="3" t="str">
        <f>IF('Employee Detail FY23'!S9="","",'Employee Detail FY23'!S9)</f>
        <v/>
      </c>
      <c r="T9" s="263" t="str">
        <f t="shared" si="4"/>
        <v/>
      </c>
      <c r="U9" s="269" t="str">
        <f>IF('Employee Detail FY23'!U9="","",'Employee Detail FY23'!U9)</f>
        <v/>
      </c>
      <c r="V9" s="270" t="str">
        <f t="shared" si="5"/>
        <v/>
      </c>
      <c r="W9" s="270" t="str">
        <f t="shared" si="6"/>
        <v/>
      </c>
      <c r="X9" s="270" t="str">
        <f t="shared" si="7"/>
        <v/>
      </c>
      <c r="Y9" s="62">
        <v>0</v>
      </c>
      <c r="Z9" s="62">
        <v>0</v>
      </c>
      <c r="AA9" s="256">
        <f t="shared" si="8"/>
        <v>0</v>
      </c>
      <c r="AB9" s="3"/>
      <c r="AC9" s="62" t="str">
        <f t="shared" si="9"/>
        <v/>
      </c>
      <c r="AD9" s="62" t="str">
        <f t="shared" si="10"/>
        <v/>
      </c>
      <c r="AE9" s="62" t="str">
        <f t="shared" si="11"/>
        <v/>
      </c>
      <c r="AF9" s="62" t="str">
        <f t="shared" si="12"/>
        <v/>
      </c>
      <c r="AG9" s="192">
        <v>0</v>
      </c>
      <c r="AH9" s="62" t="str">
        <f t="shared" si="13"/>
        <v/>
      </c>
      <c r="AI9" s="62">
        <f t="shared" si="14"/>
        <v>0</v>
      </c>
      <c r="AJ9" s="62"/>
      <c r="AK9" s="62">
        <v>0</v>
      </c>
      <c r="AL9" s="256">
        <f t="shared" si="15"/>
        <v>0</v>
      </c>
      <c r="AM9" s="256">
        <f t="shared" si="16"/>
        <v>0</v>
      </c>
      <c r="AN9" s="256">
        <f t="shared" si="17"/>
        <v>0</v>
      </c>
    </row>
    <row r="10" spans="1:16152" hidden="1" x14ac:dyDescent="0.2">
      <c r="A10" s="3" t="str">
        <f>IF('Employee Detail FY23'!A10="","",'Employee Detail FY23'!A10)</f>
        <v>TITLE I 1003a</v>
      </c>
      <c r="B10" s="647">
        <f>IF('Employee Detail FY23'!B10="","",'Employee Detail FY23'!B10)</f>
        <v>280</v>
      </c>
      <c r="C10" s="647">
        <f>IF('Employee Detail FY23'!C10="","",'Employee Detail FY23'!C10)</f>
        <v>624</v>
      </c>
      <c r="D10" s="647"/>
      <c r="E10" s="647">
        <f>IF('Employee Detail FY23'!E10="","",'Employee Detail FY23'!E10)</f>
        <v>430</v>
      </c>
      <c r="F10" s="647">
        <f>IF('Employee Detail FY23'!F10="","",'Employee Detail FY23'!F10)</f>
        <v>2410</v>
      </c>
      <c r="G10" s="647" t="str">
        <f>IF('Employee Detail FY23'!G10="","",'Employee Detail FY23'!G10)</f>
        <v>0104</v>
      </c>
      <c r="H10" s="3"/>
      <c r="I10" s="255" t="str">
        <f>IF('Employee Detail FY23'!I10="","",'Employee Detail FY23'!I10)</f>
        <v>MEDINA</v>
      </c>
      <c r="J10" s="255" t="str">
        <f>IF('Employee Detail FY23'!J10="","",'Employee Detail FY23'!J10)</f>
        <v>VINCENT</v>
      </c>
      <c r="K10" s="255" t="str">
        <f>IF('Employee Detail FY23'!K10="","",'Employee Detail FY23'!K10)</f>
        <v>Licensed Staff</v>
      </c>
      <c r="L10" s="255" t="str">
        <f>IF('Employee Detail FY23'!L10="","",'Employee Detail FY23'!L10)</f>
        <v>ACADEMIC COORDINATOR</v>
      </c>
      <c r="M10" s="92">
        <f>IF('Employee Detail FY23'!M10="","",'Employee Detail FY23'!M10)</f>
        <v>1</v>
      </c>
      <c r="N10" s="3" t="str">
        <f>IF('Employee Detail FY23'!N10="","",'Employee Detail FY23'!N10)</f>
        <v/>
      </c>
      <c r="O10" s="3">
        <f>IF('Employee Detail FY23'!O10="","",'Employee Detail FY23'!O10)</f>
        <v>26</v>
      </c>
      <c r="P10" s="3" t="str">
        <f>IF('Employee Detail FY23'!P10="","",'Employee Detail FY23'!P10)</f>
        <v>ER</v>
      </c>
      <c r="Q10" s="3" t="str">
        <f>IF('Employee Detail FY23'!Q10="","",'Employee Detail FY23'!Q10)</f>
        <v/>
      </c>
      <c r="R10" s="3">
        <f>IF('Employee Detail FY23'!R10="","",'Employee Detail FY23'!R10)</f>
        <v>261</v>
      </c>
      <c r="S10" s="3">
        <f>IF('Employee Detail FY23'!S10="","",'Employee Detail FY23'!S10)</f>
        <v>8</v>
      </c>
      <c r="T10" s="263">
        <f t="shared" si="4"/>
        <v>2088</v>
      </c>
      <c r="U10" s="269">
        <f>IF('Employee Detail FY23'!U10="","",'Employee Detail FY23'!U10)</f>
        <v>89000</v>
      </c>
      <c r="V10" s="270">
        <f t="shared" si="5"/>
        <v>94340</v>
      </c>
      <c r="W10" s="270" t="str">
        <f t="shared" si="6"/>
        <v/>
      </c>
      <c r="X10" s="270">
        <f t="shared" si="7"/>
        <v>94340</v>
      </c>
      <c r="Y10" s="62">
        <v>0</v>
      </c>
      <c r="Z10" s="62">
        <v>0</v>
      </c>
      <c r="AA10" s="256">
        <f t="shared" si="8"/>
        <v>94340</v>
      </c>
      <c r="AB10" s="3"/>
      <c r="AC10" s="62">
        <f t="shared" si="9"/>
        <v>7943.76</v>
      </c>
      <c r="AD10" s="62" t="str">
        <f t="shared" si="10"/>
        <v/>
      </c>
      <c r="AE10" s="62">
        <f t="shared" si="11"/>
        <v>27594.449999999997</v>
      </c>
      <c r="AF10" s="62">
        <f t="shared" si="12"/>
        <v>1367.93</v>
      </c>
      <c r="AG10" s="192">
        <v>0</v>
      </c>
      <c r="AH10" s="62">
        <f t="shared" si="13"/>
        <v>858.71438832612239</v>
      </c>
      <c r="AI10" s="62">
        <f t="shared" si="14"/>
        <v>277.85004626979037</v>
      </c>
      <c r="AJ10" s="62"/>
      <c r="AK10" s="62">
        <v>0</v>
      </c>
      <c r="AL10" s="256">
        <f t="shared" si="15"/>
        <v>38042.704434595915</v>
      </c>
      <c r="AM10" s="256">
        <f t="shared" si="16"/>
        <v>94340</v>
      </c>
      <c r="AN10" s="256">
        <f t="shared" si="17"/>
        <v>132382.70443459591</v>
      </c>
    </row>
    <row r="11" spans="1:16152" hidden="1" x14ac:dyDescent="0.2">
      <c r="A11" s="3" t="str">
        <f>IF('Employee Detail FY23'!A11="","",'Employee Detail FY23'!A11)</f>
        <v/>
      </c>
      <c r="B11" s="647" t="str">
        <f>IF('Employee Detail FY23'!B11="","",'Employee Detail FY23'!B11)</f>
        <v/>
      </c>
      <c r="C11" s="647" t="str">
        <f>IF('Employee Detail FY23'!C11="","",'Employee Detail FY23'!C11)</f>
        <v/>
      </c>
      <c r="D11" s="647"/>
      <c r="E11" s="647" t="str">
        <f>IF('Employee Detail FY23'!E11="","",'Employee Detail FY23'!E11)</f>
        <v/>
      </c>
      <c r="F11" s="647" t="str">
        <f>IF('Employee Detail FY23'!F11="","",'Employee Detail FY23'!F11)</f>
        <v/>
      </c>
      <c r="G11" s="647" t="str">
        <f>IF('Employee Detail FY23'!G11="","",'Employee Detail FY23'!G11)</f>
        <v/>
      </c>
      <c r="H11" s="3"/>
      <c r="I11" s="255" t="str">
        <f>IF('Employee Detail FY23'!I11="","",'Employee Detail FY23'!I11)</f>
        <v/>
      </c>
      <c r="J11" s="255" t="str">
        <f>IF('Employee Detail FY23'!J11="","",'Employee Detail FY23'!J11)</f>
        <v/>
      </c>
      <c r="K11" s="255" t="str">
        <f>IF('Employee Detail FY23'!K11="","",'Employee Detail FY23'!K11)</f>
        <v/>
      </c>
      <c r="L11" s="255" t="str">
        <f>IF('Employee Detail FY23'!L11="","",'Employee Detail FY23'!L11)</f>
        <v/>
      </c>
      <c r="M11" s="92" t="str">
        <f>IF('Employee Detail FY23'!M11="","",'Employee Detail FY23'!M11)</f>
        <v/>
      </c>
      <c r="N11" s="3" t="str">
        <f>IF('Employee Detail FY23'!N11="","",'Employee Detail FY23'!N11)</f>
        <v/>
      </c>
      <c r="O11" s="3" t="str">
        <f>IF('Employee Detail FY23'!O11="","",'Employee Detail FY23'!O11)</f>
        <v/>
      </c>
      <c r="P11" s="3" t="str">
        <f>IF('Employee Detail FY23'!P11="","",'Employee Detail FY23'!P11)</f>
        <v/>
      </c>
      <c r="Q11" s="3" t="str">
        <f>IF('Employee Detail FY23'!Q11="","",'Employee Detail FY23'!Q11)</f>
        <v/>
      </c>
      <c r="R11" s="3" t="str">
        <f>IF('Employee Detail FY23'!R11="","",'Employee Detail FY23'!R11)</f>
        <v/>
      </c>
      <c r="S11" s="3" t="str">
        <f>IF('Employee Detail FY23'!S11="","",'Employee Detail FY23'!S11)</f>
        <v/>
      </c>
      <c r="T11" s="263" t="str">
        <f t="shared" si="4"/>
        <v/>
      </c>
      <c r="U11" s="269" t="str">
        <f>IF('Employee Detail FY23'!U11="","",'Employee Detail FY23'!U11)</f>
        <v/>
      </c>
      <c r="V11" s="270" t="str">
        <f t="shared" si="5"/>
        <v/>
      </c>
      <c r="W11" s="270" t="str">
        <f t="shared" si="6"/>
        <v/>
      </c>
      <c r="X11" s="270" t="str">
        <f t="shared" si="7"/>
        <v/>
      </c>
      <c r="Y11" s="62">
        <v>0</v>
      </c>
      <c r="Z11" s="62">
        <v>0</v>
      </c>
      <c r="AA11" s="256">
        <f t="shared" si="8"/>
        <v>0</v>
      </c>
      <c r="AB11" s="3"/>
      <c r="AC11" s="62" t="str">
        <f t="shared" si="9"/>
        <v/>
      </c>
      <c r="AD11" s="62" t="str">
        <f t="shared" si="10"/>
        <v/>
      </c>
      <c r="AE11" s="62" t="str">
        <f t="shared" si="11"/>
        <v/>
      </c>
      <c r="AF11" s="62" t="str">
        <f t="shared" si="12"/>
        <v/>
      </c>
      <c r="AG11" s="192">
        <v>0</v>
      </c>
      <c r="AH11" s="62" t="str">
        <f t="shared" si="13"/>
        <v/>
      </c>
      <c r="AI11" s="62">
        <f t="shared" si="14"/>
        <v>0</v>
      </c>
      <c r="AJ11" s="62"/>
      <c r="AK11" s="62">
        <v>0</v>
      </c>
      <c r="AL11" s="256">
        <f t="shared" si="15"/>
        <v>0</v>
      </c>
      <c r="AM11" s="256">
        <f t="shared" si="16"/>
        <v>0</v>
      </c>
      <c r="AN11" s="256">
        <f t="shared" si="17"/>
        <v>0</v>
      </c>
    </row>
    <row r="12" spans="1:16152" x14ac:dyDescent="0.2">
      <c r="A12" s="3" t="str">
        <f>IF('Employee Detail FY23'!A12="","",'Employee Detail FY23'!A12)</f>
        <v>VACANT</v>
      </c>
      <c r="B12" s="647" t="str">
        <f>IF('Employee Detail FY23'!B12="","",'Employee Detail FY23'!B12)</f>
        <v>250</v>
      </c>
      <c r="C12" s="647" t="str">
        <f>IF('Employee Detail FY23'!C12="","",'Employee Detail FY23'!C12)</f>
        <v>205</v>
      </c>
      <c r="D12" s="647"/>
      <c r="E12" s="647" t="str">
        <f>IF('Employee Detail FY23'!E12="","",'Employee Detail FY23'!E12)</f>
        <v>200</v>
      </c>
      <c r="F12" s="647">
        <f>IF('Employee Detail FY23'!F12="","",'Employee Detail FY23'!F12)</f>
        <v>1000</v>
      </c>
      <c r="G12" s="647" t="str">
        <f>IF('Employee Detail FY23'!G12="","",'Employee Detail FY23'!G12)</f>
        <v>0105</v>
      </c>
      <c r="H12" s="3"/>
      <c r="I12" s="255" t="str">
        <f>IF('Employee Detail FY23'!I12="","",'Employee Detail FY23'!I12)</f>
        <v>VACANT</v>
      </c>
      <c r="J12" s="255" t="str">
        <f>IF('Employee Detail FY23'!J12="","",'Employee Detail FY23'!J12)</f>
        <v>FY23</v>
      </c>
      <c r="K12" s="255" t="str">
        <f>IF('Employee Detail FY23'!K12="","",'Employee Detail FY23'!K12)</f>
        <v>Administration</v>
      </c>
      <c r="L12" s="255" t="str">
        <f>IF('Employee Detail FY23'!L12="","",'Employee Detail FY23'!L12)</f>
        <v>SPECIAL PROGRAMS COORDINATOR</v>
      </c>
      <c r="M12" s="92">
        <f>IF('Employee Detail FY23'!M12="","",'Employee Detail FY23'!M12)</f>
        <v>1</v>
      </c>
      <c r="N12" s="3" t="str">
        <f>IF('Employee Detail FY23'!N12="","",'Employee Detail FY23'!N12)</f>
        <v/>
      </c>
      <c r="O12" s="3">
        <f>IF('Employee Detail FY23'!O12="","",'Employee Detail FY23'!O12)</f>
        <v>1</v>
      </c>
      <c r="P12" s="3" t="str">
        <f>IF('Employee Detail FY23'!P12="","",'Employee Detail FY23'!P12)</f>
        <v>ER</v>
      </c>
      <c r="Q12" s="3" t="str">
        <f>IF('Employee Detail FY23'!Q12="","",'Employee Detail FY23'!Q12)</f>
        <v/>
      </c>
      <c r="R12" s="3">
        <f>IF('Employee Detail FY23'!R12="","",'Employee Detail FY23'!R12)</f>
        <v>261</v>
      </c>
      <c r="S12" s="3">
        <f>IF('Employee Detail FY23'!S12="","",'Employee Detail FY23'!S12)</f>
        <v>8</v>
      </c>
      <c r="T12" s="263">
        <f t="shared" si="4"/>
        <v>2088</v>
      </c>
      <c r="U12" s="269">
        <f>IF('Employee Detail FY23'!U12="","",'Employee Detail FY23'!U12)</f>
        <v>81500</v>
      </c>
      <c r="V12" s="270">
        <f t="shared" si="5"/>
        <v>86390</v>
      </c>
      <c r="W12" s="270" t="str">
        <f t="shared" si="6"/>
        <v/>
      </c>
      <c r="X12" s="270">
        <f t="shared" si="7"/>
        <v>86390</v>
      </c>
      <c r="Y12" s="62">
        <v>0</v>
      </c>
      <c r="Z12" s="62">
        <v>0</v>
      </c>
      <c r="AA12" s="256">
        <f t="shared" si="8"/>
        <v>86390</v>
      </c>
      <c r="AB12" s="3"/>
      <c r="AC12" s="62">
        <f t="shared" si="9"/>
        <v>7943.76</v>
      </c>
      <c r="AD12" s="62" t="str">
        <f t="shared" si="10"/>
        <v/>
      </c>
      <c r="AE12" s="62">
        <f t="shared" si="11"/>
        <v>25269.074999999997</v>
      </c>
      <c r="AF12" s="62">
        <f t="shared" si="12"/>
        <v>1252.655</v>
      </c>
      <c r="AG12" s="192">
        <v>0</v>
      </c>
      <c r="AH12" s="62">
        <f t="shared" si="13"/>
        <v>786.35081627616819</v>
      </c>
      <c r="AI12" s="62">
        <f t="shared" si="14"/>
        <v>254.4357165279541</v>
      </c>
      <c r="AJ12" s="62"/>
      <c r="AK12" s="62">
        <v>0</v>
      </c>
      <c r="AL12" s="256">
        <f t="shared" si="15"/>
        <v>35506.276532804113</v>
      </c>
      <c r="AM12" s="256">
        <f t="shared" si="16"/>
        <v>86390</v>
      </c>
      <c r="AN12" s="256">
        <f t="shared" si="17"/>
        <v>121896.27653280411</v>
      </c>
    </row>
    <row r="13" spans="1:16152" hidden="1" x14ac:dyDescent="0.2">
      <c r="A13" s="3" t="str">
        <f>IF('Employee Detail FY23'!A13="","",'Employee Detail FY23'!A13)</f>
        <v/>
      </c>
      <c r="B13" s="647" t="str">
        <f>IF('Employee Detail FY23'!B13="","",'Employee Detail FY23'!B13)</f>
        <v/>
      </c>
      <c r="C13" s="647" t="str">
        <f>IF('Employee Detail FY23'!C13="","",'Employee Detail FY23'!C13)</f>
        <v/>
      </c>
      <c r="D13" s="647"/>
      <c r="E13" s="647" t="str">
        <f>IF('Employee Detail FY23'!E13="","",'Employee Detail FY23'!E13)</f>
        <v/>
      </c>
      <c r="F13" s="647" t="str">
        <f>IF('Employee Detail FY23'!F13="","",'Employee Detail FY23'!F13)</f>
        <v/>
      </c>
      <c r="G13" s="647" t="str">
        <f>IF('Employee Detail FY23'!G13="","",'Employee Detail FY23'!G13)</f>
        <v/>
      </c>
      <c r="H13" s="3"/>
      <c r="I13" s="255" t="str">
        <f>IF('Employee Detail FY23'!I13="","",'Employee Detail FY23'!I13)</f>
        <v/>
      </c>
      <c r="J13" s="255" t="str">
        <f>IF('Employee Detail FY23'!J13="","",'Employee Detail FY23'!J13)</f>
        <v/>
      </c>
      <c r="K13" s="255" t="str">
        <f>IF('Employee Detail FY23'!K13="","",'Employee Detail FY23'!K13)</f>
        <v/>
      </c>
      <c r="L13" s="255" t="str">
        <f>IF('Employee Detail FY23'!L13="","",'Employee Detail FY23'!L13)</f>
        <v/>
      </c>
      <c r="M13" s="92" t="str">
        <f>IF('Employee Detail FY23'!M13="","",'Employee Detail FY23'!M13)</f>
        <v/>
      </c>
      <c r="N13" s="3" t="str">
        <f>IF('Employee Detail FY23'!N13="","",'Employee Detail FY23'!N13)</f>
        <v/>
      </c>
      <c r="O13" s="3" t="str">
        <f>IF('Employee Detail FY23'!O13="","",'Employee Detail FY23'!O13)</f>
        <v/>
      </c>
      <c r="P13" s="3" t="str">
        <f>IF('Employee Detail FY23'!P13="","",'Employee Detail FY23'!P13)</f>
        <v/>
      </c>
      <c r="Q13" s="3" t="str">
        <f>IF('Employee Detail FY23'!Q13="","",'Employee Detail FY23'!Q13)</f>
        <v/>
      </c>
      <c r="R13" s="3" t="str">
        <f>IF('Employee Detail FY23'!R13="","",'Employee Detail FY23'!R13)</f>
        <v/>
      </c>
      <c r="S13" s="3" t="str">
        <f>IF('Employee Detail FY23'!S13="","",'Employee Detail FY23'!S13)</f>
        <v/>
      </c>
      <c r="T13" s="263" t="str">
        <f t="shared" si="4"/>
        <v/>
      </c>
      <c r="U13" s="269">
        <f>IF('Employee Detail FY23'!U13="","",'Employee Detail FY23'!U13)</f>
        <v>0</v>
      </c>
      <c r="V13" s="270">
        <f t="shared" si="5"/>
        <v>0</v>
      </c>
      <c r="W13" s="270" t="str">
        <f t="shared" si="6"/>
        <v/>
      </c>
      <c r="X13" s="270" t="str">
        <f t="shared" si="7"/>
        <v/>
      </c>
      <c r="Y13" s="62">
        <v>0</v>
      </c>
      <c r="Z13" s="62">
        <v>0</v>
      </c>
      <c r="AA13" s="256">
        <f t="shared" si="8"/>
        <v>0</v>
      </c>
      <c r="AB13" s="3"/>
      <c r="AC13" s="62" t="str">
        <f t="shared" si="9"/>
        <v/>
      </c>
      <c r="AD13" s="62" t="str">
        <f t="shared" si="10"/>
        <v/>
      </c>
      <c r="AE13" s="62" t="str">
        <f t="shared" si="11"/>
        <v/>
      </c>
      <c r="AF13" s="62" t="str">
        <f t="shared" si="12"/>
        <v/>
      </c>
      <c r="AG13" s="192">
        <v>0</v>
      </c>
      <c r="AH13" s="62" t="str">
        <f t="shared" si="13"/>
        <v/>
      </c>
      <c r="AI13" s="62">
        <f t="shared" si="14"/>
        <v>0</v>
      </c>
      <c r="AJ13" s="62"/>
      <c r="AK13" s="62">
        <v>0</v>
      </c>
      <c r="AL13" s="256">
        <f t="shared" si="15"/>
        <v>0</v>
      </c>
      <c r="AM13" s="256">
        <f t="shared" si="16"/>
        <v>0</v>
      </c>
      <c r="AN13" s="256">
        <f t="shared" si="17"/>
        <v>0</v>
      </c>
    </row>
    <row r="14" spans="1:16152" x14ac:dyDescent="0.2">
      <c r="A14" s="3" t="str">
        <f>IF('Employee Detail FY23'!A14="","",'Employee Detail FY23'!A14)</f>
        <v/>
      </c>
      <c r="B14" s="647">
        <f>IF('Employee Detail FY23'!B14="","",'Employee Detail FY23'!B14)</f>
        <v>100</v>
      </c>
      <c r="C14" s="647" t="str">
        <f>IF('Employee Detail FY23'!C14="","",'Employee Detail FY23'!C14)</f>
        <v>000</v>
      </c>
      <c r="D14" s="647"/>
      <c r="E14" s="647">
        <f>IF('Employee Detail FY23'!E14="","",'Employee Detail FY23'!E14)</f>
        <v>100</v>
      </c>
      <c r="F14" s="647">
        <f>IF('Employee Detail FY23'!F14="","",'Employee Detail FY23'!F14)</f>
        <v>1000</v>
      </c>
      <c r="G14" s="647" t="str">
        <f>IF('Employee Detail FY23'!G14="","",'Employee Detail FY23'!G14)</f>
        <v>0101</v>
      </c>
      <c r="H14" s="3"/>
      <c r="I14" s="255" t="str">
        <f>IF('Employee Detail FY23'!I14="","",'Employee Detail FY23'!I14)</f>
        <v>BAILEY</v>
      </c>
      <c r="J14" s="255" t="str">
        <f>IF('Employee Detail FY23'!J14="","",'Employee Detail FY23'!J14)</f>
        <v>SANDRA</v>
      </c>
      <c r="K14" s="255" t="str">
        <f>IF('Employee Detail FY23'!K14="","",'Employee Detail FY23'!K14)</f>
        <v>Licensed Staff</v>
      </c>
      <c r="L14" s="255" t="str">
        <f>IF('Employee Detail FY23'!L14="","",'Employee Detail FY23'!L14)</f>
        <v>TEACHER</v>
      </c>
      <c r="M14" s="92">
        <f>IF('Employee Detail FY23'!M14="","",'Employee Detail FY23'!M14)</f>
        <v>1</v>
      </c>
      <c r="N14" s="3" t="str">
        <f>IF('Employee Detail FY23'!N14="","",'Employee Detail FY23'!N14)</f>
        <v>S</v>
      </c>
      <c r="O14" s="3">
        <f>IF('Employee Detail FY23'!O14="","",'Employee Detail FY23'!O14)</f>
        <v>1</v>
      </c>
      <c r="P14" s="3" t="str">
        <f>IF('Employee Detail FY23'!P14="","",'Employee Detail FY23'!P14)</f>
        <v>EE</v>
      </c>
      <c r="Q14" s="3" t="str">
        <f>IF('Employee Detail FY23'!Q14="","",'Employee Detail FY23'!Q14)</f>
        <v/>
      </c>
      <c r="R14" s="3">
        <f>IF('Employee Detail FY23'!R14="","",'Employee Detail FY23'!R14)</f>
        <v>200</v>
      </c>
      <c r="S14" s="3">
        <f>IF('Employee Detail FY23'!S14="","",'Employee Detail FY23'!S14)</f>
        <v>8</v>
      </c>
      <c r="T14" s="263">
        <f t="shared" si="4"/>
        <v>1600</v>
      </c>
      <c r="U14" s="269">
        <f>IF('Employee Detail FY23'!U14="","",'Employee Detail FY23'!U14)</f>
        <v>44380</v>
      </c>
      <c r="V14" s="270">
        <f t="shared" si="5"/>
        <v>47042.8</v>
      </c>
      <c r="W14" s="270">
        <f t="shared" si="6"/>
        <v>54267.915480800002</v>
      </c>
      <c r="X14" s="270">
        <f t="shared" si="7"/>
        <v>54267.915480800002</v>
      </c>
      <c r="Y14" s="62">
        <v>0</v>
      </c>
      <c r="Z14" s="62">
        <v>0</v>
      </c>
      <c r="AA14" s="256">
        <f t="shared" si="8"/>
        <v>54267.915480800002</v>
      </c>
      <c r="AB14" s="3"/>
      <c r="AC14" s="62">
        <f t="shared" si="9"/>
        <v>7943.76</v>
      </c>
      <c r="AD14" s="62" t="str">
        <f t="shared" si="10"/>
        <v/>
      </c>
      <c r="AE14" s="62">
        <f t="shared" si="11"/>
        <v>8275.8571108220003</v>
      </c>
      <c r="AF14" s="62">
        <f t="shared" si="12"/>
        <v>786.88477447160005</v>
      </c>
      <c r="AG14" s="192">
        <v>0</v>
      </c>
      <c r="AH14" s="62">
        <f t="shared" si="13"/>
        <v>493.96480652776</v>
      </c>
      <c r="AI14" s="62">
        <f t="shared" si="14"/>
        <v>159.82979465025815</v>
      </c>
      <c r="AJ14" s="62"/>
      <c r="AK14" s="62">
        <v>0</v>
      </c>
      <c r="AL14" s="256">
        <f t="shared" si="15"/>
        <v>17660.29648647162</v>
      </c>
      <c r="AM14" s="256">
        <f t="shared" si="16"/>
        <v>54267.915480800002</v>
      </c>
      <c r="AN14" s="256">
        <f t="shared" si="17"/>
        <v>71928.211967271622</v>
      </c>
    </row>
    <row r="15" spans="1:16152" x14ac:dyDescent="0.2">
      <c r="A15" s="3" t="str">
        <f>IF('Employee Detail FY23'!A15="","",'Employee Detail FY23'!A15)</f>
        <v/>
      </c>
      <c r="B15" s="647">
        <f>IF('Employee Detail FY23'!B15="","",'Employee Detail FY23'!B15)</f>
        <v>100</v>
      </c>
      <c r="C15" s="647" t="str">
        <f>IF('Employee Detail FY23'!C15="","",'Employee Detail FY23'!C15)</f>
        <v>000</v>
      </c>
      <c r="D15" s="647"/>
      <c r="E15" s="647">
        <f>IF('Employee Detail FY23'!E15="","",'Employee Detail FY23'!E15)</f>
        <v>100</v>
      </c>
      <c r="F15" s="647">
        <f>IF('Employee Detail FY23'!F15="","",'Employee Detail FY23'!F15)</f>
        <v>1000</v>
      </c>
      <c r="G15" s="647" t="str">
        <f>IF('Employee Detail FY23'!G15="","",'Employee Detail FY23'!G15)</f>
        <v>0101</v>
      </c>
      <c r="H15" s="3"/>
      <c r="I15" s="255" t="str">
        <f>IF('Employee Detail FY23'!I15="","",'Employee Detail FY23'!I15)</f>
        <v>BALLEK</v>
      </c>
      <c r="J15" s="255" t="str">
        <f>IF('Employee Detail FY23'!J15="","",'Employee Detail FY23'!J15)</f>
        <v>DIANA</v>
      </c>
      <c r="K15" s="255" t="str">
        <f>IF('Employee Detail FY23'!K15="","",'Employee Detail FY23'!K15)</f>
        <v>Licensed Staff</v>
      </c>
      <c r="L15" s="255" t="str">
        <f>IF('Employee Detail FY23'!L15="","",'Employee Detail FY23'!L15)</f>
        <v>TEACHER</v>
      </c>
      <c r="M15" s="92">
        <f>IF('Employee Detail FY23'!M15="","",'Employee Detail FY23'!M15)</f>
        <v>1</v>
      </c>
      <c r="N15" s="3" t="str">
        <f>IF('Employee Detail FY23'!N15="","",'Employee Detail FY23'!N15)</f>
        <v/>
      </c>
      <c r="O15" s="3">
        <f>IF('Employee Detail FY23'!O15="","",'Employee Detail FY23'!O15)</f>
        <v>26</v>
      </c>
      <c r="P15" s="3" t="str">
        <f>IF('Employee Detail FY23'!P15="","",'Employee Detail FY23'!P15)</f>
        <v>ER</v>
      </c>
      <c r="Q15" s="3" t="str">
        <f>IF('Employee Detail FY23'!Q15="","",'Employee Detail FY23'!Q15)</f>
        <v/>
      </c>
      <c r="R15" s="3">
        <f>IF('Employee Detail FY23'!R15="","",'Employee Detail FY23'!R15)</f>
        <v>200</v>
      </c>
      <c r="S15" s="3">
        <f>IF('Employee Detail FY23'!S15="","",'Employee Detail FY23'!S15)</f>
        <v>8</v>
      </c>
      <c r="T15" s="263">
        <f t="shared" si="4"/>
        <v>1600</v>
      </c>
      <c r="U15" s="269">
        <f>IF('Employee Detail FY23'!U15="","",'Employee Detail FY23'!U15)</f>
        <v>55000</v>
      </c>
      <c r="V15" s="270">
        <f t="shared" si="5"/>
        <v>58300</v>
      </c>
      <c r="W15" s="270" t="str">
        <f t="shared" si="6"/>
        <v/>
      </c>
      <c r="X15" s="270">
        <f t="shared" si="7"/>
        <v>58300</v>
      </c>
      <c r="Y15" s="62">
        <v>0</v>
      </c>
      <c r="Z15" s="62">
        <v>0</v>
      </c>
      <c r="AA15" s="256">
        <f t="shared" si="8"/>
        <v>58300</v>
      </c>
      <c r="AB15" s="3"/>
      <c r="AC15" s="62">
        <f t="shared" si="9"/>
        <v>7943.76</v>
      </c>
      <c r="AD15" s="62" t="str">
        <f t="shared" si="10"/>
        <v/>
      </c>
      <c r="AE15" s="62">
        <f t="shared" si="11"/>
        <v>17052.75</v>
      </c>
      <c r="AF15" s="62">
        <f t="shared" si="12"/>
        <v>845.35</v>
      </c>
      <c r="AG15" s="192">
        <v>0</v>
      </c>
      <c r="AH15" s="62">
        <f t="shared" si="13"/>
        <v>530.66619503299694</v>
      </c>
      <c r="AI15" s="62">
        <f t="shared" si="14"/>
        <v>171.70508477346596</v>
      </c>
      <c r="AJ15" s="62"/>
      <c r="AK15" s="62">
        <v>0</v>
      </c>
      <c r="AL15" s="256">
        <f t="shared" si="15"/>
        <v>26544.231279806463</v>
      </c>
      <c r="AM15" s="256">
        <f t="shared" si="16"/>
        <v>58300</v>
      </c>
      <c r="AN15" s="256">
        <f t="shared" si="17"/>
        <v>84844.231279806467</v>
      </c>
    </row>
    <row r="16" spans="1:16152" x14ac:dyDescent="0.2">
      <c r="A16" s="3" t="str">
        <f>IF('Employee Detail FY23'!A16="","",'Employee Detail FY23'!A16)</f>
        <v/>
      </c>
      <c r="B16" s="647">
        <f>IF('Employee Detail FY23'!B16="","",'Employee Detail FY23'!B16)</f>
        <v>100</v>
      </c>
      <c r="C16" s="647" t="str">
        <f>IF('Employee Detail FY23'!C16="","",'Employee Detail FY23'!C16)</f>
        <v>000</v>
      </c>
      <c r="D16" s="647"/>
      <c r="E16" s="647">
        <f>IF('Employee Detail FY23'!E16="","",'Employee Detail FY23'!E16)</f>
        <v>100</v>
      </c>
      <c r="F16" s="647">
        <f>IF('Employee Detail FY23'!F16="","",'Employee Detail FY23'!F16)</f>
        <v>1000</v>
      </c>
      <c r="G16" s="647" t="str">
        <f>IF('Employee Detail FY23'!G16="","",'Employee Detail FY23'!G16)</f>
        <v>0101</v>
      </c>
      <c r="H16" s="3"/>
      <c r="I16" s="255" t="str">
        <f>IF('Employee Detail FY23'!I16="","",'Employee Detail FY23'!I16)</f>
        <v>BLANCHARD</v>
      </c>
      <c r="J16" s="255" t="str">
        <f>IF('Employee Detail FY23'!J16="","",'Employee Detail FY23'!J16)</f>
        <v>BARBARA</v>
      </c>
      <c r="K16" s="255" t="str">
        <f>IF('Employee Detail FY23'!K16="","",'Employee Detail FY23'!K16)</f>
        <v>Licensed Staff</v>
      </c>
      <c r="L16" s="255" t="str">
        <f>IF('Employee Detail FY23'!L16="","",'Employee Detail FY23'!L16)</f>
        <v>TEACHER</v>
      </c>
      <c r="M16" s="92">
        <f>IF('Employee Detail FY23'!M16="","",'Employee Detail FY23'!M16)</f>
        <v>1</v>
      </c>
      <c r="N16" s="3" t="str">
        <f>IF('Employee Detail FY23'!N16="","",'Employee Detail FY23'!N16)</f>
        <v/>
      </c>
      <c r="O16" s="3">
        <f>IF('Employee Detail FY23'!O16="","",'Employee Detail FY23'!O16)</f>
        <v>26</v>
      </c>
      <c r="P16" s="3" t="str">
        <f>IF('Employee Detail FY23'!P16="","",'Employee Detail FY23'!P16)</f>
        <v>ER</v>
      </c>
      <c r="Q16" s="3" t="str">
        <f>IF('Employee Detail FY23'!Q16="","",'Employee Detail FY23'!Q16)</f>
        <v/>
      </c>
      <c r="R16" s="3">
        <f>IF('Employee Detail FY23'!R16="","",'Employee Detail FY23'!R16)</f>
        <v>200</v>
      </c>
      <c r="S16" s="3">
        <f>IF('Employee Detail FY23'!S16="","",'Employee Detail FY23'!S16)</f>
        <v>8</v>
      </c>
      <c r="T16" s="263">
        <f t="shared" si="4"/>
        <v>1600</v>
      </c>
      <c r="U16" s="269">
        <f>IF('Employee Detail FY23'!U16="","",'Employee Detail FY23'!U16)</f>
        <v>55000</v>
      </c>
      <c r="V16" s="270">
        <f t="shared" si="5"/>
        <v>58300</v>
      </c>
      <c r="W16" s="270" t="str">
        <f t="shared" si="6"/>
        <v/>
      </c>
      <c r="X16" s="270">
        <f t="shared" si="7"/>
        <v>58300</v>
      </c>
      <c r="Y16" s="62">
        <v>0</v>
      </c>
      <c r="Z16" s="62">
        <v>0</v>
      </c>
      <c r="AA16" s="256">
        <f t="shared" si="8"/>
        <v>58300</v>
      </c>
      <c r="AB16" s="3"/>
      <c r="AC16" s="62">
        <f t="shared" si="9"/>
        <v>7943.76</v>
      </c>
      <c r="AD16" s="62" t="str">
        <f t="shared" si="10"/>
        <v/>
      </c>
      <c r="AE16" s="62">
        <f t="shared" si="11"/>
        <v>17052.75</v>
      </c>
      <c r="AF16" s="62">
        <f t="shared" si="12"/>
        <v>845.35</v>
      </c>
      <c r="AG16" s="192">
        <v>0</v>
      </c>
      <c r="AH16" s="62">
        <f t="shared" si="13"/>
        <v>530.66619503299694</v>
      </c>
      <c r="AI16" s="62">
        <f t="shared" si="14"/>
        <v>171.70508477346596</v>
      </c>
      <c r="AJ16" s="62"/>
      <c r="AK16" s="62">
        <v>0</v>
      </c>
      <c r="AL16" s="256">
        <f t="shared" si="15"/>
        <v>26544.231279806463</v>
      </c>
      <c r="AM16" s="256">
        <f t="shared" si="16"/>
        <v>58300</v>
      </c>
      <c r="AN16" s="256">
        <f t="shared" si="17"/>
        <v>84844.231279806467</v>
      </c>
    </row>
    <row r="17" spans="1:40" x14ac:dyDescent="0.2">
      <c r="A17" s="3" t="str">
        <f>IF('Employee Detail FY23'!A17="","",'Employee Detail FY23'!A17)</f>
        <v/>
      </c>
      <c r="B17" s="647" t="str">
        <f>IF('Employee Detail FY23'!B17="","",'Employee Detail FY23'!B17)</f>
        <v>100</v>
      </c>
      <c r="C17" s="647" t="str">
        <f>IF('Employee Detail FY23'!C17="","",'Employee Detail FY23'!C17)</f>
        <v>000</v>
      </c>
      <c r="D17" s="647"/>
      <c r="E17" s="647" t="str">
        <f>IF('Employee Detail FY23'!E17="","",'Employee Detail FY23'!E17)</f>
        <v>100</v>
      </c>
      <c r="F17" s="647">
        <f>IF('Employee Detail FY23'!F17="","",'Employee Detail FY23'!F17)</f>
        <v>1000</v>
      </c>
      <c r="G17" s="647" t="str">
        <f>IF('Employee Detail FY23'!G17="","",'Employee Detail FY23'!G17)</f>
        <v>0101</v>
      </c>
      <c r="H17" s="3"/>
      <c r="I17" s="255" t="str">
        <f>IF('Employee Detail FY23'!I17="","",'Employee Detail FY23'!I17)</f>
        <v>GRANT</v>
      </c>
      <c r="J17" s="255" t="str">
        <f>IF('Employee Detail FY23'!J17="","",'Employee Detail FY23'!J17)</f>
        <v>BRIEN</v>
      </c>
      <c r="K17" s="255" t="str">
        <f>IF('Employee Detail FY23'!K17="","",'Employee Detail FY23'!K17)</f>
        <v>Licensed Support Staff</v>
      </c>
      <c r="L17" s="255" t="str">
        <f>IF('Employee Detail FY23'!L17="","",'Employee Detail FY23'!L17)</f>
        <v>TEACHER</v>
      </c>
      <c r="M17" s="92">
        <f>IF('Employee Detail FY23'!M17="","",'Employee Detail FY23'!M17)</f>
        <v>1</v>
      </c>
      <c r="N17" s="3" t="str">
        <f>IF('Employee Detail FY23'!N17="","",'Employee Detail FY23'!N17)</f>
        <v>H</v>
      </c>
      <c r="O17" s="3">
        <f>IF('Employee Detail FY23'!O17="","",'Employee Detail FY23'!O17)</f>
        <v>26</v>
      </c>
      <c r="P17" s="3" t="str">
        <f>IF('Employee Detail FY23'!P17="","",'Employee Detail FY23'!P17)</f>
        <v>EE</v>
      </c>
      <c r="Q17" s="3" t="str">
        <f>IF('Employee Detail FY23'!Q17="","",'Employee Detail FY23'!Q17)</f>
        <v/>
      </c>
      <c r="R17" s="3">
        <f>IF('Employee Detail FY23'!R17="","",'Employee Detail FY23'!R17)</f>
        <v>200</v>
      </c>
      <c r="S17" s="3">
        <f>IF('Employee Detail FY23'!S17="","",'Employee Detail FY23'!S17)</f>
        <v>8</v>
      </c>
      <c r="T17" s="263">
        <f t="shared" si="4"/>
        <v>1600</v>
      </c>
      <c r="U17" s="269">
        <f>IF('Employee Detail FY23'!U17="","",'Employee Detail FY23'!U17)</f>
        <v>40725</v>
      </c>
      <c r="V17" s="270">
        <f t="shared" si="5"/>
        <v>43168.5</v>
      </c>
      <c r="W17" s="270">
        <f t="shared" si="6"/>
        <v>49798.577240999999</v>
      </c>
      <c r="X17" s="270">
        <f t="shared" si="7"/>
        <v>49798.577240999999</v>
      </c>
      <c r="Y17" s="62">
        <v>0</v>
      </c>
      <c r="Z17" s="62">
        <v>0</v>
      </c>
      <c r="AA17" s="256">
        <f t="shared" si="8"/>
        <v>49798.577240999999</v>
      </c>
      <c r="AB17" s="3"/>
      <c r="AC17" s="62">
        <f t="shared" si="9"/>
        <v>7943.76</v>
      </c>
      <c r="AD17" s="62" t="str">
        <f t="shared" si="10"/>
        <v/>
      </c>
      <c r="AE17" s="62">
        <f t="shared" si="11"/>
        <v>7594.2830292524995</v>
      </c>
      <c r="AF17" s="62">
        <f t="shared" si="12"/>
        <v>722.07936999449998</v>
      </c>
      <c r="AG17" s="192">
        <v>0</v>
      </c>
      <c r="AH17" s="62">
        <f t="shared" si="13"/>
        <v>453.28338769362381</v>
      </c>
      <c r="AI17" s="62">
        <f t="shared" si="14"/>
        <v>146.666705433343</v>
      </c>
      <c r="AJ17" s="62"/>
      <c r="AK17" s="62">
        <v>0</v>
      </c>
      <c r="AL17" s="256">
        <f t="shared" si="15"/>
        <v>16860.072492373969</v>
      </c>
      <c r="AM17" s="256">
        <f t="shared" si="16"/>
        <v>49798.577240999999</v>
      </c>
      <c r="AN17" s="256">
        <f t="shared" si="17"/>
        <v>66658.649733373968</v>
      </c>
    </row>
    <row r="18" spans="1:40" x14ac:dyDescent="0.2">
      <c r="A18" s="3" t="str">
        <f>IF('Employee Detail FY23'!A18="","",'Employee Detail FY23'!A18)</f>
        <v/>
      </c>
      <c r="B18" s="647">
        <f>IF('Employee Detail FY23'!B18="","",'Employee Detail FY23'!B18)</f>
        <v>100</v>
      </c>
      <c r="C18" s="647" t="str">
        <f>IF('Employee Detail FY23'!C18="","",'Employee Detail FY23'!C18)</f>
        <v>000</v>
      </c>
      <c r="D18" s="647"/>
      <c r="E18" s="647">
        <f>IF('Employee Detail FY23'!E18="","",'Employee Detail FY23'!E18)</f>
        <v>100</v>
      </c>
      <c r="F18" s="647">
        <f>IF('Employee Detail FY23'!F18="","",'Employee Detail FY23'!F18)</f>
        <v>1000</v>
      </c>
      <c r="G18" s="647" t="str">
        <f>IF('Employee Detail FY23'!G18="","",'Employee Detail FY23'!G18)</f>
        <v>0101</v>
      </c>
      <c r="H18" s="3"/>
      <c r="I18" s="255" t="str">
        <f>IF('Employee Detail FY23'!I18="","",'Employee Detail FY23'!I18)</f>
        <v>LEWIS</v>
      </c>
      <c r="J18" s="255" t="str">
        <f>IF('Employee Detail FY23'!J18="","",'Employee Detail FY23'!J18)</f>
        <v>JENNIFER</v>
      </c>
      <c r="K18" s="255" t="str">
        <f>IF('Employee Detail FY23'!K18="","",'Employee Detail FY23'!K18)</f>
        <v>Licensed Staff</v>
      </c>
      <c r="L18" s="255" t="str">
        <f>IF('Employee Detail FY23'!L18="","",'Employee Detail FY23'!L18)</f>
        <v>TEACHER</v>
      </c>
      <c r="M18" s="92">
        <f>IF('Employee Detail FY23'!M18="","",'Employee Detail FY23'!M18)</f>
        <v>1</v>
      </c>
      <c r="N18" s="3" t="str">
        <f>IF('Employee Detail FY23'!N18="","",'Employee Detail FY23'!N18)</f>
        <v/>
      </c>
      <c r="O18" s="3">
        <f>IF('Employee Detail FY23'!O18="","",'Employee Detail FY23'!O18)</f>
        <v>26</v>
      </c>
      <c r="P18" s="3" t="str">
        <f>IF('Employee Detail FY23'!P18="","",'Employee Detail FY23'!P18)</f>
        <v>ER</v>
      </c>
      <c r="Q18" s="3" t="str">
        <f>IF('Employee Detail FY23'!Q18="","",'Employee Detail FY23'!Q18)</f>
        <v/>
      </c>
      <c r="R18" s="3">
        <f>IF('Employee Detail FY23'!R18="","",'Employee Detail FY23'!R18)</f>
        <v>200</v>
      </c>
      <c r="S18" s="3">
        <f>IF('Employee Detail FY23'!S18="","",'Employee Detail FY23'!S18)</f>
        <v>8</v>
      </c>
      <c r="T18" s="263">
        <f t="shared" si="4"/>
        <v>1600</v>
      </c>
      <c r="U18" s="269">
        <f>IF('Employee Detail FY23'!U18="","",'Employee Detail FY23'!U18)</f>
        <v>55000</v>
      </c>
      <c r="V18" s="270">
        <f t="shared" si="5"/>
        <v>58300</v>
      </c>
      <c r="W18" s="270" t="str">
        <f t="shared" si="6"/>
        <v/>
      </c>
      <c r="X18" s="270">
        <f t="shared" si="7"/>
        <v>58300</v>
      </c>
      <c r="Y18" s="62">
        <v>0</v>
      </c>
      <c r="Z18" s="62">
        <v>0</v>
      </c>
      <c r="AA18" s="256">
        <f t="shared" si="8"/>
        <v>58300</v>
      </c>
      <c r="AB18" s="3"/>
      <c r="AC18" s="62">
        <f t="shared" si="9"/>
        <v>7943.76</v>
      </c>
      <c r="AD18" s="62" t="str">
        <f t="shared" si="10"/>
        <v/>
      </c>
      <c r="AE18" s="62">
        <f t="shared" si="11"/>
        <v>17052.75</v>
      </c>
      <c r="AF18" s="62">
        <f t="shared" si="12"/>
        <v>845.35</v>
      </c>
      <c r="AG18" s="192">
        <v>0</v>
      </c>
      <c r="AH18" s="62">
        <f t="shared" si="13"/>
        <v>530.66619503299694</v>
      </c>
      <c r="AI18" s="62">
        <f t="shared" si="14"/>
        <v>171.70508477346596</v>
      </c>
      <c r="AJ18" s="62"/>
      <c r="AK18" s="62">
        <v>0</v>
      </c>
      <c r="AL18" s="256">
        <f t="shared" si="15"/>
        <v>26544.231279806463</v>
      </c>
      <c r="AM18" s="256">
        <f t="shared" si="16"/>
        <v>58300</v>
      </c>
      <c r="AN18" s="256">
        <f t="shared" si="17"/>
        <v>84844.231279806467</v>
      </c>
    </row>
    <row r="19" spans="1:40" x14ac:dyDescent="0.2">
      <c r="A19" s="3" t="str">
        <f>IF('Employee Detail FY23'!A19="","",'Employee Detail FY23'!A19)</f>
        <v/>
      </c>
      <c r="B19" s="647">
        <f>IF('Employee Detail FY23'!B19="","",'Employee Detail FY23'!B19)</f>
        <v>100</v>
      </c>
      <c r="C19" s="647" t="str">
        <f>IF('Employee Detail FY23'!C19="","",'Employee Detail FY23'!C19)</f>
        <v>000</v>
      </c>
      <c r="D19" s="647"/>
      <c r="E19" s="647">
        <f>IF('Employee Detail FY23'!E19="","",'Employee Detail FY23'!E19)</f>
        <v>100</v>
      </c>
      <c r="F19" s="647">
        <f>IF('Employee Detail FY23'!F19="","",'Employee Detail FY23'!F19)</f>
        <v>1000</v>
      </c>
      <c r="G19" s="647" t="str">
        <f>IF('Employee Detail FY23'!G19="","",'Employee Detail FY23'!G19)</f>
        <v>0101</v>
      </c>
      <c r="H19" s="3"/>
      <c r="I19" s="255" t="str">
        <f>IF('Employee Detail FY23'!I19="","",'Employee Detail FY23'!I19)</f>
        <v>SEVERIN</v>
      </c>
      <c r="J19" s="255" t="str">
        <f>IF('Employee Detail FY23'!J19="","",'Employee Detail FY23'!J19)</f>
        <v>RYAN</v>
      </c>
      <c r="K19" s="255" t="str">
        <f>IF('Employee Detail FY23'!K19="","",'Employee Detail FY23'!K19)</f>
        <v>Licensed Staff</v>
      </c>
      <c r="L19" s="255" t="str">
        <f>IF('Employee Detail FY23'!L19="","",'Employee Detail FY23'!L19)</f>
        <v>TEACHER</v>
      </c>
      <c r="M19" s="92">
        <f>IF('Employee Detail FY23'!M19="","",'Employee Detail FY23'!M19)</f>
        <v>1</v>
      </c>
      <c r="N19" s="3" t="str">
        <f>IF('Employee Detail FY23'!N19="","",'Employee Detail FY23'!N19)</f>
        <v/>
      </c>
      <c r="O19" s="3">
        <f>IF('Employee Detail FY23'!O19="","",'Employee Detail FY23'!O19)</f>
        <v>26</v>
      </c>
      <c r="P19" s="3" t="str">
        <f>IF('Employee Detail FY23'!P19="","",'Employee Detail FY23'!P19)</f>
        <v>ER</v>
      </c>
      <c r="Q19" s="3" t="str">
        <f>IF('Employee Detail FY23'!Q19="","",'Employee Detail FY23'!Q19)</f>
        <v/>
      </c>
      <c r="R19" s="3">
        <f>IF('Employee Detail FY23'!R19="","",'Employee Detail FY23'!R19)</f>
        <v>200</v>
      </c>
      <c r="S19" s="3">
        <f>IF('Employee Detail FY23'!S19="","",'Employee Detail FY23'!S19)</f>
        <v>8</v>
      </c>
      <c r="T19" s="263">
        <f t="shared" si="4"/>
        <v>1600</v>
      </c>
      <c r="U19" s="269">
        <f>IF('Employee Detail FY23'!U19="","",'Employee Detail FY23'!U19)</f>
        <v>52840</v>
      </c>
      <c r="V19" s="270">
        <f t="shared" si="5"/>
        <v>56010.400000000001</v>
      </c>
      <c r="W19" s="270" t="str">
        <f t="shared" si="6"/>
        <v/>
      </c>
      <c r="X19" s="270">
        <f t="shared" si="7"/>
        <v>56010.400000000001</v>
      </c>
      <c r="Y19" s="62">
        <v>0</v>
      </c>
      <c r="Z19" s="62">
        <v>0</v>
      </c>
      <c r="AA19" s="256">
        <f t="shared" si="8"/>
        <v>56010.400000000001</v>
      </c>
      <c r="AB19" s="3"/>
      <c r="AC19" s="62">
        <f t="shared" si="9"/>
        <v>7943.76</v>
      </c>
      <c r="AD19" s="62" t="str">
        <f t="shared" si="10"/>
        <v/>
      </c>
      <c r="AE19" s="62">
        <f t="shared" si="11"/>
        <v>16383.041999999999</v>
      </c>
      <c r="AF19" s="62">
        <f t="shared" si="12"/>
        <v>812.15080000000012</v>
      </c>
      <c r="AG19" s="192">
        <v>0</v>
      </c>
      <c r="AH19" s="62">
        <f t="shared" si="13"/>
        <v>509.8254862826102</v>
      </c>
      <c r="AI19" s="62">
        <f t="shared" si="14"/>
        <v>164.96175780781712</v>
      </c>
      <c r="AJ19" s="62"/>
      <c r="AK19" s="62">
        <v>0</v>
      </c>
      <c r="AL19" s="256">
        <f t="shared" si="15"/>
        <v>25813.740044090428</v>
      </c>
      <c r="AM19" s="256">
        <f t="shared" si="16"/>
        <v>56010.400000000001</v>
      </c>
      <c r="AN19" s="256">
        <f t="shared" si="17"/>
        <v>81824.140044090425</v>
      </c>
    </row>
    <row r="20" spans="1:40" x14ac:dyDescent="0.2">
      <c r="A20" s="3" t="str">
        <f>IF('Employee Detail FY23'!A20="","",'Employee Detail FY23'!A20)</f>
        <v>VACANT</v>
      </c>
      <c r="B20" s="647">
        <f>IF('Employee Detail FY23'!B20="","",'Employee Detail FY23'!B20)</f>
        <v>100</v>
      </c>
      <c r="C20" s="647" t="str">
        <f>IF('Employee Detail FY23'!C20="","",'Employee Detail FY23'!C20)</f>
        <v>000</v>
      </c>
      <c r="D20" s="647"/>
      <c r="E20" s="647">
        <f>IF('Employee Detail FY23'!E20="","",'Employee Detail FY23'!E20)</f>
        <v>100</v>
      </c>
      <c r="F20" s="647">
        <f>IF('Employee Detail FY23'!F20="","",'Employee Detail FY23'!F20)</f>
        <v>1000</v>
      </c>
      <c r="G20" s="647" t="str">
        <f>IF('Employee Detail FY23'!G20="","",'Employee Detail FY23'!G20)</f>
        <v>0101</v>
      </c>
      <c r="H20" s="3"/>
      <c r="I20" s="255" t="str">
        <f>IF('Employee Detail FY23'!I20="","",'Employee Detail FY23'!I20)</f>
        <v>VACANT</v>
      </c>
      <c r="J20" s="255" t="str">
        <f>IF('Employee Detail FY23'!J20="","",'Employee Detail FY23'!J20)</f>
        <v>TBD</v>
      </c>
      <c r="K20" s="255" t="str">
        <f>IF('Employee Detail FY23'!K20="","",'Employee Detail FY23'!K20)</f>
        <v>Licensed Staff</v>
      </c>
      <c r="L20" s="255" t="str">
        <f>IF('Employee Detail FY23'!L20="","",'Employee Detail FY23'!L20)</f>
        <v>SOCIAL STUDIES TEACHER</v>
      </c>
      <c r="M20" s="92">
        <f>IF('Employee Detail FY23'!M20="","",'Employee Detail FY23'!M20)</f>
        <v>1</v>
      </c>
      <c r="N20" s="3" t="str">
        <f>IF('Employee Detail FY23'!N20="","",'Employee Detail FY23'!N20)</f>
        <v/>
      </c>
      <c r="O20" s="3">
        <f>IF('Employee Detail FY23'!O20="","",'Employee Detail FY23'!O20)</f>
        <v>26</v>
      </c>
      <c r="P20" s="3" t="str">
        <f>IF('Employee Detail FY23'!P20="","",'Employee Detail FY23'!P20)</f>
        <v>ER</v>
      </c>
      <c r="Q20" s="3" t="str">
        <f>IF('Employee Detail FY23'!Q20="","",'Employee Detail FY23'!Q20)</f>
        <v/>
      </c>
      <c r="R20" s="3">
        <f>IF('Employee Detail FY23'!R20="","",'Employee Detail FY23'!R20)</f>
        <v>200</v>
      </c>
      <c r="S20" s="3">
        <f>IF('Employee Detail FY23'!S20="","",'Employee Detail FY23'!S20)</f>
        <v>8</v>
      </c>
      <c r="T20" s="263">
        <f t="shared" si="4"/>
        <v>1600</v>
      </c>
      <c r="U20" s="269">
        <f>IF('Employee Detail FY23'!U20="","",'Employee Detail FY23'!U20)</f>
        <v>45500</v>
      </c>
      <c r="V20" s="270">
        <f t="shared" si="5"/>
        <v>48230</v>
      </c>
      <c r="W20" s="270" t="str">
        <f t="shared" si="6"/>
        <v/>
      </c>
      <c r="X20" s="270">
        <f t="shared" si="7"/>
        <v>48230</v>
      </c>
      <c r="Y20" s="62">
        <v>0</v>
      </c>
      <c r="Z20" s="62">
        <v>0</v>
      </c>
      <c r="AA20" s="256">
        <f t="shared" si="8"/>
        <v>48230</v>
      </c>
      <c r="AB20" s="3"/>
      <c r="AC20" s="62">
        <f t="shared" si="9"/>
        <v>7943.76</v>
      </c>
      <c r="AD20" s="62" t="str">
        <f t="shared" si="10"/>
        <v/>
      </c>
      <c r="AE20" s="62">
        <f t="shared" si="11"/>
        <v>14107.275</v>
      </c>
      <c r="AF20" s="62">
        <f t="shared" si="12"/>
        <v>699.33500000000004</v>
      </c>
      <c r="AG20" s="192">
        <v>0</v>
      </c>
      <c r="AH20" s="62">
        <f t="shared" si="13"/>
        <v>439.00567043638841</v>
      </c>
      <c r="AI20" s="62">
        <f t="shared" si="14"/>
        <v>142.04693376714002</v>
      </c>
      <c r="AJ20" s="62"/>
      <c r="AK20" s="62">
        <v>0</v>
      </c>
      <c r="AL20" s="256">
        <f t="shared" si="15"/>
        <v>23331.422604203526</v>
      </c>
      <c r="AM20" s="256">
        <f t="shared" si="16"/>
        <v>48230</v>
      </c>
      <c r="AN20" s="256">
        <f t="shared" si="17"/>
        <v>71561.42260420353</v>
      </c>
    </row>
    <row r="21" spans="1:40" hidden="1" x14ac:dyDescent="0.2">
      <c r="A21" s="3" t="str">
        <f>IF('Employee Detail FY23'!A21="","",'Employee Detail FY23'!A21)</f>
        <v/>
      </c>
      <c r="B21" s="647" t="str">
        <f>IF('Employee Detail FY23'!B21="","",'Employee Detail FY23'!B21)</f>
        <v/>
      </c>
      <c r="C21" s="647" t="str">
        <f>IF('Employee Detail FY23'!C21="","",'Employee Detail FY23'!C21)</f>
        <v/>
      </c>
      <c r="D21" s="647"/>
      <c r="E21" s="647" t="str">
        <f>IF('Employee Detail FY23'!E21="","",'Employee Detail FY23'!E21)</f>
        <v/>
      </c>
      <c r="F21" s="647" t="str">
        <f>IF('Employee Detail FY23'!F21="","",'Employee Detail FY23'!F21)</f>
        <v/>
      </c>
      <c r="G21" s="647" t="str">
        <f>IF('Employee Detail FY23'!G21="","",'Employee Detail FY23'!G21)</f>
        <v/>
      </c>
      <c r="H21" s="3"/>
      <c r="I21" s="255" t="str">
        <f>IF('Employee Detail FY23'!I21="","",'Employee Detail FY23'!I21)</f>
        <v/>
      </c>
      <c r="J21" s="255" t="str">
        <f>IF('Employee Detail FY23'!J21="","",'Employee Detail FY23'!J21)</f>
        <v/>
      </c>
      <c r="K21" s="255" t="str">
        <f>IF('Employee Detail FY23'!K21="","",'Employee Detail FY23'!K21)</f>
        <v/>
      </c>
      <c r="L21" s="255" t="str">
        <f>IF('Employee Detail FY23'!L21="","",'Employee Detail FY23'!L21)</f>
        <v/>
      </c>
      <c r="M21" s="92" t="str">
        <f>IF('Employee Detail FY23'!M21="","",'Employee Detail FY23'!M21)</f>
        <v/>
      </c>
      <c r="N21" s="3" t="str">
        <f>IF('Employee Detail FY23'!N21="","",'Employee Detail FY23'!N21)</f>
        <v/>
      </c>
      <c r="O21" s="3" t="str">
        <f>IF('Employee Detail FY23'!O21="","",'Employee Detail FY23'!O21)</f>
        <v/>
      </c>
      <c r="P21" s="3" t="str">
        <f>IF('Employee Detail FY23'!P21="","",'Employee Detail FY23'!P21)</f>
        <v/>
      </c>
      <c r="Q21" s="3" t="str">
        <f>IF('Employee Detail FY23'!Q21="","",'Employee Detail FY23'!Q21)</f>
        <v/>
      </c>
      <c r="R21" s="3" t="str">
        <f>IF('Employee Detail FY23'!R21="","",'Employee Detail FY23'!R21)</f>
        <v/>
      </c>
      <c r="S21" s="3" t="str">
        <f>IF('Employee Detail FY23'!S21="","",'Employee Detail FY23'!S21)</f>
        <v/>
      </c>
      <c r="T21" s="263" t="str">
        <f t="shared" si="4"/>
        <v/>
      </c>
      <c r="U21" s="269">
        <f>IF('Employee Detail FY23'!U21="","",'Employee Detail FY23'!U21)</f>
        <v>45000</v>
      </c>
      <c r="V21" s="270">
        <f t="shared" si="5"/>
        <v>47700</v>
      </c>
      <c r="W21" s="270" t="str">
        <f t="shared" si="6"/>
        <v/>
      </c>
      <c r="X21" s="270" t="str">
        <f t="shared" si="7"/>
        <v/>
      </c>
      <c r="Y21" s="62">
        <v>0</v>
      </c>
      <c r="Z21" s="62">
        <v>0</v>
      </c>
      <c r="AA21" s="256">
        <f t="shared" si="8"/>
        <v>0</v>
      </c>
      <c r="AB21" s="3"/>
      <c r="AC21" s="62" t="str">
        <f t="shared" si="9"/>
        <v/>
      </c>
      <c r="AD21" s="62" t="str">
        <f t="shared" si="10"/>
        <v/>
      </c>
      <c r="AE21" s="62" t="str">
        <f t="shared" si="11"/>
        <v/>
      </c>
      <c r="AF21" s="62" t="str">
        <f t="shared" si="12"/>
        <v/>
      </c>
      <c r="AG21" s="192">
        <v>0</v>
      </c>
      <c r="AH21" s="62" t="str">
        <f t="shared" si="13"/>
        <v/>
      </c>
      <c r="AI21" s="62">
        <f t="shared" si="14"/>
        <v>0</v>
      </c>
      <c r="AJ21" s="62"/>
      <c r="AK21" s="62">
        <v>0</v>
      </c>
      <c r="AL21" s="256">
        <f t="shared" si="15"/>
        <v>0</v>
      </c>
      <c r="AM21" s="256">
        <f t="shared" si="16"/>
        <v>0</v>
      </c>
      <c r="AN21" s="256">
        <f t="shared" si="17"/>
        <v>0</v>
      </c>
    </row>
    <row r="22" spans="1:40" x14ac:dyDescent="0.2">
      <c r="A22" s="3" t="str">
        <f>IF('Employee Detail FY23'!A22="","",'Employee Detail FY23'!A22)</f>
        <v/>
      </c>
      <c r="B22" s="647">
        <f>IF('Employee Detail FY23'!B22="","",'Employee Detail FY23'!B22)</f>
        <v>250</v>
      </c>
      <c r="C22" s="647" t="str">
        <f>IF('Employee Detail FY23'!C22="","",'Employee Detail FY23'!C22)</f>
        <v>000</v>
      </c>
      <c r="D22" s="647"/>
      <c r="E22" s="647">
        <f>IF('Employee Detail FY23'!E22="","",'Employee Detail FY23'!E22)</f>
        <v>200</v>
      </c>
      <c r="F22" s="647">
        <f>IF('Employee Detail FY23'!F22="","",'Employee Detail FY23'!F22)</f>
        <v>1000</v>
      </c>
      <c r="G22" s="647" t="str">
        <f>IF('Employee Detail FY23'!G22="","",'Employee Detail FY23'!G22)</f>
        <v>0101</v>
      </c>
      <c r="H22" s="3"/>
      <c r="I22" s="255" t="str">
        <f>IF('Employee Detail FY23'!I22="","",'Employee Detail FY23'!I22)</f>
        <v>CRAWFORD</v>
      </c>
      <c r="J22" s="255" t="str">
        <f>IF('Employee Detail FY23'!J22="","",'Employee Detail FY23'!J22)</f>
        <v>TONY</v>
      </c>
      <c r="K22" s="255" t="str">
        <f>IF('Employee Detail FY23'!K22="","",'Employee Detail FY23'!K22)</f>
        <v>Licensed Staff</v>
      </c>
      <c r="L22" s="255" t="str">
        <f>IF('Employee Detail FY23'!L22="","",'Employee Detail FY23'!L22)</f>
        <v>SPED TEACHER</v>
      </c>
      <c r="M22" s="92">
        <f>IF('Employee Detail FY23'!M22="","",'Employee Detail FY23'!M22)</f>
        <v>1</v>
      </c>
      <c r="N22" s="3" t="str">
        <f>IF('Employee Detail FY23'!N22="","",'Employee Detail FY23'!N22)</f>
        <v/>
      </c>
      <c r="O22" s="3">
        <f>IF('Employee Detail FY23'!O22="","",'Employee Detail FY23'!O22)</f>
        <v>26</v>
      </c>
      <c r="P22" s="3" t="str">
        <f>IF('Employee Detail FY23'!P22="","",'Employee Detail FY23'!P22)</f>
        <v>ER</v>
      </c>
      <c r="Q22" s="3" t="str">
        <f>IF('Employee Detail FY23'!Q22="","",'Employee Detail FY23'!Q22)</f>
        <v/>
      </c>
      <c r="R22" s="3">
        <f>IF('Employee Detail FY23'!R22="","",'Employee Detail FY23'!R22)</f>
        <v>200</v>
      </c>
      <c r="S22" s="3">
        <f>IF('Employee Detail FY23'!S22="","",'Employee Detail FY23'!S22)</f>
        <v>8</v>
      </c>
      <c r="T22" s="263">
        <f t="shared" si="4"/>
        <v>1600</v>
      </c>
      <c r="U22" s="269">
        <f>IF('Employee Detail FY23'!U22="","",'Employee Detail FY23'!U22)</f>
        <v>55000</v>
      </c>
      <c r="V22" s="270">
        <f t="shared" si="5"/>
        <v>58300</v>
      </c>
      <c r="W22" s="270" t="str">
        <f t="shared" si="6"/>
        <v/>
      </c>
      <c r="X22" s="270">
        <f t="shared" si="7"/>
        <v>58300</v>
      </c>
      <c r="Y22" s="62">
        <v>0</v>
      </c>
      <c r="Z22" s="62">
        <v>0</v>
      </c>
      <c r="AA22" s="256">
        <f t="shared" si="8"/>
        <v>58300</v>
      </c>
      <c r="AB22" s="3"/>
      <c r="AC22" s="62">
        <f t="shared" si="9"/>
        <v>7943.76</v>
      </c>
      <c r="AD22" s="62" t="str">
        <f t="shared" si="10"/>
        <v/>
      </c>
      <c r="AE22" s="62">
        <f t="shared" si="11"/>
        <v>17052.75</v>
      </c>
      <c r="AF22" s="62">
        <f t="shared" si="12"/>
        <v>845.35</v>
      </c>
      <c r="AG22" s="192">
        <v>0</v>
      </c>
      <c r="AH22" s="62">
        <f t="shared" si="13"/>
        <v>530.66619503299694</v>
      </c>
      <c r="AI22" s="62">
        <f t="shared" si="14"/>
        <v>171.70508477346596</v>
      </c>
      <c r="AJ22" s="62"/>
      <c r="AK22" s="62">
        <v>0</v>
      </c>
      <c r="AL22" s="256">
        <f t="shared" si="15"/>
        <v>26544.231279806463</v>
      </c>
      <c r="AM22" s="256">
        <f t="shared" si="16"/>
        <v>58300</v>
      </c>
      <c r="AN22" s="256">
        <f t="shared" si="17"/>
        <v>84844.231279806467</v>
      </c>
    </row>
    <row r="23" spans="1:40" x14ac:dyDescent="0.2">
      <c r="A23" s="3" t="str">
        <f>IF('Employee Detail FY23'!A23="","",'Employee Detail FY23'!A23)</f>
        <v/>
      </c>
      <c r="B23" s="647">
        <f>IF('Employee Detail FY23'!B23="","",'Employee Detail FY23'!B23)</f>
        <v>250</v>
      </c>
      <c r="C23" s="647" t="str">
        <f>IF('Employee Detail FY23'!C23="","",'Employee Detail FY23'!C23)</f>
        <v>000</v>
      </c>
      <c r="D23" s="647"/>
      <c r="E23" s="647">
        <f>IF('Employee Detail FY23'!E23="","",'Employee Detail FY23'!E23)</f>
        <v>200</v>
      </c>
      <c r="F23" s="647">
        <f>IF('Employee Detail FY23'!F23="","",'Employee Detail FY23'!F23)</f>
        <v>1000</v>
      </c>
      <c r="G23" s="647" t="str">
        <f>IF('Employee Detail FY23'!G23="","",'Employee Detail FY23'!G23)</f>
        <v>0101</v>
      </c>
      <c r="H23" s="3"/>
      <c r="I23" s="255" t="str">
        <f>IF('Employee Detail FY23'!I23="","",'Employee Detail FY23'!I23)</f>
        <v>SPED TEACHER</v>
      </c>
      <c r="J23" s="255" t="str">
        <f>IF('Employee Detail FY23'!J23="","",'Employee Detail FY23'!J23)</f>
        <v>FY23</v>
      </c>
      <c r="K23" s="255" t="str">
        <f>IF('Employee Detail FY23'!K23="","",'Employee Detail FY23'!K23)</f>
        <v>Licensed Staff</v>
      </c>
      <c r="L23" s="255" t="str">
        <f>IF('Employee Detail FY23'!L23="","",'Employee Detail FY23'!L23)</f>
        <v>SPED TEACHER</v>
      </c>
      <c r="M23" s="92">
        <f>IF('Employee Detail FY23'!M23="","",'Employee Detail FY23'!M23)</f>
        <v>1</v>
      </c>
      <c r="N23" s="3" t="str">
        <f>IF('Employee Detail FY23'!N23="","",'Employee Detail FY23'!N23)</f>
        <v/>
      </c>
      <c r="O23" s="3" t="str">
        <f>IF('Employee Detail FY23'!O23="","",'Employee Detail FY23'!O23)</f>
        <v/>
      </c>
      <c r="P23" s="3" t="str">
        <f>IF('Employee Detail FY23'!P23="","",'Employee Detail FY23'!P23)</f>
        <v>ER</v>
      </c>
      <c r="Q23" s="3" t="str">
        <f>IF('Employee Detail FY23'!Q23="","",'Employee Detail FY23'!Q23)</f>
        <v/>
      </c>
      <c r="R23" s="3" t="str">
        <f>IF('Employee Detail FY23'!R23="","",'Employee Detail FY23'!R23)</f>
        <v/>
      </c>
      <c r="S23" s="3" t="str">
        <f>IF('Employee Detail FY23'!S23="","",'Employee Detail FY23'!S23)</f>
        <v/>
      </c>
      <c r="T23" s="263" t="str">
        <f t="shared" si="4"/>
        <v/>
      </c>
      <c r="U23" s="269">
        <f>IF('Employee Detail FY23'!U23="","",'Employee Detail FY23'!U23)</f>
        <v>45000</v>
      </c>
      <c r="V23" s="270">
        <f t="shared" si="5"/>
        <v>47700</v>
      </c>
      <c r="W23" s="270" t="str">
        <f t="shared" si="6"/>
        <v/>
      </c>
      <c r="X23" s="270">
        <f t="shared" si="7"/>
        <v>47700</v>
      </c>
      <c r="Y23" s="62">
        <v>0</v>
      </c>
      <c r="Z23" s="62">
        <v>0</v>
      </c>
      <c r="AA23" s="256">
        <f t="shared" si="8"/>
        <v>47700</v>
      </c>
      <c r="AB23" s="3"/>
      <c r="AC23" s="62">
        <f t="shared" si="9"/>
        <v>7943.76</v>
      </c>
      <c r="AD23" s="62" t="str">
        <f t="shared" si="10"/>
        <v/>
      </c>
      <c r="AE23" s="62">
        <f t="shared" si="11"/>
        <v>13952.25</v>
      </c>
      <c r="AF23" s="62">
        <f t="shared" si="12"/>
        <v>691.65000000000009</v>
      </c>
      <c r="AG23" s="192">
        <v>0</v>
      </c>
      <c r="AH23" s="62">
        <f t="shared" si="13"/>
        <v>434.1814322997248</v>
      </c>
      <c r="AI23" s="62">
        <f t="shared" si="14"/>
        <v>140.48597845101759</v>
      </c>
      <c r="AJ23" s="62"/>
      <c r="AK23" s="62">
        <v>0</v>
      </c>
      <c r="AL23" s="256">
        <f t="shared" si="15"/>
        <v>23162.327410750746</v>
      </c>
      <c r="AM23" s="256">
        <f t="shared" si="16"/>
        <v>47700</v>
      </c>
      <c r="AN23" s="256">
        <f t="shared" si="17"/>
        <v>70862.327410750746</v>
      </c>
    </row>
    <row r="24" spans="1:40" x14ac:dyDescent="0.2">
      <c r="A24" s="3" t="str">
        <f>IF('Employee Detail FY23'!A24="","",'Employee Detail FY23'!A24)</f>
        <v>SPED IDEA</v>
      </c>
      <c r="B24" s="647" t="str">
        <f>IF('Employee Detail FY23'!B24="","",'Employee Detail FY23'!B24)</f>
        <v>280</v>
      </c>
      <c r="C24" s="647" t="str">
        <f>IF('Employee Detail FY23'!C24="","",'Employee Detail FY23'!C24)</f>
        <v>639</v>
      </c>
      <c r="D24" s="647"/>
      <c r="E24" s="647">
        <f>IF('Employee Detail FY23'!E24="","",'Employee Detail FY23'!E24)</f>
        <v>200</v>
      </c>
      <c r="F24" s="647">
        <f>IF('Employee Detail FY23'!F24="","",'Employee Detail FY23'!F24)</f>
        <v>1000</v>
      </c>
      <c r="G24" s="647" t="str">
        <f>IF('Employee Detail FY23'!G24="","",'Employee Detail FY23'!G24)</f>
        <v>0101</v>
      </c>
      <c r="H24" s="3"/>
      <c r="I24" s="255" t="str">
        <f>IF('Employee Detail FY23'!I24="","",'Employee Detail FY23'!I24)</f>
        <v>JOHNSON</v>
      </c>
      <c r="J24" s="255" t="str">
        <f>IF('Employee Detail FY23'!J24="","",'Employee Detail FY23'!J24)</f>
        <v>KEVIN</v>
      </c>
      <c r="K24" s="255" t="str">
        <f>IF('Employee Detail FY23'!K24="","",'Employee Detail FY23'!K24)</f>
        <v>Licensed Staff</v>
      </c>
      <c r="L24" s="255" t="str">
        <f>IF('Employee Detail FY23'!L24="","",'Employee Detail FY23'!L24)</f>
        <v>SPED TEACHER</v>
      </c>
      <c r="M24" s="92">
        <f>IF('Employee Detail FY23'!M24="","",'Employee Detail FY23'!M24)</f>
        <v>1</v>
      </c>
      <c r="N24" s="3" t="str">
        <f>IF('Employee Detail FY23'!N24="","",'Employee Detail FY23'!N24)</f>
        <v/>
      </c>
      <c r="O24" s="3">
        <f>IF('Employee Detail FY23'!O24="","",'Employee Detail FY23'!O24)</f>
        <v>26</v>
      </c>
      <c r="P24" s="3" t="str">
        <f>IF('Employee Detail FY23'!P24="","",'Employee Detail FY23'!P24)</f>
        <v>ER</v>
      </c>
      <c r="Q24" s="3" t="str">
        <f>IF('Employee Detail FY23'!Q24="","",'Employee Detail FY23'!Q24)</f>
        <v/>
      </c>
      <c r="R24" s="3">
        <f>IF('Employee Detail FY23'!R24="","",'Employee Detail FY23'!R24)</f>
        <v>200</v>
      </c>
      <c r="S24" s="3">
        <f>IF('Employee Detail FY23'!S24="","",'Employee Detail FY23'!S24)</f>
        <v>8</v>
      </c>
      <c r="T24" s="263">
        <f t="shared" si="4"/>
        <v>1600</v>
      </c>
      <c r="U24" s="269">
        <f>IF('Employee Detail FY23'!U24="","",'Employee Detail FY23'!U24)</f>
        <v>49792</v>
      </c>
      <c r="V24" s="270">
        <f t="shared" si="5"/>
        <v>52779.520000000004</v>
      </c>
      <c r="W24" s="270" t="str">
        <f t="shared" si="6"/>
        <v/>
      </c>
      <c r="X24" s="270">
        <f t="shared" si="7"/>
        <v>52779.520000000004</v>
      </c>
      <c r="Y24" s="62">
        <v>0</v>
      </c>
      <c r="Z24" s="62">
        <v>0</v>
      </c>
      <c r="AA24" s="256">
        <f t="shared" si="8"/>
        <v>52779.520000000004</v>
      </c>
      <c r="AB24" s="3"/>
      <c r="AC24" s="62">
        <f t="shared" si="9"/>
        <v>7943.76</v>
      </c>
      <c r="AD24" s="62" t="str">
        <f t="shared" si="10"/>
        <v/>
      </c>
      <c r="AE24" s="62">
        <f t="shared" si="11"/>
        <v>15438.009599999999</v>
      </c>
      <c r="AF24" s="62">
        <f t="shared" si="12"/>
        <v>765.30304000000012</v>
      </c>
      <c r="AG24" s="192">
        <v>0</v>
      </c>
      <c r="AH24" s="62">
        <f t="shared" si="13"/>
        <v>480.41693060150885</v>
      </c>
      <c r="AI24" s="62">
        <f t="shared" si="14"/>
        <v>155.44617420073487</v>
      </c>
      <c r="AJ24" s="62"/>
      <c r="AK24" s="62">
        <v>0</v>
      </c>
      <c r="AL24" s="256">
        <f t="shared" si="15"/>
        <v>24782.935744802242</v>
      </c>
      <c r="AM24" s="256">
        <f t="shared" si="16"/>
        <v>52779.520000000004</v>
      </c>
      <c r="AN24" s="256">
        <f t="shared" si="17"/>
        <v>77562.455744802253</v>
      </c>
    </row>
    <row r="25" spans="1:40" x14ac:dyDescent="0.2">
      <c r="A25" s="3" t="str">
        <f>IF('Employee Detail FY23'!A25="","",'Employee Detail FY23'!A25)</f>
        <v>SPED IDEA</v>
      </c>
      <c r="B25" s="647" t="str">
        <f>IF('Employee Detail FY23'!B25="","",'Employee Detail FY23'!B25)</f>
        <v>280</v>
      </c>
      <c r="C25" s="647" t="str">
        <f>IF('Employee Detail FY23'!C25="","",'Employee Detail FY23'!C25)</f>
        <v>639</v>
      </c>
      <c r="D25" s="647"/>
      <c r="E25" s="647">
        <f>IF('Employee Detail FY23'!E25="","",'Employee Detail FY23'!E25)</f>
        <v>200</v>
      </c>
      <c r="F25" s="647">
        <f>IF('Employee Detail FY23'!F25="","",'Employee Detail FY23'!F25)</f>
        <v>1000</v>
      </c>
      <c r="G25" s="647" t="str">
        <f>IF('Employee Detail FY23'!G25="","",'Employee Detail FY23'!G25)</f>
        <v>0101</v>
      </c>
      <c r="H25" s="3"/>
      <c r="I25" s="255" t="str">
        <f>IF('Employee Detail FY23'!I25="","",'Employee Detail FY23'!I25)</f>
        <v>MINER-JAMES</v>
      </c>
      <c r="J25" s="255" t="str">
        <f>IF('Employee Detail FY23'!J25="","",'Employee Detail FY23'!J25)</f>
        <v>Diane</v>
      </c>
      <c r="K25" s="255" t="str">
        <f>IF('Employee Detail FY23'!K25="","",'Employee Detail FY23'!K25)</f>
        <v>Licensed Staff</v>
      </c>
      <c r="L25" s="255" t="str">
        <f>IF('Employee Detail FY23'!L25="","",'Employee Detail FY23'!L25)</f>
        <v>SPED TEACHER</v>
      </c>
      <c r="M25" s="92">
        <f>IF('Employee Detail FY23'!M25="","",'Employee Detail FY23'!M25)</f>
        <v>1</v>
      </c>
      <c r="N25" s="3" t="str">
        <f>IF('Employee Detail FY23'!N25="","",'Employee Detail FY23'!N25)</f>
        <v/>
      </c>
      <c r="O25" s="3">
        <f>IF('Employee Detail FY23'!O25="","",'Employee Detail FY23'!O25)</f>
        <v>26</v>
      </c>
      <c r="P25" s="3" t="str">
        <f>IF('Employee Detail FY23'!P25="","",'Employee Detail FY23'!P25)</f>
        <v>ER</v>
      </c>
      <c r="Q25" s="3" t="str">
        <f>IF('Employee Detail FY23'!Q25="","",'Employee Detail FY23'!Q25)</f>
        <v/>
      </c>
      <c r="R25" s="3">
        <f>IF('Employee Detail FY23'!R25="","",'Employee Detail FY23'!R25)</f>
        <v>200</v>
      </c>
      <c r="S25" s="3">
        <f>IF('Employee Detail FY23'!S25="","",'Employee Detail FY23'!S25)</f>
        <v>8</v>
      </c>
      <c r="T25" s="263">
        <f t="shared" si="4"/>
        <v>1600</v>
      </c>
      <c r="U25" s="269">
        <f>IF('Employee Detail FY23'!U25="","",'Employee Detail FY23'!U25)</f>
        <v>58339</v>
      </c>
      <c r="V25" s="270">
        <f t="shared" si="5"/>
        <v>61839.340000000004</v>
      </c>
      <c r="W25" s="270" t="str">
        <f t="shared" si="6"/>
        <v/>
      </c>
      <c r="X25" s="270">
        <f t="shared" si="7"/>
        <v>61839.340000000004</v>
      </c>
      <c r="Y25" s="62">
        <v>0</v>
      </c>
      <c r="Z25" s="62">
        <v>0</v>
      </c>
      <c r="AA25" s="256">
        <f t="shared" si="8"/>
        <v>61839.340000000004</v>
      </c>
      <c r="AB25" s="3"/>
      <c r="AC25" s="62">
        <f t="shared" si="9"/>
        <v>7943.76</v>
      </c>
      <c r="AD25" s="62" t="str">
        <f t="shared" si="10"/>
        <v/>
      </c>
      <c r="AE25" s="62">
        <f t="shared" si="11"/>
        <v>18088.006949999999</v>
      </c>
      <c r="AF25" s="62">
        <f t="shared" si="12"/>
        <v>896.67043000000012</v>
      </c>
      <c r="AG25" s="192">
        <v>0</v>
      </c>
      <c r="AH25" s="62">
        <f t="shared" si="13"/>
        <v>562.88245730963661</v>
      </c>
      <c r="AI25" s="62">
        <f t="shared" si="14"/>
        <v>182.12914437453148</v>
      </c>
      <c r="AJ25" s="62"/>
      <c r="AK25" s="62">
        <v>0</v>
      </c>
      <c r="AL25" s="256">
        <f t="shared" si="15"/>
        <v>27673.448981684163</v>
      </c>
      <c r="AM25" s="256">
        <f t="shared" si="16"/>
        <v>61839.340000000004</v>
      </c>
      <c r="AN25" s="256">
        <f t="shared" si="17"/>
        <v>89512.788981684163</v>
      </c>
    </row>
    <row r="26" spans="1:40" hidden="1" x14ac:dyDescent="0.2">
      <c r="A26" s="3" t="str">
        <f>IF('Employee Detail FY23'!A26="","",'Employee Detail FY23'!A26)</f>
        <v/>
      </c>
      <c r="B26" s="647" t="str">
        <f>IF('Employee Detail FY23'!B26="","",'Employee Detail FY23'!B26)</f>
        <v/>
      </c>
      <c r="C26" s="647" t="str">
        <f>IF('Employee Detail FY23'!C26="","",'Employee Detail FY23'!C26)</f>
        <v/>
      </c>
      <c r="D26" s="647"/>
      <c r="E26" s="647" t="str">
        <f>IF('Employee Detail FY23'!E26="","",'Employee Detail FY23'!E26)</f>
        <v/>
      </c>
      <c r="F26" s="647" t="str">
        <f>IF('Employee Detail FY23'!F26="","",'Employee Detail FY23'!F26)</f>
        <v/>
      </c>
      <c r="G26" s="647" t="str">
        <f>IF('Employee Detail FY23'!G26="","",'Employee Detail FY23'!G26)</f>
        <v/>
      </c>
      <c r="H26" s="3"/>
      <c r="I26" s="255" t="str">
        <f>IF('Employee Detail FY23'!I26="","",'Employee Detail FY23'!I26)</f>
        <v/>
      </c>
      <c r="J26" s="255" t="str">
        <f>IF('Employee Detail FY23'!J26="","",'Employee Detail FY23'!J26)</f>
        <v/>
      </c>
      <c r="K26" s="255" t="str">
        <f>IF('Employee Detail FY23'!K26="","",'Employee Detail FY23'!K26)</f>
        <v/>
      </c>
      <c r="L26" s="255" t="str">
        <f>IF('Employee Detail FY23'!L26="","",'Employee Detail FY23'!L26)</f>
        <v/>
      </c>
      <c r="M26" s="92" t="str">
        <f>IF('Employee Detail FY23'!M26="","",'Employee Detail FY23'!M26)</f>
        <v/>
      </c>
      <c r="N26" s="3" t="str">
        <f>IF('Employee Detail FY23'!N26="","",'Employee Detail FY23'!N26)</f>
        <v/>
      </c>
      <c r="O26" s="3" t="str">
        <f>IF('Employee Detail FY23'!O26="","",'Employee Detail FY23'!O26)</f>
        <v/>
      </c>
      <c r="P26" s="3" t="str">
        <f>IF('Employee Detail FY23'!P26="","",'Employee Detail FY23'!P26)</f>
        <v/>
      </c>
      <c r="Q26" s="3" t="str">
        <f>IF('Employee Detail FY23'!Q26="","",'Employee Detail FY23'!Q26)</f>
        <v/>
      </c>
      <c r="R26" s="3" t="str">
        <f>IF('Employee Detail FY23'!R26="","",'Employee Detail FY23'!R26)</f>
        <v/>
      </c>
      <c r="S26" s="3" t="str">
        <f>IF('Employee Detail FY23'!S26="","",'Employee Detail FY23'!S26)</f>
        <v/>
      </c>
      <c r="T26" s="263" t="str">
        <f t="shared" si="4"/>
        <v/>
      </c>
      <c r="U26" s="269" t="str">
        <f>IF('Employee Detail FY23'!U26="","",'Employee Detail FY23'!U26)</f>
        <v/>
      </c>
      <c r="V26" s="270" t="str">
        <f t="shared" si="5"/>
        <v/>
      </c>
      <c r="W26" s="270" t="str">
        <f t="shared" si="6"/>
        <v/>
      </c>
      <c r="X26" s="270" t="str">
        <f t="shared" si="7"/>
        <v/>
      </c>
      <c r="Y26" s="62">
        <v>0</v>
      </c>
      <c r="Z26" s="62">
        <v>0</v>
      </c>
      <c r="AA26" s="256">
        <f t="shared" si="8"/>
        <v>0</v>
      </c>
      <c r="AB26" s="3"/>
      <c r="AC26" s="62" t="str">
        <f t="shared" si="9"/>
        <v/>
      </c>
      <c r="AD26" s="62" t="str">
        <f t="shared" si="10"/>
        <v/>
      </c>
      <c r="AE26" s="62" t="str">
        <f t="shared" si="11"/>
        <v/>
      </c>
      <c r="AF26" s="62" t="str">
        <f t="shared" si="12"/>
        <v/>
      </c>
      <c r="AG26" s="192">
        <v>0</v>
      </c>
      <c r="AH26" s="62" t="str">
        <f t="shared" si="13"/>
        <v/>
      </c>
      <c r="AI26" s="62">
        <f t="shared" si="14"/>
        <v>0</v>
      </c>
      <c r="AJ26" s="62"/>
      <c r="AK26" s="62">
        <v>0</v>
      </c>
      <c r="AL26" s="256">
        <f t="shared" si="15"/>
        <v>0</v>
      </c>
      <c r="AM26" s="256">
        <f t="shared" si="16"/>
        <v>0</v>
      </c>
      <c r="AN26" s="256">
        <f t="shared" si="17"/>
        <v>0</v>
      </c>
    </row>
    <row r="27" spans="1:40" hidden="1" x14ac:dyDescent="0.2">
      <c r="A27" s="3" t="str">
        <f>IF('Employee Detail FY23'!A27="","",'Employee Detail FY23'!A27)</f>
        <v>ESSER II</v>
      </c>
      <c r="B27" s="647">
        <f>IF('Employee Detail FY23'!B27="","",'Employee Detail FY23'!B27)</f>
        <v>280</v>
      </c>
      <c r="C27" s="647">
        <f>IF('Employee Detail FY23'!C27="","",'Employee Detail FY23'!C27)</f>
        <v>741</v>
      </c>
      <c r="D27" s="647"/>
      <c r="E27" s="647" t="str">
        <f>IF('Employee Detail FY23'!E27="","",'Employee Detail FY23'!E27)</f>
        <v>100</v>
      </c>
      <c r="F27" s="647" t="str">
        <f>IF('Employee Detail FY23'!F27="","",'Employee Detail FY23'!F27)</f>
        <v>2110</v>
      </c>
      <c r="G27" s="647" t="str">
        <f>IF('Employee Detail FY23'!G27="","",'Employee Detail FY23'!G27)</f>
        <v>0106</v>
      </c>
      <c r="H27" s="3"/>
      <c r="I27" s="255" t="str">
        <f>IF('Employee Detail FY23'!I27="","",'Employee Detail FY23'!I27)</f>
        <v>VACANT</v>
      </c>
      <c r="J27" s="255" t="str">
        <f>IF('Employee Detail FY23'!J27="","",'Employee Detail FY23'!J27)</f>
        <v/>
      </c>
      <c r="K27" s="255" t="str">
        <f>IF('Employee Detail FY23'!K27="","",'Employee Detail FY23'!K27)</f>
        <v>Licensed Support Staff</v>
      </c>
      <c r="L27" s="255" t="str">
        <f>IF('Employee Detail FY23'!L27="","",'Employee Detail FY23'!L27)</f>
        <v xml:space="preserve">WRAP AROUND FACILITATOR (SOCIAL WORKER) </v>
      </c>
      <c r="M27" s="92">
        <f>IF('Employee Detail FY23'!M27="","",'Employee Detail FY23'!M27)</f>
        <v>1</v>
      </c>
      <c r="N27" s="3" t="str">
        <f>IF('Employee Detail FY23'!N27="","",'Employee Detail FY23'!N27)</f>
        <v/>
      </c>
      <c r="O27" s="3">
        <f>IF('Employee Detail FY23'!O27="","",'Employee Detail FY23'!O27)</f>
        <v>26</v>
      </c>
      <c r="P27" s="3" t="str">
        <f>IF('Employee Detail FY23'!P27="","",'Employee Detail FY23'!P27)</f>
        <v>EE</v>
      </c>
      <c r="Q27" s="3" t="str">
        <f>IF('Employee Detail FY23'!Q27="","",'Employee Detail FY23'!Q27)</f>
        <v/>
      </c>
      <c r="R27" s="3">
        <f>IF('Employee Detail FY23'!R27="","",'Employee Detail FY23'!R27)</f>
        <v>200</v>
      </c>
      <c r="S27" s="3">
        <f>IF('Employee Detail FY23'!S27="","",'Employee Detail FY23'!S27)</f>
        <v>8</v>
      </c>
      <c r="T27" s="263">
        <f t="shared" si="4"/>
        <v>1600</v>
      </c>
      <c r="U27" s="269">
        <f>IF('Employee Detail FY23'!U27="","",'Employee Detail FY23'!U27)</f>
        <v>39919</v>
      </c>
      <c r="V27" s="270">
        <f t="shared" si="5"/>
        <v>42314.14</v>
      </c>
      <c r="W27" s="270">
        <f t="shared" si="6"/>
        <v>48812.999506039996</v>
      </c>
      <c r="X27" s="270">
        <f t="shared" si="7"/>
        <v>48812.999506039996</v>
      </c>
      <c r="Y27" s="62">
        <v>0</v>
      </c>
      <c r="Z27" s="62">
        <v>0</v>
      </c>
      <c r="AA27" s="256">
        <f t="shared" si="8"/>
        <v>48812.999506039996</v>
      </c>
      <c r="AB27" s="3"/>
      <c r="AC27" s="62">
        <f t="shared" si="9"/>
        <v>7943.76</v>
      </c>
      <c r="AD27" s="62" t="str">
        <f t="shared" si="10"/>
        <v/>
      </c>
      <c r="AE27" s="62">
        <f t="shared" si="11"/>
        <v>7443.9824246710996</v>
      </c>
      <c r="AF27" s="62">
        <f t="shared" si="12"/>
        <v>707.78849283757995</v>
      </c>
      <c r="AG27" s="192">
        <v>0</v>
      </c>
      <c r="AH27" s="62">
        <f t="shared" si="13"/>
        <v>444.31232789052837</v>
      </c>
      <c r="AI27" s="62">
        <f t="shared" si="14"/>
        <v>143.7639831600643</v>
      </c>
      <c r="AJ27" s="62"/>
      <c r="AK27" s="62">
        <v>0</v>
      </c>
      <c r="AL27" s="256">
        <f t="shared" si="15"/>
        <v>16683.607228559275</v>
      </c>
      <c r="AM27" s="256">
        <f t="shared" si="16"/>
        <v>48812.999506039996</v>
      </c>
      <c r="AN27" s="256">
        <f t="shared" si="17"/>
        <v>65496.606734599271</v>
      </c>
    </row>
    <row r="28" spans="1:40" hidden="1" x14ac:dyDescent="0.2">
      <c r="A28" s="3" t="str">
        <f>IF('Employee Detail FY23'!A28="","",'Employee Detail FY23'!A28)</f>
        <v/>
      </c>
      <c r="B28" s="647" t="str">
        <f>IF('Employee Detail FY23'!B28="","",'Employee Detail FY23'!B28)</f>
        <v/>
      </c>
      <c r="C28" s="647" t="str">
        <f>IF('Employee Detail FY23'!C28="","",'Employee Detail FY23'!C28)</f>
        <v/>
      </c>
      <c r="D28" s="647"/>
      <c r="E28" s="647" t="str">
        <f>IF('Employee Detail FY23'!E28="","",'Employee Detail FY23'!E28)</f>
        <v/>
      </c>
      <c r="F28" s="647" t="str">
        <f>IF('Employee Detail FY23'!F28="","",'Employee Detail FY23'!F28)</f>
        <v/>
      </c>
      <c r="G28" s="647" t="str">
        <f>IF('Employee Detail FY23'!G28="","",'Employee Detail FY23'!G28)</f>
        <v/>
      </c>
      <c r="H28" s="3"/>
      <c r="I28" s="255" t="str">
        <f>IF('Employee Detail FY23'!I28="","",'Employee Detail FY23'!I28)</f>
        <v/>
      </c>
      <c r="J28" s="255" t="str">
        <f>IF('Employee Detail FY23'!J28="","",'Employee Detail FY23'!J28)</f>
        <v/>
      </c>
      <c r="K28" s="255" t="str">
        <f>IF('Employee Detail FY23'!K28="","",'Employee Detail FY23'!K28)</f>
        <v/>
      </c>
      <c r="L28" s="255" t="str">
        <f>IF('Employee Detail FY23'!L28="","",'Employee Detail FY23'!L28)</f>
        <v/>
      </c>
      <c r="M28" s="92" t="str">
        <f>IF('Employee Detail FY23'!M28="","",'Employee Detail FY23'!M28)</f>
        <v/>
      </c>
      <c r="N28" s="3" t="str">
        <f>IF('Employee Detail FY23'!N28="","",'Employee Detail FY23'!N28)</f>
        <v/>
      </c>
      <c r="O28" s="3" t="str">
        <f>IF('Employee Detail FY23'!O28="","",'Employee Detail FY23'!O28)</f>
        <v/>
      </c>
      <c r="P28" s="3" t="str">
        <f>IF('Employee Detail FY23'!P28="","",'Employee Detail FY23'!P28)</f>
        <v/>
      </c>
      <c r="Q28" s="3" t="str">
        <f>IF('Employee Detail FY23'!Q28="","",'Employee Detail FY23'!Q28)</f>
        <v/>
      </c>
      <c r="R28" s="3" t="str">
        <f>IF('Employee Detail FY23'!R28="","",'Employee Detail FY23'!R28)</f>
        <v/>
      </c>
      <c r="S28" s="3" t="str">
        <f>IF('Employee Detail FY23'!S28="","",'Employee Detail FY23'!S28)</f>
        <v/>
      </c>
      <c r="T28" s="263" t="str">
        <f t="shared" si="4"/>
        <v/>
      </c>
      <c r="U28" s="269" t="str">
        <f>IF('Employee Detail FY23'!U28="","",'Employee Detail FY23'!U28)</f>
        <v/>
      </c>
      <c r="V28" s="270" t="str">
        <f t="shared" si="5"/>
        <v/>
      </c>
      <c r="W28" s="270" t="str">
        <f t="shared" si="6"/>
        <v/>
      </c>
      <c r="X28" s="270" t="str">
        <f t="shared" si="7"/>
        <v/>
      </c>
      <c r="Y28" s="62">
        <v>0</v>
      </c>
      <c r="Z28" s="62">
        <v>0</v>
      </c>
      <c r="AA28" s="256">
        <f t="shared" si="8"/>
        <v>0</v>
      </c>
      <c r="AB28" s="3"/>
      <c r="AC28" s="62" t="str">
        <f t="shared" si="9"/>
        <v/>
      </c>
      <c r="AD28" s="62" t="str">
        <f t="shared" si="10"/>
        <v/>
      </c>
      <c r="AE28" s="62" t="str">
        <f t="shared" si="11"/>
        <v/>
      </c>
      <c r="AF28" s="62" t="str">
        <f t="shared" si="12"/>
        <v/>
      </c>
      <c r="AG28" s="192">
        <v>0</v>
      </c>
      <c r="AH28" s="62" t="str">
        <f t="shared" si="13"/>
        <v/>
      </c>
      <c r="AI28" s="62">
        <f t="shared" si="14"/>
        <v>0</v>
      </c>
      <c r="AJ28" s="62"/>
      <c r="AK28" s="62">
        <v>0</v>
      </c>
      <c r="AL28" s="256">
        <f t="shared" si="15"/>
        <v>0</v>
      </c>
      <c r="AM28" s="256">
        <f t="shared" si="16"/>
        <v>0</v>
      </c>
      <c r="AN28" s="256">
        <f t="shared" si="17"/>
        <v>0</v>
      </c>
    </row>
    <row r="29" spans="1:40" hidden="1" x14ac:dyDescent="0.2">
      <c r="A29" s="3" t="str">
        <f>IF('Employee Detail FY23'!A29="","",'Employee Detail FY23'!A29)</f>
        <v/>
      </c>
      <c r="B29" s="647" t="str">
        <f>IF('Employee Detail FY23'!B29="","",'Employee Detail FY23'!B29)</f>
        <v>100</v>
      </c>
      <c r="C29" s="647" t="str">
        <f>IF('Employee Detail FY23'!C29="","",'Employee Detail FY23'!C29)</f>
        <v>000</v>
      </c>
      <c r="D29" s="647"/>
      <c r="E29" s="647" t="str">
        <f>IF('Employee Detail FY23'!E29="","",'Employee Detail FY23'!E29)</f>
        <v>100</v>
      </c>
      <c r="F29" s="647" t="str">
        <f>IF('Employee Detail FY23'!F29="","",'Employee Detail FY23'!F29)</f>
        <v>2110</v>
      </c>
      <c r="G29" s="647" t="str">
        <f>IF('Employee Detail FY23'!G29="","",'Employee Detail FY23'!G29)</f>
        <v>0106</v>
      </c>
      <c r="H29" s="3"/>
      <c r="I29" s="255" t="str">
        <f>IF('Employee Detail FY23'!I29="","",'Employee Detail FY23'!I29)</f>
        <v>KAYS</v>
      </c>
      <c r="J29" s="255" t="str">
        <f>IF('Employee Detail FY23'!J29="","",'Employee Detail FY23'!J29)</f>
        <v>JILL</v>
      </c>
      <c r="K29" s="255" t="str">
        <f>IF('Employee Detail FY23'!K29="","",'Employee Detail FY23'!K29)</f>
        <v>Licensed Staff</v>
      </c>
      <c r="L29" s="255" t="str">
        <f>IF('Employee Detail FY23'!L29="","",'Employee Detail FY23'!L29)</f>
        <v>SOCIAL WORKER</v>
      </c>
      <c r="M29" s="92">
        <f>IF('Employee Detail FY23'!M29="","",'Employee Detail FY23'!M29)</f>
        <v>1</v>
      </c>
      <c r="N29" s="3" t="str">
        <f>IF('Employee Detail FY23'!N29="","",'Employee Detail FY23'!N29)</f>
        <v/>
      </c>
      <c r="O29" s="3">
        <f>IF('Employee Detail FY23'!O29="","",'Employee Detail FY23'!O29)</f>
        <v>26</v>
      </c>
      <c r="P29" s="3" t="str">
        <f>IF('Employee Detail FY23'!P29="","",'Employee Detail FY23'!P29)</f>
        <v>ER</v>
      </c>
      <c r="Q29" s="3" t="str">
        <f>IF('Employee Detail FY23'!Q29="","",'Employee Detail FY23'!Q29)</f>
        <v/>
      </c>
      <c r="R29" s="3">
        <f>IF('Employee Detail FY23'!R29="","",'Employee Detail FY23'!R29)</f>
        <v>200</v>
      </c>
      <c r="S29" s="3">
        <f>IF('Employee Detail FY23'!S29="","",'Employee Detail FY23'!S29)</f>
        <v>8</v>
      </c>
      <c r="T29" s="263">
        <f t="shared" si="4"/>
        <v>1600</v>
      </c>
      <c r="U29" s="269">
        <f>IF('Employee Detail FY23'!U29="","",'Employee Detail FY23'!U29)</f>
        <v>50788</v>
      </c>
      <c r="V29" s="270">
        <f t="shared" si="5"/>
        <v>53835.280000000006</v>
      </c>
      <c r="W29" s="270" t="str">
        <f t="shared" si="6"/>
        <v/>
      </c>
      <c r="X29" s="270">
        <f t="shared" si="7"/>
        <v>53835.280000000006</v>
      </c>
      <c r="Y29" s="62">
        <v>0</v>
      </c>
      <c r="Z29" s="62">
        <v>0</v>
      </c>
      <c r="AA29" s="256">
        <f t="shared" si="8"/>
        <v>53835.280000000006</v>
      </c>
      <c r="AB29" s="3"/>
      <c r="AC29" s="62">
        <f t="shared" si="9"/>
        <v>7943.76</v>
      </c>
      <c r="AD29" s="62" t="str">
        <f t="shared" si="10"/>
        <v/>
      </c>
      <c r="AE29" s="62">
        <f t="shared" si="11"/>
        <v>15746.8194</v>
      </c>
      <c r="AF29" s="62">
        <f t="shared" si="12"/>
        <v>780.61156000000017</v>
      </c>
      <c r="AG29" s="192">
        <v>0</v>
      </c>
      <c r="AH29" s="62">
        <f t="shared" si="13"/>
        <v>490.02681296974276</v>
      </c>
      <c r="AI29" s="62">
        <f t="shared" si="14"/>
        <v>158.55559719045073</v>
      </c>
      <c r="AJ29" s="62"/>
      <c r="AK29" s="62">
        <v>0</v>
      </c>
      <c r="AL29" s="256">
        <f t="shared" si="15"/>
        <v>25119.773370160197</v>
      </c>
      <c r="AM29" s="256">
        <f t="shared" si="16"/>
        <v>53835.280000000006</v>
      </c>
      <c r="AN29" s="256">
        <f t="shared" si="17"/>
        <v>78955.053370160196</v>
      </c>
    </row>
    <row r="30" spans="1:40" hidden="1" x14ac:dyDescent="0.2">
      <c r="A30" s="3" t="str">
        <f>IF('Employee Detail FY23'!A30="","",'Employee Detail FY23'!A30)</f>
        <v/>
      </c>
      <c r="B30" s="647">
        <f>IF('Employee Detail FY23'!B30="","",'Employee Detail FY23'!B30)</f>
        <v>100</v>
      </c>
      <c r="C30" s="647" t="str">
        <f>IF('Employee Detail FY23'!C30="","",'Employee Detail FY23'!C30)</f>
        <v>000</v>
      </c>
      <c r="D30" s="647"/>
      <c r="E30" s="647">
        <f>IF('Employee Detail FY23'!E30="","",'Employee Detail FY23'!E30)</f>
        <v>100</v>
      </c>
      <c r="F30" s="647">
        <f>IF('Employee Detail FY23'!F30="","",'Employee Detail FY23'!F30)</f>
        <v>2110</v>
      </c>
      <c r="G30" s="647" t="str">
        <f>IF('Employee Detail FY23'!G30="","",'Employee Detail FY23'!G30)</f>
        <v>0106</v>
      </c>
      <c r="H30" s="3"/>
      <c r="I30" s="255" t="str">
        <f>IF('Employee Detail FY23'!I30="","",'Employee Detail FY23'!I30)</f>
        <v>DIAZ</v>
      </c>
      <c r="J30" s="255" t="str">
        <f>IF('Employee Detail FY23'!J30="","",'Employee Detail FY23'!J30)</f>
        <v>ALBERTO</v>
      </c>
      <c r="K30" s="255" t="str">
        <f>IF('Employee Detail FY23'!K30="","",'Employee Detail FY23'!K30)</f>
        <v>Licensed Staff</v>
      </c>
      <c r="L30" s="255" t="str">
        <f>IF('Employee Detail FY23'!L30="","",'Employee Detail FY23'!L30)</f>
        <v>SOCIAL WORKER 01</v>
      </c>
      <c r="M30" s="92">
        <f>IF('Employee Detail FY23'!M30="","",'Employee Detail FY23'!M30)</f>
        <v>1</v>
      </c>
      <c r="N30" s="3" t="str">
        <f>IF('Employee Detail FY23'!N30="","",'Employee Detail FY23'!N30)</f>
        <v/>
      </c>
      <c r="O30" s="3">
        <f>IF('Employee Detail FY23'!O30="","",'Employee Detail FY23'!O30)</f>
        <v>26</v>
      </c>
      <c r="P30" s="3" t="str">
        <f>IF('Employee Detail FY23'!P30="","",'Employee Detail FY23'!P30)</f>
        <v>EE</v>
      </c>
      <c r="Q30" s="3" t="str">
        <f>IF('Employee Detail FY23'!Q30="","",'Employee Detail FY23'!Q30)</f>
        <v/>
      </c>
      <c r="R30" s="3">
        <f>IF('Employee Detail FY23'!R30="","",'Employee Detail FY23'!R30)</f>
        <v>200</v>
      </c>
      <c r="S30" s="3">
        <f>IF('Employee Detail FY23'!S30="","",'Employee Detail FY23'!S30)</f>
        <v>8</v>
      </c>
      <c r="T30" s="263">
        <f t="shared" si="4"/>
        <v>1600</v>
      </c>
      <c r="U30" s="269">
        <f>IF('Employee Detail FY23'!U30="","",'Employee Detail FY23'!U30)</f>
        <v>55000</v>
      </c>
      <c r="V30" s="270">
        <f t="shared" si="5"/>
        <v>58300</v>
      </c>
      <c r="W30" s="270">
        <f t="shared" si="6"/>
        <v>67254.063800000004</v>
      </c>
      <c r="X30" s="270">
        <f t="shared" si="7"/>
        <v>67254.063800000004</v>
      </c>
      <c r="Y30" s="62">
        <v>0</v>
      </c>
      <c r="Z30" s="62">
        <v>0</v>
      </c>
      <c r="AA30" s="256">
        <f t="shared" si="8"/>
        <v>67254.063800000004</v>
      </c>
      <c r="AB30" s="3"/>
      <c r="AC30" s="62">
        <f t="shared" si="9"/>
        <v>7943.76</v>
      </c>
      <c r="AD30" s="62" t="str">
        <f t="shared" si="10"/>
        <v/>
      </c>
      <c r="AE30" s="62">
        <f t="shared" si="11"/>
        <v>10256.2447295</v>
      </c>
      <c r="AF30" s="62">
        <f t="shared" si="12"/>
        <v>975.18392510000012</v>
      </c>
      <c r="AG30" s="192">
        <v>0</v>
      </c>
      <c r="AH30" s="62">
        <f t="shared" si="13"/>
        <v>612.16909326333484</v>
      </c>
      <c r="AI30" s="62">
        <f t="shared" si="14"/>
        <v>198.0765819234835</v>
      </c>
      <c r="AJ30" s="62"/>
      <c r="AK30" s="62">
        <v>0</v>
      </c>
      <c r="AL30" s="256">
        <f t="shared" si="15"/>
        <v>19985.434329786822</v>
      </c>
      <c r="AM30" s="256">
        <f t="shared" si="16"/>
        <v>67254.063800000004</v>
      </c>
      <c r="AN30" s="256">
        <f t="shared" si="17"/>
        <v>87239.498129786822</v>
      </c>
    </row>
    <row r="31" spans="1:40" hidden="1" x14ac:dyDescent="0.2">
      <c r="A31" s="3" t="str">
        <f>IF('Employee Detail FY23'!A31="","",'Employee Detail FY23'!A31)</f>
        <v>ESSER II</v>
      </c>
      <c r="B31" s="647">
        <f>IF('Employee Detail FY23'!B31="","",'Employee Detail FY23'!B31)</f>
        <v>280</v>
      </c>
      <c r="C31" s="647">
        <f>IF('Employee Detail FY23'!C31="","",'Employee Detail FY23'!C31)</f>
        <v>741</v>
      </c>
      <c r="D31" s="647"/>
      <c r="E31" s="647">
        <f>IF('Employee Detail FY23'!E31="","",'Employee Detail FY23'!E31)</f>
        <v>100</v>
      </c>
      <c r="F31" s="647">
        <f>IF('Employee Detail FY23'!F31="","",'Employee Detail FY23'!F31)</f>
        <v>2110</v>
      </c>
      <c r="G31" s="647" t="str">
        <f>IF('Employee Detail FY23'!G31="","",'Employee Detail FY23'!G31)</f>
        <v>0106</v>
      </c>
      <c r="H31" s="3"/>
      <c r="I31" s="255" t="str">
        <f>IF('Employee Detail FY23'!I31="","",'Employee Detail FY23'!I31)</f>
        <v>HERNANDEZ</v>
      </c>
      <c r="J31" s="255" t="str">
        <f>IF('Employee Detail FY23'!J31="","",'Employee Detail FY23'!J31)</f>
        <v>ALLISON</v>
      </c>
      <c r="K31" s="255" t="str">
        <f>IF('Employee Detail FY23'!K31="","",'Employee Detail FY23'!K31)</f>
        <v>Licensed Staff</v>
      </c>
      <c r="L31" s="255" t="str">
        <f>IF('Employee Detail FY23'!L31="","",'Employee Detail FY23'!L31)</f>
        <v>SOCIAL WORKER 02</v>
      </c>
      <c r="M31" s="92">
        <f>IF('Employee Detail FY23'!M31="","",'Employee Detail FY23'!M31)</f>
        <v>1</v>
      </c>
      <c r="N31" s="3" t="str">
        <f>IF('Employee Detail FY23'!N31="","",'Employee Detail FY23'!N31)</f>
        <v/>
      </c>
      <c r="O31" s="3">
        <f>IF('Employee Detail FY23'!O31="","",'Employee Detail FY23'!O31)</f>
        <v>26</v>
      </c>
      <c r="P31" s="3" t="str">
        <f>IF('Employee Detail FY23'!P31="","",'Employee Detail FY23'!P31)</f>
        <v>EE</v>
      </c>
      <c r="Q31" s="3" t="str">
        <f>IF('Employee Detail FY23'!Q31="","",'Employee Detail FY23'!Q31)</f>
        <v/>
      </c>
      <c r="R31" s="3">
        <f>IF('Employee Detail FY23'!R31="","",'Employee Detail FY23'!R31)</f>
        <v>200</v>
      </c>
      <c r="S31" s="3">
        <f>IF('Employee Detail FY23'!S31="","",'Employee Detail FY23'!S31)</f>
        <v>8</v>
      </c>
      <c r="T31" s="263">
        <f t="shared" si="4"/>
        <v>1600</v>
      </c>
      <c r="U31" s="269">
        <f>IF('Employee Detail FY23'!U31="","",'Employee Detail FY23'!U31)</f>
        <v>55000</v>
      </c>
      <c r="V31" s="270">
        <f t="shared" si="5"/>
        <v>58300</v>
      </c>
      <c r="W31" s="270">
        <f t="shared" si="6"/>
        <v>67254.063800000004</v>
      </c>
      <c r="X31" s="270">
        <f t="shared" si="7"/>
        <v>67254.063800000004</v>
      </c>
      <c r="Y31" s="62">
        <v>0</v>
      </c>
      <c r="Z31" s="62">
        <v>0</v>
      </c>
      <c r="AA31" s="256">
        <f t="shared" si="8"/>
        <v>67254.063800000004</v>
      </c>
      <c r="AB31" s="3"/>
      <c r="AC31" s="62">
        <f t="shared" si="9"/>
        <v>7943.76</v>
      </c>
      <c r="AD31" s="62" t="str">
        <f t="shared" si="10"/>
        <v/>
      </c>
      <c r="AE31" s="62">
        <f t="shared" si="11"/>
        <v>10256.2447295</v>
      </c>
      <c r="AF31" s="62">
        <f t="shared" si="12"/>
        <v>975.18392510000012</v>
      </c>
      <c r="AG31" s="192">
        <v>0</v>
      </c>
      <c r="AH31" s="62">
        <f t="shared" si="13"/>
        <v>612.16909326333484</v>
      </c>
      <c r="AI31" s="62">
        <f t="shared" si="14"/>
        <v>198.0765819234835</v>
      </c>
      <c r="AJ31" s="62"/>
      <c r="AK31" s="62">
        <v>0</v>
      </c>
      <c r="AL31" s="256">
        <f t="shared" si="15"/>
        <v>19985.434329786822</v>
      </c>
      <c r="AM31" s="256">
        <f t="shared" si="16"/>
        <v>67254.063800000004</v>
      </c>
      <c r="AN31" s="256">
        <f t="shared" si="17"/>
        <v>87239.498129786822</v>
      </c>
    </row>
    <row r="32" spans="1:40" hidden="1" x14ac:dyDescent="0.2">
      <c r="A32" s="3" t="str">
        <f>IF('Employee Detail FY23'!A32="","",'Employee Detail FY23'!A32)</f>
        <v/>
      </c>
      <c r="B32" s="647" t="str">
        <f>IF('Employee Detail FY23'!B32="","",'Employee Detail FY23'!B32)</f>
        <v/>
      </c>
      <c r="C32" s="647" t="str">
        <f>IF('Employee Detail FY23'!C32="","",'Employee Detail FY23'!C32)</f>
        <v/>
      </c>
      <c r="D32" s="647"/>
      <c r="E32" s="647" t="str">
        <f>IF('Employee Detail FY23'!E32="","",'Employee Detail FY23'!E32)</f>
        <v/>
      </c>
      <c r="F32" s="647" t="str">
        <f>IF('Employee Detail FY23'!F32="","",'Employee Detail FY23'!F32)</f>
        <v/>
      </c>
      <c r="G32" s="647" t="str">
        <f>IF('Employee Detail FY23'!G32="","",'Employee Detail FY23'!G32)</f>
        <v/>
      </c>
      <c r="H32" s="3"/>
      <c r="I32" s="255" t="str">
        <f>IF('Employee Detail FY23'!I32="","",'Employee Detail FY23'!I32)</f>
        <v/>
      </c>
      <c r="J32" s="255" t="str">
        <f>IF('Employee Detail FY23'!J32="","",'Employee Detail FY23'!J32)</f>
        <v/>
      </c>
      <c r="K32" s="255" t="str">
        <f>IF('Employee Detail FY23'!K32="","",'Employee Detail FY23'!K32)</f>
        <v/>
      </c>
      <c r="L32" s="255" t="str">
        <f>IF('Employee Detail FY23'!L32="","",'Employee Detail FY23'!L32)</f>
        <v/>
      </c>
      <c r="M32" s="92" t="str">
        <f>IF('Employee Detail FY23'!M32="","",'Employee Detail FY23'!M32)</f>
        <v/>
      </c>
      <c r="N32" s="3" t="str">
        <f>IF('Employee Detail FY23'!N32="","",'Employee Detail FY23'!N32)</f>
        <v/>
      </c>
      <c r="O32" s="3" t="str">
        <f>IF('Employee Detail FY23'!O32="","",'Employee Detail FY23'!O32)</f>
        <v/>
      </c>
      <c r="P32" s="3" t="str">
        <f>IF('Employee Detail FY23'!P32="","",'Employee Detail FY23'!P32)</f>
        <v/>
      </c>
      <c r="Q32" s="3" t="str">
        <f>IF('Employee Detail FY23'!Q32="","",'Employee Detail FY23'!Q32)</f>
        <v/>
      </c>
      <c r="R32" s="3" t="str">
        <f>IF('Employee Detail FY23'!R32="","",'Employee Detail FY23'!R32)</f>
        <v/>
      </c>
      <c r="S32" s="3" t="str">
        <f>IF('Employee Detail FY23'!S32="","",'Employee Detail FY23'!S32)</f>
        <v/>
      </c>
      <c r="T32" s="263" t="str">
        <f t="shared" si="4"/>
        <v/>
      </c>
      <c r="U32" s="269" t="str">
        <f>IF('Employee Detail FY23'!U32="","",'Employee Detail FY23'!U32)</f>
        <v/>
      </c>
      <c r="V32" s="270" t="str">
        <f t="shared" si="5"/>
        <v/>
      </c>
      <c r="W32" s="270" t="str">
        <f t="shared" si="6"/>
        <v/>
      </c>
      <c r="X32" s="270" t="str">
        <f t="shared" si="7"/>
        <v/>
      </c>
      <c r="Y32" s="62">
        <v>0</v>
      </c>
      <c r="Z32" s="62">
        <v>0</v>
      </c>
      <c r="AA32" s="256">
        <f t="shared" si="8"/>
        <v>0</v>
      </c>
      <c r="AB32" s="3"/>
      <c r="AC32" s="62" t="str">
        <f t="shared" si="9"/>
        <v/>
      </c>
      <c r="AD32" s="62" t="str">
        <f t="shared" si="10"/>
        <v/>
      </c>
      <c r="AE32" s="62" t="str">
        <f t="shared" si="11"/>
        <v/>
      </c>
      <c r="AF32" s="62" t="str">
        <f t="shared" si="12"/>
        <v/>
      </c>
      <c r="AG32" s="192">
        <v>0</v>
      </c>
      <c r="AH32" s="62" t="str">
        <f t="shared" si="13"/>
        <v/>
      </c>
      <c r="AI32" s="62">
        <f t="shared" si="14"/>
        <v>0</v>
      </c>
      <c r="AJ32" s="62"/>
      <c r="AK32" s="62">
        <v>0</v>
      </c>
      <c r="AL32" s="256">
        <f t="shared" si="15"/>
        <v>0</v>
      </c>
      <c r="AM32" s="256">
        <f t="shared" si="16"/>
        <v>0</v>
      </c>
      <c r="AN32" s="256">
        <f t="shared" si="17"/>
        <v>0</v>
      </c>
    </row>
    <row r="33" spans="1:40" hidden="1" x14ac:dyDescent="0.2">
      <c r="A33" s="3" t="str">
        <f>IF('Employee Detail FY23'!A33="","",'Employee Detail FY23'!A33)</f>
        <v/>
      </c>
      <c r="B33" s="647">
        <f>IF('Employee Detail FY23'!B33="","",'Employee Detail FY23'!B33)</f>
        <v>100</v>
      </c>
      <c r="C33" s="647" t="str">
        <f>IF('Employee Detail FY23'!C33="","",'Employee Detail FY23'!C33)</f>
        <v>000</v>
      </c>
      <c r="D33" s="647"/>
      <c r="E33" s="647">
        <f>IF('Employee Detail FY23'!E33="","",'Employee Detail FY23'!E33)</f>
        <v>100</v>
      </c>
      <c r="F33" s="647" t="str">
        <f>IF('Employee Detail FY23'!F33="","",'Employee Detail FY23'!F33)</f>
        <v>2120</v>
      </c>
      <c r="G33" s="647" t="str">
        <f>IF('Employee Detail FY23'!G33="","",'Employee Detail FY23'!G33)</f>
        <v>0106</v>
      </c>
      <c r="H33" s="3"/>
      <c r="I33" s="255" t="str">
        <f>IF('Employee Detail FY23'!I33="","",'Employee Detail FY23'!I33)</f>
        <v>BATES (BOLTON)</v>
      </c>
      <c r="J33" s="255" t="str">
        <f>IF('Employee Detail FY23'!J33="","",'Employee Detail FY23'!J33)</f>
        <v>TOISHAUNA</v>
      </c>
      <c r="K33" s="255" t="str">
        <f>IF('Employee Detail FY23'!K33="","",'Employee Detail FY23'!K33)</f>
        <v>Licensed Support Staff</v>
      </c>
      <c r="L33" s="255" t="str">
        <f>IF('Employee Detail FY23'!L33="","",'Employee Detail FY23'!L33)</f>
        <v>ACADEMIC COUNSELOR</v>
      </c>
      <c r="M33" s="92">
        <f>IF('Employee Detail FY23'!M33="","",'Employee Detail FY23'!M33)</f>
        <v>1</v>
      </c>
      <c r="N33" s="3" t="str">
        <f>IF('Employee Detail FY23'!N33="","",'Employee Detail FY23'!N33)</f>
        <v>S</v>
      </c>
      <c r="O33" s="3">
        <f>IF('Employee Detail FY23'!O33="","",'Employee Detail FY23'!O33)</f>
        <v>1</v>
      </c>
      <c r="P33" s="3" t="str">
        <f>IF('Employee Detail FY23'!P33="","",'Employee Detail FY23'!P33)</f>
        <v>EE</v>
      </c>
      <c r="Q33" s="3" t="str">
        <f>IF('Employee Detail FY23'!Q33="","",'Employee Detail FY23'!Q33)</f>
        <v/>
      </c>
      <c r="R33" s="3">
        <f>IF('Employee Detail FY23'!R33="","",'Employee Detail FY23'!R33)</f>
        <v>261</v>
      </c>
      <c r="S33" s="3">
        <f>IF('Employee Detail FY23'!S33="","",'Employee Detail FY23'!S33)</f>
        <v>8</v>
      </c>
      <c r="T33" s="263">
        <f t="shared" si="4"/>
        <v>2088</v>
      </c>
      <c r="U33" s="269">
        <f>IF('Employee Detail FY23'!U33="","",'Employee Detail FY23'!U33)</f>
        <v>62320</v>
      </c>
      <c r="V33" s="270">
        <f t="shared" si="5"/>
        <v>66059.199999999997</v>
      </c>
      <c r="W33" s="270">
        <f t="shared" si="6"/>
        <v>76204.968291199999</v>
      </c>
      <c r="X33" s="270">
        <f t="shared" si="7"/>
        <v>76204.968291199999</v>
      </c>
      <c r="Y33" s="62">
        <v>0</v>
      </c>
      <c r="Z33" s="62">
        <v>0</v>
      </c>
      <c r="AA33" s="256">
        <f t="shared" si="8"/>
        <v>76204.968291199999</v>
      </c>
      <c r="AB33" s="3"/>
      <c r="AC33" s="62">
        <f t="shared" si="9"/>
        <v>7943.76</v>
      </c>
      <c r="AD33" s="62" t="str">
        <f t="shared" si="10"/>
        <v/>
      </c>
      <c r="AE33" s="62">
        <f t="shared" si="11"/>
        <v>11621.257664408</v>
      </c>
      <c r="AF33" s="62">
        <f t="shared" si="12"/>
        <v>1104.9720402224</v>
      </c>
      <c r="AG33" s="192">
        <v>0</v>
      </c>
      <c r="AH33" s="62">
        <f t="shared" si="13"/>
        <v>693.64323440310955</v>
      </c>
      <c r="AI33" s="62">
        <f t="shared" si="14"/>
        <v>224.43877428129986</v>
      </c>
      <c r="AJ33" s="62"/>
      <c r="AK33" s="62">
        <v>0</v>
      </c>
      <c r="AL33" s="256">
        <f t="shared" si="15"/>
        <v>21588.07171331481</v>
      </c>
      <c r="AM33" s="256">
        <f t="shared" si="16"/>
        <v>76204.968291199999</v>
      </c>
      <c r="AN33" s="256">
        <f t="shared" si="17"/>
        <v>97793.040004514813</v>
      </c>
    </row>
    <row r="34" spans="1:40" hidden="1" x14ac:dyDescent="0.2">
      <c r="A34" s="3" t="str">
        <f>IF('Employee Detail FY23'!A34="","",'Employee Detail FY23'!A34)</f>
        <v>VACANT</v>
      </c>
      <c r="B34" s="647">
        <f>IF('Employee Detail FY23'!B34="","",'Employee Detail FY23'!B34)</f>
        <v>100</v>
      </c>
      <c r="C34" s="647" t="str">
        <f>IF('Employee Detail FY23'!C34="","",'Employee Detail FY23'!C34)</f>
        <v>000</v>
      </c>
      <c r="D34" s="647"/>
      <c r="E34" s="647">
        <f>IF('Employee Detail FY23'!E34="","",'Employee Detail FY23'!E34)</f>
        <v>100</v>
      </c>
      <c r="F34" s="647" t="str">
        <f>IF('Employee Detail FY23'!F34="","",'Employee Detail FY23'!F34)</f>
        <v>2120</v>
      </c>
      <c r="G34" s="647" t="str">
        <f>IF('Employee Detail FY23'!G34="","",'Employee Detail FY23'!G34)</f>
        <v>0106</v>
      </c>
      <c r="H34" s="3"/>
      <c r="I34" s="255" t="str">
        <f>IF('Employee Detail FY23'!I34="","",'Employee Detail FY23'!I34)</f>
        <v>VACANT</v>
      </c>
      <c r="J34" s="255" t="str">
        <f>IF('Employee Detail FY23'!J34="","",'Employee Detail FY23'!J34)</f>
        <v>FY23</v>
      </c>
      <c r="K34" s="255" t="str">
        <f>IF('Employee Detail FY23'!K34="","",'Employee Detail FY23'!K34)</f>
        <v>Licensed Support Staff</v>
      </c>
      <c r="L34" s="255" t="str">
        <f>IF('Employee Detail FY23'!L34="","",'Employee Detail FY23'!L34)</f>
        <v>ACADEMIC COUNSELOR</v>
      </c>
      <c r="M34" s="92">
        <f>IF('Employee Detail FY23'!M34="","",'Employee Detail FY23'!M34)</f>
        <v>1</v>
      </c>
      <c r="N34" s="3" t="str">
        <f>IF('Employee Detail FY23'!N34="","",'Employee Detail FY23'!N34)</f>
        <v>S</v>
      </c>
      <c r="O34" s="3">
        <f>IF('Employee Detail FY23'!O34="","",'Employee Detail FY23'!O34)</f>
        <v>1</v>
      </c>
      <c r="P34" s="3" t="str">
        <f>IF('Employee Detail FY23'!P34="","",'Employee Detail FY23'!P34)</f>
        <v>EE</v>
      </c>
      <c r="Q34" s="3" t="str">
        <f>IF('Employee Detail FY23'!Q34="","",'Employee Detail FY23'!Q34)</f>
        <v/>
      </c>
      <c r="R34" s="3">
        <f>IF('Employee Detail FY23'!R34="","",'Employee Detail FY23'!R34)</f>
        <v>261</v>
      </c>
      <c r="S34" s="3">
        <f>IF('Employee Detail FY23'!S34="","",'Employee Detail FY23'!S34)</f>
        <v>8</v>
      </c>
      <c r="T34" s="263">
        <f t="shared" si="4"/>
        <v>2088</v>
      </c>
      <c r="U34" s="269">
        <f>IF('Employee Detail FY23'!U34="","",'Employee Detail FY23'!U34)</f>
        <v>62320</v>
      </c>
      <c r="V34" s="270">
        <f t="shared" si="5"/>
        <v>66059.199999999997</v>
      </c>
      <c r="W34" s="270">
        <f t="shared" si="6"/>
        <v>76204.968291199999</v>
      </c>
      <c r="X34" s="270">
        <f t="shared" si="7"/>
        <v>76204.968291199999</v>
      </c>
      <c r="Y34" s="62">
        <v>0</v>
      </c>
      <c r="Z34" s="62">
        <v>0</v>
      </c>
      <c r="AA34" s="256">
        <f t="shared" si="8"/>
        <v>76204.968291199999</v>
      </c>
      <c r="AB34" s="3"/>
      <c r="AC34" s="62">
        <f t="shared" si="9"/>
        <v>7943.76</v>
      </c>
      <c r="AD34" s="62" t="str">
        <f t="shared" si="10"/>
        <v/>
      </c>
      <c r="AE34" s="62">
        <f t="shared" si="11"/>
        <v>11621.257664408</v>
      </c>
      <c r="AF34" s="62">
        <f t="shared" si="12"/>
        <v>1104.9720402224</v>
      </c>
      <c r="AG34" s="192">
        <v>0</v>
      </c>
      <c r="AH34" s="62">
        <f t="shared" si="13"/>
        <v>693.64323440310955</v>
      </c>
      <c r="AI34" s="62">
        <f t="shared" si="14"/>
        <v>224.43877428129986</v>
      </c>
      <c r="AJ34" s="62"/>
      <c r="AK34" s="62">
        <v>0</v>
      </c>
      <c r="AL34" s="256">
        <f t="shared" si="15"/>
        <v>21588.07171331481</v>
      </c>
      <c r="AM34" s="256">
        <f t="shared" si="16"/>
        <v>76204.968291199999</v>
      </c>
      <c r="AN34" s="256">
        <f t="shared" si="17"/>
        <v>97793.040004514813</v>
      </c>
    </row>
    <row r="35" spans="1:40" hidden="1" x14ac:dyDescent="0.2">
      <c r="A35" s="3" t="str">
        <f>IF('Employee Detail FY23'!A35="","",'Employee Detail FY23'!A35)</f>
        <v/>
      </c>
      <c r="B35" s="647" t="str">
        <f>IF('Employee Detail FY23'!B35="","",'Employee Detail FY23'!B35)</f>
        <v/>
      </c>
      <c r="C35" s="647" t="str">
        <f>IF('Employee Detail FY23'!C35="","",'Employee Detail FY23'!C35)</f>
        <v/>
      </c>
      <c r="D35" s="647"/>
      <c r="E35" s="647" t="str">
        <f>IF('Employee Detail FY23'!E35="","",'Employee Detail FY23'!E35)</f>
        <v/>
      </c>
      <c r="F35" s="647" t="str">
        <f>IF('Employee Detail FY23'!F35="","",'Employee Detail FY23'!F35)</f>
        <v/>
      </c>
      <c r="G35" s="647" t="str">
        <f>IF('Employee Detail FY23'!G35="","",'Employee Detail FY23'!G35)</f>
        <v/>
      </c>
      <c r="H35" s="3"/>
      <c r="I35" s="255" t="str">
        <f>IF('Employee Detail FY23'!I35="","",'Employee Detail FY23'!I35)</f>
        <v/>
      </c>
      <c r="J35" s="255" t="str">
        <f>IF('Employee Detail FY23'!J35="","",'Employee Detail FY23'!J35)</f>
        <v/>
      </c>
      <c r="K35" s="255" t="str">
        <f>IF('Employee Detail FY23'!K35="","",'Employee Detail FY23'!K35)</f>
        <v/>
      </c>
      <c r="L35" s="255" t="str">
        <f>IF('Employee Detail FY23'!L35="","",'Employee Detail FY23'!L35)</f>
        <v/>
      </c>
      <c r="M35" s="92" t="str">
        <f>IF('Employee Detail FY23'!M35="","",'Employee Detail FY23'!M35)</f>
        <v/>
      </c>
      <c r="N35" s="3" t="str">
        <f>IF('Employee Detail FY23'!N35="","",'Employee Detail FY23'!N35)</f>
        <v/>
      </c>
      <c r="O35" s="3" t="str">
        <f>IF('Employee Detail FY23'!O35="","",'Employee Detail FY23'!O35)</f>
        <v/>
      </c>
      <c r="P35" s="3" t="str">
        <f>IF('Employee Detail FY23'!P35="","",'Employee Detail FY23'!P35)</f>
        <v/>
      </c>
      <c r="Q35" s="3" t="str">
        <f>IF('Employee Detail FY23'!Q35="","",'Employee Detail FY23'!Q35)</f>
        <v/>
      </c>
      <c r="R35" s="3" t="str">
        <f>IF('Employee Detail FY23'!R35="","",'Employee Detail FY23'!R35)</f>
        <v/>
      </c>
      <c r="S35" s="3" t="str">
        <f>IF('Employee Detail FY23'!S35="","",'Employee Detail FY23'!S35)</f>
        <v/>
      </c>
      <c r="T35" s="263" t="str">
        <f t="shared" si="4"/>
        <v/>
      </c>
      <c r="U35" s="269" t="str">
        <f>IF('Employee Detail FY23'!U35="","",'Employee Detail FY23'!U35)</f>
        <v/>
      </c>
      <c r="V35" s="270" t="str">
        <f t="shared" si="5"/>
        <v/>
      </c>
      <c r="W35" s="270" t="str">
        <f t="shared" si="6"/>
        <v/>
      </c>
      <c r="X35" s="270" t="str">
        <f t="shared" si="7"/>
        <v/>
      </c>
      <c r="Y35" s="62">
        <v>0</v>
      </c>
      <c r="Z35" s="62">
        <v>0</v>
      </c>
      <c r="AA35" s="256">
        <f t="shared" si="8"/>
        <v>0</v>
      </c>
      <c r="AB35" s="3"/>
      <c r="AC35" s="62" t="str">
        <f t="shared" si="9"/>
        <v/>
      </c>
      <c r="AD35" s="62" t="str">
        <f t="shared" si="10"/>
        <v/>
      </c>
      <c r="AE35" s="62" t="str">
        <f t="shared" si="11"/>
        <v/>
      </c>
      <c r="AF35" s="62" t="str">
        <f t="shared" si="12"/>
        <v/>
      </c>
      <c r="AG35" s="192">
        <v>0</v>
      </c>
      <c r="AH35" s="62" t="str">
        <f t="shared" si="13"/>
        <v/>
      </c>
      <c r="AI35" s="62">
        <f t="shared" si="14"/>
        <v>0</v>
      </c>
      <c r="AJ35" s="62"/>
      <c r="AK35" s="62">
        <v>0</v>
      </c>
      <c r="AL35" s="256">
        <f t="shared" si="15"/>
        <v>0</v>
      </c>
      <c r="AM35" s="256">
        <f t="shared" si="16"/>
        <v>0</v>
      </c>
      <c r="AN35" s="256">
        <f t="shared" si="17"/>
        <v>0</v>
      </c>
    </row>
    <row r="36" spans="1:40" hidden="1" x14ac:dyDescent="0.2">
      <c r="A36" s="3" t="str">
        <f>IF('Employee Detail FY23'!A36="","",'Employee Detail FY23'!A36)</f>
        <v>CSP</v>
      </c>
      <c r="B36" s="647" t="s">
        <v>468</v>
      </c>
      <c r="C36" s="647" t="s">
        <v>145</v>
      </c>
      <c r="D36" s="647"/>
      <c r="E36" s="647">
        <f>IF('Employee Detail FY23'!E36="","",'Employee Detail FY23'!E36)</f>
        <v>100</v>
      </c>
      <c r="F36" s="647" t="str">
        <f>IF('Employee Detail FY23'!F36="","",'Employee Detail FY23'!F36)</f>
        <v>2110</v>
      </c>
      <c r="G36" s="647" t="str">
        <f>IF('Employee Detail FY23'!G36="","",'Employee Detail FY23'!G36)</f>
        <v>0106</v>
      </c>
      <c r="H36" s="3"/>
      <c r="I36" s="255" t="str">
        <f>IF('Employee Detail FY23'!I36="","",'Employee Detail FY23'!I36)</f>
        <v>GARCIA</v>
      </c>
      <c r="J36" s="255" t="str">
        <f>IF('Employee Detail FY23'!J36="","",'Employee Detail FY23'!J36)</f>
        <v>VANESSA</v>
      </c>
      <c r="K36" s="255" t="str">
        <f>IF('Employee Detail FY23'!K36="","",'Employee Detail FY23'!K36)</f>
        <v>Licensed Support Staff</v>
      </c>
      <c r="L36" s="312" t="str">
        <f>IF('Employee Detail FY23'!L36="","",'Employee Detail FY23'!L36)</f>
        <v>STUDENT PERSISTENCE FACILITATOR</v>
      </c>
      <c r="M36" s="92">
        <f>IF('Employee Detail FY23'!M36="","",'Employee Detail FY23'!M36)</f>
        <v>1</v>
      </c>
      <c r="N36" s="3" t="str">
        <f>IF('Employee Detail FY23'!N36="","",'Employee Detail FY23'!N36)</f>
        <v/>
      </c>
      <c r="O36" s="3">
        <f>IF('Employee Detail FY23'!O36="","",'Employee Detail FY23'!O36)</f>
        <v>26</v>
      </c>
      <c r="P36" s="3" t="str">
        <f>IF('Employee Detail FY23'!P36="","",'Employee Detail FY23'!P36)</f>
        <v>EE</v>
      </c>
      <c r="Q36" s="3" t="str">
        <f>IF('Employee Detail FY23'!Q36="","",'Employee Detail FY23'!Q36)</f>
        <v/>
      </c>
      <c r="R36" s="3">
        <f>IF('Employee Detail FY23'!R36="","",'Employee Detail FY23'!R36)</f>
        <v>261</v>
      </c>
      <c r="S36" s="3">
        <f>IF('Employee Detail FY23'!S36="","",'Employee Detail FY23'!S36)</f>
        <v>8</v>
      </c>
      <c r="T36" s="263">
        <f t="shared" si="4"/>
        <v>2088</v>
      </c>
      <c r="U36" s="269">
        <f>IF('Employee Detail FY23'!U36="","",'Employee Detail FY23'!U36)</f>
        <v>57704</v>
      </c>
      <c r="V36" s="270">
        <f t="shared" si="5"/>
        <v>61166.240000000005</v>
      </c>
      <c r="W36" s="270">
        <f t="shared" si="6"/>
        <v>70560.518136640007</v>
      </c>
      <c r="X36" s="270">
        <f t="shared" si="7"/>
        <v>70560.518136640007</v>
      </c>
      <c r="Y36" s="62">
        <v>0</v>
      </c>
      <c r="Z36" s="62">
        <v>0</v>
      </c>
      <c r="AA36" s="256">
        <f t="shared" si="8"/>
        <v>70560.518136640007</v>
      </c>
      <c r="AB36" s="3"/>
      <c r="AC36" s="62">
        <f t="shared" si="9"/>
        <v>7943.76</v>
      </c>
      <c r="AD36" s="62" t="str">
        <f t="shared" si="10"/>
        <v/>
      </c>
      <c r="AE36" s="62">
        <f t="shared" si="11"/>
        <v>10760.4790158376</v>
      </c>
      <c r="AF36" s="62">
        <f t="shared" si="12"/>
        <v>1023.1275129812801</v>
      </c>
      <c r="AG36" s="192">
        <v>0</v>
      </c>
      <c r="AH36" s="62">
        <f t="shared" si="13"/>
        <v>642.26555195759045</v>
      </c>
      <c r="AI36" s="62">
        <f t="shared" si="14"/>
        <v>207.8147469693217</v>
      </c>
      <c r="AJ36" s="62"/>
      <c r="AK36" s="62">
        <v>0</v>
      </c>
      <c r="AL36" s="256">
        <f t="shared" si="15"/>
        <v>20577.446827745789</v>
      </c>
      <c r="AM36" s="256">
        <f t="shared" si="16"/>
        <v>70560.518136640007</v>
      </c>
      <c r="AN36" s="256">
        <f t="shared" si="17"/>
        <v>91137.964964385799</v>
      </c>
    </row>
    <row r="37" spans="1:40" hidden="1" x14ac:dyDescent="0.2">
      <c r="A37" s="3" t="str">
        <f>IF('Employee Detail FY23'!A37="","",'Employee Detail FY23'!A37)</f>
        <v>VACANT</v>
      </c>
      <c r="B37" s="647">
        <f>IF('Employee Detail FY23'!B37="","",'Employee Detail FY23'!B37)</f>
        <v>100</v>
      </c>
      <c r="C37" s="647" t="str">
        <f>IF('Employee Detail FY23'!C37="","",'Employee Detail FY23'!C37)</f>
        <v>000</v>
      </c>
      <c r="D37" s="647"/>
      <c r="E37" s="647">
        <f>IF('Employee Detail FY23'!E37="","",'Employee Detail FY23'!E37)</f>
        <v>100</v>
      </c>
      <c r="F37" s="647">
        <f>IF('Employee Detail FY23'!F37="","",'Employee Detail FY23'!F37)</f>
        <v>2110</v>
      </c>
      <c r="G37" s="647" t="str">
        <f>IF('Employee Detail FY23'!G37="","",'Employee Detail FY23'!G37)</f>
        <v>0106</v>
      </c>
      <c r="H37" s="3"/>
      <c r="I37" s="255" t="str">
        <f>IF('Employee Detail FY23'!I37="","",'Employee Detail FY23'!I37)</f>
        <v>VACANT</v>
      </c>
      <c r="J37" s="255" t="str">
        <f>IF('Employee Detail FY23'!J37="","",'Employee Detail FY23'!J37)</f>
        <v>FY23</v>
      </c>
      <c r="K37" s="255" t="str">
        <f>IF('Employee Detail FY23'!K37="","",'Employee Detail FY23'!K37)</f>
        <v>Licensed Staff</v>
      </c>
      <c r="L37" s="312" t="str">
        <f>IF('Employee Detail FY23'!L37="","",'Employee Detail FY23'!L37)</f>
        <v>Dropout Prevention Facilitator</v>
      </c>
      <c r="M37" s="92">
        <f>IF('Employee Detail FY23'!M37="","",'Employee Detail FY23'!M37)</f>
        <v>0</v>
      </c>
      <c r="N37" s="3" t="str">
        <f>IF('Employee Detail FY23'!N37="","",'Employee Detail FY23'!N37)</f>
        <v/>
      </c>
      <c r="O37" s="3">
        <f>IF('Employee Detail FY23'!O37="","",'Employee Detail FY23'!O37)</f>
        <v>26</v>
      </c>
      <c r="P37" s="3" t="str">
        <f>IF('Employee Detail FY23'!P37="","",'Employee Detail FY23'!P37)</f>
        <v/>
      </c>
      <c r="Q37" s="3" t="str">
        <f>IF('Employee Detail FY23'!Q37="","",'Employee Detail FY23'!Q37)</f>
        <v/>
      </c>
      <c r="R37" s="3" t="str">
        <f>IF('Employee Detail FY23'!R37="","",'Employee Detail FY23'!R37)</f>
        <v/>
      </c>
      <c r="S37" s="3" t="str">
        <f>IF('Employee Detail FY23'!S37="","",'Employee Detail FY23'!S37)</f>
        <v/>
      </c>
      <c r="T37" s="263" t="str">
        <f>+IF(R37="","",R37*S37)</f>
        <v/>
      </c>
      <c r="U37" s="269">
        <f>IF('Employee Detail FY23'!U37="","",'Employee Detail FY23'!U37)</f>
        <v>45000</v>
      </c>
      <c r="V37" s="270">
        <f>IF($U37="","",$U37*(1+$V$1))</f>
        <v>47700</v>
      </c>
      <c r="W37" s="270" t="str">
        <f>+IF(P37="EE",+V37*$W$1,"")</f>
        <v/>
      </c>
      <c r="X37" s="270" t="str">
        <f>_xlfn.IFS(P37="ER",V37,P37="EE",W37,P37="N",V37,P37="","")</f>
        <v/>
      </c>
      <c r="Y37" s="62">
        <v>0</v>
      </c>
      <c r="Z37" s="62">
        <v>0</v>
      </c>
      <c r="AA37" s="256">
        <f>SUM(X37:Z37)</f>
        <v>0</v>
      </c>
      <c r="AB37" s="3"/>
      <c r="AC37" s="62" t="str">
        <f>IF(AND(M37=1,P37&lt;&gt;"N"),$AC$1,"")</f>
        <v/>
      </c>
      <c r="AD37" s="62" t="str">
        <f>_xlfn.IFS(P37="N",$AD$1*AA37,P37="EE","",P37="ER","",P37="","")</f>
        <v/>
      </c>
      <c r="AE37" s="62" t="str">
        <f>_xlfn.IFS(P37="EE",X37*$AE$1,P37="ER",X37*$AE$2,P37="N","",P37="","")</f>
        <v/>
      </c>
      <c r="AF37" s="62" t="str">
        <f>+IF(AA37&gt;1,AA37*$AF$1,"")</f>
        <v/>
      </c>
      <c r="AG37" s="192">
        <v>0</v>
      </c>
      <c r="AH37" s="62" t="str">
        <f>+IF(AA37&gt;1,AA37*$AH$1,"")</f>
        <v/>
      </c>
      <c r="AI37" s="62">
        <f>+_xlfn.IFS(F37&lt;2300,(AA37*$AI$1),F37&gt;=2300,(AA37*$AI$2),F37="","")</f>
        <v>0</v>
      </c>
      <c r="AJ37" s="62"/>
      <c r="AK37" s="62">
        <v>0</v>
      </c>
      <c r="AL37" s="256">
        <f>SUM(AC37:AK37)</f>
        <v>0</v>
      </c>
      <c r="AM37" s="256">
        <f>AA37</f>
        <v>0</v>
      </c>
      <c r="AN37" s="256">
        <f>SUM(AL37:AM37)</f>
        <v>0</v>
      </c>
    </row>
    <row r="38" spans="1:40" hidden="1" x14ac:dyDescent="0.2">
      <c r="A38" s="3" t="str">
        <f>IF('Employee Detail FY23'!A38="","",'Employee Detail FY23'!A38)</f>
        <v>TITLE I 1003a</v>
      </c>
      <c r="B38" s="647" t="str">
        <f>IF('Employee Detail FY23'!B38="","",'Employee Detail FY23'!B38)</f>
        <v>280</v>
      </c>
      <c r="C38" s="647" t="str">
        <f>IF('Employee Detail FY23'!C38="","",'Employee Detail FY23'!C38)</f>
        <v>624</v>
      </c>
      <c r="D38" s="647"/>
      <c r="E38" s="647" t="str">
        <f>IF('Employee Detail FY23'!E38="","",'Employee Detail FY23'!E38)</f>
        <v>430</v>
      </c>
      <c r="F38" s="647" t="str">
        <f>IF('Employee Detail FY23'!F38="","",'Employee Detail FY23'!F38)</f>
        <v>2210</v>
      </c>
      <c r="G38" s="647" t="str">
        <f>IF('Employee Detail FY23'!G38="","",'Employee Detail FY23'!G38)</f>
        <v>0101</v>
      </c>
      <c r="H38" s="3"/>
      <c r="I38" s="255" t="str">
        <f>IF('Employee Detail FY23'!I38="","",'Employee Detail FY23'!I38)</f>
        <v>HUNT</v>
      </c>
      <c r="J38" s="255" t="str">
        <f>IF('Employee Detail FY23'!J38="","",'Employee Detail FY23'!J38)</f>
        <v>KATHRYN</v>
      </c>
      <c r="K38" s="255" t="str">
        <f>IF('Employee Detail FY23'!K38="","",'Employee Detail FY23'!K38)</f>
        <v>Licensed Support Staff</v>
      </c>
      <c r="L38" s="255" t="str">
        <f>IF('Employee Detail FY23'!L38="","",'Employee Detail FY23'!L38)</f>
        <v xml:space="preserve">LITERACY &amp; DATA FACILITATOR, INSTRUCTIONAL FACILITATOR </v>
      </c>
      <c r="M38" s="92">
        <f>IF('Employee Detail FY23'!M38="","",'Employee Detail FY23'!M38)</f>
        <v>1</v>
      </c>
      <c r="N38" s="3" t="str">
        <f>IF('Employee Detail FY23'!N38="","",'Employee Detail FY23'!N38)</f>
        <v>S</v>
      </c>
      <c r="O38" s="3">
        <f>IF('Employee Detail FY23'!O38="","",'Employee Detail FY23'!O38)</f>
        <v>26</v>
      </c>
      <c r="P38" s="3" t="str">
        <f>IF('Employee Detail FY23'!P38="","",'Employee Detail FY23'!P38)</f>
        <v>ER</v>
      </c>
      <c r="Q38" s="3" t="str">
        <f>IF('Employee Detail FY23'!Q38="","",'Employee Detail FY23'!Q38)</f>
        <v/>
      </c>
      <c r="R38" s="3">
        <f>IF('Employee Detail FY23'!R38="","",'Employee Detail FY23'!R38)</f>
        <v>200</v>
      </c>
      <c r="S38" s="3">
        <f>IF('Employee Detail FY23'!S38="","",'Employee Detail FY23'!S38)</f>
        <v>8</v>
      </c>
      <c r="T38" s="263">
        <f t="shared" si="4"/>
        <v>1600</v>
      </c>
      <c r="U38" s="269">
        <f>IF('Employee Detail FY23'!U38="","",'Employee Detail FY23'!U38)</f>
        <v>63148</v>
      </c>
      <c r="V38" s="270">
        <f t="shared" si="5"/>
        <v>66936.88</v>
      </c>
      <c r="W38" s="270" t="str">
        <f t="shared" si="6"/>
        <v/>
      </c>
      <c r="X38" s="270">
        <f t="shared" si="7"/>
        <v>66936.88</v>
      </c>
      <c r="Y38" s="62">
        <v>0</v>
      </c>
      <c r="Z38" s="62">
        <v>0</v>
      </c>
      <c r="AA38" s="256">
        <f t="shared" si="8"/>
        <v>66936.88</v>
      </c>
      <c r="AB38" s="3"/>
      <c r="AC38" s="62">
        <f t="shared" si="9"/>
        <v>7943.76</v>
      </c>
      <c r="AD38" s="62" t="str">
        <f t="shared" si="10"/>
        <v/>
      </c>
      <c r="AE38" s="62">
        <f t="shared" si="11"/>
        <v>19579.037400000001</v>
      </c>
      <c r="AF38" s="62">
        <f t="shared" si="12"/>
        <v>970.58476000000007</v>
      </c>
      <c r="AG38" s="192">
        <v>0</v>
      </c>
      <c r="AH38" s="62">
        <f t="shared" si="13"/>
        <v>609.28197970806718</v>
      </c>
      <c r="AI38" s="62">
        <f t="shared" si="14"/>
        <v>197.14241260499688</v>
      </c>
      <c r="AJ38" s="62"/>
      <c r="AK38" s="62">
        <v>0</v>
      </c>
      <c r="AL38" s="256">
        <f t="shared" si="15"/>
        <v>29299.806552313068</v>
      </c>
      <c r="AM38" s="256">
        <f t="shared" si="16"/>
        <v>66936.88</v>
      </c>
      <c r="AN38" s="256">
        <f t="shared" si="17"/>
        <v>96236.686552313069</v>
      </c>
    </row>
    <row r="39" spans="1:40" x14ac:dyDescent="0.2">
      <c r="A39" s="3" t="str">
        <f>IF('Employee Detail FY23'!A39="","",'Employee Detail FY23'!A39)</f>
        <v>CSP</v>
      </c>
      <c r="B39" s="647" t="s">
        <v>468</v>
      </c>
      <c r="C39" s="647" t="s">
        <v>145</v>
      </c>
      <c r="D39" s="647"/>
      <c r="E39" s="647">
        <f>IF('Employee Detail FY23'!E39="","",'Employee Detail FY23'!E39)</f>
        <v>100</v>
      </c>
      <c r="F39" s="647" t="str">
        <f>IF('Employee Detail FY23'!F39="","",'Employee Detail FY23'!F39)</f>
        <v>1000</v>
      </c>
      <c r="G39" s="647" t="str">
        <f>IF('Employee Detail FY23'!G39="","",'Employee Detail FY23'!G39)</f>
        <v>0101</v>
      </c>
      <c r="H39" s="3"/>
      <c r="I39" s="255" t="str">
        <f>IF('Employee Detail FY23'!I39="","",'Employee Detail FY23'!I39)</f>
        <v>RODILOSSO</v>
      </c>
      <c r="J39" s="255" t="str">
        <f>IF('Employee Detail FY23'!J39="","",'Employee Detail FY23'!J39)</f>
        <v>KRISTINA</v>
      </c>
      <c r="K39" s="255" t="str">
        <f>IF('Employee Detail FY23'!K39="","",'Employee Detail FY23'!K39)</f>
        <v>Licensed Staff</v>
      </c>
      <c r="L39" s="255" t="str">
        <f>IF('Employee Detail FY23'!L39="","",'Employee Detail FY23'!L39)</f>
        <v>BLENDED LEARNING FACILITATOR</v>
      </c>
      <c r="M39" s="92">
        <f>IF('Employee Detail FY23'!M39="","",'Employee Detail FY23'!M39)</f>
        <v>1</v>
      </c>
      <c r="N39" s="3" t="str">
        <f>IF('Employee Detail FY23'!N39="","",'Employee Detail FY23'!N39)</f>
        <v/>
      </c>
      <c r="O39" s="3">
        <f>IF('Employee Detail FY23'!O39="","",'Employee Detail FY23'!O39)</f>
        <v>26</v>
      </c>
      <c r="P39" s="3" t="str">
        <f>IF('Employee Detail FY23'!P39="","",'Employee Detail FY23'!P39)</f>
        <v>EE</v>
      </c>
      <c r="Q39" s="3" t="str">
        <f>IF('Employee Detail FY23'!Q39="","",'Employee Detail FY23'!Q39)</f>
        <v/>
      </c>
      <c r="R39" s="3">
        <f>IF('Employee Detail FY23'!R39="","",'Employee Detail FY23'!R39)</f>
        <v>200</v>
      </c>
      <c r="S39" s="3">
        <f>IF('Employee Detail FY23'!S39="","",'Employee Detail FY23'!S39)</f>
        <v>8</v>
      </c>
      <c r="T39" s="263">
        <f t="shared" si="4"/>
        <v>1600</v>
      </c>
      <c r="U39" s="269">
        <f>IF('Employee Detail FY23'!U39="","",'Employee Detail FY23'!U39)</f>
        <v>57896</v>
      </c>
      <c r="V39" s="270">
        <f t="shared" si="5"/>
        <v>61369.760000000002</v>
      </c>
      <c r="W39" s="270">
        <f t="shared" si="6"/>
        <v>70795.295959359995</v>
      </c>
      <c r="X39" s="270">
        <f t="shared" si="7"/>
        <v>70795.295959359995</v>
      </c>
      <c r="Y39" s="62">
        <v>0</v>
      </c>
      <c r="Z39" s="62">
        <v>0</v>
      </c>
      <c r="AA39" s="256">
        <f t="shared" si="8"/>
        <v>70795.295959359995</v>
      </c>
      <c r="AB39" s="3"/>
      <c r="AC39" s="62">
        <f t="shared" si="9"/>
        <v>7943.76</v>
      </c>
      <c r="AD39" s="62" t="str">
        <f t="shared" si="10"/>
        <v/>
      </c>
      <c r="AE39" s="62">
        <f t="shared" si="11"/>
        <v>10796.282633802399</v>
      </c>
      <c r="AF39" s="62">
        <f t="shared" si="12"/>
        <v>1026.53179141072</v>
      </c>
      <c r="AG39" s="192">
        <v>0</v>
      </c>
      <c r="AH39" s="62">
        <f t="shared" si="13"/>
        <v>644.40257861043688</v>
      </c>
      <c r="AI39" s="62">
        <f t="shared" si="14"/>
        <v>208.50621430985456</v>
      </c>
      <c r="AJ39" s="62"/>
      <c r="AK39" s="62">
        <v>0</v>
      </c>
      <c r="AL39" s="256">
        <f t="shared" si="15"/>
        <v>20619.48321813341</v>
      </c>
      <c r="AM39" s="256">
        <f t="shared" si="16"/>
        <v>70795.295959359995</v>
      </c>
      <c r="AN39" s="256">
        <f t="shared" si="17"/>
        <v>91414.779177493401</v>
      </c>
    </row>
    <row r="40" spans="1:40" hidden="1" x14ac:dyDescent="0.2">
      <c r="A40" s="3" t="str">
        <f>IF('Employee Detail FY23'!A40="","",'Employee Detail FY23'!A40)</f>
        <v>TITLE Ia</v>
      </c>
      <c r="B40" s="647">
        <f>IF('Employee Detail FY23'!B40="","",'Employee Detail FY23'!B40)</f>
        <v>280</v>
      </c>
      <c r="C40" s="647">
        <f>IF('Employee Detail FY23'!C40="","",'Employee Detail FY23'!C40)</f>
        <v>633</v>
      </c>
      <c r="D40" s="647"/>
      <c r="E40" s="647">
        <f>IF('Employee Detail FY23'!E40="","",'Employee Detail FY23'!E40)</f>
        <v>430</v>
      </c>
      <c r="F40" s="647">
        <f>IF('Employee Detail FY23'!F40="","",'Employee Detail FY23'!F40)</f>
        <v>2210</v>
      </c>
      <c r="G40" s="647" t="str">
        <f>IF('Employee Detail FY23'!G40="","",'Employee Detail FY23'!G40)</f>
        <v>0101</v>
      </c>
      <c r="H40" s="3"/>
      <c r="I40" s="255" t="str">
        <f>IF('Employee Detail FY23'!I40="","",'Employee Detail FY23'!I40)</f>
        <v>WILNEWIC</v>
      </c>
      <c r="J40" s="255" t="str">
        <f>IF('Employee Detail FY23'!J40="","",'Employee Detail FY23'!J40)</f>
        <v>Jennifer</v>
      </c>
      <c r="K40" s="255" t="str">
        <f>IF('Employee Detail FY23'!K40="","",'Employee Detail FY23'!K40)</f>
        <v>Licensed Staff</v>
      </c>
      <c r="L40" s="255" t="str">
        <f>IF('Employee Detail FY23'!L40="","",'Employee Detail FY23'!L40)</f>
        <v>MATH FACILITATOR</v>
      </c>
      <c r="M40" s="92">
        <f>IF('Employee Detail FY23'!M40="","",'Employee Detail FY23'!M40)</f>
        <v>1</v>
      </c>
      <c r="N40" s="3" t="str">
        <f>IF('Employee Detail FY23'!N40="","",'Employee Detail FY23'!N40)</f>
        <v/>
      </c>
      <c r="O40" s="3">
        <f>IF('Employee Detail FY23'!O40="","",'Employee Detail FY23'!O40)</f>
        <v>26</v>
      </c>
      <c r="P40" s="3" t="str">
        <f>IF('Employee Detail FY23'!P40="","",'Employee Detail FY23'!P40)</f>
        <v>EE</v>
      </c>
      <c r="Q40" s="3" t="str">
        <f>IF('Employee Detail FY23'!Q40="","",'Employee Detail FY23'!Q40)</f>
        <v/>
      </c>
      <c r="R40" s="3">
        <f>IF('Employee Detail FY23'!R40="","",'Employee Detail FY23'!R40)</f>
        <v>200</v>
      </c>
      <c r="S40" s="3">
        <f>IF('Employee Detail FY23'!S40="","",'Employee Detail FY23'!S40)</f>
        <v>8</v>
      </c>
      <c r="T40" s="263">
        <f t="shared" si="4"/>
        <v>1600</v>
      </c>
      <c r="U40" s="269">
        <f>IF('Employee Detail FY23'!U40="","",'Employee Detail FY23'!U40)</f>
        <v>64411</v>
      </c>
      <c r="V40" s="270">
        <f t="shared" si="5"/>
        <v>68275.66</v>
      </c>
      <c r="W40" s="270">
        <f t="shared" si="6"/>
        <v>78761.845516760004</v>
      </c>
      <c r="X40" s="270">
        <f t="shared" si="7"/>
        <v>78761.845516760004</v>
      </c>
      <c r="Y40" s="62">
        <v>0</v>
      </c>
      <c r="Z40" s="62">
        <v>0</v>
      </c>
      <c r="AA40" s="256">
        <f t="shared" si="8"/>
        <v>78761.845516760004</v>
      </c>
      <c r="AB40" s="3"/>
      <c r="AC40" s="62">
        <f t="shared" si="9"/>
        <v>7943.76</v>
      </c>
      <c r="AD40" s="62" t="str">
        <f t="shared" si="10"/>
        <v/>
      </c>
      <c r="AE40" s="62">
        <f t="shared" si="11"/>
        <v>12011.1814413059</v>
      </c>
      <c r="AF40" s="62">
        <f t="shared" si="12"/>
        <v>1142.04675999302</v>
      </c>
      <c r="AG40" s="192">
        <v>0</v>
      </c>
      <c r="AH40" s="62">
        <f t="shared" si="13"/>
        <v>716.91679029426655</v>
      </c>
      <c r="AI40" s="62">
        <f t="shared" si="14"/>
        <v>231.96928578679083</v>
      </c>
      <c r="AJ40" s="62"/>
      <c r="AK40" s="62">
        <v>0</v>
      </c>
      <c r="AL40" s="256">
        <f t="shared" si="15"/>
        <v>22045.874277379979</v>
      </c>
      <c r="AM40" s="256">
        <f t="shared" si="16"/>
        <v>78761.845516760004</v>
      </c>
      <c r="AN40" s="256">
        <f t="shared" si="17"/>
        <v>100807.71979413998</v>
      </c>
    </row>
    <row r="41" spans="1:40" hidden="1" x14ac:dyDescent="0.2">
      <c r="A41" s="3" t="str">
        <f>IF('Employee Detail FY23'!A41="","",'Employee Detail FY23'!A41)</f>
        <v/>
      </c>
      <c r="B41" s="647" t="str">
        <f>IF('Employee Detail FY23'!B41="","",'Employee Detail FY23'!B41)</f>
        <v/>
      </c>
      <c r="C41" s="647" t="str">
        <f>IF('Employee Detail FY23'!C41="","",'Employee Detail FY23'!C41)</f>
        <v/>
      </c>
      <c r="D41" s="647"/>
      <c r="E41" s="647" t="str">
        <f>IF('Employee Detail FY23'!E41="","",'Employee Detail FY23'!E41)</f>
        <v/>
      </c>
      <c r="F41" s="647" t="str">
        <f>IF('Employee Detail FY23'!F41="","",'Employee Detail FY23'!F41)</f>
        <v/>
      </c>
      <c r="G41" s="647" t="str">
        <f>IF('Employee Detail FY23'!G41="","",'Employee Detail FY23'!G41)</f>
        <v/>
      </c>
      <c r="H41" s="3"/>
      <c r="I41" s="255" t="str">
        <f>IF('Employee Detail FY23'!I41="","",'Employee Detail FY23'!I41)</f>
        <v/>
      </c>
      <c r="J41" s="255" t="str">
        <f>IF('Employee Detail FY23'!J41="","",'Employee Detail FY23'!J41)</f>
        <v/>
      </c>
      <c r="K41" s="255" t="str">
        <f>IF('Employee Detail FY23'!K41="","",'Employee Detail FY23'!K41)</f>
        <v/>
      </c>
      <c r="L41" s="255"/>
      <c r="M41" s="92" t="str">
        <f>IF('Employee Detail FY23'!M41="","",'Employee Detail FY23'!M41)</f>
        <v/>
      </c>
      <c r="N41" s="3" t="str">
        <f>IF('Employee Detail FY23'!N41="","",'Employee Detail FY23'!N41)</f>
        <v/>
      </c>
      <c r="O41" s="3" t="str">
        <f>IF('Employee Detail FY23'!O41="","",'Employee Detail FY23'!O41)</f>
        <v/>
      </c>
      <c r="P41" s="3" t="str">
        <f>IF('Employee Detail FY23'!P41="","",'Employee Detail FY23'!P41)</f>
        <v/>
      </c>
      <c r="Q41" s="3" t="str">
        <f>IF('Employee Detail FY23'!Q41="","",'Employee Detail FY23'!Q41)</f>
        <v/>
      </c>
      <c r="R41" s="3" t="str">
        <f>IF('Employee Detail FY23'!R41="","",'Employee Detail FY23'!R41)</f>
        <v/>
      </c>
      <c r="S41" s="3" t="str">
        <f>IF('Employee Detail FY23'!S41="","",'Employee Detail FY23'!S41)</f>
        <v/>
      </c>
      <c r="T41" s="263" t="str">
        <f t="shared" si="4"/>
        <v/>
      </c>
      <c r="U41" s="269" t="str">
        <f>IF('Employee Detail FY23'!U41="","",'Employee Detail FY23'!U41)</f>
        <v/>
      </c>
      <c r="V41" s="270" t="str">
        <f t="shared" si="5"/>
        <v/>
      </c>
      <c r="W41" s="270" t="str">
        <f t="shared" si="6"/>
        <v/>
      </c>
      <c r="X41" s="270" t="str">
        <f t="shared" si="7"/>
        <v/>
      </c>
      <c r="Y41" s="62">
        <v>0</v>
      </c>
      <c r="Z41" s="62">
        <v>0</v>
      </c>
      <c r="AA41" s="256">
        <f t="shared" si="8"/>
        <v>0</v>
      </c>
      <c r="AB41" s="3"/>
      <c r="AC41" s="62" t="str">
        <f t="shared" si="9"/>
        <v/>
      </c>
      <c r="AD41" s="62" t="str">
        <f t="shared" si="10"/>
        <v/>
      </c>
      <c r="AE41" s="62" t="str">
        <f t="shared" si="11"/>
        <v/>
      </c>
      <c r="AF41" s="62" t="str">
        <f t="shared" si="12"/>
        <v/>
      </c>
      <c r="AG41" s="192">
        <v>0</v>
      </c>
      <c r="AH41" s="62" t="str">
        <f t="shared" si="13"/>
        <v/>
      </c>
      <c r="AI41" s="62">
        <f t="shared" si="14"/>
        <v>0</v>
      </c>
      <c r="AJ41" s="62"/>
      <c r="AK41" s="62">
        <v>0</v>
      </c>
      <c r="AL41" s="256">
        <f t="shared" si="15"/>
        <v>0</v>
      </c>
      <c r="AM41" s="256">
        <f t="shared" si="16"/>
        <v>0</v>
      </c>
      <c r="AN41" s="256">
        <f t="shared" si="17"/>
        <v>0</v>
      </c>
    </row>
    <row r="42" spans="1:40" x14ac:dyDescent="0.2">
      <c r="A42" s="3" t="str">
        <f>IF('Employee Detail FY23'!A42="","",'Employee Detail FY23'!A42)</f>
        <v/>
      </c>
      <c r="B42" s="647" t="str">
        <f>IF('Employee Detail FY23'!B42="","",'Employee Detail FY23'!B42)</f>
        <v>250</v>
      </c>
      <c r="C42" s="647" t="str">
        <f>IF('Employee Detail FY23'!C42="","",'Employee Detail FY23'!C42)</f>
        <v>000</v>
      </c>
      <c r="D42" s="647"/>
      <c r="E42" s="647" t="str">
        <f>IF('Employee Detail FY23'!E42="","",'Employee Detail FY23'!E42)</f>
        <v>200</v>
      </c>
      <c r="F42" s="647" t="str">
        <f>IF('Employee Detail FY23'!F42="","",'Employee Detail FY23'!F42)</f>
        <v>1000</v>
      </c>
      <c r="G42" s="647" t="str">
        <f>IF('Employee Detail FY23'!G42="","",'Employee Detail FY23'!G42)</f>
        <v>0101</v>
      </c>
      <c r="H42" s="3"/>
      <c r="I42" s="255" t="str">
        <f>IF('Employee Detail FY23'!I42="","",'Employee Detail FY23'!I42)</f>
        <v>SIMAO</v>
      </c>
      <c r="J42" s="255" t="str">
        <f>IF('Employee Detail FY23'!J42="","",'Employee Detail FY23'!J42)</f>
        <v>MICHAEL</v>
      </c>
      <c r="K42" s="255" t="str">
        <f>IF('Employee Detail FY23'!K42="","",'Employee Detail FY23'!K42)</f>
        <v>Licensed Staff</v>
      </c>
      <c r="L42" s="255" t="str">
        <f>IF('Employee Detail FY23'!L42="","",'Employee Detail FY23'!L42)</f>
        <v>SPED FACILITATOR</v>
      </c>
      <c r="M42" s="92">
        <f>IF('Employee Detail FY23'!M42="","",'Employee Detail FY23'!M42)</f>
        <v>1</v>
      </c>
      <c r="N42" s="3" t="str">
        <f>IF('Employee Detail FY23'!N42="","",'Employee Detail FY23'!N42)</f>
        <v/>
      </c>
      <c r="O42" s="3">
        <f>IF('Employee Detail FY23'!O42="","",'Employee Detail FY23'!O42)</f>
        <v>26</v>
      </c>
      <c r="P42" s="3" t="str">
        <f>IF('Employee Detail FY23'!P42="","",'Employee Detail FY23'!P42)</f>
        <v>ER</v>
      </c>
      <c r="Q42" s="3" t="str">
        <f>IF('Employee Detail FY23'!Q42="","",'Employee Detail FY23'!Q42)</f>
        <v/>
      </c>
      <c r="R42" s="3">
        <f>IF('Employee Detail FY23'!R42="","",'Employee Detail FY23'!R42)</f>
        <v>261</v>
      </c>
      <c r="S42" s="3">
        <f>IF('Employee Detail FY23'!S42="","",'Employee Detail FY23'!S42)</f>
        <v>8</v>
      </c>
      <c r="T42" s="263">
        <f t="shared" si="4"/>
        <v>2088</v>
      </c>
      <c r="U42" s="269">
        <f>IF('Employee Detail FY23'!U42="","",'Employee Detail FY23'!U42)</f>
        <v>65000</v>
      </c>
      <c r="V42" s="270">
        <f t="shared" si="5"/>
        <v>68900</v>
      </c>
      <c r="W42" s="270" t="str">
        <f t="shared" si="6"/>
        <v/>
      </c>
      <c r="X42" s="270">
        <f t="shared" si="7"/>
        <v>68900</v>
      </c>
      <c r="Y42" s="62">
        <v>0</v>
      </c>
      <c r="Z42" s="62">
        <v>0</v>
      </c>
      <c r="AA42" s="256">
        <f t="shared" si="8"/>
        <v>68900</v>
      </c>
      <c r="AB42" s="3"/>
      <c r="AC42" s="62">
        <f t="shared" si="9"/>
        <v>7943.76</v>
      </c>
      <c r="AD42" s="62" t="str">
        <f t="shared" si="10"/>
        <v/>
      </c>
      <c r="AE42" s="62">
        <f t="shared" si="11"/>
        <v>20153.25</v>
      </c>
      <c r="AF42" s="62">
        <f t="shared" si="12"/>
        <v>999.05000000000007</v>
      </c>
      <c r="AG42" s="192">
        <v>0</v>
      </c>
      <c r="AH42" s="62">
        <f t="shared" si="13"/>
        <v>627.15095776626913</v>
      </c>
      <c r="AI42" s="62">
        <f t="shared" si="14"/>
        <v>202.92419109591432</v>
      </c>
      <c r="AJ42" s="62"/>
      <c r="AK42" s="62">
        <v>0</v>
      </c>
      <c r="AL42" s="256">
        <f t="shared" si="15"/>
        <v>29926.135148862184</v>
      </c>
      <c r="AM42" s="256">
        <f t="shared" si="16"/>
        <v>68900</v>
      </c>
      <c r="AN42" s="256">
        <f t="shared" si="17"/>
        <v>98826.135148862188</v>
      </c>
    </row>
    <row r="43" spans="1:40" hidden="1" x14ac:dyDescent="0.2">
      <c r="A43" s="3" t="str">
        <f>IF('Employee Detail FY23'!A43="","",'Employee Detail FY23'!A43)</f>
        <v/>
      </c>
      <c r="B43" s="647" t="str">
        <f>IF('Employee Detail FY23'!B43="","",'Employee Detail FY23'!B43)</f>
        <v/>
      </c>
      <c r="C43" s="647" t="str">
        <f>IF('Employee Detail FY23'!C43="","",'Employee Detail FY23'!C43)</f>
        <v/>
      </c>
      <c r="D43" s="647"/>
      <c r="E43" s="647" t="str">
        <f>IF('Employee Detail FY23'!E43="","",'Employee Detail FY23'!E43)</f>
        <v/>
      </c>
      <c r="F43" s="647" t="str">
        <f>IF('Employee Detail FY23'!F43="","",'Employee Detail FY23'!F43)</f>
        <v/>
      </c>
      <c r="G43" s="647" t="str">
        <f>IF('Employee Detail FY23'!G43="","",'Employee Detail FY23'!G43)</f>
        <v/>
      </c>
      <c r="H43" s="3"/>
      <c r="I43" s="255" t="str">
        <f>IF('Employee Detail FY23'!I43="","",'Employee Detail FY23'!I43)</f>
        <v/>
      </c>
      <c r="J43" s="255" t="str">
        <f>IF('Employee Detail FY23'!J43="","",'Employee Detail FY23'!J43)</f>
        <v/>
      </c>
      <c r="K43" s="255" t="str">
        <f>IF('Employee Detail FY23'!K43="","",'Employee Detail FY23'!K43)</f>
        <v/>
      </c>
      <c r="L43" s="255" t="str">
        <f>IF('Employee Detail FY23'!L43="","",'Employee Detail FY23'!L43)</f>
        <v/>
      </c>
      <c r="M43" s="92" t="str">
        <f>IF('Employee Detail FY23'!M43="","",'Employee Detail FY23'!M43)</f>
        <v/>
      </c>
      <c r="N43" s="3" t="str">
        <f>IF('Employee Detail FY23'!N43="","",'Employee Detail FY23'!N43)</f>
        <v/>
      </c>
      <c r="O43" s="3" t="str">
        <f>IF('Employee Detail FY23'!O43="","",'Employee Detail FY23'!O43)</f>
        <v/>
      </c>
      <c r="P43" s="3" t="str">
        <f>IF('Employee Detail FY23'!P43="","",'Employee Detail FY23'!P43)</f>
        <v/>
      </c>
      <c r="Q43" s="3" t="str">
        <f>IF('Employee Detail FY23'!Q43="","",'Employee Detail FY23'!Q43)</f>
        <v/>
      </c>
      <c r="R43" s="3" t="str">
        <f>IF('Employee Detail FY23'!R43="","",'Employee Detail FY23'!R43)</f>
        <v/>
      </c>
      <c r="S43" s="3" t="str">
        <f>IF('Employee Detail FY23'!S43="","",'Employee Detail FY23'!S43)</f>
        <v/>
      </c>
      <c r="T43" s="263" t="str">
        <f t="shared" si="4"/>
        <v/>
      </c>
      <c r="U43" s="269" t="str">
        <f>IF('Employee Detail FY23'!U43="","",'Employee Detail FY23'!U43)</f>
        <v/>
      </c>
      <c r="V43" s="270" t="str">
        <f t="shared" si="5"/>
        <v/>
      </c>
      <c r="W43" s="270" t="str">
        <f t="shared" si="6"/>
        <v/>
      </c>
      <c r="X43" s="270" t="str">
        <f t="shared" si="7"/>
        <v/>
      </c>
      <c r="Y43" s="62">
        <v>0</v>
      </c>
      <c r="Z43" s="62">
        <v>0</v>
      </c>
      <c r="AA43" s="256">
        <f t="shared" si="8"/>
        <v>0</v>
      </c>
      <c r="AB43" s="3"/>
      <c r="AC43" s="62" t="str">
        <f t="shared" si="9"/>
        <v/>
      </c>
      <c r="AD43" s="62" t="str">
        <f t="shared" si="10"/>
        <v/>
      </c>
      <c r="AE43" s="62" t="str">
        <f t="shared" si="11"/>
        <v/>
      </c>
      <c r="AF43" s="62" t="str">
        <f t="shared" si="12"/>
        <v/>
      </c>
      <c r="AG43" s="192">
        <v>0</v>
      </c>
      <c r="AH43" s="62" t="str">
        <f t="shared" si="13"/>
        <v/>
      </c>
      <c r="AI43" s="62">
        <f t="shared" si="14"/>
        <v>0</v>
      </c>
      <c r="AJ43" s="62"/>
      <c r="AK43" s="62">
        <v>0</v>
      </c>
      <c r="AL43" s="256">
        <f t="shared" si="15"/>
        <v>0</v>
      </c>
      <c r="AM43" s="256">
        <f t="shared" si="16"/>
        <v>0</v>
      </c>
      <c r="AN43" s="256">
        <f t="shared" si="17"/>
        <v>0</v>
      </c>
    </row>
    <row r="44" spans="1:40" hidden="1" x14ac:dyDescent="0.2">
      <c r="A44" s="3" t="str">
        <f>IF('Employee Detail FY23'!A44="","",'Employee Detail FY23'!A44)</f>
        <v/>
      </c>
      <c r="B44" s="647">
        <f>IF('Employee Detail FY23'!B44="","",'Employee Detail FY23'!B44)</f>
        <v>250</v>
      </c>
      <c r="C44" s="647" t="str">
        <f>IF('Employee Detail FY23'!C44="","",'Employee Detail FY23'!C44)</f>
        <v>205</v>
      </c>
      <c r="D44" s="647"/>
      <c r="E44" s="647">
        <f>IF('Employee Detail FY23'!E44="","",'Employee Detail FY23'!E44)</f>
        <v>200</v>
      </c>
      <c r="F44" s="647">
        <f>IF('Employee Detail FY23'!F44="","",'Employee Detail FY23'!F44)</f>
        <v>2140</v>
      </c>
      <c r="G44" s="647" t="str">
        <f>IF('Employee Detail FY23'!G44="","",'Employee Detail FY23'!G44)</f>
        <v>0106</v>
      </c>
      <c r="H44" s="3"/>
      <c r="I44" s="255" t="str">
        <f>IF('Employee Detail FY23'!I44="","",'Employee Detail FY23'!I44)</f>
        <v>NASH</v>
      </c>
      <c r="J44" s="255" t="str">
        <f>IF('Employee Detail FY23'!J44="","",'Employee Detail FY23'!J44)</f>
        <v>Mala</v>
      </c>
      <c r="K44" s="255" t="str">
        <f>IF('Employee Detail FY23'!K44="","",'Employee Detail FY23'!K44)</f>
        <v>Licensed Support Staff</v>
      </c>
      <c r="L44" s="255" t="str">
        <f>IF('Employee Detail FY23'!L44="","",'Employee Detail FY23'!L44)</f>
        <v>PSYCHOLOGIST</v>
      </c>
      <c r="M44" s="92">
        <f>IF('Employee Detail FY23'!M44="","",'Employee Detail FY23'!M44)</f>
        <v>1</v>
      </c>
      <c r="N44" s="3" t="str">
        <f>IF('Employee Detail FY23'!N44="","",'Employee Detail FY23'!N44)</f>
        <v/>
      </c>
      <c r="O44" s="3">
        <f>IF('Employee Detail FY23'!O44="","",'Employee Detail FY23'!O44)</f>
        <v>26</v>
      </c>
      <c r="P44" s="3" t="str">
        <f>IF('Employee Detail FY23'!P44="","",'Employee Detail FY23'!P44)</f>
        <v>EE</v>
      </c>
      <c r="Q44" s="3" t="str">
        <f>IF('Employee Detail FY23'!Q44="","",'Employee Detail FY23'!Q44)</f>
        <v/>
      </c>
      <c r="R44" s="3">
        <f>IF('Employee Detail FY23'!R44="","",'Employee Detail FY23'!R44)</f>
        <v>200</v>
      </c>
      <c r="S44" s="3">
        <f>IF('Employee Detail FY23'!S44="","",'Employee Detail FY23'!S44)</f>
        <v>8</v>
      </c>
      <c r="T44" s="263">
        <f t="shared" si="4"/>
        <v>1600</v>
      </c>
      <c r="U44" s="269">
        <f>IF('Employee Detail FY23'!U44="","",'Employee Detail FY23'!U44)</f>
        <v>72768.800000000003</v>
      </c>
      <c r="V44" s="270">
        <f t="shared" si="5"/>
        <v>77134.928</v>
      </c>
      <c r="W44" s="270">
        <f t="shared" si="6"/>
        <v>88981.773051808006</v>
      </c>
      <c r="X44" s="270">
        <f t="shared" si="7"/>
        <v>88981.773051808006</v>
      </c>
      <c r="Y44" s="62">
        <v>0</v>
      </c>
      <c r="Z44" s="62">
        <v>0</v>
      </c>
      <c r="AA44" s="256">
        <f t="shared" si="8"/>
        <v>88981.773051808006</v>
      </c>
      <c r="AB44" s="3"/>
      <c r="AC44" s="62">
        <f t="shared" si="9"/>
        <v>7943.76</v>
      </c>
      <c r="AD44" s="62" t="str">
        <f t="shared" si="10"/>
        <v/>
      </c>
      <c r="AE44" s="62">
        <f t="shared" si="11"/>
        <v>13569.72039040072</v>
      </c>
      <c r="AF44" s="62">
        <f t="shared" si="12"/>
        <v>1290.2357092512161</v>
      </c>
      <c r="AG44" s="192">
        <v>0</v>
      </c>
      <c r="AH44" s="62">
        <f t="shared" si="13"/>
        <v>809.94200570656301</v>
      </c>
      <c r="AI44" s="62">
        <f t="shared" si="14"/>
        <v>262.06900317588338</v>
      </c>
      <c r="AJ44" s="62"/>
      <c r="AK44" s="62">
        <v>0</v>
      </c>
      <c r="AL44" s="256">
        <f t="shared" si="15"/>
        <v>23875.727108534382</v>
      </c>
      <c r="AM44" s="256">
        <f t="shared" si="16"/>
        <v>88981.773051808006</v>
      </c>
      <c r="AN44" s="256">
        <f t="shared" si="17"/>
        <v>112857.50016034239</v>
      </c>
    </row>
    <row r="45" spans="1:40" hidden="1" x14ac:dyDescent="0.2">
      <c r="A45" s="3" t="str">
        <f>IF('Employee Detail FY23'!A45="","",'Employee Detail FY23'!A45)</f>
        <v/>
      </c>
      <c r="B45" s="647" t="str">
        <f>IF('Employee Detail FY23'!B45="","",'Employee Detail FY23'!B45)</f>
        <v/>
      </c>
      <c r="C45" s="647" t="str">
        <f>IF('Employee Detail FY23'!C45="","",'Employee Detail FY23'!C45)</f>
        <v/>
      </c>
      <c r="D45" s="647"/>
      <c r="E45" s="647" t="str">
        <f>IF('Employee Detail FY23'!E45="","",'Employee Detail FY23'!E45)</f>
        <v/>
      </c>
      <c r="F45" s="647" t="str">
        <f>IF('Employee Detail FY23'!F45="","",'Employee Detail FY23'!F45)</f>
        <v/>
      </c>
      <c r="G45" s="647" t="str">
        <f>IF('Employee Detail FY23'!G45="","",'Employee Detail FY23'!G45)</f>
        <v/>
      </c>
      <c r="H45" s="3"/>
      <c r="I45" s="255" t="str">
        <f>IF('Employee Detail FY23'!I45="","",'Employee Detail FY23'!I45)</f>
        <v/>
      </c>
      <c r="J45" s="255" t="str">
        <f>IF('Employee Detail FY23'!J45="","",'Employee Detail FY23'!J45)</f>
        <v/>
      </c>
      <c r="K45" s="255" t="str">
        <f>IF('Employee Detail FY23'!K45="","",'Employee Detail FY23'!K45)</f>
        <v/>
      </c>
      <c r="L45" s="255" t="str">
        <f>IF('Employee Detail FY23'!L45="","",'Employee Detail FY23'!L45)</f>
        <v/>
      </c>
      <c r="M45" s="92" t="str">
        <f>IF('Employee Detail FY23'!M45="","",'Employee Detail FY23'!M45)</f>
        <v/>
      </c>
      <c r="N45" s="3" t="str">
        <f>IF('Employee Detail FY23'!N45="","",'Employee Detail FY23'!N45)</f>
        <v/>
      </c>
      <c r="O45" s="3" t="str">
        <f>IF('Employee Detail FY23'!O45="","",'Employee Detail FY23'!O45)</f>
        <v/>
      </c>
      <c r="P45" s="3" t="str">
        <f>IF('Employee Detail FY23'!P45="","",'Employee Detail FY23'!P45)</f>
        <v/>
      </c>
      <c r="Q45" s="3" t="str">
        <f>IF('Employee Detail FY23'!Q45="","",'Employee Detail FY23'!Q45)</f>
        <v/>
      </c>
      <c r="R45" s="3" t="str">
        <f>IF('Employee Detail FY23'!R45="","",'Employee Detail FY23'!R45)</f>
        <v/>
      </c>
      <c r="S45" s="3" t="str">
        <f>IF('Employee Detail FY23'!S45="","",'Employee Detail FY23'!S45)</f>
        <v/>
      </c>
      <c r="T45" s="263" t="str">
        <f t="shared" si="4"/>
        <v/>
      </c>
      <c r="U45" s="269" t="str">
        <f>IF('Employee Detail FY23'!U45="","",'Employee Detail FY23'!U45)</f>
        <v/>
      </c>
      <c r="V45" s="270" t="str">
        <f t="shared" si="5"/>
        <v/>
      </c>
      <c r="W45" s="270" t="str">
        <f t="shared" si="6"/>
        <v/>
      </c>
      <c r="X45" s="270" t="str">
        <f t="shared" si="7"/>
        <v/>
      </c>
      <c r="Y45" s="62">
        <v>0</v>
      </c>
      <c r="Z45" s="62">
        <v>0</v>
      </c>
      <c r="AA45" s="256">
        <f t="shared" si="8"/>
        <v>0</v>
      </c>
      <c r="AB45" s="3"/>
      <c r="AC45" s="62" t="str">
        <f t="shared" si="9"/>
        <v/>
      </c>
      <c r="AD45" s="62" t="str">
        <f t="shared" si="10"/>
        <v/>
      </c>
      <c r="AE45" s="62" t="str">
        <f t="shared" si="11"/>
        <v/>
      </c>
      <c r="AF45" s="62" t="str">
        <f t="shared" si="12"/>
        <v/>
      </c>
      <c r="AG45" s="192">
        <v>0</v>
      </c>
      <c r="AH45" s="62" t="str">
        <f t="shared" si="13"/>
        <v/>
      </c>
      <c r="AI45" s="62">
        <f t="shared" si="14"/>
        <v>0</v>
      </c>
      <c r="AJ45" s="62"/>
      <c r="AK45" s="62">
        <v>0</v>
      </c>
      <c r="AL45" s="256">
        <f t="shared" si="15"/>
        <v>0</v>
      </c>
      <c r="AM45" s="256">
        <f t="shared" si="16"/>
        <v>0</v>
      </c>
      <c r="AN45" s="256">
        <f t="shared" si="17"/>
        <v>0</v>
      </c>
    </row>
    <row r="46" spans="1:40" hidden="1" x14ac:dyDescent="0.2">
      <c r="A46" s="3" t="str">
        <f>IF('Employee Detail FY23'!A46="","",'Employee Detail FY23'!A46)</f>
        <v/>
      </c>
      <c r="B46" s="647">
        <f>IF('Employee Detail FY23'!B46="","",'Employee Detail FY23'!B46)</f>
        <v>250</v>
      </c>
      <c r="C46" s="647" t="str">
        <f>IF('Employee Detail FY23'!C46="","",'Employee Detail FY23'!C46)</f>
        <v>205</v>
      </c>
      <c r="D46" s="647"/>
      <c r="E46" s="647" t="str">
        <f>IF('Employee Detail FY23'!E46="","",'Employee Detail FY23'!E46)</f>
        <v>200</v>
      </c>
      <c r="F46" s="647">
        <f>IF('Employee Detail FY23'!F46="","",'Employee Detail FY23'!F46)</f>
        <v>2130</v>
      </c>
      <c r="G46" s="647" t="str">
        <f>IF('Employee Detail FY23'!G46="","",'Employee Detail FY23'!G46)</f>
        <v>0106</v>
      </c>
      <c r="H46" s="3"/>
      <c r="I46" s="255" t="str">
        <f>IF('Employee Detail FY23'!I46="","",'Employee Detail FY23'!I46)</f>
        <v>LAGRUTTA</v>
      </c>
      <c r="J46" s="255" t="str">
        <f>IF('Employee Detail FY23'!J46="","",'Employee Detail FY23'!J46)</f>
        <v>JUDY</v>
      </c>
      <c r="K46" s="255" t="str">
        <f>IF('Employee Detail FY23'!K46="","",'Employee Detail FY23'!K46)</f>
        <v>Licensed Support Staff</v>
      </c>
      <c r="L46" s="255" t="str">
        <f>IF('Employee Detail FY23'!L46="","",'Employee Detail FY23'!L46)</f>
        <v>NURSE</v>
      </c>
      <c r="M46" s="92">
        <f>IF('Employee Detail FY23'!M46="","",'Employee Detail FY23'!M46)</f>
        <v>0.3</v>
      </c>
      <c r="N46" s="3">
        <f>IF('Employee Detail FY23'!N46="","",'Employee Detail FY23'!N46)</f>
        <v>45</v>
      </c>
      <c r="O46" s="3">
        <f>IF('Employee Detail FY23'!O46="","",'Employee Detail FY23'!O46)</f>
        <v>26</v>
      </c>
      <c r="P46" s="3" t="str">
        <f>IF('Employee Detail FY23'!P46="","",'Employee Detail FY23'!P46)</f>
        <v>N</v>
      </c>
      <c r="Q46" s="3">
        <f>IF('Employee Detail FY23'!Q46="","",'Employee Detail FY23'!Q46)</f>
        <v>45</v>
      </c>
      <c r="R46" s="3">
        <f>IF('Employee Detail FY23'!R46="","",'Employee Detail FY23'!R46)</f>
        <v>1</v>
      </c>
      <c r="S46" s="3">
        <f>IF('Employee Detail FY23'!S46="","",'Employee Detail FY23'!S46)</f>
        <v>524</v>
      </c>
      <c r="T46" s="263">
        <f t="shared" si="4"/>
        <v>524</v>
      </c>
      <c r="U46" s="269">
        <f>IF('Employee Detail FY23'!U46="","",'Employee Detail FY23'!U46)</f>
        <v>23580</v>
      </c>
      <c r="V46" s="270">
        <f t="shared" si="5"/>
        <v>24994.800000000003</v>
      </c>
      <c r="W46" s="270" t="str">
        <f t="shared" si="6"/>
        <v/>
      </c>
      <c r="X46" s="270">
        <f t="shared" si="7"/>
        <v>24994.800000000003</v>
      </c>
      <c r="Y46" s="62">
        <v>0</v>
      </c>
      <c r="Z46" s="62">
        <v>0</v>
      </c>
      <c r="AA46" s="256">
        <f t="shared" si="8"/>
        <v>24994.800000000003</v>
      </c>
      <c r="AB46" s="3"/>
      <c r="AC46" s="62" t="str">
        <f t="shared" si="9"/>
        <v/>
      </c>
      <c r="AD46" s="62">
        <f t="shared" si="10"/>
        <v>1549.6776000000002</v>
      </c>
      <c r="AE46" s="62" t="str">
        <f t="shared" si="11"/>
        <v/>
      </c>
      <c r="AF46" s="62">
        <f t="shared" si="12"/>
        <v>362.42460000000005</v>
      </c>
      <c r="AG46" s="192">
        <v>0</v>
      </c>
      <c r="AH46" s="62">
        <f t="shared" si="13"/>
        <v>227.5110705250558</v>
      </c>
      <c r="AI46" s="62">
        <f t="shared" si="14"/>
        <v>73.614652708333224</v>
      </c>
      <c r="AJ46" s="62"/>
      <c r="AK46" s="62">
        <v>0</v>
      </c>
      <c r="AL46" s="256">
        <f t="shared" si="15"/>
        <v>2213.2279232333894</v>
      </c>
      <c r="AM46" s="256">
        <f t="shared" si="16"/>
        <v>24994.800000000003</v>
      </c>
      <c r="AN46" s="256">
        <f t="shared" si="17"/>
        <v>27208.027923233392</v>
      </c>
    </row>
    <row r="47" spans="1:40" hidden="1" x14ac:dyDescent="0.2">
      <c r="A47" s="3" t="str">
        <f>IF('Employee Detail FY23'!A47="","",'Employee Detail FY23'!A47)</f>
        <v>TITLE IV</v>
      </c>
      <c r="B47" s="647">
        <f>IF('Employee Detail FY23'!B47="","",'Employee Detail FY23'!B47)</f>
        <v>280</v>
      </c>
      <c r="C47" s="647">
        <f>IF('Employee Detail FY23'!C47="","",'Employee Detail FY23'!C47)</f>
        <v>715</v>
      </c>
      <c r="D47" s="647"/>
      <c r="E47" s="647">
        <f>IF('Employee Detail FY23'!E47="","",'Employee Detail FY23'!E47)</f>
        <v>430</v>
      </c>
      <c r="F47" s="647">
        <f>IF('Employee Detail FY23'!F47="","",'Employee Detail FY23'!F47)</f>
        <v>2130</v>
      </c>
      <c r="G47" s="647" t="str">
        <f>IF('Employee Detail FY23'!G47="","",'Employee Detail FY23'!G47)</f>
        <v>0106</v>
      </c>
      <c r="H47" s="3"/>
      <c r="I47" s="255" t="str">
        <f>IF('Employee Detail FY23'!I47="","",'Employee Detail FY23'!I47)</f>
        <v>LAGRUTTA</v>
      </c>
      <c r="J47" s="255" t="str">
        <f>IF('Employee Detail FY23'!J47="","",'Employee Detail FY23'!J47)</f>
        <v>JUDY</v>
      </c>
      <c r="K47" s="255" t="str">
        <f>IF('Employee Detail FY23'!K47="","",'Employee Detail FY23'!K47)</f>
        <v>Licensed Support Staff</v>
      </c>
      <c r="L47" s="255" t="str">
        <f>IF('Employee Detail FY23'!L47="","",'Employee Detail FY23'!L47)</f>
        <v>NURSE</v>
      </c>
      <c r="M47" s="92">
        <f>IF('Employee Detail FY23'!M47="","",'Employee Detail FY23'!M47)</f>
        <v>0.2</v>
      </c>
      <c r="N47" s="3">
        <f>IF('Employee Detail FY23'!N47="","",'Employee Detail FY23'!N47)</f>
        <v>45</v>
      </c>
      <c r="O47" s="3">
        <f>IF('Employee Detail FY23'!O47="","",'Employee Detail FY23'!O47)</f>
        <v>26</v>
      </c>
      <c r="P47" s="3" t="str">
        <f>IF('Employee Detail FY23'!P47="","",'Employee Detail FY23'!P47)</f>
        <v>N</v>
      </c>
      <c r="Q47" s="3">
        <f>IF('Employee Detail FY23'!Q47="","",'Employee Detail FY23'!Q47)</f>
        <v>45</v>
      </c>
      <c r="R47" s="3">
        <f>IF('Employee Detail FY23'!R47="","",'Employee Detail FY23'!R47)</f>
        <v>1</v>
      </c>
      <c r="S47" s="3">
        <f>IF('Employee Detail FY23'!S47="","",'Employee Detail FY23'!S47)</f>
        <v>258.75555555555553</v>
      </c>
      <c r="T47" s="263">
        <f t="shared" si="4"/>
        <v>258.75555555555553</v>
      </c>
      <c r="U47" s="269">
        <f>IF('Employee Detail FY23'!U47="","",'Employee Detail FY23'!U47)</f>
        <v>11643.999999999998</v>
      </c>
      <c r="V47" s="270">
        <f t="shared" si="5"/>
        <v>12342.64</v>
      </c>
      <c r="W47" s="270" t="str">
        <f t="shared" si="6"/>
        <v/>
      </c>
      <c r="X47" s="270">
        <f t="shared" si="7"/>
        <v>12342.64</v>
      </c>
      <c r="Y47" s="62">
        <v>0</v>
      </c>
      <c r="Z47" s="62">
        <v>0</v>
      </c>
      <c r="AA47" s="256">
        <f t="shared" si="8"/>
        <v>12342.64</v>
      </c>
      <c r="AB47" s="3"/>
      <c r="AC47" s="62" t="str">
        <f t="shared" si="9"/>
        <v/>
      </c>
      <c r="AD47" s="62">
        <f t="shared" si="10"/>
        <v>765.24367999999993</v>
      </c>
      <c r="AE47" s="62" t="str">
        <f t="shared" si="11"/>
        <v/>
      </c>
      <c r="AF47" s="62">
        <f t="shared" si="12"/>
        <v>178.96827999999999</v>
      </c>
      <c r="AG47" s="192">
        <v>0</v>
      </c>
      <c r="AH47" s="62">
        <f t="shared" si="13"/>
        <v>112.34685772662212</v>
      </c>
      <c r="AI47" s="62">
        <f t="shared" si="14"/>
        <v>36.351527401858867</v>
      </c>
      <c r="AJ47" s="62"/>
      <c r="AK47" s="62">
        <v>0</v>
      </c>
      <c r="AL47" s="256">
        <f t="shared" si="15"/>
        <v>1092.9103451284809</v>
      </c>
      <c r="AM47" s="256">
        <f t="shared" si="16"/>
        <v>12342.64</v>
      </c>
      <c r="AN47" s="256">
        <f t="shared" si="17"/>
        <v>13435.55034512848</v>
      </c>
    </row>
    <row r="48" spans="1:40" hidden="1" x14ac:dyDescent="0.2">
      <c r="A48" s="3" t="str">
        <f>IF('Employee Detail FY23'!A48="","",'Employee Detail FY23'!A48)</f>
        <v/>
      </c>
      <c r="B48" s="647" t="str">
        <f>IF('Employee Detail FY23'!B48="","",'Employee Detail FY23'!B48)</f>
        <v/>
      </c>
      <c r="C48" s="647" t="str">
        <f>IF('Employee Detail FY23'!C48="","",'Employee Detail FY23'!C48)</f>
        <v/>
      </c>
      <c r="D48" s="647"/>
      <c r="E48" s="647" t="str">
        <f>IF('Employee Detail FY23'!E48="","",'Employee Detail FY23'!E48)</f>
        <v/>
      </c>
      <c r="F48" s="647" t="str">
        <f>IF('Employee Detail FY23'!F48="","",'Employee Detail FY23'!F48)</f>
        <v/>
      </c>
      <c r="G48" s="647" t="str">
        <f>IF('Employee Detail FY23'!G48="","",'Employee Detail FY23'!G48)</f>
        <v/>
      </c>
      <c r="H48" s="3"/>
      <c r="I48" s="255" t="str">
        <f>IF('Employee Detail FY23'!I48="","",'Employee Detail FY23'!I48)</f>
        <v/>
      </c>
      <c r="J48" s="255" t="str">
        <f>IF('Employee Detail FY23'!J48="","",'Employee Detail FY23'!J48)</f>
        <v/>
      </c>
      <c r="K48" s="255" t="str">
        <f>IF('Employee Detail FY23'!K48="","",'Employee Detail FY23'!K48)</f>
        <v/>
      </c>
      <c r="L48" s="255" t="str">
        <f>IF('Employee Detail FY23'!L48="","",'Employee Detail FY23'!L48)</f>
        <v/>
      </c>
      <c r="M48" s="92" t="str">
        <f>IF('Employee Detail FY23'!M48="","",'Employee Detail FY23'!M48)</f>
        <v/>
      </c>
      <c r="N48" s="3" t="str">
        <f>IF('Employee Detail FY23'!N48="","",'Employee Detail FY23'!N48)</f>
        <v/>
      </c>
      <c r="O48" s="3" t="str">
        <f>IF('Employee Detail FY23'!O48="","",'Employee Detail FY23'!O48)</f>
        <v/>
      </c>
      <c r="P48" s="3" t="str">
        <f>IF('Employee Detail FY23'!P48="","",'Employee Detail FY23'!P48)</f>
        <v/>
      </c>
      <c r="Q48" s="3" t="str">
        <f>IF('Employee Detail FY23'!Q48="","",'Employee Detail FY23'!Q48)</f>
        <v/>
      </c>
      <c r="R48" s="3" t="str">
        <f>IF('Employee Detail FY23'!R48="","",'Employee Detail FY23'!R48)</f>
        <v/>
      </c>
      <c r="S48" s="3" t="str">
        <f>IF('Employee Detail FY23'!S48="","",'Employee Detail FY23'!S48)</f>
        <v/>
      </c>
      <c r="T48" s="263" t="str">
        <f t="shared" si="4"/>
        <v/>
      </c>
      <c r="U48" s="269" t="str">
        <f>IF('Employee Detail FY23'!U48="","",'Employee Detail FY23'!U48)</f>
        <v/>
      </c>
      <c r="V48" s="270" t="str">
        <f t="shared" si="5"/>
        <v/>
      </c>
      <c r="W48" s="270" t="str">
        <f t="shared" si="6"/>
        <v/>
      </c>
      <c r="X48" s="270" t="str">
        <f t="shared" si="7"/>
        <v/>
      </c>
      <c r="Y48" s="62">
        <v>0</v>
      </c>
      <c r="Z48" s="62">
        <v>0</v>
      </c>
      <c r="AA48" s="256">
        <f t="shared" si="8"/>
        <v>0</v>
      </c>
      <c r="AB48" s="3"/>
      <c r="AC48" s="62" t="str">
        <f t="shared" si="9"/>
        <v/>
      </c>
      <c r="AD48" s="62" t="str">
        <f t="shared" si="10"/>
        <v/>
      </c>
      <c r="AE48" s="62" t="str">
        <f t="shared" si="11"/>
        <v/>
      </c>
      <c r="AF48" s="62" t="str">
        <f t="shared" si="12"/>
        <v/>
      </c>
      <c r="AG48" s="192">
        <v>0</v>
      </c>
      <c r="AH48" s="62" t="str">
        <f t="shared" si="13"/>
        <v/>
      </c>
      <c r="AI48" s="62">
        <f t="shared" si="14"/>
        <v>0</v>
      </c>
      <c r="AJ48" s="62"/>
      <c r="AK48" s="62">
        <v>0</v>
      </c>
      <c r="AL48" s="256">
        <f t="shared" si="15"/>
        <v>0</v>
      </c>
      <c r="AM48" s="256">
        <f t="shared" si="16"/>
        <v>0</v>
      </c>
      <c r="AN48" s="256">
        <f t="shared" si="17"/>
        <v>0</v>
      </c>
    </row>
    <row r="49" spans="1:40" x14ac:dyDescent="0.2">
      <c r="A49" s="3" t="str">
        <f>IF('Employee Detail FY23'!A49="","",'Employee Detail FY23'!A49)</f>
        <v/>
      </c>
      <c r="B49" s="647">
        <f>IF('Employee Detail FY23'!B49="","",'Employee Detail FY23'!B49)</f>
        <v>100</v>
      </c>
      <c r="C49" s="647" t="str">
        <f>IF('Employee Detail FY23'!C49="","",'Employee Detail FY23'!C49)</f>
        <v>000</v>
      </c>
      <c r="D49" s="647"/>
      <c r="E49" s="647">
        <f>IF('Employee Detail FY23'!E49="","",'Employee Detail FY23'!E49)</f>
        <v>100</v>
      </c>
      <c r="F49" s="647">
        <f>IF('Employee Detail FY23'!F49="","",'Employee Detail FY23'!F49)</f>
        <v>1000</v>
      </c>
      <c r="G49" s="647" t="str">
        <f>IF('Employee Detail FY23'!G49="","",'Employee Detail FY23'!G49)</f>
        <v>0102</v>
      </c>
      <c r="H49" s="3"/>
      <c r="I49" s="255" t="str">
        <f>IF('Employee Detail FY23'!I49="","",'Employee Detail FY23'!I49)</f>
        <v>CASUSO</v>
      </c>
      <c r="J49" s="255" t="str">
        <f>IF('Employee Detail FY23'!J49="","",'Employee Detail FY23'!J49)</f>
        <v>MONICA</v>
      </c>
      <c r="K49" s="255" t="str">
        <f>IF('Employee Detail FY23'!K49="","",'Employee Detail FY23'!K49)</f>
        <v>Support Staff</v>
      </c>
      <c r="L49" s="255" t="str">
        <f>IF('Employee Detail FY23'!L49="","",'Employee Detail FY23'!L49)</f>
        <v>BLENDED LEARNING TEACHER ASSISTANT</v>
      </c>
      <c r="M49" s="92">
        <f>IF('Employee Detail FY23'!M49="","",'Employee Detail FY23'!M49)</f>
        <v>1</v>
      </c>
      <c r="N49" s="3" t="str">
        <f>IF('Employee Detail FY23'!N49="","",'Employee Detail FY23'!N49)</f>
        <v>10</v>
      </c>
      <c r="O49" s="3">
        <f>IF('Employee Detail FY23'!O49="","",'Employee Detail FY23'!O49)</f>
        <v>22</v>
      </c>
      <c r="P49" s="3" t="str">
        <f>IF('Employee Detail FY23'!P49="","",'Employee Detail FY23'!P49)</f>
        <v>EE</v>
      </c>
      <c r="Q49" s="3">
        <f>IF('Employee Detail FY23'!Q49="","",'Employee Detail FY23'!Q49)</f>
        <v>25</v>
      </c>
      <c r="R49" s="3">
        <f>IF('Employee Detail FY23'!R49="","",'Employee Detail FY23'!R49)</f>
        <v>180</v>
      </c>
      <c r="S49" s="3">
        <f>IF('Employee Detail FY23'!S49="","",'Employee Detail FY23'!S49)</f>
        <v>7</v>
      </c>
      <c r="T49" s="263">
        <f t="shared" si="4"/>
        <v>1260</v>
      </c>
      <c r="U49" s="269">
        <f>IF('Employee Detail FY23'!U49="","",'Employee Detail FY23'!U49)</f>
        <v>31500</v>
      </c>
      <c r="V49" s="270">
        <f t="shared" si="5"/>
        <v>33390</v>
      </c>
      <c r="W49" s="270">
        <f t="shared" si="6"/>
        <v>38518.236539999998</v>
      </c>
      <c r="X49" s="270">
        <f t="shared" si="7"/>
        <v>38518.236539999998</v>
      </c>
      <c r="Y49" s="62">
        <v>0</v>
      </c>
      <c r="Z49" s="62">
        <v>0</v>
      </c>
      <c r="AA49" s="256">
        <f t="shared" si="8"/>
        <v>38518.236539999998</v>
      </c>
      <c r="AB49" s="3"/>
      <c r="AC49" s="62">
        <f t="shared" si="9"/>
        <v>7943.76</v>
      </c>
      <c r="AD49" s="62" t="str">
        <f t="shared" si="10"/>
        <v/>
      </c>
      <c r="AE49" s="62">
        <f t="shared" si="11"/>
        <v>5874.0310723499997</v>
      </c>
      <c r="AF49" s="62">
        <f t="shared" si="12"/>
        <v>558.51442983000004</v>
      </c>
      <c r="AG49" s="192">
        <v>0</v>
      </c>
      <c r="AH49" s="62">
        <f t="shared" si="13"/>
        <v>350.60593523263719</v>
      </c>
      <c r="AI49" s="62">
        <f t="shared" si="14"/>
        <v>113.4438605561769</v>
      </c>
      <c r="AJ49" s="62"/>
      <c r="AK49" s="62">
        <v>0</v>
      </c>
      <c r="AL49" s="256">
        <f t="shared" si="15"/>
        <v>14840.355297968814</v>
      </c>
      <c r="AM49" s="256">
        <f t="shared" si="16"/>
        <v>38518.236539999998</v>
      </c>
      <c r="AN49" s="256">
        <f t="shared" si="17"/>
        <v>53358.591837968808</v>
      </c>
    </row>
    <row r="50" spans="1:40" x14ac:dyDescent="0.2">
      <c r="A50" s="3" t="str">
        <f>IF('Employee Detail FY23'!A50="","",'Employee Detail FY23'!A50)</f>
        <v/>
      </c>
      <c r="B50" s="647">
        <f>IF('Employee Detail FY23'!B50="","",'Employee Detail FY23'!B50)</f>
        <v>100</v>
      </c>
      <c r="C50" s="647" t="str">
        <f>IF('Employee Detail FY23'!C50="","",'Employee Detail FY23'!C50)</f>
        <v>000</v>
      </c>
      <c r="D50" s="647"/>
      <c r="E50" s="647">
        <f>IF('Employee Detail FY23'!E50="","",'Employee Detail FY23'!E50)</f>
        <v>100</v>
      </c>
      <c r="F50" s="647">
        <f>IF('Employee Detail FY23'!F50="","",'Employee Detail FY23'!F50)</f>
        <v>1000</v>
      </c>
      <c r="G50" s="647" t="str">
        <f>IF('Employee Detail FY23'!G50="","",'Employee Detail FY23'!G50)</f>
        <v>0102</v>
      </c>
      <c r="H50" s="3"/>
      <c r="I50" s="255" t="str">
        <f>IF('Employee Detail FY23'!I50="","",'Employee Detail FY23'!I50)</f>
        <v>DEL TORO CONTRARES</v>
      </c>
      <c r="J50" s="255" t="str">
        <f>IF('Employee Detail FY23'!J50="","",'Employee Detail FY23'!J50)</f>
        <v>CLARISA</v>
      </c>
      <c r="K50" s="255" t="str">
        <f>IF('Employee Detail FY23'!K50="","",'Employee Detail FY23'!K50)</f>
        <v>Support Staff</v>
      </c>
      <c r="L50" s="255" t="str">
        <f>IF('Employee Detail FY23'!L50="","",'Employee Detail FY23'!L50)</f>
        <v>BLENDED LEARNING TEACHER ASSISTANT</v>
      </c>
      <c r="M50" s="92">
        <f>IF('Employee Detail FY23'!M50="","",'Employee Detail FY23'!M50)</f>
        <v>1</v>
      </c>
      <c r="N50" s="3">
        <f>IF('Employee Detail FY23'!N50="","",'Employee Detail FY23'!N50)</f>
        <v>10</v>
      </c>
      <c r="O50" s="3">
        <f>IF('Employee Detail FY23'!O50="","",'Employee Detail FY23'!O50)</f>
        <v>22</v>
      </c>
      <c r="P50" s="3" t="str">
        <f>IF('Employee Detail FY23'!P50="","",'Employee Detail FY23'!P50)</f>
        <v>ER</v>
      </c>
      <c r="Q50" s="3">
        <f>IF('Employee Detail FY23'!Q50="","",'Employee Detail FY23'!Q50)</f>
        <v>15</v>
      </c>
      <c r="R50" s="3">
        <f>IF('Employee Detail FY23'!R50="","",'Employee Detail FY23'!R50)</f>
        <v>180</v>
      </c>
      <c r="S50" s="3">
        <f>IF('Employee Detail FY23'!S50="","",'Employee Detail FY23'!S50)</f>
        <v>7</v>
      </c>
      <c r="T50" s="263">
        <f t="shared" si="4"/>
        <v>1260</v>
      </c>
      <c r="U50" s="269">
        <f>IF('Employee Detail FY23'!U50="","",'Employee Detail FY23'!U50)</f>
        <v>18900</v>
      </c>
      <c r="V50" s="270">
        <f t="shared" si="5"/>
        <v>20034</v>
      </c>
      <c r="W50" s="270" t="str">
        <f t="shared" si="6"/>
        <v/>
      </c>
      <c r="X50" s="270">
        <f t="shared" si="7"/>
        <v>20034</v>
      </c>
      <c r="Y50" s="62">
        <v>0</v>
      </c>
      <c r="Z50" s="62">
        <v>0</v>
      </c>
      <c r="AA50" s="256">
        <f t="shared" si="8"/>
        <v>20034</v>
      </c>
      <c r="AB50" s="3"/>
      <c r="AC50" s="62">
        <f t="shared" si="9"/>
        <v>7943.76</v>
      </c>
      <c r="AD50" s="62" t="str">
        <f t="shared" si="10"/>
        <v/>
      </c>
      <c r="AE50" s="62">
        <f t="shared" si="11"/>
        <v>5859.9449999999997</v>
      </c>
      <c r="AF50" s="62">
        <f t="shared" si="12"/>
        <v>290.49299999999999</v>
      </c>
      <c r="AG50" s="192">
        <v>0</v>
      </c>
      <c r="AH50" s="62">
        <f t="shared" si="13"/>
        <v>182.35620156588442</v>
      </c>
      <c r="AI50" s="62">
        <f t="shared" si="14"/>
        <v>59.004110949427393</v>
      </c>
      <c r="AJ50" s="62"/>
      <c r="AK50" s="62">
        <v>0</v>
      </c>
      <c r="AL50" s="256">
        <f t="shared" si="15"/>
        <v>14335.558312515312</v>
      </c>
      <c r="AM50" s="256">
        <f t="shared" si="16"/>
        <v>20034</v>
      </c>
      <c r="AN50" s="256">
        <f t="shared" si="17"/>
        <v>34369.558312515313</v>
      </c>
    </row>
    <row r="51" spans="1:40" x14ac:dyDescent="0.2">
      <c r="A51" s="3" t="str">
        <f>IF('Employee Detail FY23'!A51="","",'Employee Detail FY23'!A51)</f>
        <v/>
      </c>
      <c r="B51" s="647">
        <f>IF('Employee Detail FY23'!B51="","",'Employee Detail FY23'!B51)</f>
        <v>100</v>
      </c>
      <c r="C51" s="647" t="str">
        <f>IF('Employee Detail FY23'!C51="","",'Employee Detail FY23'!C51)</f>
        <v>000</v>
      </c>
      <c r="D51" s="647"/>
      <c r="E51" s="647">
        <f>IF('Employee Detail FY23'!E51="","",'Employee Detail FY23'!E51)</f>
        <v>100</v>
      </c>
      <c r="F51" s="647">
        <f>IF('Employee Detail FY23'!F51="","",'Employee Detail FY23'!F51)</f>
        <v>1000</v>
      </c>
      <c r="G51" s="647" t="str">
        <f>IF('Employee Detail FY23'!G51="","",'Employee Detail FY23'!G51)</f>
        <v>0102</v>
      </c>
      <c r="H51" s="3"/>
      <c r="I51" s="255" t="str">
        <f>IF('Employee Detail FY23'!I51="","",'Employee Detail FY23'!I51)</f>
        <v>NEGRETE</v>
      </c>
      <c r="J51" s="255" t="str">
        <f>IF('Employee Detail FY23'!J51="","",'Employee Detail FY23'!J51)</f>
        <v>ANJELICA</v>
      </c>
      <c r="K51" s="255" t="str">
        <f>IF('Employee Detail FY23'!K51="","",'Employee Detail FY23'!K51)</f>
        <v>Support Staff</v>
      </c>
      <c r="L51" s="255" t="str">
        <f>IF('Employee Detail FY23'!L51="","",'Employee Detail FY23'!L51)</f>
        <v>BLENDED LEARNING TEACHER ASSISTANT</v>
      </c>
      <c r="M51" s="92">
        <f>IF('Employee Detail FY23'!M51="","",'Employee Detail FY23'!M51)</f>
        <v>1</v>
      </c>
      <c r="N51" s="3" t="str">
        <f>IF('Employee Detail FY23'!N51="","",'Employee Detail FY23'!N51)</f>
        <v>10</v>
      </c>
      <c r="O51" s="3">
        <f>IF('Employee Detail FY23'!O51="","",'Employee Detail FY23'!O51)</f>
        <v>22</v>
      </c>
      <c r="P51" s="3" t="str">
        <f>IF('Employee Detail FY23'!P51="","",'Employee Detail FY23'!P51)</f>
        <v>EE</v>
      </c>
      <c r="Q51" s="3">
        <f>IF('Employee Detail FY23'!Q51="","",'Employee Detail FY23'!Q51)</f>
        <v>25</v>
      </c>
      <c r="R51" s="3">
        <f>IF('Employee Detail FY23'!R51="","",'Employee Detail FY23'!R51)</f>
        <v>180</v>
      </c>
      <c r="S51" s="3">
        <f>IF('Employee Detail FY23'!S51="","",'Employee Detail FY23'!S51)</f>
        <v>7</v>
      </c>
      <c r="T51" s="263">
        <f t="shared" si="4"/>
        <v>1260</v>
      </c>
      <c r="U51" s="269">
        <f>IF('Employee Detail FY23'!U51="","",'Employee Detail FY23'!U51)</f>
        <v>31500</v>
      </c>
      <c r="V51" s="270">
        <f t="shared" si="5"/>
        <v>33390</v>
      </c>
      <c r="W51" s="270">
        <f t="shared" si="6"/>
        <v>38518.236539999998</v>
      </c>
      <c r="X51" s="270">
        <f t="shared" si="7"/>
        <v>38518.236539999998</v>
      </c>
      <c r="Y51" s="62">
        <v>0</v>
      </c>
      <c r="Z51" s="62">
        <v>0</v>
      </c>
      <c r="AA51" s="256">
        <f t="shared" si="8"/>
        <v>38518.236539999998</v>
      </c>
      <c r="AB51" s="3"/>
      <c r="AC51" s="62">
        <f t="shared" si="9"/>
        <v>7943.76</v>
      </c>
      <c r="AD51" s="62" t="str">
        <f t="shared" si="10"/>
        <v/>
      </c>
      <c r="AE51" s="62">
        <f t="shared" si="11"/>
        <v>5874.0310723499997</v>
      </c>
      <c r="AF51" s="62">
        <f t="shared" si="12"/>
        <v>558.51442983000004</v>
      </c>
      <c r="AG51" s="192">
        <v>0</v>
      </c>
      <c r="AH51" s="62">
        <f t="shared" si="13"/>
        <v>350.60593523263719</v>
      </c>
      <c r="AI51" s="62">
        <f t="shared" si="14"/>
        <v>113.4438605561769</v>
      </c>
      <c r="AJ51" s="62"/>
      <c r="AK51" s="62">
        <v>0</v>
      </c>
      <c r="AL51" s="256">
        <f t="shared" si="15"/>
        <v>14840.355297968814</v>
      </c>
      <c r="AM51" s="256">
        <f t="shared" si="16"/>
        <v>38518.236539999998</v>
      </c>
      <c r="AN51" s="256">
        <f t="shared" si="17"/>
        <v>53358.591837968808</v>
      </c>
    </row>
    <row r="52" spans="1:40" x14ac:dyDescent="0.2">
      <c r="A52" s="3" t="str">
        <f>IF('Employee Detail FY23'!A52="","",'Employee Detail FY23'!A52)</f>
        <v/>
      </c>
      <c r="B52" s="647">
        <f>IF('Employee Detail FY23'!B52="","",'Employee Detail FY23'!B52)</f>
        <v>100</v>
      </c>
      <c r="C52" s="647" t="str">
        <f>IF('Employee Detail FY23'!C52="","",'Employee Detail FY23'!C52)</f>
        <v>000</v>
      </c>
      <c r="D52" s="647"/>
      <c r="E52" s="647">
        <f>IF('Employee Detail FY23'!E52="","",'Employee Detail FY23'!E52)</f>
        <v>100</v>
      </c>
      <c r="F52" s="647">
        <f>IF('Employee Detail FY23'!F52="","",'Employee Detail FY23'!F52)</f>
        <v>1000</v>
      </c>
      <c r="G52" s="647" t="str">
        <f>IF('Employee Detail FY23'!G52="","",'Employee Detail FY23'!G52)</f>
        <v>0102</v>
      </c>
      <c r="H52" s="3"/>
      <c r="I52" s="255" t="str">
        <f>IF('Employee Detail FY23'!I52="","",'Employee Detail FY23'!I52)</f>
        <v>REDZIC</v>
      </c>
      <c r="J52" s="255" t="str">
        <f>IF('Employee Detail FY23'!J52="","",'Employee Detail FY23'!J52)</f>
        <v>LAMIYA</v>
      </c>
      <c r="K52" s="255" t="str">
        <f>IF('Employee Detail FY23'!K52="","",'Employee Detail FY23'!K52)</f>
        <v>Support Staff</v>
      </c>
      <c r="L52" s="255" t="str">
        <f>IF('Employee Detail FY23'!L52="","",'Employee Detail FY23'!L52)</f>
        <v>BLENDED LEARNING TEACHER ASSISTANT</v>
      </c>
      <c r="M52" s="92">
        <f>IF('Employee Detail FY23'!M52="","",'Employee Detail FY23'!M52)</f>
        <v>1</v>
      </c>
      <c r="N52" s="3" t="str">
        <f>IF('Employee Detail FY23'!N52="","",'Employee Detail FY23'!N52)</f>
        <v>10</v>
      </c>
      <c r="O52" s="3">
        <f>IF('Employee Detail FY23'!O52="","",'Employee Detail FY23'!O52)</f>
        <v>22</v>
      </c>
      <c r="P52" s="3" t="str">
        <f>IF('Employee Detail FY23'!P52="","",'Employee Detail FY23'!P52)</f>
        <v>EE</v>
      </c>
      <c r="Q52" s="3">
        <f>IF('Employee Detail FY23'!Q52="","",'Employee Detail FY23'!Q52)</f>
        <v>25</v>
      </c>
      <c r="R52" s="3">
        <f>IF('Employee Detail FY23'!R52="","",'Employee Detail FY23'!R52)</f>
        <v>180</v>
      </c>
      <c r="S52" s="3">
        <f>IF('Employee Detail FY23'!S52="","",'Employee Detail FY23'!S52)</f>
        <v>7</v>
      </c>
      <c r="T52" s="263">
        <f t="shared" si="4"/>
        <v>1260</v>
      </c>
      <c r="U52" s="269">
        <f>IF('Employee Detail FY23'!U52="","",'Employee Detail FY23'!U52)</f>
        <v>31500</v>
      </c>
      <c r="V52" s="270">
        <f t="shared" si="5"/>
        <v>33390</v>
      </c>
      <c r="W52" s="270">
        <f t="shared" si="6"/>
        <v>38518.236539999998</v>
      </c>
      <c r="X52" s="270">
        <f t="shared" si="7"/>
        <v>38518.236539999998</v>
      </c>
      <c r="Y52" s="62">
        <v>0</v>
      </c>
      <c r="Z52" s="62">
        <v>0</v>
      </c>
      <c r="AA52" s="256">
        <f t="shared" si="8"/>
        <v>38518.236539999998</v>
      </c>
      <c r="AB52" s="3"/>
      <c r="AC52" s="62">
        <f t="shared" si="9"/>
        <v>7943.76</v>
      </c>
      <c r="AD52" s="62" t="str">
        <f t="shared" si="10"/>
        <v/>
      </c>
      <c r="AE52" s="62">
        <f t="shared" si="11"/>
        <v>5874.0310723499997</v>
      </c>
      <c r="AF52" s="62">
        <f t="shared" si="12"/>
        <v>558.51442983000004</v>
      </c>
      <c r="AG52" s="192">
        <v>0</v>
      </c>
      <c r="AH52" s="62">
        <f t="shared" si="13"/>
        <v>350.60593523263719</v>
      </c>
      <c r="AI52" s="62">
        <f t="shared" si="14"/>
        <v>113.4438605561769</v>
      </c>
      <c r="AJ52" s="62"/>
      <c r="AK52" s="62">
        <v>0</v>
      </c>
      <c r="AL52" s="256">
        <f t="shared" si="15"/>
        <v>14840.355297968814</v>
      </c>
      <c r="AM52" s="256">
        <f t="shared" si="16"/>
        <v>38518.236539999998</v>
      </c>
      <c r="AN52" s="256">
        <f t="shared" si="17"/>
        <v>53358.591837968808</v>
      </c>
    </row>
    <row r="53" spans="1:40" x14ac:dyDescent="0.2">
      <c r="A53" s="3" t="str">
        <f>IF('Employee Detail FY23'!A53="","",'Employee Detail FY23'!A53)</f>
        <v>TITLE Ia</v>
      </c>
      <c r="B53" s="647">
        <f>IF('Employee Detail FY23'!B53="","",'Employee Detail FY23'!B53)</f>
        <v>280</v>
      </c>
      <c r="C53" s="647">
        <f>IF('Employee Detail FY23'!C53="","",'Employee Detail FY23'!C53)</f>
        <v>633</v>
      </c>
      <c r="D53" s="647"/>
      <c r="E53" s="647">
        <f>IF('Employee Detail FY23'!E53="","",'Employee Detail FY23'!E53)</f>
        <v>430</v>
      </c>
      <c r="F53" s="647">
        <f>IF('Employee Detail FY23'!F53="","",'Employee Detail FY23'!F53)</f>
        <v>1000</v>
      </c>
      <c r="G53" s="647" t="str">
        <f>IF('Employee Detail FY23'!G53="","",'Employee Detail FY23'!G53)</f>
        <v>0102</v>
      </c>
      <c r="H53" s="3"/>
      <c r="I53" s="255" t="str">
        <f>IF('Employee Detail FY23'!I53="","",'Employee Detail FY23'!I53)</f>
        <v>SALVANI</v>
      </c>
      <c r="J53" s="255" t="str">
        <f>IF('Employee Detail FY23'!J53="","",'Employee Detail FY23'!J53)</f>
        <v>CRISELDA</v>
      </c>
      <c r="K53" s="255" t="str">
        <f>IF('Employee Detail FY23'!K53="","",'Employee Detail FY23'!K53)</f>
        <v>Support Staff</v>
      </c>
      <c r="L53" s="255" t="str">
        <f>IF('Employee Detail FY23'!L53="","",'Employee Detail FY23'!L53)</f>
        <v>BLENDED LEARNING TEACHER ASSISTANT</v>
      </c>
      <c r="M53" s="92">
        <f>IF('Employee Detail FY23'!M53="","",'Employee Detail FY23'!M53)</f>
        <v>1</v>
      </c>
      <c r="N53" s="3" t="str">
        <f>IF('Employee Detail FY23'!N53="","",'Employee Detail FY23'!N53)</f>
        <v>10</v>
      </c>
      <c r="O53" s="3">
        <f>IF('Employee Detail FY23'!O53="","",'Employee Detail FY23'!O53)</f>
        <v>22</v>
      </c>
      <c r="P53" s="3" t="str">
        <f>IF('Employee Detail FY23'!P53="","",'Employee Detail FY23'!P53)</f>
        <v>EE</v>
      </c>
      <c r="Q53" s="3">
        <f>IF('Employee Detail FY23'!Q53="","",'Employee Detail FY23'!Q53)</f>
        <v>25</v>
      </c>
      <c r="R53" s="3">
        <f>IF('Employee Detail FY23'!R53="","",'Employee Detail FY23'!R53)</f>
        <v>180</v>
      </c>
      <c r="S53" s="3">
        <f>IF('Employee Detail FY23'!S53="","",'Employee Detail FY23'!S53)</f>
        <v>7</v>
      </c>
      <c r="T53" s="263">
        <f t="shared" si="4"/>
        <v>1260</v>
      </c>
      <c r="U53" s="269">
        <f>IF('Employee Detail FY23'!U53="","",'Employee Detail FY23'!U53)</f>
        <v>31500</v>
      </c>
      <c r="V53" s="270">
        <f t="shared" si="5"/>
        <v>33390</v>
      </c>
      <c r="W53" s="270">
        <f t="shared" si="6"/>
        <v>38518.236539999998</v>
      </c>
      <c r="X53" s="270">
        <f t="shared" si="7"/>
        <v>38518.236539999998</v>
      </c>
      <c r="Y53" s="62">
        <v>0</v>
      </c>
      <c r="Z53" s="62">
        <v>0</v>
      </c>
      <c r="AA53" s="256">
        <f t="shared" si="8"/>
        <v>38518.236539999998</v>
      </c>
      <c r="AB53" s="3"/>
      <c r="AC53" s="62">
        <f t="shared" si="9"/>
        <v>7943.76</v>
      </c>
      <c r="AD53" s="62" t="str">
        <f t="shared" si="10"/>
        <v/>
      </c>
      <c r="AE53" s="62">
        <f t="shared" si="11"/>
        <v>5874.0310723499997</v>
      </c>
      <c r="AF53" s="62">
        <f t="shared" si="12"/>
        <v>558.51442983000004</v>
      </c>
      <c r="AG53" s="192">
        <v>0</v>
      </c>
      <c r="AH53" s="62">
        <f t="shared" si="13"/>
        <v>350.60593523263719</v>
      </c>
      <c r="AI53" s="62">
        <f t="shared" si="14"/>
        <v>113.4438605561769</v>
      </c>
      <c r="AJ53" s="62"/>
      <c r="AK53" s="62">
        <v>0</v>
      </c>
      <c r="AL53" s="256">
        <f t="shared" si="15"/>
        <v>14840.355297968814</v>
      </c>
      <c r="AM53" s="256">
        <f t="shared" si="16"/>
        <v>38518.236539999998</v>
      </c>
      <c r="AN53" s="256">
        <f t="shared" si="17"/>
        <v>53358.591837968808</v>
      </c>
    </row>
    <row r="54" spans="1:40" x14ac:dyDescent="0.2">
      <c r="A54" s="3" t="str">
        <f>IF('Employee Detail FY23'!A54="","",'Employee Detail FY23'!A54)</f>
        <v>VACANT</v>
      </c>
      <c r="B54" s="647">
        <f>IF('Employee Detail FY23'!B54="","",'Employee Detail FY23'!B54)</f>
        <v>100</v>
      </c>
      <c r="C54" s="647" t="str">
        <f>IF('Employee Detail FY23'!C54="","",'Employee Detail FY23'!C54)</f>
        <v>000</v>
      </c>
      <c r="D54" s="647"/>
      <c r="E54" s="647">
        <f>IF('Employee Detail FY23'!E54="","",'Employee Detail FY23'!E54)</f>
        <v>100</v>
      </c>
      <c r="F54" s="647">
        <f>IF('Employee Detail FY23'!F54="","",'Employee Detail FY23'!F54)</f>
        <v>1000</v>
      </c>
      <c r="G54" s="647" t="str">
        <f>IF('Employee Detail FY23'!G54="","",'Employee Detail FY23'!G54)</f>
        <v>0102</v>
      </c>
      <c r="H54" s="3"/>
      <c r="I54" s="255" t="str">
        <f>IF('Employee Detail FY23'!I54="","",'Employee Detail FY23'!I54)</f>
        <v>VACANT</v>
      </c>
      <c r="J54" s="255" t="str">
        <f>IF('Employee Detail FY23'!J54="","",'Employee Detail FY23'!J54)</f>
        <v>FY23</v>
      </c>
      <c r="K54" s="255" t="str">
        <f>IF('Employee Detail FY23'!K54="","",'Employee Detail FY23'!K54)</f>
        <v>Support Staff</v>
      </c>
      <c r="L54" s="255" t="str">
        <f>IF('Employee Detail FY23'!L54="","",'Employee Detail FY23'!L54)</f>
        <v>BLENDED LEARNING TEACHER ASSISTANT</v>
      </c>
      <c r="M54" s="92">
        <f>IF('Employee Detail FY23'!M54="","",'Employee Detail FY23'!M54)</f>
        <v>1</v>
      </c>
      <c r="N54" s="3" t="str">
        <f>IF('Employee Detail FY23'!N54="","",'Employee Detail FY23'!N54)</f>
        <v>10</v>
      </c>
      <c r="O54" s="3">
        <f>IF('Employee Detail FY23'!O54="","",'Employee Detail FY23'!O54)</f>
        <v>22</v>
      </c>
      <c r="P54" s="3" t="str">
        <f>IF('Employee Detail FY23'!P54="","",'Employee Detail FY23'!P54)</f>
        <v>EE</v>
      </c>
      <c r="Q54" s="3">
        <f>IF('Employee Detail FY23'!Q54="","",'Employee Detail FY23'!Q54)</f>
        <v>25</v>
      </c>
      <c r="R54" s="3">
        <f>IF('Employee Detail FY23'!R54="","",'Employee Detail FY23'!R54)</f>
        <v>180</v>
      </c>
      <c r="S54" s="3">
        <f>IF('Employee Detail FY23'!S54="","",'Employee Detail FY23'!S54)</f>
        <v>7</v>
      </c>
      <c r="T54" s="263">
        <f t="shared" si="4"/>
        <v>1260</v>
      </c>
      <c r="U54" s="269">
        <f>IF('Employee Detail FY23'!U54="","",'Employee Detail FY23'!U54)</f>
        <v>31500</v>
      </c>
      <c r="V54" s="270">
        <f t="shared" si="5"/>
        <v>33390</v>
      </c>
      <c r="W54" s="270">
        <f t="shared" si="6"/>
        <v>38518.236539999998</v>
      </c>
      <c r="X54" s="270">
        <f t="shared" si="7"/>
        <v>38518.236539999998</v>
      </c>
      <c r="Y54" s="62">
        <v>0</v>
      </c>
      <c r="Z54" s="62">
        <v>0</v>
      </c>
      <c r="AA54" s="256">
        <f t="shared" si="8"/>
        <v>38518.236539999998</v>
      </c>
      <c r="AB54" s="3"/>
      <c r="AC54" s="62">
        <f t="shared" si="9"/>
        <v>7943.76</v>
      </c>
      <c r="AD54" s="62" t="str">
        <f t="shared" si="10"/>
        <v/>
      </c>
      <c r="AE54" s="62">
        <f t="shared" si="11"/>
        <v>5874.0310723499997</v>
      </c>
      <c r="AF54" s="62">
        <f t="shared" si="12"/>
        <v>558.51442983000004</v>
      </c>
      <c r="AG54" s="192">
        <v>0</v>
      </c>
      <c r="AH54" s="62">
        <f t="shared" si="13"/>
        <v>350.60593523263719</v>
      </c>
      <c r="AI54" s="62">
        <f t="shared" si="14"/>
        <v>113.4438605561769</v>
      </c>
      <c r="AJ54" s="62"/>
      <c r="AK54" s="62">
        <v>0</v>
      </c>
      <c r="AL54" s="256">
        <f t="shared" si="15"/>
        <v>14840.355297968814</v>
      </c>
      <c r="AM54" s="256">
        <f t="shared" si="16"/>
        <v>38518.236539999998</v>
      </c>
      <c r="AN54" s="256">
        <f t="shared" si="17"/>
        <v>53358.591837968808</v>
      </c>
    </row>
    <row r="55" spans="1:40" x14ac:dyDescent="0.2">
      <c r="A55" s="3" t="str">
        <f>IF('Employee Detail FY23'!A55="","",'Employee Detail FY23'!A55)</f>
        <v>VACANT</v>
      </c>
      <c r="B55" s="647">
        <f>IF('Employee Detail FY23'!B55="","",'Employee Detail FY23'!B55)</f>
        <v>100</v>
      </c>
      <c r="C55" s="647" t="str">
        <f>IF('Employee Detail FY23'!C55="","",'Employee Detail FY23'!C55)</f>
        <v>000</v>
      </c>
      <c r="D55" s="647"/>
      <c r="E55" s="647">
        <f>IF('Employee Detail FY23'!E55="","",'Employee Detail FY23'!E55)</f>
        <v>100</v>
      </c>
      <c r="F55" s="647">
        <f>IF('Employee Detail FY23'!F55="","",'Employee Detail FY23'!F55)</f>
        <v>1000</v>
      </c>
      <c r="G55" s="647" t="str">
        <f>IF('Employee Detail FY23'!G55="","",'Employee Detail FY23'!G55)</f>
        <v>0102</v>
      </c>
      <c r="H55" s="3"/>
      <c r="I55" s="255" t="str">
        <f>IF('Employee Detail FY23'!I55="","",'Employee Detail FY23'!I55)</f>
        <v>VACANT</v>
      </c>
      <c r="J55" s="255" t="str">
        <f>IF('Employee Detail FY23'!J55="","",'Employee Detail FY23'!J55)</f>
        <v>FY23</v>
      </c>
      <c r="K55" s="255" t="str">
        <f>IF('Employee Detail FY23'!K55="","",'Employee Detail FY23'!K55)</f>
        <v>Support Staff</v>
      </c>
      <c r="L55" s="255" t="str">
        <f>IF('Employee Detail FY23'!L55="","",'Employee Detail FY23'!L55)</f>
        <v>BLENDED LEARNING TEACHER ASSISTANT</v>
      </c>
      <c r="M55" s="92"/>
      <c r="N55" s="3"/>
      <c r="O55" s="3"/>
      <c r="P55" s="3"/>
      <c r="Q55" s="3"/>
      <c r="R55" s="3"/>
      <c r="S55" s="3"/>
      <c r="T55" s="263" t="str">
        <f t="shared" si="4"/>
        <v/>
      </c>
      <c r="U55" s="269">
        <f>IF('Employee Detail FY23'!U55="","",'Employee Detail FY23'!U55)</f>
        <v>31500</v>
      </c>
      <c r="V55" s="270">
        <f t="shared" si="5"/>
        <v>33390</v>
      </c>
      <c r="W55" s="270" t="str">
        <f t="shared" si="6"/>
        <v/>
      </c>
      <c r="X55" s="270" t="str">
        <f t="shared" si="7"/>
        <v/>
      </c>
      <c r="Y55" s="62">
        <v>0</v>
      </c>
      <c r="Z55" s="62">
        <v>0</v>
      </c>
      <c r="AA55" s="256">
        <f t="shared" si="8"/>
        <v>0</v>
      </c>
      <c r="AB55" s="3"/>
      <c r="AC55" s="62" t="str">
        <f t="shared" si="9"/>
        <v/>
      </c>
      <c r="AD55" s="62" t="str">
        <f t="shared" si="10"/>
        <v/>
      </c>
      <c r="AE55" s="62" t="str">
        <f t="shared" si="11"/>
        <v/>
      </c>
      <c r="AF55" s="62" t="str">
        <f t="shared" si="12"/>
        <v/>
      </c>
      <c r="AG55" s="192">
        <v>0</v>
      </c>
      <c r="AH55" s="62" t="str">
        <f t="shared" si="13"/>
        <v/>
      </c>
      <c r="AI55" s="62">
        <f t="shared" si="14"/>
        <v>0</v>
      </c>
      <c r="AJ55" s="62"/>
      <c r="AK55" s="62">
        <v>0</v>
      </c>
      <c r="AL55" s="256">
        <f t="shared" si="15"/>
        <v>0</v>
      </c>
      <c r="AM55" s="256">
        <f t="shared" si="16"/>
        <v>0</v>
      </c>
      <c r="AN55" s="256">
        <f t="shared" si="17"/>
        <v>0</v>
      </c>
    </row>
    <row r="56" spans="1:40" hidden="1" x14ac:dyDescent="0.2">
      <c r="A56" s="3" t="str">
        <f>IF('Employee Detail FY23'!A56="","",'Employee Detail FY23'!A56)</f>
        <v/>
      </c>
      <c r="B56" s="647" t="str">
        <f>IF('Employee Detail FY23'!B56="","",'Employee Detail FY23'!B56)</f>
        <v/>
      </c>
      <c r="C56" s="647" t="str">
        <f>IF('Employee Detail FY23'!C56="","",'Employee Detail FY23'!C56)</f>
        <v/>
      </c>
      <c r="D56" s="647"/>
      <c r="E56" s="647" t="str">
        <f>IF('Employee Detail FY23'!E56="","",'Employee Detail FY23'!E56)</f>
        <v/>
      </c>
      <c r="F56" s="647" t="str">
        <f>IF('Employee Detail FY23'!F56="","",'Employee Detail FY23'!F56)</f>
        <v/>
      </c>
      <c r="G56" s="647" t="str">
        <f>IF('Employee Detail FY23'!G56="","",'Employee Detail FY23'!G56)</f>
        <v/>
      </c>
      <c r="H56" s="3"/>
      <c r="I56" s="255" t="str">
        <f>IF('Employee Detail FY23'!I56="","",'Employee Detail FY23'!I56)</f>
        <v/>
      </c>
      <c r="J56" s="255" t="str">
        <f>IF('Employee Detail FY23'!J56="","",'Employee Detail FY23'!J56)</f>
        <v/>
      </c>
      <c r="K56" s="255" t="str">
        <f>IF('Employee Detail FY23'!K56="","",'Employee Detail FY23'!K56)</f>
        <v/>
      </c>
      <c r="L56" s="255" t="str">
        <f>IF('Employee Detail FY23'!L56="","",'Employee Detail FY23'!L56)</f>
        <v/>
      </c>
      <c r="M56" s="92" t="str">
        <f>IF('Employee Detail FY23'!M56="","",'Employee Detail FY23'!M56)</f>
        <v/>
      </c>
      <c r="N56" s="3" t="str">
        <f>IF('Employee Detail FY23'!N56="","",'Employee Detail FY23'!N56)</f>
        <v/>
      </c>
      <c r="O56" s="3" t="str">
        <f>IF('Employee Detail FY23'!O56="","",'Employee Detail FY23'!O56)</f>
        <v/>
      </c>
      <c r="P56" s="3" t="str">
        <f>IF('Employee Detail FY23'!P56="","",'Employee Detail FY23'!P56)</f>
        <v/>
      </c>
      <c r="Q56" s="3" t="str">
        <f>IF('Employee Detail FY23'!Q56="","",'Employee Detail FY23'!Q56)</f>
        <v/>
      </c>
      <c r="R56" s="3" t="str">
        <f>IF('Employee Detail FY23'!R56="","",'Employee Detail FY23'!R56)</f>
        <v/>
      </c>
      <c r="S56" s="3" t="str">
        <f>IF('Employee Detail FY23'!S56="","",'Employee Detail FY23'!S56)</f>
        <v/>
      </c>
      <c r="T56" s="263" t="str">
        <f t="shared" si="4"/>
        <v/>
      </c>
      <c r="U56" s="269" t="str">
        <f>IF('Employee Detail FY23'!U56="","",'Employee Detail FY23'!U56)</f>
        <v/>
      </c>
      <c r="V56" s="270" t="str">
        <f t="shared" si="5"/>
        <v/>
      </c>
      <c r="W56" s="270" t="str">
        <f t="shared" si="6"/>
        <v/>
      </c>
      <c r="X56" s="270" t="str">
        <f t="shared" si="7"/>
        <v/>
      </c>
      <c r="Y56" s="62">
        <v>0</v>
      </c>
      <c r="Z56" s="62">
        <v>0</v>
      </c>
      <c r="AA56" s="256">
        <f t="shared" si="8"/>
        <v>0</v>
      </c>
      <c r="AB56" s="3"/>
      <c r="AC56" s="62" t="str">
        <f t="shared" si="9"/>
        <v/>
      </c>
      <c r="AD56" s="62" t="str">
        <f t="shared" si="10"/>
        <v/>
      </c>
      <c r="AE56" s="62" t="str">
        <f t="shared" si="11"/>
        <v/>
      </c>
      <c r="AF56" s="62" t="str">
        <f t="shared" si="12"/>
        <v/>
      </c>
      <c r="AG56" s="192">
        <v>0</v>
      </c>
      <c r="AH56" s="62" t="str">
        <f t="shared" si="13"/>
        <v/>
      </c>
      <c r="AI56" s="62">
        <f t="shared" si="14"/>
        <v>0</v>
      </c>
      <c r="AJ56" s="62"/>
      <c r="AK56" s="62">
        <v>0</v>
      </c>
      <c r="AL56" s="256">
        <f t="shared" si="15"/>
        <v>0</v>
      </c>
      <c r="AM56" s="256">
        <f t="shared" si="16"/>
        <v>0</v>
      </c>
      <c r="AN56" s="256">
        <f t="shared" si="17"/>
        <v>0</v>
      </c>
    </row>
    <row r="57" spans="1:40" hidden="1" x14ac:dyDescent="0.2">
      <c r="A57" s="3" t="str">
        <f>IF('Employee Detail FY23'!A57="","",'Employee Detail FY23'!A57)</f>
        <v/>
      </c>
      <c r="B57" s="647">
        <f>IF('Employee Detail FY23'!B57="","",'Employee Detail FY23'!B57)</f>
        <v>100</v>
      </c>
      <c r="C57" s="647" t="str">
        <f>IF('Employee Detail FY23'!C57="","",'Employee Detail FY23'!C57)</f>
        <v>000</v>
      </c>
      <c r="D57" s="647"/>
      <c r="E57" s="647">
        <f>IF('Employee Detail FY23'!E57="","",'Employee Detail FY23'!E57)</f>
        <v>100</v>
      </c>
      <c r="F57" s="647" t="str">
        <f>IF('Employee Detail FY23'!F57="","",'Employee Detail FY23'!F57)</f>
        <v>2582</v>
      </c>
      <c r="G57" s="647" t="str">
        <f>IF('Employee Detail FY23'!G57="","",'Employee Detail FY23'!G57)</f>
        <v>0107</v>
      </c>
      <c r="H57" s="3"/>
      <c r="I57" s="255" t="str">
        <f>IF('Employee Detail FY23'!I57="","",'Employee Detail FY23'!I57)</f>
        <v>BROOKS</v>
      </c>
      <c r="J57" s="255" t="str">
        <f>IF('Employee Detail FY23'!J57="","",'Employee Detail FY23'!J57)</f>
        <v>LOLA</v>
      </c>
      <c r="K57" s="255" t="str">
        <f>IF('Employee Detail FY23'!K57="","",'Employee Detail FY23'!K57)</f>
        <v>Administration</v>
      </c>
      <c r="L57" s="255" t="str">
        <f>IF('Employee Detail FY23'!L57="","",'Employee Detail FY23'!L57)</f>
        <v>ASSESSMENT &amp; DATA COORDINATOR</v>
      </c>
      <c r="M57" s="92">
        <f>IF('Employee Detail FY23'!M57="","",'Employee Detail FY23'!M57)</f>
        <v>1</v>
      </c>
      <c r="N57" s="3" t="str">
        <f>IF('Employee Detail FY23'!N57="","",'Employee Detail FY23'!N57)</f>
        <v>S</v>
      </c>
      <c r="O57" s="3">
        <f>IF('Employee Detail FY23'!O57="","",'Employee Detail FY23'!O57)</f>
        <v>1</v>
      </c>
      <c r="P57" s="3" t="str">
        <f>IF('Employee Detail FY23'!P57="","",'Employee Detail FY23'!P57)</f>
        <v>EE</v>
      </c>
      <c r="Q57" s="3" t="str">
        <f>IF('Employee Detail FY23'!Q57="","",'Employee Detail FY23'!Q57)</f>
        <v/>
      </c>
      <c r="R57" s="3">
        <f>IF('Employee Detail FY23'!R57="","",'Employee Detail FY23'!R57)</f>
        <v>261</v>
      </c>
      <c r="S57" s="3">
        <f>IF('Employee Detail FY23'!S57="","",'Employee Detail FY23'!S57)</f>
        <v>8</v>
      </c>
      <c r="T57" s="263">
        <f t="shared" si="4"/>
        <v>2088</v>
      </c>
      <c r="U57" s="269">
        <f>IF('Employee Detail FY23'!U57="","",'Employee Detail FY23'!U57)</f>
        <v>68500</v>
      </c>
      <c r="V57" s="270">
        <f t="shared" si="5"/>
        <v>72610</v>
      </c>
      <c r="W57" s="270">
        <f t="shared" si="6"/>
        <v>83761.879459999996</v>
      </c>
      <c r="X57" s="270">
        <f t="shared" si="7"/>
        <v>83761.879459999996</v>
      </c>
      <c r="Y57" s="62">
        <v>0</v>
      </c>
      <c r="Z57" s="62">
        <v>0</v>
      </c>
      <c r="AA57" s="256">
        <f t="shared" si="8"/>
        <v>83761.879459999996</v>
      </c>
      <c r="AB57" s="3"/>
      <c r="AC57" s="62">
        <f t="shared" si="9"/>
        <v>7943.76</v>
      </c>
      <c r="AD57" s="62" t="str">
        <f t="shared" si="10"/>
        <v/>
      </c>
      <c r="AE57" s="62">
        <f t="shared" si="11"/>
        <v>12773.686617649999</v>
      </c>
      <c r="AF57" s="62">
        <f t="shared" si="12"/>
        <v>1214.5472521700001</v>
      </c>
      <c r="AG57" s="192">
        <v>0</v>
      </c>
      <c r="AH57" s="62">
        <f t="shared" si="13"/>
        <v>762.42877979160789</v>
      </c>
      <c r="AI57" s="62">
        <f t="shared" si="14"/>
        <v>246.69537930470216</v>
      </c>
      <c r="AJ57" s="62"/>
      <c r="AK57" s="62">
        <v>0</v>
      </c>
      <c r="AL57" s="256">
        <f t="shared" si="15"/>
        <v>22941.118028916309</v>
      </c>
      <c r="AM57" s="256">
        <f t="shared" si="16"/>
        <v>83761.879459999996</v>
      </c>
      <c r="AN57" s="256">
        <f t="shared" si="17"/>
        <v>106702.9974889163</v>
      </c>
    </row>
    <row r="58" spans="1:40" hidden="1" x14ac:dyDescent="0.2">
      <c r="A58" s="3" t="str">
        <f>IF('Employee Detail FY23'!A58="","",'Employee Detail FY23'!A58)</f>
        <v/>
      </c>
      <c r="B58" s="647">
        <f>IF('Employee Detail FY23'!B58="","",'Employee Detail FY23'!B58)</f>
        <v>100</v>
      </c>
      <c r="C58" s="647" t="str">
        <f>IF('Employee Detail FY23'!C58="","",'Employee Detail FY23'!C58)</f>
        <v>000</v>
      </c>
      <c r="D58" s="647"/>
      <c r="E58" s="647">
        <f>IF('Employee Detail FY23'!E58="","",'Employee Detail FY23'!E58)</f>
        <v>100</v>
      </c>
      <c r="F58" s="647">
        <f>IF('Employee Detail FY23'!F58="","",'Employee Detail FY23'!F58)</f>
        <v>2580</v>
      </c>
      <c r="G58" s="647" t="str">
        <f>IF('Employee Detail FY23'!G58="","",'Employee Detail FY23'!G58)</f>
        <v>0107</v>
      </c>
      <c r="H58" s="3"/>
      <c r="I58" s="255" t="str">
        <f>IF('Employee Detail FY23'!I58="","",'Employee Detail FY23'!I58)</f>
        <v>BABJI</v>
      </c>
      <c r="J58" s="255" t="str">
        <f>IF('Employee Detail FY23'!J58="","",'Employee Detail FY23'!J58)</f>
        <v>NIKOLAS</v>
      </c>
      <c r="K58" s="255" t="str">
        <f>IF('Employee Detail FY23'!K58="","",'Employee Detail FY23'!K58)</f>
        <v>Support Staff</v>
      </c>
      <c r="L58" s="255" t="str">
        <f>IF('Employee Detail FY23'!L58="","",'Employee Detail FY23'!L58)</f>
        <v>IT SPECIALIST</v>
      </c>
      <c r="M58" s="92">
        <f>IF('Employee Detail FY23'!M58="","",'Employee Detail FY23'!M58)</f>
        <v>1</v>
      </c>
      <c r="N58" s="3" t="str">
        <f>IF('Employee Detail FY23'!N58="","",'Employee Detail FY23'!N58)</f>
        <v/>
      </c>
      <c r="O58" s="3">
        <f>IF('Employee Detail FY23'!O58="","",'Employee Detail FY23'!O58)</f>
        <v>26</v>
      </c>
      <c r="P58" s="3" t="str">
        <f>IF('Employee Detail FY23'!P58="","",'Employee Detail FY23'!P58)</f>
        <v>ER</v>
      </c>
      <c r="Q58" s="3" t="str">
        <f>IF('Employee Detail FY23'!Q58="","",'Employee Detail FY23'!Q58)</f>
        <v/>
      </c>
      <c r="R58" s="3">
        <f>IF('Employee Detail FY23'!R58="","",'Employee Detail FY23'!R58)</f>
        <v>261</v>
      </c>
      <c r="S58" s="3">
        <f>IF('Employee Detail FY23'!S58="","",'Employee Detail FY23'!S58)</f>
        <v>8</v>
      </c>
      <c r="T58" s="263">
        <f t="shared" si="4"/>
        <v>2088</v>
      </c>
      <c r="U58" s="269">
        <f>IF('Employee Detail FY23'!U58="","",'Employee Detail FY23'!U58)</f>
        <v>49000</v>
      </c>
      <c r="V58" s="270">
        <f t="shared" si="5"/>
        <v>51940</v>
      </c>
      <c r="W58" s="270" t="str">
        <f t="shared" si="6"/>
        <v/>
      </c>
      <c r="X58" s="270">
        <f t="shared" si="7"/>
        <v>51940</v>
      </c>
      <c r="Y58" s="62">
        <v>0</v>
      </c>
      <c r="Z58" s="62">
        <v>0</v>
      </c>
      <c r="AA58" s="256">
        <f t="shared" si="8"/>
        <v>51940</v>
      </c>
      <c r="AB58" s="3"/>
      <c r="AC58" s="62">
        <f t="shared" si="9"/>
        <v>7943.76</v>
      </c>
      <c r="AD58" s="62" t="str">
        <f t="shared" si="10"/>
        <v/>
      </c>
      <c r="AE58" s="62">
        <f t="shared" si="11"/>
        <v>15192.449999999999</v>
      </c>
      <c r="AF58" s="62">
        <f t="shared" si="12"/>
        <v>753.13</v>
      </c>
      <c r="AG58" s="192">
        <v>0</v>
      </c>
      <c r="AH58" s="62">
        <f t="shared" si="13"/>
        <v>472.77533739303368</v>
      </c>
      <c r="AI58" s="62">
        <f t="shared" si="14"/>
        <v>152.97362097999695</v>
      </c>
      <c r="AJ58" s="62"/>
      <c r="AK58" s="62">
        <v>0</v>
      </c>
      <c r="AL58" s="256">
        <f t="shared" si="15"/>
        <v>24515.088958373031</v>
      </c>
      <c r="AM58" s="256">
        <f t="shared" si="16"/>
        <v>51940</v>
      </c>
      <c r="AN58" s="256">
        <f t="shared" si="17"/>
        <v>76455.088958373031</v>
      </c>
    </row>
    <row r="59" spans="1:40" hidden="1" x14ac:dyDescent="0.2">
      <c r="A59" s="3" t="str">
        <f>IF('Employee Detail FY23'!A59="","",'Employee Detail FY23'!A59)</f>
        <v/>
      </c>
      <c r="B59" s="647">
        <f>IF('Employee Detail FY23'!B59="","",'Employee Detail FY23'!B59)</f>
        <v>100</v>
      </c>
      <c r="C59" s="647" t="str">
        <f>IF('Employee Detail FY23'!C59="","",'Employee Detail FY23'!C59)</f>
        <v>000</v>
      </c>
      <c r="D59" s="647"/>
      <c r="E59" s="647">
        <f>IF('Employee Detail FY23'!E59="","",'Employee Detail FY23'!E59)</f>
        <v>100</v>
      </c>
      <c r="F59" s="647" t="str">
        <f>IF('Employee Detail FY23'!F59="","",'Employee Detail FY23'!F59)</f>
        <v>2510</v>
      </c>
      <c r="G59" s="647" t="str">
        <f>IF('Employee Detail FY23'!G59="","",'Employee Detail FY23'!G59)</f>
        <v>0105</v>
      </c>
      <c r="H59" s="3"/>
      <c r="I59" s="255" t="str">
        <f>IF('Employee Detail FY23'!I59="","",'Employee Detail FY23'!I59)</f>
        <v>BELLINGER</v>
      </c>
      <c r="J59" s="255" t="str">
        <f>IF('Employee Detail FY23'!J59="","",'Employee Detail FY23'!J59)</f>
        <v>MARY KAY</v>
      </c>
      <c r="K59" s="255" t="str">
        <f>IF('Employee Detail FY23'!K59="","",'Employee Detail FY23'!K59)</f>
        <v>Support Staff</v>
      </c>
      <c r="L59" s="255" t="str">
        <f>IF('Employee Detail FY23'!L59="","",'Employee Detail FY23'!L59)</f>
        <v>OPERATIONS COORDINATOR</v>
      </c>
      <c r="M59" s="92">
        <f>IF('Employee Detail FY23'!M59="","",'Employee Detail FY23'!M59)</f>
        <v>1</v>
      </c>
      <c r="N59" s="3" t="str">
        <f>IF('Employee Detail FY23'!N59="","",'Employee Detail FY23'!N59)</f>
        <v>H</v>
      </c>
      <c r="O59" s="3">
        <f>IF('Employee Detail FY23'!O59="","",'Employee Detail FY23'!O59)</f>
        <v>1</v>
      </c>
      <c r="P59" s="3" t="str">
        <f>IF('Employee Detail FY23'!P59="","",'Employee Detail FY23'!P59)</f>
        <v>ER</v>
      </c>
      <c r="Q59" s="3" t="str">
        <f>IF('Employee Detail FY23'!Q59="","",'Employee Detail FY23'!Q59)</f>
        <v/>
      </c>
      <c r="R59" s="3">
        <f>IF('Employee Detail FY23'!R59="","",'Employee Detail FY23'!R59)</f>
        <v>261</v>
      </c>
      <c r="S59" s="3">
        <f>IF('Employee Detail FY23'!S59="","",'Employee Detail FY23'!S59)</f>
        <v>8</v>
      </c>
      <c r="T59" s="263">
        <f t="shared" si="4"/>
        <v>2088</v>
      </c>
      <c r="U59" s="269">
        <f>IF('Employee Detail FY23'!U59="","",'Employee Detail FY23'!U59)</f>
        <v>62000</v>
      </c>
      <c r="V59" s="270">
        <f t="shared" si="5"/>
        <v>65720</v>
      </c>
      <c r="W59" s="270" t="str">
        <f t="shared" si="6"/>
        <v/>
      </c>
      <c r="X59" s="270">
        <f t="shared" si="7"/>
        <v>65720</v>
      </c>
      <c r="Y59" s="62">
        <v>0</v>
      </c>
      <c r="Z59" s="62">
        <v>0</v>
      </c>
      <c r="AA59" s="256">
        <f t="shared" si="8"/>
        <v>65720</v>
      </c>
      <c r="AB59" s="3"/>
      <c r="AC59" s="62">
        <f t="shared" si="9"/>
        <v>7943.76</v>
      </c>
      <c r="AD59" s="62" t="str">
        <f t="shared" si="10"/>
        <v/>
      </c>
      <c r="AE59" s="62">
        <f t="shared" si="11"/>
        <v>19223.099999999999</v>
      </c>
      <c r="AF59" s="62">
        <f t="shared" si="12"/>
        <v>952.94</v>
      </c>
      <c r="AG59" s="192">
        <v>0</v>
      </c>
      <c r="AH59" s="62">
        <f t="shared" si="13"/>
        <v>598.20552894628747</v>
      </c>
      <c r="AI59" s="62">
        <f t="shared" si="14"/>
        <v>193.55845919917979</v>
      </c>
      <c r="AJ59" s="62"/>
      <c r="AK59" s="62">
        <v>0</v>
      </c>
      <c r="AL59" s="256">
        <f t="shared" si="15"/>
        <v>28911.563988145466</v>
      </c>
      <c r="AM59" s="256">
        <f t="shared" si="16"/>
        <v>65720</v>
      </c>
      <c r="AN59" s="256">
        <f t="shared" si="17"/>
        <v>94631.56398814547</v>
      </c>
    </row>
    <row r="60" spans="1:40" hidden="1" x14ac:dyDescent="0.2">
      <c r="A60" s="3" t="str">
        <f>IF('Employee Detail FY23'!A60="","",'Employee Detail FY23'!A60)</f>
        <v/>
      </c>
      <c r="B60" s="647" t="str">
        <f>IF('Employee Detail FY23'!B60="","",'Employee Detail FY23'!B60)</f>
        <v/>
      </c>
      <c r="C60" s="647" t="str">
        <f>IF('Employee Detail FY23'!C60="","",'Employee Detail FY23'!C60)</f>
        <v/>
      </c>
      <c r="D60" s="647"/>
      <c r="E60" s="647" t="str">
        <f>IF('Employee Detail FY23'!E60="","",'Employee Detail FY23'!E60)</f>
        <v/>
      </c>
      <c r="F60" s="647" t="str">
        <f>IF('Employee Detail FY23'!F60="","",'Employee Detail FY23'!F60)</f>
        <v/>
      </c>
      <c r="G60" s="647" t="str">
        <f>IF('Employee Detail FY23'!G60="","",'Employee Detail FY23'!G60)</f>
        <v/>
      </c>
      <c r="H60" s="3"/>
      <c r="I60" s="255" t="str">
        <f>IF('Employee Detail FY23'!I60="","",'Employee Detail FY23'!I60)</f>
        <v/>
      </c>
      <c r="J60" s="255" t="str">
        <f>IF('Employee Detail FY23'!J60="","",'Employee Detail FY23'!J60)</f>
        <v/>
      </c>
      <c r="K60" s="255" t="str">
        <f>IF('Employee Detail FY23'!K60="","",'Employee Detail FY23'!K60)</f>
        <v/>
      </c>
      <c r="L60" s="255" t="str">
        <f>IF('Employee Detail FY23'!L60="","",'Employee Detail FY23'!L60)</f>
        <v/>
      </c>
      <c r="M60" s="92" t="str">
        <f>IF('Employee Detail FY23'!M60="","",'Employee Detail FY23'!M60)</f>
        <v/>
      </c>
      <c r="N60" s="3" t="str">
        <f>IF('Employee Detail FY23'!N60="","",'Employee Detail FY23'!N60)</f>
        <v/>
      </c>
      <c r="O60" s="3" t="str">
        <f>IF('Employee Detail FY23'!O60="","",'Employee Detail FY23'!O60)</f>
        <v/>
      </c>
      <c r="P60" s="3" t="str">
        <f>IF('Employee Detail FY23'!P60="","",'Employee Detail FY23'!P60)</f>
        <v/>
      </c>
      <c r="Q60" s="3" t="str">
        <f>IF('Employee Detail FY23'!Q60="","",'Employee Detail FY23'!Q60)</f>
        <v/>
      </c>
      <c r="R60" s="3" t="str">
        <f>IF('Employee Detail FY23'!R60="","",'Employee Detail FY23'!R60)</f>
        <v/>
      </c>
      <c r="S60" s="3" t="str">
        <f>IF('Employee Detail FY23'!S60="","",'Employee Detail FY23'!S60)</f>
        <v/>
      </c>
      <c r="T60" s="263" t="str">
        <f t="shared" si="4"/>
        <v/>
      </c>
      <c r="U60" s="269" t="str">
        <f>IF('Employee Detail FY23'!U60="","",'Employee Detail FY23'!U60)</f>
        <v/>
      </c>
      <c r="V60" s="270" t="str">
        <f t="shared" si="5"/>
        <v/>
      </c>
      <c r="W60" s="270" t="str">
        <f t="shared" si="6"/>
        <v/>
      </c>
      <c r="X60" s="270" t="str">
        <f t="shared" si="7"/>
        <v/>
      </c>
      <c r="Y60" s="62">
        <v>0</v>
      </c>
      <c r="Z60" s="62">
        <v>0</v>
      </c>
      <c r="AA60" s="256">
        <f t="shared" si="8"/>
        <v>0</v>
      </c>
      <c r="AB60" s="3"/>
      <c r="AC60" s="62" t="str">
        <f t="shared" si="9"/>
        <v/>
      </c>
      <c r="AD60" s="62" t="str">
        <f t="shared" si="10"/>
        <v/>
      </c>
      <c r="AE60" s="62" t="str">
        <f t="shared" si="11"/>
        <v/>
      </c>
      <c r="AF60" s="62" t="str">
        <f t="shared" si="12"/>
        <v/>
      </c>
      <c r="AG60" s="192">
        <v>0</v>
      </c>
      <c r="AH60" s="62" t="str">
        <f t="shared" si="13"/>
        <v/>
      </c>
      <c r="AI60" s="62">
        <f t="shared" si="14"/>
        <v>0</v>
      </c>
      <c r="AJ60" s="62"/>
      <c r="AK60" s="62">
        <v>0</v>
      </c>
      <c r="AL60" s="256">
        <f t="shared" si="15"/>
        <v>0</v>
      </c>
      <c r="AM60" s="256">
        <f t="shared" si="16"/>
        <v>0</v>
      </c>
      <c r="AN60" s="256">
        <f t="shared" si="17"/>
        <v>0</v>
      </c>
    </row>
    <row r="61" spans="1:40" hidden="1" x14ac:dyDescent="0.2">
      <c r="A61" s="3" t="str">
        <f>IF('Employee Detail FY23'!A61="","",'Employee Detail FY23'!A61)</f>
        <v>CSP</v>
      </c>
      <c r="B61" s="647" t="s">
        <v>468</v>
      </c>
      <c r="C61" s="647" t="s">
        <v>145</v>
      </c>
      <c r="D61" s="647"/>
      <c r="E61" s="647">
        <f>IF('Employee Detail FY23'!E61="","",'Employee Detail FY23'!E61)</f>
        <v>100</v>
      </c>
      <c r="F61" s="647">
        <f>IF('Employee Detail FY23'!F61="","",'Employee Detail FY23'!F61)</f>
        <v>2110</v>
      </c>
      <c r="G61" s="647" t="str">
        <f>IF('Employee Detail FY23'!G61="","",'Employee Detail FY23'!G61)</f>
        <v>0107</v>
      </c>
      <c r="H61" s="3"/>
      <c r="I61" s="255" t="str">
        <f>IF('Employee Detail FY23'!I61="","",'Employee Detail FY23'!I61)</f>
        <v>CAMARILLO</v>
      </c>
      <c r="J61" s="255" t="str">
        <f>IF('Employee Detail FY23'!J61="","",'Employee Detail FY23'!J61)</f>
        <v>GLENDI</v>
      </c>
      <c r="K61" s="255" t="str">
        <f>IF('Employee Detail FY23'!K61="","",'Employee Detail FY23'!K61)</f>
        <v>Support Staff</v>
      </c>
      <c r="L61" s="255" t="str">
        <f>IF('Employee Detail FY23'!L61="","",'Employee Detail FY23'!L61)</f>
        <v>STUDENT PERSISTENCE ASSISTANT</v>
      </c>
      <c r="M61" s="92">
        <f>IF('Employee Detail FY23'!M61="","",'Employee Detail FY23'!M61)</f>
        <v>1</v>
      </c>
      <c r="N61" s="3">
        <f>IF('Employee Detail FY23'!N61="","",'Employee Detail FY23'!N61)</f>
        <v>12</v>
      </c>
      <c r="O61" s="3">
        <f>IF('Employee Detail FY23'!O61="","",'Employee Detail FY23'!O61)</f>
        <v>24</v>
      </c>
      <c r="P61" s="3" t="str">
        <f>IF('Employee Detail FY23'!P61="","",'Employee Detail FY23'!P61)</f>
        <v>ER</v>
      </c>
      <c r="Q61" s="3">
        <f>IF('Employee Detail FY23'!Q61="","",'Employee Detail FY23'!Q61)</f>
        <v>19.88</v>
      </c>
      <c r="R61" s="3">
        <f>IF('Employee Detail FY23'!R61="","",'Employee Detail FY23'!R61)</f>
        <v>260</v>
      </c>
      <c r="S61" s="3">
        <f>IF('Employee Detail FY23'!S61="","",'Employee Detail FY23'!S61)</f>
        <v>8</v>
      </c>
      <c r="T61" s="263">
        <f>+IF(R61="","",R61*S61)</f>
        <v>2080</v>
      </c>
      <c r="U61" s="269">
        <f>IF('Employee Detail FY23'!U61="","",'Employee Detail FY23'!U61)</f>
        <v>41350.400000000001</v>
      </c>
      <c r="V61" s="270">
        <f>IF($U61="","",$U61*(1+$V$1))</f>
        <v>43831.424000000006</v>
      </c>
      <c r="W61" s="270" t="str">
        <f>+IF(P61="EE",+V61*$W$1,"")</f>
        <v/>
      </c>
      <c r="X61" s="270">
        <f>_xlfn.IFS(P61="ER",V61,P61="EE",W61,P61="N",V61,P61="","")</f>
        <v>43831.424000000006</v>
      </c>
      <c r="Y61" s="62">
        <v>0</v>
      </c>
      <c r="Z61" s="62">
        <v>0</v>
      </c>
      <c r="AA61" s="256">
        <f>SUM(X61:Z61)</f>
        <v>43831.424000000006</v>
      </c>
      <c r="AB61" s="3"/>
      <c r="AC61" s="62">
        <f>IF(AND(M61=1,P61&lt;&gt;"N"),$AC$1,"")</f>
        <v>7943.76</v>
      </c>
      <c r="AD61" s="62" t="str">
        <f>_xlfn.IFS(P61="N",$AD$1*AA61,P61="EE","",P61="ER","",P61="","")</f>
        <v/>
      </c>
      <c r="AE61" s="62">
        <f>_xlfn.IFS(P61="EE",X61*$AE$1,P61="ER",X61*$AE$2,P61="N","",P61="","")</f>
        <v>12820.69152</v>
      </c>
      <c r="AF61" s="62">
        <f>+IF(AA61&gt;1,AA61*$AF$1,"")</f>
        <v>635.55564800000013</v>
      </c>
      <c r="AG61" s="192">
        <v>0</v>
      </c>
      <c r="AH61" s="62">
        <f>+IF(AA61&gt;1,AA61*$AH$1,"")</f>
        <v>398.96835329258982</v>
      </c>
      <c r="AI61" s="62">
        <f>+_xlfn.IFS(F61&lt;2300,(AA61*$AI$1),F61&gt;=2300,(AA61*$AI$2),F61="","")</f>
        <v>129.09225340757686</v>
      </c>
      <c r="AJ61" s="62"/>
      <c r="AK61" s="62">
        <v>0</v>
      </c>
      <c r="AL61" s="256">
        <f>SUM(AC61:AK61)</f>
        <v>21928.067774700168</v>
      </c>
      <c r="AM61" s="256">
        <f>AA61</f>
        <v>43831.424000000006</v>
      </c>
      <c r="AN61" s="256">
        <f>SUM(AL61:AM61)</f>
        <v>65759.491774700175</v>
      </c>
    </row>
    <row r="62" spans="1:40" hidden="1" x14ac:dyDescent="0.2">
      <c r="A62" s="3" t="str">
        <f>IF('Employee Detail FY23'!A62="","",'Employee Detail FY23'!A62)</f>
        <v/>
      </c>
      <c r="B62" s="647" t="str">
        <f>IF('Employee Detail FY23'!B62="","",'Employee Detail FY23'!B62)</f>
        <v/>
      </c>
      <c r="C62" s="647" t="str">
        <f>IF('Employee Detail FY23'!C62="","",'Employee Detail FY23'!C62)</f>
        <v/>
      </c>
      <c r="D62" s="647"/>
      <c r="E62" s="647" t="str">
        <f>IF('Employee Detail FY23'!E62="","",'Employee Detail FY23'!E62)</f>
        <v/>
      </c>
      <c r="F62" s="647" t="str">
        <f>IF('Employee Detail FY23'!F62="","",'Employee Detail FY23'!F62)</f>
        <v/>
      </c>
      <c r="G62" s="647" t="str">
        <f>IF('Employee Detail FY23'!G62="","",'Employee Detail FY23'!G62)</f>
        <v/>
      </c>
      <c r="H62" s="3"/>
      <c r="I62" s="255" t="str">
        <f>IF('Employee Detail FY23'!I62="","",'Employee Detail FY23'!I62)</f>
        <v/>
      </c>
      <c r="J62" s="255" t="str">
        <f>IF('Employee Detail FY23'!J62="","",'Employee Detail FY23'!J62)</f>
        <v/>
      </c>
      <c r="K62" s="255" t="str">
        <f>IF('Employee Detail FY23'!K62="","",'Employee Detail FY23'!K62)</f>
        <v/>
      </c>
      <c r="L62" s="255" t="str">
        <f>IF('Employee Detail FY23'!L62="","",'Employee Detail FY23'!L62)</f>
        <v/>
      </c>
      <c r="M62" s="92" t="str">
        <f>IF('Employee Detail FY23'!M62="","",'Employee Detail FY23'!M62)</f>
        <v/>
      </c>
      <c r="N62" s="3" t="str">
        <f>IF('Employee Detail FY23'!N62="","",'Employee Detail FY23'!N62)</f>
        <v/>
      </c>
      <c r="O62" s="3" t="str">
        <f>IF('Employee Detail FY23'!O62="","",'Employee Detail FY23'!O62)</f>
        <v/>
      </c>
      <c r="P62" s="3" t="str">
        <f>IF('Employee Detail FY23'!P62="","",'Employee Detail FY23'!P62)</f>
        <v/>
      </c>
      <c r="Q62" s="3" t="str">
        <f>IF('Employee Detail FY23'!Q62="","",'Employee Detail FY23'!Q62)</f>
        <v/>
      </c>
      <c r="R62" s="3" t="str">
        <f>IF('Employee Detail FY23'!R62="","",'Employee Detail FY23'!R62)</f>
        <v/>
      </c>
      <c r="S62" s="3" t="str">
        <f>IF('Employee Detail FY23'!S62="","",'Employee Detail FY23'!S62)</f>
        <v/>
      </c>
      <c r="T62" s="263" t="str">
        <f>+IF(R62="","",R62*S62)</f>
        <v/>
      </c>
      <c r="U62" s="269">
        <f>IF('Employee Detail FY23'!U62="","",'Employee Detail FY23'!U62)</f>
        <v>0</v>
      </c>
      <c r="V62" s="270">
        <f>IF($U62="","",$U62*(1+$V$1))</f>
        <v>0</v>
      </c>
      <c r="W62" s="270" t="str">
        <f>+IF(P62="EE",+V62*$W$1,"")</f>
        <v/>
      </c>
      <c r="X62" s="270" t="str">
        <f>_xlfn.IFS(P62="ER",V62,P62="EE",W62,P62="N",V62,P62="","")</f>
        <v/>
      </c>
      <c r="Y62" s="62">
        <v>0</v>
      </c>
      <c r="Z62" s="62">
        <v>0</v>
      </c>
      <c r="AA62" s="256">
        <f>SUM(X62:Z62)</f>
        <v>0</v>
      </c>
      <c r="AB62" s="3"/>
      <c r="AC62" s="62" t="str">
        <f>IF(AND(M62=1,P62&lt;&gt;"N"),$AC$1,"")</f>
        <v/>
      </c>
      <c r="AD62" s="62" t="str">
        <f>_xlfn.IFS(P62="N",$AD$1*AA62,P62="EE","",P62="ER","",P62="","")</f>
        <v/>
      </c>
      <c r="AE62" s="62" t="str">
        <f>_xlfn.IFS(P62="EE",X62*$AE$1,P62="ER",X62*$AE$2,P62="N","",P62="","")</f>
        <v/>
      </c>
      <c r="AF62" s="62" t="str">
        <f>+IF(AA62&gt;1,AA62*$AF$1,"")</f>
        <v/>
      </c>
      <c r="AG62" s="192">
        <v>0</v>
      </c>
      <c r="AH62" s="62" t="str">
        <f>+IF(AA62&gt;1,AA62*$AH$1,"")</f>
        <v/>
      </c>
      <c r="AI62" s="62">
        <f>+_xlfn.IFS(F62&lt;2300,(AA62*$AI$1),F62&gt;=2300,(AA62*$AI$2),F62="","")</f>
        <v>0</v>
      </c>
      <c r="AJ62" s="62"/>
      <c r="AK62" s="62">
        <v>0</v>
      </c>
      <c r="AL62" s="256">
        <f>SUM(AC62:AK62)</f>
        <v>0</v>
      </c>
      <c r="AM62" s="256">
        <f>AA62</f>
        <v>0</v>
      </c>
      <c r="AN62" s="256">
        <f>SUM(AL62:AM62)</f>
        <v>0</v>
      </c>
    </row>
    <row r="63" spans="1:40" hidden="1" x14ac:dyDescent="0.2">
      <c r="A63" s="3" t="str">
        <f>IF('Employee Detail FY23'!A63="","",'Employee Detail FY23'!A63)</f>
        <v/>
      </c>
      <c r="B63" s="647">
        <f>IF('Employee Detail FY23'!B63="","",'Employee Detail FY23'!B63)</f>
        <v>100</v>
      </c>
      <c r="C63" s="647" t="str">
        <f>IF('Employee Detail FY23'!C63="","",'Employee Detail FY23'!C63)</f>
        <v>000</v>
      </c>
      <c r="D63" s="647"/>
      <c r="E63" s="647">
        <f>IF('Employee Detail FY23'!E63="","",'Employee Detail FY23'!E63)</f>
        <v>100</v>
      </c>
      <c r="F63" s="647">
        <f>IF('Employee Detail FY23'!F63="","",'Employee Detail FY23'!F63)</f>
        <v>2212</v>
      </c>
      <c r="G63" s="647" t="str">
        <f>IF('Employee Detail FY23'!G63="","",'Employee Detail FY23'!G63)</f>
        <v>0107</v>
      </c>
      <c r="H63" s="3"/>
      <c r="I63" s="255" t="str">
        <f>IF('Employee Detail FY23'!I63="","",'Employee Detail FY23'!I63)</f>
        <v>HERNANDEZ</v>
      </c>
      <c r="J63" s="255" t="str">
        <f>IF('Employee Detail FY23'!J63="","",'Employee Detail FY23'!J63)</f>
        <v>BRISSELLE</v>
      </c>
      <c r="K63" s="255" t="str">
        <f>IF('Employee Detail FY23'!K63="","",'Employee Detail FY23'!K63)</f>
        <v>Support Staff</v>
      </c>
      <c r="L63" s="255" t="str">
        <f>IF('Employee Detail FY23'!L63="","",'Employee Detail FY23'!L63)</f>
        <v>INSTRUCTIONAL DESIGNER</v>
      </c>
      <c r="M63" s="92">
        <f>IF('Employee Detail FY23'!M63="","",'Employee Detail FY23'!M63)</f>
        <v>1</v>
      </c>
      <c r="N63" s="3" t="str">
        <f>IF('Employee Detail FY23'!N63="","",'Employee Detail FY23'!N63)</f>
        <v/>
      </c>
      <c r="O63" s="3">
        <f>IF('Employee Detail FY23'!O63="","",'Employee Detail FY23'!O63)</f>
        <v>26</v>
      </c>
      <c r="P63" s="3" t="str">
        <f>IF('Employee Detail FY23'!P63="","",'Employee Detail FY23'!P63)</f>
        <v>EE</v>
      </c>
      <c r="Q63" s="3">
        <f>IF('Employee Detail FY23'!Q63="","",'Employee Detail FY23'!Q63)</f>
        <v>20</v>
      </c>
      <c r="R63" s="3">
        <f>IF('Employee Detail FY23'!R63="","",'Employee Detail FY23'!R63)</f>
        <v>261</v>
      </c>
      <c r="S63" s="3">
        <f>IF('Employee Detail FY23'!S63="","",'Employee Detail FY23'!S63)</f>
        <v>8</v>
      </c>
      <c r="T63" s="263">
        <f t="shared" si="4"/>
        <v>2088</v>
      </c>
      <c r="U63" s="269">
        <f>IF('Employee Detail FY23'!U63="","",'Employee Detail FY23'!U63)</f>
        <v>42600</v>
      </c>
      <c r="V63" s="270">
        <f t="shared" si="5"/>
        <v>45156</v>
      </c>
      <c r="W63" s="270">
        <f t="shared" si="6"/>
        <v>52091.329416</v>
      </c>
      <c r="X63" s="270">
        <f t="shared" si="7"/>
        <v>52091.329416</v>
      </c>
      <c r="Y63" s="62">
        <v>0</v>
      </c>
      <c r="Z63" s="62">
        <v>0</v>
      </c>
      <c r="AA63" s="256">
        <f t="shared" si="8"/>
        <v>52091.329416</v>
      </c>
      <c r="AB63" s="3"/>
      <c r="AC63" s="62">
        <f t="shared" si="9"/>
        <v>7943.76</v>
      </c>
      <c r="AD63" s="62" t="str">
        <f t="shared" si="10"/>
        <v/>
      </c>
      <c r="AE63" s="62">
        <f t="shared" si="11"/>
        <v>7943.9277359400003</v>
      </c>
      <c r="AF63" s="62">
        <f t="shared" si="12"/>
        <v>755.324276532</v>
      </c>
      <c r="AG63" s="192">
        <v>0</v>
      </c>
      <c r="AH63" s="62">
        <f t="shared" si="13"/>
        <v>474.15278860032845</v>
      </c>
      <c r="AI63" s="62">
        <f t="shared" si="14"/>
        <v>153.41931618073448</v>
      </c>
      <c r="AJ63" s="62"/>
      <c r="AK63" s="62">
        <v>0</v>
      </c>
      <c r="AL63" s="256">
        <f t="shared" si="15"/>
        <v>17270.584117253064</v>
      </c>
      <c r="AM63" s="256">
        <f t="shared" si="16"/>
        <v>52091.329416</v>
      </c>
      <c r="AN63" s="256">
        <f t="shared" si="17"/>
        <v>69361.913533253071</v>
      </c>
    </row>
    <row r="64" spans="1:40" hidden="1" x14ac:dyDescent="0.2">
      <c r="A64" s="3" t="str">
        <f>IF('Employee Detail FY23'!A64="","",'Employee Detail FY23'!A64)</f>
        <v/>
      </c>
      <c r="B64" s="647">
        <f>IF('Employee Detail FY23'!B64="","",'Employee Detail FY23'!B64)</f>
        <v>100</v>
      </c>
      <c r="C64" s="647" t="str">
        <f>IF('Employee Detail FY23'!C64="","",'Employee Detail FY23'!C64)</f>
        <v>000</v>
      </c>
      <c r="D64" s="647"/>
      <c r="E64" s="647">
        <f>IF('Employee Detail FY23'!E64="","",'Employee Detail FY23'!E64)</f>
        <v>100</v>
      </c>
      <c r="F64" s="647" t="str">
        <f>IF('Employee Detail FY23'!F64="","",'Employee Detail FY23'!F64)</f>
        <v>2410</v>
      </c>
      <c r="G64" s="647" t="str">
        <f>IF('Employee Detail FY23'!G64="","",'Employee Detail FY23'!G64)</f>
        <v>0107</v>
      </c>
      <c r="H64" s="3"/>
      <c r="I64" s="255" t="str">
        <f>IF('Employee Detail FY23'!I64="","",'Employee Detail FY23'!I64)</f>
        <v>RUIZ</v>
      </c>
      <c r="J64" s="255" t="str">
        <f>IF('Employee Detail FY23'!J64="","",'Employee Detail FY23'!J64)</f>
        <v>ANNETTE</v>
      </c>
      <c r="K64" s="255" t="str">
        <f>IF('Employee Detail FY23'!K64="","",'Employee Detail FY23'!K64)</f>
        <v>Support Staff</v>
      </c>
      <c r="L64" s="255" t="str">
        <f>IF('Employee Detail FY23'!L64="","",'Employee Detail FY23'!L64)</f>
        <v>REGISTRAR</v>
      </c>
      <c r="M64" s="92">
        <f>IF('Employee Detail FY23'!M64="","",'Employee Detail FY23'!M64)</f>
        <v>1</v>
      </c>
      <c r="N64" s="3" t="str">
        <f>IF('Employee Detail FY23'!N64="","",'Employee Detail FY23'!N64)</f>
        <v>H</v>
      </c>
      <c r="O64" s="3">
        <f>IF('Employee Detail FY23'!O64="","",'Employee Detail FY23'!O64)</f>
        <v>1</v>
      </c>
      <c r="P64" s="3" t="str">
        <f>IF('Employee Detail FY23'!P64="","",'Employee Detail FY23'!P64)</f>
        <v>EE</v>
      </c>
      <c r="Q64" s="3" t="str">
        <f>IF('Employee Detail FY23'!Q64="","",'Employee Detail FY23'!Q64)</f>
        <v/>
      </c>
      <c r="R64" s="3">
        <f>IF('Employee Detail FY23'!R64="","",'Employee Detail FY23'!R64)</f>
        <v>261</v>
      </c>
      <c r="S64" s="3">
        <f>IF('Employee Detail FY23'!S64="","",'Employee Detail FY23'!S64)</f>
        <v>8</v>
      </c>
      <c r="T64" s="263">
        <f t="shared" si="4"/>
        <v>2088</v>
      </c>
      <c r="U64" s="269">
        <f>IF('Employee Detail FY23'!U64="","",'Employee Detail FY23'!U64)</f>
        <v>43000</v>
      </c>
      <c r="V64" s="270">
        <f t="shared" si="5"/>
        <v>45580</v>
      </c>
      <c r="W64" s="270">
        <f t="shared" si="6"/>
        <v>52580.44988</v>
      </c>
      <c r="X64" s="270">
        <f t="shared" si="7"/>
        <v>52580.44988</v>
      </c>
      <c r="Y64" s="62">
        <v>0</v>
      </c>
      <c r="Z64" s="62">
        <v>0</v>
      </c>
      <c r="AA64" s="256">
        <f t="shared" si="8"/>
        <v>52580.44988</v>
      </c>
      <c r="AB64" s="3"/>
      <c r="AC64" s="62">
        <f t="shared" si="9"/>
        <v>7943.76</v>
      </c>
      <c r="AD64" s="62" t="str">
        <f t="shared" si="10"/>
        <v/>
      </c>
      <c r="AE64" s="62">
        <f t="shared" si="11"/>
        <v>8018.5186066999995</v>
      </c>
      <c r="AF64" s="62">
        <f t="shared" si="12"/>
        <v>762.41652326000008</v>
      </c>
      <c r="AG64" s="192">
        <v>0</v>
      </c>
      <c r="AH64" s="62">
        <f t="shared" si="13"/>
        <v>478.60492746042542</v>
      </c>
      <c r="AI64" s="62">
        <f t="shared" si="14"/>
        <v>154.859873140178</v>
      </c>
      <c r="AJ64" s="62"/>
      <c r="AK64" s="62">
        <v>0</v>
      </c>
      <c r="AL64" s="256">
        <f t="shared" si="15"/>
        <v>17358.159930560603</v>
      </c>
      <c r="AM64" s="256">
        <f t="shared" si="16"/>
        <v>52580.44988</v>
      </c>
      <c r="AN64" s="256">
        <f t="shared" si="17"/>
        <v>69938.609810560607</v>
      </c>
    </row>
    <row r="65" spans="1:40" hidden="1" x14ac:dyDescent="0.2">
      <c r="A65" s="3" t="str">
        <f>IF('Employee Detail FY23'!A65="","",'Employee Detail FY23'!A65)</f>
        <v>CSP</v>
      </c>
      <c r="B65" s="647" t="s">
        <v>468</v>
      </c>
      <c r="C65" s="647" t="s">
        <v>145</v>
      </c>
      <c r="D65" s="647"/>
      <c r="E65" s="647">
        <f>IF('Employee Detail FY23'!E65="","",'Employee Detail FY23'!E65)</f>
        <v>100</v>
      </c>
      <c r="F65" s="647">
        <f>IF('Employee Detail FY23'!F65="","",'Employee Detail FY23'!F65)</f>
        <v>2410</v>
      </c>
      <c r="G65" s="647" t="str">
        <f>IF('Employee Detail FY23'!G65="","",'Employee Detail FY23'!G65)</f>
        <v>0107</v>
      </c>
      <c r="H65" s="3"/>
      <c r="I65" s="255" t="str">
        <f>IF('Employee Detail FY23'!I65="","",'Employee Detail FY23'!I65)</f>
        <v>ZEIDLER</v>
      </c>
      <c r="J65" s="255" t="str">
        <f>IF('Employee Detail FY23'!J65="","",'Employee Detail FY23'!J65)</f>
        <v>LINDA</v>
      </c>
      <c r="K65" s="255" t="str">
        <f>IF('Employee Detail FY23'!K65="","",'Employee Detail FY23'!K65)</f>
        <v>Support Staff</v>
      </c>
      <c r="L65" s="255" t="str">
        <f>IF('Employee Detail FY23'!L65="","",'Employee Detail FY23'!L65)</f>
        <v>RECORDS &amp; ENROLLMENT COORDINATOR</v>
      </c>
      <c r="M65" s="92">
        <f>IF('Employee Detail FY23'!M65="","",'Employee Detail FY23'!M65)</f>
        <v>1</v>
      </c>
      <c r="N65" s="3" t="str">
        <f>IF('Employee Detail FY23'!N65="","",'Employee Detail FY23'!N65)</f>
        <v/>
      </c>
      <c r="O65" s="3">
        <f>IF('Employee Detail FY23'!O65="","",'Employee Detail FY23'!O65)</f>
        <v>26</v>
      </c>
      <c r="P65" s="3" t="str">
        <f>IF('Employee Detail FY23'!P65="","",'Employee Detail FY23'!P65)</f>
        <v>ER</v>
      </c>
      <c r="Q65" s="3" t="str">
        <f>IF('Employee Detail FY23'!Q65="","",'Employee Detail FY23'!Q65)</f>
        <v/>
      </c>
      <c r="R65" s="3">
        <f>IF('Employee Detail FY23'!R65="","",'Employee Detail FY23'!R65)</f>
        <v>200</v>
      </c>
      <c r="S65" s="3">
        <f>IF('Employee Detail FY23'!S65="","",'Employee Detail FY23'!S65)</f>
        <v>8</v>
      </c>
      <c r="T65" s="263">
        <f t="shared" si="4"/>
        <v>1600</v>
      </c>
      <c r="U65" s="269">
        <f>IF('Employee Detail FY23'!U65="","",'Employee Detail FY23'!U65)</f>
        <v>70000</v>
      </c>
      <c r="V65" s="270">
        <f t="shared" si="5"/>
        <v>74200</v>
      </c>
      <c r="W65" s="270" t="str">
        <f t="shared" si="6"/>
        <v/>
      </c>
      <c r="X65" s="270">
        <f t="shared" si="7"/>
        <v>74200</v>
      </c>
      <c r="Y65" s="62">
        <v>0</v>
      </c>
      <c r="Z65" s="62">
        <v>0</v>
      </c>
      <c r="AA65" s="256">
        <f t="shared" si="8"/>
        <v>74200</v>
      </c>
      <c r="AB65" s="3"/>
      <c r="AC65" s="62">
        <f t="shared" si="9"/>
        <v>7943.76</v>
      </c>
      <c r="AD65" s="62" t="str">
        <f t="shared" si="10"/>
        <v/>
      </c>
      <c r="AE65" s="62">
        <f t="shared" si="11"/>
        <v>21703.5</v>
      </c>
      <c r="AF65" s="62">
        <f t="shared" si="12"/>
        <v>1075.9000000000001</v>
      </c>
      <c r="AG65" s="192">
        <v>0</v>
      </c>
      <c r="AH65" s="62">
        <f t="shared" si="13"/>
        <v>675.39333913290523</v>
      </c>
      <c r="AI65" s="62">
        <f t="shared" si="14"/>
        <v>218.53374425713849</v>
      </c>
      <c r="AJ65" s="62"/>
      <c r="AK65" s="62">
        <v>0</v>
      </c>
      <c r="AL65" s="256">
        <f t="shared" si="15"/>
        <v>31617.087083390048</v>
      </c>
      <c r="AM65" s="256">
        <f t="shared" si="16"/>
        <v>74200</v>
      </c>
      <c r="AN65" s="256">
        <f t="shared" si="17"/>
        <v>105817.08708339004</v>
      </c>
    </row>
    <row r="66" spans="1:40" hidden="1" x14ac:dyDescent="0.2">
      <c r="A66" s="3" t="str">
        <f>IF('Employee Detail FY23'!A66="","",'Employee Detail FY23'!A66)</f>
        <v/>
      </c>
      <c r="B66" s="647">
        <f>IF('Employee Detail FY23'!B66="","",'Employee Detail FY23'!B66)</f>
        <v>100</v>
      </c>
      <c r="C66" s="647" t="str">
        <f>IF('Employee Detail FY23'!C66="","",'Employee Detail FY23'!C66)</f>
        <v>000</v>
      </c>
      <c r="D66" s="647"/>
      <c r="E66" s="647">
        <f>IF('Employee Detail FY23'!E66="","",'Employee Detail FY23'!E66)</f>
        <v>100</v>
      </c>
      <c r="F66" s="647" t="str">
        <f>IF('Employee Detail FY23'!F66="","",'Employee Detail FY23'!F66)</f>
        <v>2410</v>
      </c>
      <c r="G66" s="647" t="str">
        <f>IF('Employee Detail FY23'!G66="","",'Employee Detail FY23'!G66)</f>
        <v>0107</v>
      </c>
      <c r="H66" s="3"/>
      <c r="I66" s="255" t="str">
        <f>IF('Employee Detail FY23'!I66="","",'Employee Detail FY23'!I66)</f>
        <v>GARCIA</v>
      </c>
      <c r="J66" s="255" t="str">
        <f>IF('Employee Detail FY23'!J66="","",'Employee Detail FY23'!J66)</f>
        <v>BELINDA</v>
      </c>
      <c r="K66" s="255" t="str">
        <f>IF('Employee Detail FY23'!K66="","",'Employee Detail FY23'!K66)</f>
        <v>Support Staff</v>
      </c>
      <c r="L66" s="255" t="str">
        <f>IF('Employee Detail FY23'!L66="","",'Employee Detail FY23'!L66)</f>
        <v>RECEPTIONIST</v>
      </c>
      <c r="M66" s="92">
        <f>IF('Employee Detail FY23'!M66="","",'Employee Detail FY23'!M66)</f>
        <v>1</v>
      </c>
      <c r="N66" s="3" t="str">
        <f>IF('Employee Detail FY23'!N66="","",'Employee Detail FY23'!N66)</f>
        <v>12</v>
      </c>
      <c r="O66" s="3">
        <f>IF('Employee Detail FY23'!O66="","",'Employee Detail FY23'!O66)</f>
        <v>22.5</v>
      </c>
      <c r="P66" s="3" t="str">
        <f>IF('Employee Detail FY23'!P66="","",'Employee Detail FY23'!P66)</f>
        <v>ER</v>
      </c>
      <c r="Q66" s="3">
        <f>IF('Employee Detail FY23'!Q66="","",'Employee Detail FY23'!Q66)</f>
        <v>15.95</v>
      </c>
      <c r="R66" s="3">
        <f>IF('Employee Detail FY23'!R66="","",'Employee Detail FY23'!R66)</f>
        <v>260</v>
      </c>
      <c r="S66" s="3">
        <f>IF('Employee Detail FY23'!S66="","",'Employee Detail FY23'!S66)</f>
        <v>8</v>
      </c>
      <c r="T66" s="263">
        <f t="shared" si="4"/>
        <v>2080</v>
      </c>
      <c r="U66" s="269">
        <f>IF('Employee Detail FY23'!U66="","",'Employee Detail FY23'!U66)</f>
        <v>33176</v>
      </c>
      <c r="V66" s="270">
        <f t="shared" si="5"/>
        <v>35166.560000000005</v>
      </c>
      <c r="W66" s="270" t="str">
        <f t="shared" si="6"/>
        <v/>
      </c>
      <c r="X66" s="270">
        <f t="shared" si="7"/>
        <v>35166.560000000005</v>
      </c>
      <c r="Y66" s="62">
        <v>0</v>
      </c>
      <c r="Z66" s="62">
        <v>0</v>
      </c>
      <c r="AA66" s="256">
        <f t="shared" si="8"/>
        <v>35166.560000000005</v>
      </c>
      <c r="AB66" s="3"/>
      <c r="AC66" s="62">
        <f t="shared" si="9"/>
        <v>7943.76</v>
      </c>
      <c r="AD66" s="62" t="str">
        <f t="shared" si="10"/>
        <v/>
      </c>
      <c r="AE66" s="62">
        <f t="shared" si="11"/>
        <v>10286.218800000001</v>
      </c>
      <c r="AF66" s="62">
        <f t="shared" si="12"/>
        <v>509.91512000000012</v>
      </c>
      <c r="AG66" s="192">
        <v>0</v>
      </c>
      <c r="AH66" s="62">
        <f t="shared" si="13"/>
        <v>320.09784884390382</v>
      </c>
      <c r="AI66" s="62">
        <f t="shared" si="14"/>
        <v>103.57250713535468</v>
      </c>
      <c r="AJ66" s="62"/>
      <c r="AK66" s="62">
        <v>0</v>
      </c>
      <c r="AL66" s="256">
        <f t="shared" si="15"/>
        <v>19163.564275979261</v>
      </c>
      <c r="AM66" s="256">
        <f t="shared" si="16"/>
        <v>35166.560000000005</v>
      </c>
      <c r="AN66" s="256">
        <f t="shared" si="17"/>
        <v>54330.124275979266</v>
      </c>
    </row>
    <row r="67" spans="1:40" hidden="1" x14ac:dyDescent="0.2">
      <c r="A67" s="3" t="str">
        <f>IF('Employee Detail FY23'!A67="","",'Employee Detail FY23'!A67)</f>
        <v/>
      </c>
      <c r="B67" s="647">
        <f>IF('Employee Detail FY23'!B67="","",'Employee Detail FY23'!B67)</f>
        <v>250</v>
      </c>
      <c r="C67" s="647">
        <f>IF('Employee Detail FY23'!C67="","",'Employee Detail FY23'!C67)</f>
        <v>205</v>
      </c>
      <c r="D67" s="647"/>
      <c r="E67" s="647">
        <f>IF('Employee Detail FY23'!E67="","",'Employee Detail FY23'!E67)</f>
        <v>200</v>
      </c>
      <c r="F67" s="647">
        <f>IF('Employee Detail FY23'!F67="","",'Employee Detail FY23'!F67)</f>
        <v>2410</v>
      </c>
      <c r="G67" s="647" t="str">
        <f>IF('Employee Detail FY23'!G67="","",'Employee Detail FY23'!G67)</f>
        <v>0107</v>
      </c>
      <c r="H67" s="3"/>
      <c r="I67" s="255" t="str">
        <f>IF('Employee Detail FY23'!I67="","",'Employee Detail FY23'!I67)</f>
        <v>CLADERA RABELO</v>
      </c>
      <c r="J67" s="255" t="str">
        <f>IF('Employee Detail FY23'!J67="","",'Employee Detail FY23'!J67)</f>
        <v>REDYANE</v>
      </c>
      <c r="K67" s="255" t="str">
        <f>IF('Employee Detail FY23'!K67="","",'Employee Detail FY23'!K67)</f>
        <v>Support Staff</v>
      </c>
      <c r="L67" s="255" t="str">
        <f>IF('Employee Detail FY23'!L67="","",'Employee Detail FY23'!L67)</f>
        <v>SPED ADMIN ASSISTANT</v>
      </c>
      <c r="M67" s="92">
        <f>IF('Employee Detail FY23'!M67="","",'Employee Detail FY23'!M67)</f>
        <v>1</v>
      </c>
      <c r="N67" s="3" t="str">
        <f>IF('Employee Detail FY23'!N67="","",'Employee Detail FY23'!N67)</f>
        <v>12</v>
      </c>
      <c r="O67" s="3">
        <f>IF('Employee Detail FY23'!O67="","",'Employee Detail FY23'!O67)</f>
        <v>24</v>
      </c>
      <c r="P67" s="3" t="str">
        <f>IF('Employee Detail FY23'!P67="","",'Employee Detail FY23'!P67)</f>
        <v>EE</v>
      </c>
      <c r="Q67" s="3">
        <f>IF('Employee Detail FY23'!Q67="","",'Employee Detail FY23'!Q67)</f>
        <v>19.350000000000001</v>
      </c>
      <c r="R67" s="3">
        <f>IF('Employee Detail FY23'!R67="","",'Employee Detail FY23'!R67)</f>
        <v>260</v>
      </c>
      <c r="S67" s="3">
        <f>IF('Employee Detail FY23'!S67="","",'Employee Detail FY23'!S67)</f>
        <v>8</v>
      </c>
      <c r="T67" s="263">
        <f t="shared" si="4"/>
        <v>2080</v>
      </c>
      <c r="U67" s="269">
        <f>IF('Employee Detail FY23'!U67="","",'Employee Detail FY23'!U67)</f>
        <v>40248</v>
      </c>
      <c r="V67" s="270">
        <f t="shared" si="5"/>
        <v>42662.880000000005</v>
      </c>
      <c r="W67" s="270">
        <f t="shared" si="6"/>
        <v>49215.301087680004</v>
      </c>
      <c r="X67" s="270">
        <f t="shared" si="7"/>
        <v>49215.301087680004</v>
      </c>
      <c r="Y67" s="62">
        <v>0</v>
      </c>
      <c r="Z67" s="62">
        <v>0</v>
      </c>
      <c r="AA67" s="256">
        <f t="shared" si="8"/>
        <v>49215.301087680004</v>
      </c>
      <c r="AB67" s="3"/>
      <c r="AC67" s="62">
        <f t="shared" si="9"/>
        <v>7943.76</v>
      </c>
      <c r="AD67" s="62" t="str">
        <f t="shared" si="10"/>
        <v/>
      </c>
      <c r="AE67" s="62">
        <f t="shared" si="11"/>
        <v>7505.3334158712005</v>
      </c>
      <c r="AF67" s="62">
        <f t="shared" si="12"/>
        <v>713.62186577136004</v>
      </c>
      <c r="AG67" s="192">
        <v>0</v>
      </c>
      <c r="AH67" s="62">
        <f t="shared" si="13"/>
        <v>447.97421210295823</v>
      </c>
      <c r="AI67" s="62">
        <f t="shared" si="14"/>
        <v>144.94884125920663</v>
      </c>
      <c r="AJ67" s="62"/>
      <c r="AK67" s="62">
        <v>0</v>
      </c>
      <c r="AL67" s="256">
        <f t="shared" si="15"/>
        <v>16755.638335004725</v>
      </c>
      <c r="AM67" s="256">
        <f t="shared" si="16"/>
        <v>49215.301087680004</v>
      </c>
      <c r="AN67" s="256">
        <f t="shared" si="17"/>
        <v>65970.939422684722</v>
      </c>
    </row>
    <row r="68" spans="1:40" hidden="1" x14ac:dyDescent="0.2">
      <c r="A68" s="3" t="str">
        <f>IF('Employee Detail FY23'!A68="","",'Employee Detail FY23'!A68)</f>
        <v/>
      </c>
      <c r="B68" s="647">
        <f>IF('Employee Detail FY23'!B68="","",'Employee Detail FY23'!B68)</f>
        <v>100</v>
      </c>
      <c r="C68" s="647" t="str">
        <f>IF('Employee Detail FY23'!C68="","",'Employee Detail FY23'!C68)</f>
        <v>000</v>
      </c>
      <c r="D68" s="647"/>
      <c r="E68" s="647">
        <f>IF('Employee Detail FY23'!E68="","",'Employee Detail FY23'!E68)</f>
        <v>100</v>
      </c>
      <c r="F68" s="647">
        <f>IF('Employee Detail FY23'!F68="","",'Employee Detail FY23'!F68)</f>
        <v>2410</v>
      </c>
      <c r="G68" s="647" t="str">
        <f>IF('Employee Detail FY23'!G68="","",'Employee Detail FY23'!G68)</f>
        <v>0107</v>
      </c>
      <c r="H68" s="3"/>
      <c r="I68" s="255" t="str">
        <f>IF('Employee Detail FY23'!I68="","",'Employee Detail FY23'!I68)</f>
        <v>PINEDO</v>
      </c>
      <c r="J68" s="255" t="str">
        <f>IF('Employee Detail FY23'!J68="","",'Employee Detail FY23'!J68)</f>
        <v>Adylene</v>
      </c>
      <c r="K68" s="255" t="str">
        <f>IF('Employee Detail FY23'!K68="","",'Employee Detail FY23'!K68)</f>
        <v>Support Staff</v>
      </c>
      <c r="L68" s="255" t="str">
        <f>IF('Employee Detail FY23'!L68="","",'Employee Detail FY23'!L68)</f>
        <v>Enrollment Specialist</v>
      </c>
      <c r="M68" s="92">
        <f>IF('Employee Detail FY23'!M68="","",'Employee Detail FY23'!M68)</f>
        <v>1</v>
      </c>
      <c r="N68" s="3" t="str">
        <f>IF('Employee Detail FY23'!N68="","",'Employee Detail FY23'!N68)</f>
        <v/>
      </c>
      <c r="O68" s="3">
        <f>IF('Employee Detail FY23'!O68="","",'Employee Detail FY23'!O68)</f>
        <v>26</v>
      </c>
      <c r="P68" s="3" t="str">
        <f>IF('Employee Detail FY23'!P68="","",'Employee Detail FY23'!P68)</f>
        <v>EE</v>
      </c>
      <c r="Q68" s="3">
        <f>IF('Employee Detail FY23'!Q68="","",'Employee Detail FY23'!Q68)</f>
        <v>14.5</v>
      </c>
      <c r="R68" s="3">
        <f>IF('Employee Detail FY23'!R68="","",'Employee Detail FY23'!R68)</f>
        <v>261</v>
      </c>
      <c r="S68" s="3">
        <f>IF('Employee Detail FY23'!S68="","",'Employee Detail FY23'!S68)</f>
        <v>8</v>
      </c>
      <c r="T68" s="263">
        <f t="shared" si="4"/>
        <v>2088</v>
      </c>
      <c r="U68" s="269">
        <f>IF('Employee Detail FY23'!U68="","",'Employee Detail FY23'!U68)</f>
        <v>45000</v>
      </c>
      <c r="V68" s="270">
        <f t="shared" si="5"/>
        <v>47700</v>
      </c>
      <c r="W68" s="270">
        <f t="shared" si="6"/>
        <v>55026.052199999998</v>
      </c>
      <c r="X68" s="270">
        <f t="shared" si="7"/>
        <v>55026.052199999998</v>
      </c>
      <c r="Y68" s="62">
        <v>0</v>
      </c>
      <c r="Z68" s="62">
        <v>0</v>
      </c>
      <c r="AA68" s="256">
        <f t="shared" si="8"/>
        <v>55026.052199999998</v>
      </c>
      <c r="AB68" s="3"/>
      <c r="AC68" s="62">
        <f t="shared" si="9"/>
        <v>7943.76</v>
      </c>
      <c r="AD68" s="62" t="str">
        <f t="shared" si="10"/>
        <v/>
      </c>
      <c r="AE68" s="62">
        <f t="shared" si="11"/>
        <v>8391.4729604999993</v>
      </c>
      <c r="AF68" s="62">
        <f t="shared" si="12"/>
        <v>797.87775690000001</v>
      </c>
      <c r="AG68" s="192">
        <v>0</v>
      </c>
      <c r="AH68" s="62">
        <f t="shared" si="13"/>
        <v>500.8656217609103</v>
      </c>
      <c r="AI68" s="62">
        <f t="shared" si="14"/>
        <v>162.06265793739558</v>
      </c>
      <c r="AJ68" s="62"/>
      <c r="AK68" s="62">
        <v>0</v>
      </c>
      <c r="AL68" s="256">
        <f t="shared" si="15"/>
        <v>17796.038997098305</v>
      </c>
      <c r="AM68" s="256">
        <f t="shared" si="16"/>
        <v>55026.052199999998</v>
      </c>
      <c r="AN68" s="256">
        <f t="shared" si="17"/>
        <v>72822.0911970983</v>
      </c>
    </row>
    <row r="69" spans="1:40" hidden="1" x14ac:dyDescent="0.2">
      <c r="A69" s="3" t="str">
        <f>IF('Employee Detail FY23'!A69="","",'Employee Detail FY23'!A69)</f>
        <v>VACANT</v>
      </c>
      <c r="B69" s="647">
        <f>IF('Employee Detail FY23'!B69="","",'Employee Detail FY23'!B69)</f>
        <v>100</v>
      </c>
      <c r="C69" s="647" t="str">
        <f>IF('Employee Detail FY23'!C69="","",'Employee Detail FY23'!C69)</f>
        <v>000</v>
      </c>
      <c r="D69" s="647"/>
      <c r="E69" s="647">
        <f>IF('Employee Detail FY23'!E69="","",'Employee Detail FY23'!E69)</f>
        <v>100</v>
      </c>
      <c r="F69" s="647" t="str">
        <f>IF('Employee Detail FY23'!F69="","",'Employee Detail FY23'!F69)</f>
        <v>2410</v>
      </c>
      <c r="G69" s="647" t="str">
        <f>IF('Employee Detail FY23'!G69="","",'Employee Detail FY23'!G69)</f>
        <v>0107</v>
      </c>
      <c r="H69" s="3"/>
      <c r="I69" s="255" t="str">
        <f>IF('Employee Detail FY23'!I69="","",'Employee Detail FY23'!I69)</f>
        <v>VACANT</v>
      </c>
      <c r="J69" s="255" t="str">
        <f>IF('Employee Detail FY23'!J69="","",'Employee Detail FY23'!J69)</f>
        <v>FY23</v>
      </c>
      <c r="K69" s="255" t="str">
        <f>IF('Employee Detail FY23'!K69="","",'Employee Detail FY23'!K69)</f>
        <v>Support Staff</v>
      </c>
      <c r="L69" s="255" t="str">
        <f>IF('Employee Detail FY23'!L69="","",'Employee Detail FY23'!L69)</f>
        <v>ENROLLMENT SPECIALIST</v>
      </c>
      <c r="M69" s="92">
        <f>IF('Employee Detail FY23'!M69="","",'Employee Detail FY23'!M69)</f>
        <v>1</v>
      </c>
      <c r="N69" s="3" t="str">
        <f>IF('Employee Detail FY23'!N69="","",'Employee Detail FY23'!N69)</f>
        <v/>
      </c>
      <c r="O69" s="3" t="str">
        <f>IF('Employee Detail FY23'!O69="","",'Employee Detail FY23'!O69)</f>
        <v/>
      </c>
      <c r="P69" s="3" t="str">
        <f>IF('Employee Detail FY23'!P69="","",'Employee Detail FY23'!P69)</f>
        <v>ER</v>
      </c>
      <c r="Q69" s="3" t="str">
        <f>IF('Employee Detail FY23'!Q69="","",'Employee Detail FY23'!Q69)</f>
        <v/>
      </c>
      <c r="R69" s="3" t="str">
        <f>IF('Employee Detail FY23'!R69="","",'Employee Detail FY23'!R69)</f>
        <v/>
      </c>
      <c r="S69" s="3" t="str">
        <f>IF('Employee Detail FY23'!S69="","",'Employee Detail FY23'!S69)</f>
        <v/>
      </c>
      <c r="T69" s="263" t="str">
        <f t="shared" ref="T69:T99" si="18">+IF(R69="","",R69*S69)</f>
        <v/>
      </c>
      <c r="U69" s="269">
        <f>IF('Employee Detail FY23'!U69="","",'Employee Detail FY23'!U69)</f>
        <v>40000</v>
      </c>
      <c r="V69" s="270">
        <f t="shared" ref="V69:V104" si="19">IF($U69="","",$U69*(1+$V$1))</f>
        <v>42400</v>
      </c>
      <c r="W69" s="270" t="str">
        <f t="shared" ref="W69:W99" si="20">+IF(P69="EE",+V69*$W$1,"")</f>
        <v/>
      </c>
      <c r="X69" s="270">
        <f t="shared" ref="X69:X99" si="21">_xlfn.IFS(P69="ER",V69,P69="EE",W69,P69="N",V69,P69="","")</f>
        <v>42400</v>
      </c>
      <c r="Y69" s="62">
        <v>0</v>
      </c>
      <c r="Z69" s="62">
        <v>0</v>
      </c>
      <c r="AA69" s="256">
        <f t="shared" ref="AA69:AA99" si="22">SUM(X69:Z69)</f>
        <v>42400</v>
      </c>
      <c r="AB69" s="3"/>
      <c r="AC69" s="62">
        <f t="shared" ref="AC69:AC99" si="23">IF(AND(M69=1,P69&lt;&gt;"N"),$AC$1,"")</f>
        <v>7943.76</v>
      </c>
      <c r="AD69" s="62" t="str">
        <f t="shared" ref="AD69:AD99" si="24">_xlfn.IFS(P69="N",$AD$1*AA69,P69="EE","",P69="ER","",P69="","")</f>
        <v/>
      </c>
      <c r="AE69" s="62">
        <f t="shared" ref="AE69:AE99" si="25">_xlfn.IFS(P69="EE",X69*$AE$1,P69="ER",X69*$AE$2,P69="N","",P69="","")</f>
        <v>12402</v>
      </c>
      <c r="AF69" s="62">
        <f t="shared" ref="AF69:AF99" si="26">+IF(AA69&gt;1,AA69*$AF$1,"")</f>
        <v>614.80000000000007</v>
      </c>
      <c r="AG69" s="192">
        <v>0</v>
      </c>
      <c r="AH69" s="62">
        <f t="shared" ref="AH69:AH99" si="27">+IF(AA69&gt;1,AA69*$AH$1,"")</f>
        <v>385.93905093308871</v>
      </c>
      <c r="AI69" s="62">
        <f t="shared" ref="AI69:AI99" si="28">+_xlfn.IFS(F69&lt;2300,(AA69*$AI$1),F69&gt;=2300,(AA69*$AI$2),F69="","")</f>
        <v>124.87642528979342</v>
      </c>
      <c r="AJ69" s="62"/>
      <c r="AK69" s="62">
        <v>0</v>
      </c>
      <c r="AL69" s="256">
        <f t="shared" ref="AL69:AL99" si="29">SUM(AC69:AK69)</f>
        <v>21471.375476222882</v>
      </c>
      <c r="AM69" s="256">
        <f t="shared" ref="AM69:AM99" si="30">AA69</f>
        <v>42400</v>
      </c>
      <c r="AN69" s="256">
        <f t="shared" ref="AN69:AN99" si="31">SUM(AL69:AM69)</f>
        <v>63871.375476222878</v>
      </c>
    </row>
    <row r="70" spans="1:40" hidden="1" x14ac:dyDescent="0.2">
      <c r="A70" s="3" t="str">
        <f>IF('Employee Detail FY23'!A70="","",'Employee Detail FY23'!A70)</f>
        <v>VACANT</v>
      </c>
      <c r="B70" s="647">
        <f>IF('Employee Detail FY23'!B70="","",'Employee Detail FY23'!B70)</f>
        <v>100</v>
      </c>
      <c r="C70" s="647" t="str">
        <f>IF('Employee Detail FY23'!C70="","",'Employee Detail FY23'!C70)</f>
        <v>000</v>
      </c>
      <c r="D70" s="647"/>
      <c r="E70" s="647">
        <f>IF('Employee Detail FY23'!E70="","",'Employee Detail FY23'!E70)</f>
        <v>100</v>
      </c>
      <c r="F70" s="647">
        <f>IF('Employee Detail FY23'!F70="","",'Employee Detail FY23'!F70)</f>
        <v>2410</v>
      </c>
      <c r="G70" s="647" t="str">
        <f>IF('Employee Detail FY23'!G70="","",'Employee Detail FY23'!G70)</f>
        <v>0107</v>
      </c>
      <c r="H70" s="3"/>
      <c r="I70" s="255" t="str">
        <f>IF('Employee Detail FY23'!I70="","",'Employee Detail FY23'!I70)</f>
        <v>VACANT</v>
      </c>
      <c r="J70" s="255" t="str">
        <f>IF('Employee Detail FY23'!J70="","",'Employee Detail FY23'!J70)</f>
        <v>FY23</v>
      </c>
      <c r="K70" s="255" t="str">
        <f>IF('Employee Detail FY23'!K70="","",'Employee Detail FY23'!K70)</f>
        <v>Support Staff</v>
      </c>
      <c r="L70" s="255" t="str">
        <f>IF('Employee Detail FY23'!L70="","",'Employee Detail FY23'!L70)</f>
        <v>School Operations Support Staff</v>
      </c>
      <c r="M70" s="92">
        <f>IF('Employee Detail FY23'!M70="","",'Employee Detail FY23'!M70)</f>
        <v>1</v>
      </c>
      <c r="N70" s="3" t="str">
        <f>IF('Employee Detail FY23'!N70="","",'Employee Detail FY23'!N70)</f>
        <v/>
      </c>
      <c r="O70" s="3" t="str">
        <f>IF('Employee Detail FY23'!O70="","",'Employee Detail FY23'!O70)</f>
        <v/>
      </c>
      <c r="P70" s="3" t="str">
        <f>IF('Employee Detail FY23'!P70="","",'Employee Detail FY23'!P70)</f>
        <v>ER</v>
      </c>
      <c r="Q70" s="3" t="str">
        <f>IF('Employee Detail FY23'!Q70="","",'Employee Detail FY23'!Q70)</f>
        <v/>
      </c>
      <c r="R70" s="3" t="str">
        <f>IF('Employee Detail FY23'!R70="","",'Employee Detail FY23'!R70)</f>
        <v/>
      </c>
      <c r="S70" s="3" t="str">
        <f>IF('Employee Detail FY23'!S70="","",'Employee Detail FY23'!S70)</f>
        <v/>
      </c>
      <c r="T70" s="263" t="str">
        <f>+IF(R70="","",R70*S70)</f>
        <v/>
      </c>
      <c r="U70" s="269">
        <f>IF('Employee Detail FY23'!U70="","",'Employee Detail FY23'!U70)</f>
        <v>45000</v>
      </c>
      <c r="V70" s="270">
        <f>IF($U70="","",$U70*(1+$V$1))</f>
        <v>47700</v>
      </c>
      <c r="W70" s="270" t="str">
        <f>+IF(P70="EE",+V70*$W$1,"")</f>
        <v/>
      </c>
      <c r="X70" s="270">
        <f>_xlfn.IFS(P70="ER",V70,P70="EE",W70,P70="N",V70,P70="","")</f>
        <v>47700</v>
      </c>
      <c r="Y70" s="62">
        <v>0</v>
      </c>
      <c r="Z70" s="62">
        <v>0</v>
      </c>
      <c r="AA70" s="256">
        <f>SUM(X70:Z70)</f>
        <v>47700</v>
      </c>
      <c r="AB70" s="3"/>
      <c r="AC70" s="62">
        <f>IF(AND(M70=1,P70&lt;&gt;"N"),$AC$1,"")</f>
        <v>7943.76</v>
      </c>
      <c r="AD70" s="62" t="str">
        <f>_xlfn.IFS(P70="N",$AD$1*AA70,P70="EE","",P70="ER","",P70="","")</f>
        <v/>
      </c>
      <c r="AE70" s="62">
        <f>_xlfn.IFS(P70="EE",X70*$AE$1,P70="ER",X70*$AE$2,P70="N","",P70="","")</f>
        <v>13952.25</v>
      </c>
      <c r="AF70" s="62">
        <f>+IF(AA70&gt;1,AA70*$AF$1,"")</f>
        <v>691.65000000000009</v>
      </c>
      <c r="AG70" s="192">
        <v>0</v>
      </c>
      <c r="AH70" s="62">
        <f>+IF(AA70&gt;1,AA70*$AH$1,"")</f>
        <v>434.1814322997248</v>
      </c>
      <c r="AI70" s="62">
        <f>+_xlfn.IFS(F70&lt;2300,(AA70*$AI$1),F70&gt;=2300,(AA70*$AI$2),F70="","")</f>
        <v>140.48597845101759</v>
      </c>
      <c r="AJ70" s="62"/>
      <c r="AK70" s="62">
        <v>0</v>
      </c>
      <c r="AL70" s="256">
        <f>SUM(AC70:AK70)</f>
        <v>23162.327410750746</v>
      </c>
      <c r="AM70" s="256">
        <f>AA70</f>
        <v>47700</v>
      </c>
      <c r="AN70" s="256">
        <f>SUM(AL70:AM70)</f>
        <v>70862.327410750746</v>
      </c>
    </row>
    <row r="71" spans="1:40" hidden="1" x14ac:dyDescent="0.2">
      <c r="A71" s="3" t="str">
        <f>IF('Employee Detail FY23'!A71="","",'Employee Detail FY23'!A71)</f>
        <v>VACANT</v>
      </c>
      <c r="B71" s="647">
        <f>IF('Employee Detail FY23'!B71="","",'Employee Detail FY23'!B71)</f>
        <v>100</v>
      </c>
      <c r="C71" s="647" t="str">
        <f>IF('Employee Detail FY23'!C71="","",'Employee Detail FY23'!C71)</f>
        <v>000</v>
      </c>
      <c r="D71" s="647"/>
      <c r="E71" s="647">
        <f>IF('Employee Detail FY23'!E71="","",'Employee Detail FY23'!E71)</f>
        <v>100</v>
      </c>
      <c r="F71" s="647">
        <f>IF('Employee Detail FY23'!F71="","",'Employee Detail FY23'!F71)</f>
        <v>2410</v>
      </c>
      <c r="G71" s="647" t="str">
        <f>IF('Employee Detail FY23'!G71="","",'Employee Detail FY23'!G71)</f>
        <v>0107</v>
      </c>
      <c r="H71" s="3"/>
      <c r="I71" s="255" t="str">
        <f>IF('Employee Detail FY23'!I71="","",'Employee Detail FY23'!I71)</f>
        <v>VACANT</v>
      </c>
      <c r="J71" s="255" t="str">
        <f>IF('Employee Detail FY23'!J71="","",'Employee Detail FY23'!J71)</f>
        <v>FY23</v>
      </c>
      <c r="K71" s="255" t="str">
        <f>IF('Employee Detail FY23'!K71="","",'Employee Detail FY23'!K71)</f>
        <v>Support Staff</v>
      </c>
      <c r="L71" s="255" t="str">
        <f>IF('Employee Detail FY23'!L71="","",'Employee Detail FY23'!L71)</f>
        <v>School Operations Support Staff</v>
      </c>
      <c r="M71" s="92">
        <f>IF('Employee Detail FY23'!M71="","",'Employee Detail FY23'!M71)</f>
        <v>1</v>
      </c>
      <c r="N71" s="3" t="str">
        <f>IF('Employee Detail FY23'!N71="","",'Employee Detail FY23'!N71)</f>
        <v/>
      </c>
      <c r="O71" s="3" t="str">
        <f>IF('Employee Detail FY23'!O71="","",'Employee Detail FY23'!O71)</f>
        <v/>
      </c>
      <c r="P71" s="3" t="str">
        <f>IF('Employee Detail FY23'!P71="","",'Employee Detail FY23'!P71)</f>
        <v>ER</v>
      </c>
      <c r="Q71" s="3" t="str">
        <f>IF('Employee Detail FY23'!Q71="","",'Employee Detail FY23'!Q71)</f>
        <v/>
      </c>
      <c r="R71" s="3" t="str">
        <f>IF('Employee Detail FY23'!R71="","",'Employee Detail FY23'!R71)</f>
        <v/>
      </c>
      <c r="S71" s="3" t="str">
        <f>IF('Employee Detail FY23'!S71="","",'Employee Detail FY23'!S71)</f>
        <v/>
      </c>
      <c r="T71" s="263" t="str">
        <f>+IF(R71="","",R71*S71)</f>
        <v/>
      </c>
      <c r="U71" s="269">
        <f>IF('Employee Detail FY23'!U71="","",'Employee Detail FY23'!U71)</f>
        <v>45000</v>
      </c>
      <c r="V71" s="270">
        <f>IF($U71="","",$U71*(1+$V$1))</f>
        <v>47700</v>
      </c>
      <c r="W71" s="270" t="str">
        <f>+IF(P71="EE",+V71*$W$1,"")</f>
        <v/>
      </c>
      <c r="X71" s="270">
        <f>_xlfn.IFS(P71="ER",V71,P71="EE",W71,P71="N",V71,P71="","")</f>
        <v>47700</v>
      </c>
      <c r="Y71" s="62">
        <v>0</v>
      </c>
      <c r="Z71" s="62">
        <v>0</v>
      </c>
      <c r="AA71" s="256">
        <f>SUM(X71:Z71)</f>
        <v>47700</v>
      </c>
      <c r="AB71" s="3"/>
      <c r="AC71" s="62">
        <f>IF(AND(M71=1,P71&lt;&gt;"N"),$AC$1,"")</f>
        <v>7943.76</v>
      </c>
      <c r="AD71" s="62" t="str">
        <f>_xlfn.IFS(P71="N",$AD$1*AA71,P71="EE","",P71="ER","",P71="","")</f>
        <v/>
      </c>
      <c r="AE71" s="62">
        <f>_xlfn.IFS(P71="EE",X71*$AE$1,P71="ER",X71*$AE$2,P71="N","",P71="","")</f>
        <v>13952.25</v>
      </c>
      <c r="AF71" s="62">
        <f>+IF(AA71&gt;1,AA71*$AF$1,"")</f>
        <v>691.65000000000009</v>
      </c>
      <c r="AG71" s="192">
        <v>0</v>
      </c>
      <c r="AH71" s="62">
        <f>+IF(AA71&gt;1,AA71*$AH$1,"")</f>
        <v>434.1814322997248</v>
      </c>
      <c r="AI71" s="62">
        <f>+_xlfn.IFS(F71&lt;2300,(AA71*$AI$1),F71&gt;=2300,(AA71*$AI$2),F71="","")</f>
        <v>140.48597845101759</v>
      </c>
      <c r="AJ71" s="62"/>
      <c r="AK71" s="62">
        <v>0</v>
      </c>
      <c r="AL71" s="256">
        <f>SUM(AC71:AK71)</f>
        <v>23162.327410750746</v>
      </c>
      <c r="AM71" s="256">
        <f>AA71</f>
        <v>47700</v>
      </c>
      <c r="AN71" s="256">
        <f>SUM(AL71:AM71)</f>
        <v>70862.327410750746</v>
      </c>
    </row>
    <row r="72" spans="1:40" hidden="1" x14ac:dyDescent="0.2">
      <c r="A72" s="3" t="str">
        <f>IF('Employee Detail FY23'!A72="","",'Employee Detail FY23'!A72)</f>
        <v/>
      </c>
      <c r="B72" s="647" t="str">
        <f>IF('Employee Detail FY23'!B72="","",'Employee Detail FY23'!B72)</f>
        <v/>
      </c>
      <c r="C72" s="647" t="str">
        <f>IF('Employee Detail FY23'!C72="","",'Employee Detail FY23'!C72)</f>
        <v/>
      </c>
      <c r="D72" s="647"/>
      <c r="E72" s="647" t="str">
        <f>IF('Employee Detail FY23'!E72="","",'Employee Detail FY23'!E72)</f>
        <v/>
      </c>
      <c r="F72" s="647" t="str">
        <f>IF('Employee Detail FY23'!F72="","",'Employee Detail FY23'!F72)</f>
        <v/>
      </c>
      <c r="G72" s="647" t="str">
        <f>IF('Employee Detail FY23'!G72="","",'Employee Detail FY23'!G72)</f>
        <v/>
      </c>
      <c r="H72" s="3"/>
      <c r="I72" s="255" t="str">
        <f>IF('Employee Detail FY23'!I72="","",'Employee Detail FY23'!I72)</f>
        <v/>
      </c>
      <c r="J72" s="255" t="str">
        <f>IF('Employee Detail FY23'!J72="","",'Employee Detail FY23'!J72)</f>
        <v/>
      </c>
      <c r="K72" s="255" t="str">
        <f>IF('Employee Detail FY23'!K72="","",'Employee Detail FY23'!K72)</f>
        <v/>
      </c>
      <c r="L72" s="255" t="str">
        <f>IF('Employee Detail FY23'!L72="","",'Employee Detail FY23'!L72)</f>
        <v/>
      </c>
      <c r="M72" s="92" t="str">
        <f>IF('Employee Detail FY23'!M72="","",'Employee Detail FY23'!M72)</f>
        <v/>
      </c>
      <c r="N72" s="3" t="str">
        <f>IF('Employee Detail FY23'!N72="","",'Employee Detail FY23'!N72)</f>
        <v/>
      </c>
      <c r="O72" s="3" t="str">
        <f>IF('Employee Detail FY23'!O72="","",'Employee Detail FY23'!O72)</f>
        <v/>
      </c>
      <c r="P72" s="3" t="str">
        <f>IF('Employee Detail FY23'!P72="","",'Employee Detail FY23'!P72)</f>
        <v/>
      </c>
      <c r="Q72" s="3" t="str">
        <f>IF('Employee Detail FY23'!Q72="","",'Employee Detail FY23'!Q72)</f>
        <v/>
      </c>
      <c r="R72" s="3" t="str">
        <f>IF('Employee Detail FY23'!R72="","",'Employee Detail FY23'!R72)</f>
        <v/>
      </c>
      <c r="S72" s="3" t="str">
        <f>IF('Employee Detail FY23'!S72="","",'Employee Detail FY23'!S72)</f>
        <v/>
      </c>
      <c r="T72" s="263" t="str">
        <f t="shared" si="18"/>
        <v/>
      </c>
      <c r="U72" s="269" t="str">
        <f>IF('Employee Detail FY23'!U72="","",'Employee Detail FY23'!U72)</f>
        <v/>
      </c>
      <c r="V72" s="270" t="str">
        <f t="shared" si="19"/>
        <v/>
      </c>
      <c r="W72" s="270" t="str">
        <f t="shared" si="20"/>
        <v/>
      </c>
      <c r="X72" s="270" t="str">
        <f t="shared" si="21"/>
        <v/>
      </c>
      <c r="Y72" s="62">
        <v>0</v>
      </c>
      <c r="Z72" s="62">
        <v>0</v>
      </c>
      <c r="AA72" s="256">
        <f t="shared" si="22"/>
        <v>0</v>
      </c>
      <c r="AB72" s="3"/>
      <c r="AC72" s="62" t="str">
        <f t="shared" si="23"/>
        <v/>
      </c>
      <c r="AD72" s="62" t="str">
        <f t="shared" si="24"/>
        <v/>
      </c>
      <c r="AE72" s="62" t="str">
        <f t="shared" si="25"/>
        <v/>
      </c>
      <c r="AF72" s="62" t="str">
        <f t="shared" si="26"/>
        <v/>
      </c>
      <c r="AG72" s="192">
        <v>0</v>
      </c>
      <c r="AH72" s="62" t="str">
        <f t="shared" si="27"/>
        <v/>
      </c>
      <c r="AI72" s="62">
        <f t="shared" si="28"/>
        <v>0</v>
      </c>
      <c r="AJ72" s="62"/>
      <c r="AK72" s="62">
        <v>0</v>
      </c>
      <c r="AL72" s="256">
        <f t="shared" si="29"/>
        <v>0</v>
      </c>
      <c r="AM72" s="256">
        <f t="shared" si="30"/>
        <v>0</v>
      </c>
      <c r="AN72" s="256">
        <f t="shared" si="31"/>
        <v>0</v>
      </c>
    </row>
    <row r="73" spans="1:40" hidden="1" x14ac:dyDescent="0.2">
      <c r="A73" s="3" t="str">
        <f>IF('Employee Detail FY23'!A73="","",'Employee Detail FY23'!A73)</f>
        <v/>
      </c>
      <c r="B73" s="647">
        <f>IF('Employee Detail FY23'!B73="","",'Employee Detail FY23'!B73)</f>
        <v>280</v>
      </c>
      <c r="C73" s="647">
        <f>IF('Employee Detail FY23'!C73="","",'Employee Detail FY23'!C73)</f>
        <v>658</v>
      </c>
      <c r="D73" s="647"/>
      <c r="E73" s="647">
        <f>IF('Employee Detail FY23'!E73="","",'Employee Detail FY23'!E73)</f>
        <v>420</v>
      </c>
      <c r="F73" s="647">
        <f>IF('Employee Detail FY23'!F73="","",'Employee Detail FY23'!F73)</f>
        <v>2120</v>
      </c>
      <c r="G73" s="647" t="str">
        <f>IF('Employee Detail FY23'!G73="","",'Employee Detail FY23'!G73)</f>
        <v>0107</v>
      </c>
      <c r="H73" s="3"/>
      <c r="I73" s="255" t="str">
        <f>IF('Employee Detail FY23'!I73="","",'Employee Detail FY23'!I73)</f>
        <v>GRIMM</v>
      </c>
      <c r="J73" s="255" t="str">
        <f>IF('Employee Detail FY23'!J73="","",'Employee Detail FY23'!J73)</f>
        <v>KELLI</v>
      </c>
      <c r="K73" s="255" t="str">
        <f>IF('Employee Detail FY23'!K73="","",'Employee Detail FY23'!K73)</f>
        <v>Support Staff</v>
      </c>
      <c r="L73" s="255" t="str">
        <f>IF('Employee Detail FY23'!L73="","",'Employee Detail FY23'!L73)</f>
        <v>STUDENT SUPPORT TITLE III ELL</v>
      </c>
      <c r="M73" s="92" t="str">
        <f>IF('Employee Detail FY23'!M73="","",'Employee Detail FY23'!M73)</f>
        <v/>
      </c>
      <c r="N73" s="3" t="str">
        <f>IF('Employee Detail FY23'!N73="","",'Employee Detail FY23'!N73)</f>
        <v/>
      </c>
      <c r="O73" s="3" t="str">
        <f>IF('Employee Detail FY23'!O73="","",'Employee Detail FY23'!O73)</f>
        <v/>
      </c>
      <c r="P73" s="3" t="str">
        <f>IF('Employee Detail FY23'!P73="","",'Employee Detail FY23'!P73)</f>
        <v>N</v>
      </c>
      <c r="Q73" s="3" t="str">
        <f>IF('Employee Detail FY23'!Q73="","",'Employee Detail FY23'!Q73)</f>
        <v/>
      </c>
      <c r="R73" s="3" t="str">
        <f>IF('Employee Detail FY23'!R73="","",'Employee Detail FY23'!R73)</f>
        <v/>
      </c>
      <c r="S73" s="3" t="str">
        <f>IF('Employee Detail FY23'!S73="","",'Employee Detail FY23'!S73)</f>
        <v/>
      </c>
      <c r="T73" s="263" t="str">
        <f t="shared" si="18"/>
        <v/>
      </c>
      <c r="U73" s="269">
        <f>IF('Employee Detail FY23'!U73="","",'Employee Detail FY23'!U73)</f>
        <v>6683</v>
      </c>
      <c r="V73" s="270">
        <f t="shared" si="19"/>
        <v>7083.9800000000005</v>
      </c>
      <c r="W73" s="270" t="str">
        <f t="shared" si="20"/>
        <v/>
      </c>
      <c r="X73" s="270">
        <f t="shared" si="21"/>
        <v>7083.9800000000005</v>
      </c>
      <c r="Y73" s="62">
        <v>0</v>
      </c>
      <c r="Z73" s="62">
        <v>0</v>
      </c>
      <c r="AA73" s="256">
        <f t="shared" si="22"/>
        <v>7083.9800000000005</v>
      </c>
      <c r="AB73" s="3"/>
      <c r="AC73" s="62" t="str">
        <f t="shared" si="23"/>
        <v/>
      </c>
      <c r="AD73" s="62">
        <f t="shared" si="24"/>
        <v>439.20676000000003</v>
      </c>
      <c r="AE73" s="62" t="str">
        <f t="shared" si="25"/>
        <v/>
      </c>
      <c r="AF73" s="62">
        <f t="shared" si="26"/>
        <v>102.71771000000001</v>
      </c>
      <c r="AG73" s="192">
        <v>0</v>
      </c>
      <c r="AH73" s="62">
        <f t="shared" si="27"/>
        <v>64.4807669346458</v>
      </c>
      <c r="AI73" s="62">
        <f t="shared" si="28"/>
        <v>20.863728755292236</v>
      </c>
      <c r="AJ73" s="62"/>
      <c r="AK73" s="62">
        <v>0</v>
      </c>
      <c r="AL73" s="256">
        <f t="shared" si="29"/>
        <v>627.268965689938</v>
      </c>
      <c r="AM73" s="256">
        <f t="shared" si="30"/>
        <v>7083.9800000000005</v>
      </c>
      <c r="AN73" s="256">
        <f t="shared" si="31"/>
        <v>7711.2489656899388</v>
      </c>
    </row>
    <row r="74" spans="1:40" hidden="1" x14ac:dyDescent="0.2">
      <c r="A74" s="3" t="str">
        <f>IF('Employee Detail FY23'!A74="","",'Employee Detail FY23'!A74)</f>
        <v/>
      </c>
      <c r="B74" s="647" t="str">
        <f>IF('Employee Detail FY23'!B74="","",'Employee Detail FY23'!B74)</f>
        <v/>
      </c>
      <c r="C74" s="647" t="str">
        <f>IF('Employee Detail FY23'!C74="","",'Employee Detail FY23'!C74)</f>
        <v/>
      </c>
      <c r="D74" s="647"/>
      <c r="E74" s="647" t="str">
        <f>IF('Employee Detail FY23'!E74="","",'Employee Detail FY23'!E74)</f>
        <v/>
      </c>
      <c r="F74" s="647" t="str">
        <f>IF('Employee Detail FY23'!F74="","",'Employee Detail FY23'!F74)</f>
        <v/>
      </c>
      <c r="G74" s="647" t="str">
        <f>IF('Employee Detail FY23'!G74="","",'Employee Detail FY23'!G74)</f>
        <v/>
      </c>
      <c r="H74" s="3"/>
      <c r="I74" s="255" t="str">
        <f>IF('Employee Detail FY23'!I74="","",'Employee Detail FY23'!I74)</f>
        <v/>
      </c>
      <c r="J74" s="255" t="str">
        <f>IF('Employee Detail FY23'!J74="","",'Employee Detail FY23'!J74)</f>
        <v/>
      </c>
      <c r="K74" s="255" t="str">
        <f>IF('Employee Detail FY23'!K74="","",'Employee Detail FY23'!K74)</f>
        <v/>
      </c>
      <c r="L74" s="255" t="str">
        <f>IF('Employee Detail FY23'!L74="","",'Employee Detail FY23'!L74)</f>
        <v/>
      </c>
      <c r="M74" s="92" t="str">
        <f>IF('Employee Detail FY23'!M74="","",'Employee Detail FY23'!M74)</f>
        <v/>
      </c>
      <c r="N74" s="3" t="str">
        <f>IF('Employee Detail FY23'!N74="","",'Employee Detail FY23'!N74)</f>
        <v/>
      </c>
      <c r="O74" s="3" t="str">
        <f>IF('Employee Detail FY23'!O74="","",'Employee Detail FY23'!O74)</f>
        <v/>
      </c>
      <c r="P74" s="3" t="str">
        <f>IF('Employee Detail FY23'!P74="","",'Employee Detail FY23'!P74)</f>
        <v/>
      </c>
      <c r="Q74" s="3" t="str">
        <f>IF('Employee Detail FY23'!Q74="","",'Employee Detail FY23'!Q74)</f>
        <v/>
      </c>
      <c r="R74" s="3" t="str">
        <f>IF('Employee Detail FY23'!R74="","",'Employee Detail FY23'!R74)</f>
        <v/>
      </c>
      <c r="S74" s="3" t="str">
        <f>IF('Employee Detail FY23'!S74="","",'Employee Detail FY23'!S74)</f>
        <v/>
      </c>
      <c r="T74" s="263" t="str">
        <f t="shared" si="18"/>
        <v/>
      </c>
      <c r="U74" s="269" t="str">
        <f>IF('Employee Detail FY23'!U74="","",'Employee Detail FY23'!U74)</f>
        <v/>
      </c>
      <c r="V74" s="270" t="str">
        <f t="shared" si="19"/>
        <v/>
      </c>
      <c r="W74" s="270" t="str">
        <f t="shared" si="20"/>
        <v/>
      </c>
      <c r="X74" s="270" t="str">
        <f t="shared" si="21"/>
        <v/>
      </c>
      <c r="Y74" s="62">
        <v>0</v>
      </c>
      <c r="Z74" s="62">
        <v>0</v>
      </c>
      <c r="AA74" s="256">
        <f t="shared" si="22"/>
        <v>0</v>
      </c>
      <c r="AB74" s="3"/>
      <c r="AC74" s="62" t="str">
        <f t="shared" si="23"/>
        <v/>
      </c>
      <c r="AD74" s="62" t="str">
        <f t="shared" si="24"/>
        <v/>
      </c>
      <c r="AE74" s="62" t="str">
        <f t="shared" si="25"/>
        <v/>
      </c>
      <c r="AF74" s="62" t="str">
        <f t="shared" si="26"/>
        <v/>
      </c>
      <c r="AG74" s="192">
        <v>0</v>
      </c>
      <c r="AH74" s="62" t="str">
        <f t="shared" si="27"/>
        <v/>
      </c>
      <c r="AI74" s="62">
        <f t="shared" si="28"/>
        <v>0</v>
      </c>
      <c r="AJ74" s="62"/>
      <c r="AK74" s="62">
        <v>0</v>
      </c>
      <c r="AL74" s="256">
        <f t="shared" si="29"/>
        <v>0</v>
      </c>
      <c r="AM74" s="256">
        <f t="shared" si="30"/>
        <v>0</v>
      </c>
      <c r="AN74" s="256">
        <f t="shared" si="31"/>
        <v>0</v>
      </c>
    </row>
    <row r="75" spans="1:40" x14ac:dyDescent="0.2">
      <c r="A75" s="3" t="str">
        <f>IF('Employee Detail FY23'!A75="","",'Employee Detail FY23'!A75)</f>
        <v/>
      </c>
      <c r="B75" s="647" t="str">
        <f>IF('Employee Detail FY23'!B75="","",'Employee Detail FY23'!B75)</f>
        <v>100</v>
      </c>
      <c r="C75" s="647" t="str">
        <f>IF('Employee Detail FY23'!C75="","",'Employee Detail FY23'!C75)</f>
        <v>000</v>
      </c>
      <c r="D75" s="647"/>
      <c r="E75" s="647" t="str">
        <f>IF('Employee Detail FY23'!E75="","",'Employee Detail FY23'!E75)</f>
        <v>140</v>
      </c>
      <c r="F75" s="647" t="str">
        <f>IF('Employee Detail FY23'!F75="","",'Employee Detail FY23'!F75)</f>
        <v>1000</v>
      </c>
      <c r="G75" s="647" t="str">
        <f>IF('Employee Detail FY23'!G75="","",'Employee Detail FY23'!G75)</f>
        <v>0101</v>
      </c>
      <c r="H75" s="3"/>
      <c r="I75" s="255" t="str">
        <f>IF('Employee Detail FY23'!I75="","",'Employee Detail FY23'!I75)</f>
        <v>SUMMER SCHOOL</v>
      </c>
      <c r="J75" s="255" t="str">
        <f>IF('Employee Detail FY23'!J75="","",'Employee Detail FY23'!J75)</f>
        <v>SUMMER SCHOOL</v>
      </c>
      <c r="K75" s="255" t="str">
        <f>IF('Employee Detail FY23'!K75="","",'Employee Detail FY23'!K75)</f>
        <v>Licensed Staff</v>
      </c>
      <c r="L75" s="255" t="str">
        <f>IF('Employee Detail FY23'!L75="","",'Employee Detail FY23'!L75)</f>
        <v>SUMMER SCHOOL</v>
      </c>
      <c r="M75" s="92">
        <f>IF('Employee Detail FY23'!M75="","",'Employee Detail FY23'!M75)</f>
        <v>0</v>
      </c>
      <c r="N75" s="3" t="str">
        <f>IF('Employee Detail FY23'!N75="","",'Employee Detail FY23'!N75)</f>
        <v/>
      </c>
      <c r="O75" s="3" t="str">
        <f>IF('Employee Detail FY23'!O75="","",'Employee Detail FY23'!O75)</f>
        <v/>
      </c>
      <c r="P75" s="3" t="str">
        <f>IF('Employee Detail FY23'!P75="","",'Employee Detail FY23'!P75)</f>
        <v>N</v>
      </c>
      <c r="Q75" s="3" t="str">
        <f>IF('Employee Detail FY23'!Q75="","",'Employee Detail FY23'!Q75)</f>
        <v/>
      </c>
      <c r="R75" s="3" t="str">
        <f>IF('Employee Detail FY23'!R75="","",'Employee Detail FY23'!R75)</f>
        <v/>
      </c>
      <c r="S75" s="3" t="str">
        <f>IF('Employee Detail FY23'!S75="","",'Employee Detail FY23'!S75)</f>
        <v/>
      </c>
      <c r="T75" s="263" t="str">
        <f t="shared" si="18"/>
        <v/>
      </c>
      <c r="U75" s="269">
        <f>IF('Employee Detail FY23'!U75="","",'Employee Detail FY23'!U75)</f>
        <v>0</v>
      </c>
      <c r="V75" s="270">
        <f t="shared" si="19"/>
        <v>0</v>
      </c>
      <c r="W75" s="270" t="str">
        <f t="shared" si="20"/>
        <v/>
      </c>
      <c r="X75" s="270">
        <f t="shared" si="21"/>
        <v>0</v>
      </c>
      <c r="Y75" s="62">
        <v>0</v>
      </c>
      <c r="Z75" s="62">
        <v>0</v>
      </c>
      <c r="AA75" s="256">
        <f t="shared" si="22"/>
        <v>0</v>
      </c>
      <c r="AB75" s="3"/>
      <c r="AC75" s="62" t="str">
        <f t="shared" si="23"/>
        <v/>
      </c>
      <c r="AD75" s="62">
        <f t="shared" si="24"/>
        <v>0</v>
      </c>
      <c r="AE75" s="62" t="str">
        <f t="shared" si="25"/>
        <v/>
      </c>
      <c r="AF75" s="62" t="str">
        <f t="shared" si="26"/>
        <v/>
      </c>
      <c r="AG75" s="192">
        <v>0</v>
      </c>
      <c r="AH75" s="62" t="str">
        <f t="shared" si="27"/>
        <v/>
      </c>
      <c r="AI75" s="62">
        <f t="shared" si="28"/>
        <v>0</v>
      </c>
      <c r="AJ75" s="62"/>
      <c r="AK75" s="62">
        <v>0</v>
      </c>
      <c r="AL75" s="256">
        <f t="shared" si="29"/>
        <v>0</v>
      </c>
      <c r="AM75" s="256">
        <f t="shared" si="30"/>
        <v>0</v>
      </c>
      <c r="AN75" s="256">
        <f t="shared" si="31"/>
        <v>0</v>
      </c>
    </row>
    <row r="76" spans="1:40" x14ac:dyDescent="0.2">
      <c r="A76" s="3" t="str">
        <f>IF('Employee Detail FY23'!A76="","",'Employee Detail FY23'!A76)</f>
        <v/>
      </c>
      <c r="B76" s="647" t="str">
        <f>IF('Employee Detail FY23'!B76="","",'Employee Detail FY23'!B76)</f>
        <v>280</v>
      </c>
      <c r="C76" s="647" t="str">
        <f>IF('Employee Detail FY23'!C76="","",'Employee Detail FY23'!C76)</f>
        <v>639</v>
      </c>
      <c r="D76" s="647"/>
      <c r="E76" s="647" t="str">
        <f>IF('Employee Detail FY23'!E76="","",'Employee Detail FY23'!E76)</f>
        <v>240</v>
      </c>
      <c r="F76" s="647" t="str">
        <f>IF('Employee Detail FY23'!F76="","",'Employee Detail FY23'!F76)</f>
        <v>1000</v>
      </c>
      <c r="G76" s="647" t="str">
        <f>IF('Employee Detail FY23'!G76="","",'Employee Detail FY23'!G76)</f>
        <v>0101</v>
      </c>
      <c r="H76" s="3"/>
      <c r="I76" s="255" t="str">
        <f>IF('Employee Detail FY23'!I76="","",'Employee Detail FY23'!I76)</f>
        <v>SUMMER SCHOOL</v>
      </c>
      <c r="J76" s="255" t="str">
        <f>IF('Employee Detail FY23'!J76="","",'Employee Detail FY23'!J76)</f>
        <v>EXTENDED SCHOOL YEAR</v>
      </c>
      <c r="K76" s="255" t="str">
        <f>IF('Employee Detail FY23'!K76="","",'Employee Detail FY23'!K76)</f>
        <v>Licensed Staff</v>
      </c>
      <c r="L76" s="255" t="str">
        <f>IF('Employee Detail FY23'!L76="","",'Employee Detail FY23'!L76)</f>
        <v>SUMMER SCHOOL EXTENDED SCHOOL YEAR</v>
      </c>
      <c r="M76" s="92">
        <f>IF('Employee Detail FY23'!M76="","",'Employee Detail FY23'!M76)</f>
        <v>0</v>
      </c>
      <c r="N76" s="3" t="str">
        <f>IF('Employee Detail FY23'!N76="","",'Employee Detail FY23'!N76)</f>
        <v/>
      </c>
      <c r="O76" s="3" t="str">
        <f>IF('Employee Detail FY23'!O76="","",'Employee Detail FY23'!O76)</f>
        <v/>
      </c>
      <c r="P76" s="3" t="str">
        <f>IF('Employee Detail FY23'!P76="","",'Employee Detail FY23'!P76)</f>
        <v>N</v>
      </c>
      <c r="Q76" s="3" t="str">
        <f>IF('Employee Detail FY23'!Q76="","",'Employee Detail FY23'!Q76)</f>
        <v/>
      </c>
      <c r="R76" s="3" t="str">
        <f>IF('Employee Detail FY23'!R76="","",'Employee Detail FY23'!R76)</f>
        <v/>
      </c>
      <c r="S76" s="3" t="str">
        <f>IF('Employee Detail FY23'!S76="","",'Employee Detail FY23'!S76)</f>
        <v/>
      </c>
      <c r="T76" s="263" t="str">
        <f t="shared" si="18"/>
        <v/>
      </c>
      <c r="U76" s="269">
        <f>IF('Employee Detail FY23'!U76="","",'Employee Detail FY23'!U76)</f>
        <v>0</v>
      </c>
      <c r="V76" s="270">
        <f t="shared" si="19"/>
        <v>0</v>
      </c>
      <c r="W76" s="270" t="str">
        <f t="shared" si="20"/>
        <v/>
      </c>
      <c r="X76" s="270">
        <f t="shared" si="21"/>
        <v>0</v>
      </c>
      <c r="Y76" s="62">
        <v>0</v>
      </c>
      <c r="Z76" s="62">
        <v>0</v>
      </c>
      <c r="AA76" s="256">
        <f t="shared" si="22"/>
        <v>0</v>
      </c>
      <c r="AB76" s="3"/>
      <c r="AC76" s="62" t="str">
        <f t="shared" si="23"/>
        <v/>
      </c>
      <c r="AD76" s="62">
        <f t="shared" si="24"/>
        <v>0</v>
      </c>
      <c r="AE76" s="62" t="str">
        <f t="shared" si="25"/>
        <v/>
      </c>
      <c r="AF76" s="62" t="str">
        <f t="shared" si="26"/>
        <v/>
      </c>
      <c r="AG76" s="192">
        <v>0</v>
      </c>
      <c r="AH76" s="62" t="str">
        <f t="shared" si="27"/>
        <v/>
      </c>
      <c r="AI76" s="62">
        <f t="shared" si="28"/>
        <v>0</v>
      </c>
      <c r="AJ76" s="62"/>
      <c r="AK76" s="62">
        <v>0</v>
      </c>
      <c r="AL76" s="256">
        <f t="shared" si="29"/>
        <v>0</v>
      </c>
      <c r="AM76" s="256">
        <f t="shared" si="30"/>
        <v>0</v>
      </c>
      <c r="AN76" s="256">
        <f t="shared" si="31"/>
        <v>0</v>
      </c>
    </row>
    <row r="77" spans="1:40" x14ac:dyDescent="0.2">
      <c r="A77" s="3" t="str">
        <f>IF('Employee Detail FY23'!A77="","",'Employee Detail FY23'!A77)</f>
        <v/>
      </c>
      <c r="B77" s="647" t="str">
        <f>IF('Employee Detail FY23'!B77="","",'Employee Detail FY23'!B77)</f>
        <v>100</v>
      </c>
      <c r="C77" s="647" t="str">
        <f>IF('Employee Detail FY23'!C77="","",'Employee Detail FY23'!C77)</f>
        <v>000</v>
      </c>
      <c r="D77" s="647"/>
      <c r="E77" s="647" t="str">
        <f>IF('Employee Detail FY23'!E77="","",'Employee Detail FY23'!E77)</f>
        <v>100</v>
      </c>
      <c r="F77" s="647" t="str">
        <f>IF('Employee Detail FY23'!F77="","",'Employee Detail FY23'!F77)</f>
        <v>1000</v>
      </c>
      <c r="G77" s="647" t="str">
        <f>IF('Employee Detail FY23'!G77="","",'Employee Detail FY23'!G77)</f>
        <v>0103</v>
      </c>
      <c r="H77" s="3"/>
      <c r="I77" s="255" t="str">
        <f>IF('Employee Detail FY23'!I77="","",'Employee Detail FY23'!I77)</f>
        <v>SUBSTITUTE</v>
      </c>
      <c r="J77" s="255" t="str">
        <f>IF('Employee Detail FY23'!J77="","",'Employee Detail FY23'!J77)</f>
        <v>SUBSTITUTE</v>
      </c>
      <c r="K77" s="255" t="str">
        <f>IF('Employee Detail FY23'!K77="","",'Employee Detail FY23'!K77)</f>
        <v>Licensed Staff</v>
      </c>
      <c r="L77" s="255" t="str">
        <f>IF('Employee Detail FY23'!L77="","",'Employee Detail FY23'!L77)</f>
        <v>SUBSTITUTE</v>
      </c>
      <c r="M77" s="92">
        <f>IF('Employee Detail FY23'!M77="","",'Employee Detail FY23'!M77)</f>
        <v>0</v>
      </c>
      <c r="N77" s="3" t="str">
        <f>IF('Employee Detail FY23'!N77="","",'Employee Detail FY23'!N77)</f>
        <v/>
      </c>
      <c r="O77" s="3" t="str">
        <f>IF('Employee Detail FY23'!O77="","",'Employee Detail FY23'!O77)</f>
        <v/>
      </c>
      <c r="P77" s="3" t="str">
        <f>IF('Employee Detail FY23'!P77="","",'Employee Detail FY23'!P77)</f>
        <v>N</v>
      </c>
      <c r="Q77" s="3" t="str">
        <f>IF('Employee Detail FY23'!Q77="","",'Employee Detail FY23'!Q77)</f>
        <v/>
      </c>
      <c r="R77" s="3" t="str">
        <f>IF('Employee Detail FY23'!R77="","",'Employee Detail FY23'!R77)</f>
        <v/>
      </c>
      <c r="S77" s="3" t="str">
        <f>IF('Employee Detail FY23'!S77="","",'Employee Detail FY23'!S77)</f>
        <v/>
      </c>
      <c r="T77" s="263" t="str">
        <f t="shared" si="18"/>
        <v/>
      </c>
      <c r="U77" s="269">
        <f>IF('Employee Detail FY23'!U77="","",'Employee Detail FY23'!U77)</f>
        <v>0</v>
      </c>
      <c r="V77" s="270">
        <f t="shared" si="19"/>
        <v>0</v>
      </c>
      <c r="W77" s="270" t="str">
        <f t="shared" si="20"/>
        <v/>
      </c>
      <c r="X77" s="270">
        <f t="shared" si="21"/>
        <v>0</v>
      </c>
      <c r="Y77" s="62">
        <v>0</v>
      </c>
      <c r="Z77" s="62">
        <v>0</v>
      </c>
      <c r="AA77" s="256">
        <f t="shared" si="22"/>
        <v>0</v>
      </c>
      <c r="AB77" s="3"/>
      <c r="AC77" s="62" t="str">
        <f t="shared" si="23"/>
        <v/>
      </c>
      <c r="AD77" s="62">
        <f t="shared" si="24"/>
        <v>0</v>
      </c>
      <c r="AE77" s="62" t="str">
        <f t="shared" si="25"/>
        <v/>
      </c>
      <c r="AF77" s="62" t="str">
        <f t="shared" si="26"/>
        <v/>
      </c>
      <c r="AG77" s="192">
        <v>0</v>
      </c>
      <c r="AH77" s="62" t="str">
        <f t="shared" si="27"/>
        <v/>
      </c>
      <c r="AI77" s="62">
        <f t="shared" si="28"/>
        <v>0</v>
      </c>
      <c r="AJ77" s="62"/>
      <c r="AK77" s="62">
        <v>0</v>
      </c>
      <c r="AL77" s="256">
        <f t="shared" si="29"/>
        <v>0</v>
      </c>
      <c r="AM77" s="256">
        <f t="shared" si="30"/>
        <v>0</v>
      </c>
      <c r="AN77" s="256">
        <f t="shared" si="31"/>
        <v>0</v>
      </c>
    </row>
    <row r="78" spans="1:40" hidden="1" x14ac:dyDescent="0.2">
      <c r="A78" s="3" t="str">
        <f>IF('Employee Detail FY23'!A78="","",'Employee Detail FY23'!A78)</f>
        <v/>
      </c>
      <c r="B78" s="647" t="str">
        <f>IF('Employee Detail FY23'!B78="","",'Employee Detail FY23'!B78)</f>
        <v/>
      </c>
      <c r="C78" s="647" t="str">
        <f>IF('Employee Detail FY23'!C78="","",'Employee Detail FY23'!C78)</f>
        <v/>
      </c>
      <c r="D78" s="647"/>
      <c r="E78" s="647" t="str">
        <f>IF('Employee Detail FY23'!E78="","",'Employee Detail FY23'!E78)</f>
        <v/>
      </c>
      <c r="F78" s="647" t="str">
        <f>IF('Employee Detail FY23'!F78="","",'Employee Detail FY23'!F78)</f>
        <v/>
      </c>
      <c r="G78" s="647" t="str">
        <f>IF('Employee Detail FY23'!G78="","",'Employee Detail FY23'!G78)</f>
        <v/>
      </c>
      <c r="H78" s="3"/>
      <c r="I78" s="255" t="str">
        <f>IF('Employee Detail FY23'!I78="","",'Employee Detail FY23'!I78)</f>
        <v/>
      </c>
      <c r="J78" s="255" t="str">
        <f>IF('Employee Detail FY23'!J78="","",'Employee Detail FY23'!J78)</f>
        <v/>
      </c>
      <c r="K78" s="255" t="str">
        <f>IF('Employee Detail FY23'!K78="","",'Employee Detail FY23'!K78)</f>
        <v/>
      </c>
      <c r="L78" s="255" t="str">
        <f>IF('Employee Detail FY23'!L78="","",'Employee Detail FY23'!L78)</f>
        <v/>
      </c>
      <c r="M78" s="92" t="str">
        <f>IF('Employee Detail FY23'!M78="","",'Employee Detail FY23'!M78)</f>
        <v/>
      </c>
      <c r="N78" s="3" t="str">
        <f>IF('Employee Detail FY23'!N78="","",'Employee Detail FY23'!N78)</f>
        <v/>
      </c>
      <c r="O78" s="3" t="str">
        <f>IF('Employee Detail FY23'!O78="","",'Employee Detail FY23'!O78)</f>
        <v/>
      </c>
      <c r="P78" s="3" t="str">
        <f>IF('Employee Detail FY23'!P78="","",'Employee Detail FY23'!P78)</f>
        <v/>
      </c>
      <c r="Q78" s="3" t="str">
        <f>IF('Employee Detail FY23'!Q78="","",'Employee Detail FY23'!Q78)</f>
        <v/>
      </c>
      <c r="R78" s="3" t="str">
        <f>IF('Employee Detail FY23'!R78="","",'Employee Detail FY23'!R78)</f>
        <v/>
      </c>
      <c r="S78" s="3" t="str">
        <f>IF('Employee Detail FY23'!S78="","",'Employee Detail FY23'!S78)</f>
        <v/>
      </c>
      <c r="T78" s="263" t="str">
        <f t="shared" si="18"/>
        <v/>
      </c>
      <c r="U78" s="269">
        <f>IF('Employee Detail FY23'!U78="","",'Employee Detail FY23'!U78)</f>
        <v>0</v>
      </c>
      <c r="V78" s="270">
        <f t="shared" si="19"/>
        <v>0</v>
      </c>
      <c r="W78" s="270" t="str">
        <f t="shared" si="20"/>
        <v/>
      </c>
      <c r="X78" s="270" t="str">
        <f t="shared" si="21"/>
        <v/>
      </c>
      <c r="Y78" s="62">
        <v>0</v>
      </c>
      <c r="Z78" s="62">
        <v>0</v>
      </c>
      <c r="AA78" s="256">
        <f t="shared" si="22"/>
        <v>0</v>
      </c>
      <c r="AB78" s="3"/>
      <c r="AC78" s="62" t="str">
        <f t="shared" si="23"/>
        <v/>
      </c>
      <c r="AD78" s="62" t="str">
        <f t="shared" si="24"/>
        <v/>
      </c>
      <c r="AE78" s="62" t="str">
        <f t="shared" si="25"/>
        <v/>
      </c>
      <c r="AF78" s="62" t="str">
        <f t="shared" si="26"/>
        <v/>
      </c>
      <c r="AG78" s="192">
        <v>0</v>
      </c>
      <c r="AH78" s="62" t="str">
        <f t="shared" si="27"/>
        <v/>
      </c>
      <c r="AI78" s="62">
        <f t="shared" si="28"/>
        <v>0</v>
      </c>
      <c r="AJ78" s="62"/>
      <c r="AK78" s="62">
        <v>0</v>
      </c>
      <c r="AL78" s="256">
        <f t="shared" si="29"/>
        <v>0</v>
      </c>
      <c r="AM78" s="256">
        <f t="shared" si="30"/>
        <v>0</v>
      </c>
      <c r="AN78" s="256">
        <f t="shared" si="31"/>
        <v>0</v>
      </c>
    </row>
    <row r="79" spans="1:40" x14ac:dyDescent="0.2">
      <c r="A79" s="3" t="str">
        <f>IF('Employee Detail FY23'!A79="","",'Employee Detail FY23'!A79)</f>
        <v/>
      </c>
      <c r="B79" s="647" t="str">
        <f>IF('Employee Detail FY23'!B79="","",'Employee Detail FY23'!B79)</f>
        <v>280</v>
      </c>
      <c r="C79" s="647" t="str">
        <f>IF('Employee Detail FY23'!C79="","",'Employee Detail FY23'!C79)</f>
        <v>709</v>
      </c>
      <c r="D79" s="647"/>
      <c r="E79" s="647" t="str">
        <f>IF('Employee Detail FY23'!E79="","",'Employee Detail FY23'!E79)</f>
        <v>100</v>
      </c>
      <c r="F79" s="647" t="str">
        <f>IF('Employee Detail FY23'!F79="","",'Employee Detail FY23'!F79)</f>
        <v>1000</v>
      </c>
      <c r="G79" s="647" t="str">
        <f>IF('Employee Detail FY23'!G79="","",'Employee Detail FY23'!G79)</f>
        <v>0151</v>
      </c>
      <c r="H79" s="3"/>
      <c r="I79" s="255" t="str">
        <f>IF('Employee Detail FY23'!I79="","",'Employee Detail FY23'!I79)</f>
        <v>TITLE IIA</v>
      </c>
      <c r="J79" s="255" t="str">
        <f>IF('Employee Detail FY23'!J79="","",'Employee Detail FY23'!J79)</f>
        <v/>
      </c>
      <c r="K79" s="255" t="str">
        <f>IF('Employee Detail FY23'!K79="","",'Employee Detail FY23'!K79)</f>
        <v/>
      </c>
      <c r="L79" s="255" t="str">
        <f>IF('Employee Detail FY23'!L79="","",'Employee Detail FY23'!L79)</f>
        <v>TITLE IIA</v>
      </c>
      <c r="M79" s="92">
        <f>IF('Employee Detail FY23'!M79="","",'Employee Detail FY23'!M79)</f>
        <v>0</v>
      </c>
      <c r="N79" s="3" t="str">
        <f>IF('Employee Detail FY23'!N79="","",'Employee Detail FY23'!N79)</f>
        <v/>
      </c>
      <c r="O79" s="3" t="str">
        <f>IF('Employee Detail FY23'!O79="","",'Employee Detail FY23'!O79)</f>
        <v/>
      </c>
      <c r="P79" s="3" t="str">
        <f>IF('Employee Detail FY23'!P79="","",'Employee Detail FY23'!P79)</f>
        <v>N</v>
      </c>
      <c r="Q79" s="3" t="str">
        <f>IF('Employee Detail FY23'!Q79="","",'Employee Detail FY23'!Q79)</f>
        <v/>
      </c>
      <c r="R79" s="3" t="str">
        <f>IF('Employee Detail FY23'!R79="","",'Employee Detail FY23'!R79)</f>
        <v/>
      </c>
      <c r="S79" s="3" t="str">
        <f>IF('Employee Detail FY23'!S79="","",'Employee Detail FY23'!S79)</f>
        <v/>
      </c>
      <c r="T79" s="263" t="str">
        <f t="shared" si="18"/>
        <v/>
      </c>
      <c r="U79" s="269">
        <f>IF('Employee Detail FY23'!U79="","",'Employee Detail FY23'!U79)</f>
        <v>0</v>
      </c>
      <c r="V79" s="270">
        <f t="shared" si="19"/>
        <v>0</v>
      </c>
      <c r="W79" s="270" t="str">
        <f t="shared" si="20"/>
        <v/>
      </c>
      <c r="X79" s="270">
        <f t="shared" si="21"/>
        <v>0</v>
      </c>
      <c r="Y79" s="62">
        <v>0</v>
      </c>
      <c r="Z79" s="62">
        <v>0</v>
      </c>
      <c r="AA79" s="256">
        <f t="shared" si="22"/>
        <v>0</v>
      </c>
      <c r="AB79" s="3"/>
      <c r="AC79" s="62" t="str">
        <f t="shared" si="23"/>
        <v/>
      </c>
      <c r="AD79" s="62">
        <f t="shared" si="24"/>
        <v>0</v>
      </c>
      <c r="AE79" s="62" t="str">
        <f t="shared" si="25"/>
        <v/>
      </c>
      <c r="AF79" s="62" t="str">
        <f t="shared" si="26"/>
        <v/>
      </c>
      <c r="AG79" s="192">
        <v>0</v>
      </c>
      <c r="AH79" s="62" t="str">
        <f t="shared" si="27"/>
        <v/>
      </c>
      <c r="AI79" s="62">
        <f t="shared" si="28"/>
        <v>0</v>
      </c>
      <c r="AJ79" s="62"/>
      <c r="AK79" s="62">
        <v>0</v>
      </c>
      <c r="AL79" s="256">
        <f t="shared" si="29"/>
        <v>0</v>
      </c>
      <c r="AM79" s="256">
        <f t="shared" si="30"/>
        <v>0</v>
      </c>
      <c r="AN79" s="256">
        <f t="shared" si="31"/>
        <v>0</v>
      </c>
    </row>
    <row r="80" spans="1:40" hidden="1" x14ac:dyDescent="0.2">
      <c r="A80" s="3" t="str">
        <f>IF('Employee Detail FY23'!A80="","",'Employee Detail FY23'!A80)</f>
        <v/>
      </c>
      <c r="B80" s="647" t="str">
        <f>IF('Employee Detail FY23'!B80="","",'Employee Detail FY23'!B80)</f>
        <v/>
      </c>
      <c r="C80" s="647" t="str">
        <f>IF('Employee Detail FY23'!C80="","",'Employee Detail FY23'!C80)</f>
        <v/>
      </c>
      <c r="D80" s="647"/>
      <c r="E80" s="647" t="str">
        <f>IF('Employee Detail FY23'!E80="","",'Employee Detail FY23'!E80)</f>
        <v/>
      </c>
      <c r="F80" s="647" t="str">
        <f>IF('Employee Detail FY23'!F80="","",'Employee Detail FY23'!F80)</f>
        <v/>
      </c>
      <c r="G80" s="647" t="str">
        <f>IF('Employee Detail FY23'!G80="","",'Employee Detail FY23'!G80)</f>
        <v/>
      </c>
      <c r="H80" s="3"/>
      <c r="I80" s="255" t="str">
        <f>IF('Employee Detail FY23'!I80="","",'Employee Detail FY23'!I80)</f>
        <v/>
      </c>
      <c r="J80" s="255" t="str">
        <f>IF('Employee Detail FY23'!J80="","",'Employee Detail FY23'!J80)</f>
        <v/>
      </c>
      <c r="K80" s="255" t="str">
        <f>IF('Employee Detail FY23'!K80="","",'Employee Detail FY23'!K80)</f>
        <v/>
      </c>
      <c r="L80" s="255" t="str">
        <f>IF('Employee Detail FY23'!L80="","",'Employee Detail FY23'!L80)</f>
        <v/>
      </c>
      <c r="M80" s="92" t="str">
        <f>IF('Employee Detail FY23'!M80="","",'Employee Detail FY23'!M80)</f>
        <v/>
      </c>
      <c r="N80" s="3" t="str">
        <f>IF('Employee Detail FY23'!N80="","",'Employee Detail FY23'!N80)</f>
        <v/>
      </c>
      <c r="O80" s="3" t="str">
        <f>IF('Employee Detail FY23'!O80="","",'Employee Detail FY23'!O80)</f>
        <v/>
      </c>
      <c r="P80" s="3" t="str">
        <f>IF('Employee Detail FY23'!P80="","",'Employee Detail FY23'!P80)</f>
        <v/>
      </c>
      <c r="Q80" s="3" t="str">
        <f>IF('Employee Detail FY23'!Q80="","",'Employee Detail FY23'!Q80)</f>
        <v/>
      </c>
      <c r="R80" s="3" t="str">
        <f>IF('Employee Detail FY23'!R80="","",'Employee Detail FY23'!R80)</f>
        <v/>
      </c>
      <c r="S80" s="3" t="str">
        <f>IF('Employee Detail FY23'!S80="","",'Employee Detail FY23'!S80)</f>
        <v/>
      </c>
      <c r="T80" s="263" t="str">
        <f t="shared" si="18"/>
        <v/>
      </c>
      <c r="U80" s="269" t="str">
        <f>IF('Employee Detail FY23'!U80="","",'Employee Detail FY23'!U80)</f>
        <v/>
      </c>
      <c r="V80" s="270" t="str">
        <f t="shared" si="19"/>
        <v/>
      </c>
      <c r="W80" s="270" t="str">
        <f t="shared" si="20"/>
        <v/>
      </c>
      <c r="X80" s="270" t="str">
        <f t="shared" si="21"/>
        <v/>
      </c>
      <c r="Y80" s="62">
        <v>0</v>
      </c>
      <c r="Z80" s="62">
        <v>0</v>
      </c>
      <c r="AA80" s="256">
        <f t="shared" si="22"/>
        <v>0</v>
      </c>
      <c r="AB80" s="3"/>
      <c r="AC80" s="62" t="str">
        <f t="shared" si="23"/>
        <v/>
      </c>
      <c r="AD80" s="62" t="str">
        <f t="shared" si="24"/>
        <v/>
      </c>
      <c r="AE80" s="62" t="str">
        <f t="shared" si="25"/>
        <v/>
      </c>
      <c r="AF80" s="62" t="str">
        <f t="shared" si="26"/>
        <v/>
      </c>
      <c r="AG80" s="192">
        <v>0</v>
      </c>
      <c r="AH80" s="62" t="str">
        <f t="shared" si="27"/>
        <v/>
      </c>
      <c r="AI80" s="62">
        <f t="shared" si="28"/>
        <v>0</v>
      </c>
      <c r="AJ80" s="62"/>
      <c r="AK80" s="62">
        <v>0</v>
      </c>
      <c r="AL80" s="256">
        <f t="shared" si="29"/>
        <v>0</v>
      </c>
      <c r="AM80" s="256">
        <f t="shared" si="30"/>
        <v>0</v>
      </c>
      <c r="AN80" s="256">
        <f t="shared" si="31"/>
        <v>0</v>
      </c>
    </row>
    <row r="81" spans="1:40" hidden="1" x14ac:dyDescent="0.2">
      <c r="A81" s="3" t="str">
        <f>IF('Employee Detail FY23'!A81="","",'Employee Detail FY23'!A81)</f>
        <v/>
      </c>
      <c r="B81" s="647" t="str">
        <f>IF('Employee Detail FY23'!B81="","",'Employee Detail FY23'!B81)</f>
        <v>280</v>
      </c>
      <c r="C81" s="647" t="str">
        <f>IF('Employee Detail FY23'!C81="","",'Employee Detail FY23'!C81)</f>
        <v>658</v>
      </c>
      <c r="D81" s="647"/>
      <c r="E81" s="647" t="str">
        <f>IF('Employee Detail FY23'!E81="","",'Employee Detail FY23'!E81)</f>
        <v>420</v>
      </c>
      <c r="F81" s="647" t="str">
        <f>IF('Employee Detail FY23'!F81="","",'Employee Detail FY23'!F81)</f>
        <v>2212</v>
      </c>
      <c r="G81" s="647" t="str">
        <f>IF('Employee Detail FY23'!G81="","",'Employee Detail FY23'!G81)</f>
        <v>0157</v>
      </c>
      <c r="H81" s="3"/>
      <c r="I81" s="255" t="str">
        <f>IF('Employee Detail FY23'!I81="","",'Employee Detail FY23'!I81)</f>
        <v>TITLE III</v>
      </c>
      <c r="J81" s="255" t="str">
        <f>IF('Employee Detail FY23'!J81="","",'Employee Detail FY23'!J81)</f>
        <v/>
      </c>
      <c r="K81" s="255" t="str">
        <f>IF('Employee Detail FY23'!K81="","",'Employee Detail FY23'!K81)</f>
        <v/>
      </c>
      <c r="L81" s="255" t="str">
        <f>IF('Employee Detail FY23'!L81="","",'Employee Detail FY23'!L81)</f>
        <v>TITLE III</v>
      </c>
      <c r="M81" s="92">
        <f>IF('Employee Detail FY23'!M81="","",'Employee Detail FY23'!M81)</f>
        <v>0</v>
      </c>
      <c r="N81" s="3" t="str">
        <f>IF('Employee Detail FY23'!N81="","",'Employee Detail FY23'!N81)</f>
        <v/>
      </c>
      <c r="O81" s="3" t="str">
        <f>IF('Employee Detail FY23'!O81="","",'Employee Detail FY23'!O81)</f>
        <v/>
      </c>
      <c r="P81" s="3" t="str">
        <f>IF('Employee Detail FY23'!P81="","",'Employee Detail FY23'!P81)</f>
        <v>N</v>
      </c>
      <c r="Q81" s="3" t="str">
        <f>IF('Employee Detail FY23'!Q81="","",'Employee Detail FY23'!Q81)</f>
        <v/>
      </c>
      <c r="R81" s="3" t="str">
        <f>IF('Employee Detail FY23'!R81="","",'Employee Detail FY23'!R81)</f>
        <v/>
      </c>
      <c r="S81" s="3" t="str">
        <f>IF('Employee Detail FY23'!S81="","",'Employee Detail FY23'!S81)</f>
        <v/>
      </c>
      <c r="T81" s="263" t="str">
        <f t="shared" si="18"/>
        <v/>
      </c>
      <c r="U81" s="269">
        <f>IF('Employee Detail FY23'!U81="","",'Employee Detail FY23'!U81)</f>
        <v>0</v>
      </c>
      <c r="V81" s="270">
        <f t="shared" si="19"/>
        <v>0</v>
      </c>
      <c r="W81" s="270" t="str">
        <f t="shared" si="20"/>
        <v/>
      </c>
      <c r="X81" s="270">
        <f t="shared" si="21"/>
        <v>0</v>
      </c>
      <c r="Y81" s="62">
        <v>0</v>
      </c>
      <c r="Z81" s="62">
        <v>0</v>
      </c>
      <c r="AA81" s="256">
        <f t="shared" si="22"/>
        <v>0</v>
      </c>
      <c r="AB81" s="3"/>
      <c r="AC81" s="62" t="str">
        <f t="shared" si="23"/>
        <v/>
      </c>
      <c r="AD81" s="62">
        <f t="shared" si="24"/>
        <v>0</v>
      </c>
      <c r="AE81" s="62" t="str">
        <f t="shared" si="25"/>
        <v/>
      </c>
      <c r="AF81" s="62" t="str">
        <f t="shared" si="26"/>
        <v/>
      </c>
      <c r="AG81" s="192">
        <v>0</v>
      </c>
      <c r="AH81" s="62" t="str">
        <f t="shared" si="27"/>
        <v/>
      </c>
      <c r="AI81" s="62">
        <f t="shared" si="28"/>
        <v>0</v>
      </c>
      <c r="AJ81" s="62"/>
      <c r="AK81" s="62">
        <v>0</v>
      </c>
      <c r="AL81" s="256">
        <f t="shared" si="29"/>
        <v>0</v>
      </c>
      <c r="AM81" s="256">
        <f t="shared" si="30"/>
        <v>0</v>
      </c>
      <c r="AN81" s="256">
        <f t="shared" si="31"/>
        <v>0</v>
      </c>
    </row>
    <row r="82" spans="1:40" hidden="1" x14ac:dyDescent="0.2">
      <c r="A82" s="3" t="str">
        <f>IF('Employee Detail FY23'!A82="","",'Employee Detail FY23'!A82)</f>
        <v/>
      </c>
      <c r="B82" s="647" t="str">
        <f>IF('Employee Detail FY23'!B82="","",'Employee Detail FY23'!B82)</f>
        <v>280</v>
      </c>
      <c r="C82" s="647" t="str">
        <f>IF('Employee Detail FY23'!C82="","",'Employee Detail FY23'!C82)</f>
        <v>658</v>
      </c>
      <c r="D82" s="647"/>
      <c r="E82" s="647" t="str">
        <f>IF('Employee Detail FY23'!E82="","",'Employee Detail FY23'!E82)</f>
        <v>420</v>
      </c>
      <c r="F82" s="647" t="str">
        <f>IF('Employee Detail FY23'!F82="","",'Employee Detail FY23'!F82)</f>
        <v>2110</v>
      </c>
      <c r="G82" s="647" t="str">
        <f>IF('Employee Detail FY23'!G82="","",'Employee Detail FY23'!G82)</f>
        <v>0157</v>
      </c>
      <c r="H82" s="3"/>
      <c r="I82" s="255" t="str">
        <f>IF('Employee Detail FY23'!I82="","",'Employee Detail FY23'!I82)</f>
        <v>TITLE III</v>
      </c>
      <c r="J82" s="255" t="str">
        <f>IF('Employee Detail FY23'!J82="","",'Employee Detail FY23'!J82)</f>
        <v/>
      </c>
      <c r="K82" s="255" t="str">
        <f>IF('Employee Detail FY23'!K82="","",'Employee Detail FY23'!K82)</f>
        <v/>
      </c>
      <c r="L82" s="255" t="str">
        <f>IF('Employee Detail FY23'!L82="","",'Employee Detail FY23'!L82)</f>
        <v>TITLE III</v>
      </c>
      <c r="M82" s="92">
        <f>IF('Employee Detail FY23'!M82="","",'Employee Detail FY23'!M82)</f>
        <v>0</v>
      </c>
      <c r="N82" s="3" t="str">
        <f>IF('Employee Detail FY23'!N82="","",'Employee Detail FY23'!N82)</f>
        <v/>
      </c>
      <c r="O82" s="3" t="str">
        <f>IF('Employee Detail FY23'!O82="","",'Employee Detail FY23'!O82)</f>
        <v/>
      </c>
      <c r="P82" s="3" t="str">
        <f>IF('Employee Detail FY23'!P82="","",'Employee Detail FY23'!P82)</f>
        <v>N</v>
      </c>
      <c r="Q82" s="3" t="str">
        <f>IF('Employee Detail FY23'!Q82="","",'Employee Detail FY23'!Q82)</f>
        <v/>
      </c>
      <c r="R82" s="3" t="str">
        <f>IF('Employee Detail FY23'!R82="","",'Employee Detail FY23'!R82)</f>
        <v/>
      </c>
      <c r="S82" s="3" t="str">
        <f>IF('Employee Detail FY23'!S82="","",'Employee Detail FY23'!S82)</f>
        <v/>
      </c>
      <c r="T82" s="263" t="str">
        <f t="shared" si="18"/>
        <v/>
      </c>
      <c r="U82" s="269">
        <f>IF('Employee Detail FY23'!U82="","",'Employee Detail FY23'!U82)</f>
        <v>0</v>
      </c>
      <c r="V82" s="270">
        <f t="shared" si="19"/>
        <v>0</v>
      </c>
      <c r="W82" s="270" t="str">
        <f t="shared" si="20"/>
        <v/>
      </c>
      <c r="X82" s="270">
        <f t="shared" si="21"/>
        <v>0</v>
      </c>
      <c r="Y82" s="62">
        <v>0</v>
      </c>
      <c r="Z82" s="62">
        <v>0</v>
      </c>
      <c r="AA82" s="256">
        <f t="shared" si="22"/>
        <v>0</v>
      </c>
      <c r="AB82" s="3"/>
      <c r="AC82" s="62" t="str">
        <f t="shared" si="23"/>
        <v/>
      </c>
      <c r="AD82" s="62">
        <f t="shared" si="24"/>
        <v>0</v>
      </c>
      <c r="AE82" s="62" t="str">
        <f t="shared" si="25"/>
        <v/>
      </c>
      <c r="AF82" s="62" t="str">
        <f t="shared" si="26"/>
        <v/>
      </c>
      <c r="AG82" s="192">
        <v>0</v>
      </c>
      <c r="AH82" s="62" t="str">
        <f t="shared" si="27"/>
        <v/>
      </c>
      <c r="AI82" s="62">
        <f t="shared" si="28"/>
        <v>0</v>
      </c>
      <c r="AJ82" s="62"/>
      <c r="AK82" s="62">
        <v>0</v>
      </c>
      <c r="AL82" s="256">
        <f t="shared" si="29"/>
        <v>0</v>
      </c>
      <c r="AM82" s="256">
        <f t="shared" si="30"/>
        <v>0</v>
      </c>
      <c r="AN82" s="256">
        <f t="shared" si="31"/>
        <v>0</v>
      </c>
    </row>
    <row r="83" spans="1:40" hidden="1" x14ac:dyDescent="0.2">
      <c r="A83" s="3" t="str">
        <f>IF('Employee Detail FY23'!A83="","",'Employee Detail FY23'!A83)</f>
        <v/>
      </c>
      <c r="B83" s="647" t="str">
        <f>IF('Employee Detail FY23'!B83="","",'Employee Detail FY23'!B83)</f>
        <v/>
      </c>
      <c r="C83" s="647" t="str">
        <f>IF('Employee Detail FY23'!C83="","",'Employee Detail FY23'!C83)</f>
        <v/>
      </c>
      <c r="D83" s="647"/>
      <c r="E83" s="647" t="str">
        <f>IF('Employee Detail FY23'!E83="","",'Employee Detail FY23'!E83)</f>
        <v/>
      </c>
      <c r="F83" s="647" t="str">
        <f>IF('Employee Detail FY23'!F83="","",'Employee Detail FY23'!F83)</f>
        <v/>
      </c>
      <c r="G83" s="647" t="str">
        <f>IF('Employee Detail FY23'!G83="","",'Employee Detail FY23'!G83)</f>
        <v/>
      </c>
      <c r="H83" s="3"/>
      <c r="I83" s="255" t="str">
        <f>IF('Employee Detail FY23'!I83="","",'Employee Detail FY23'!I83)</f>
        <v/>
      </c>
      <c r="J83" s="255" t="str">
        <f>IF('Employee Detail FY23'!J83="","",'Employee Detail FY23'!J83)</f>
        <v/>
      </c>
      <c r="K83" s="255" t="str">
        <f>IF('Employee Detail FY23'!K83="","",'Employee Detail FY23'!K83)</f>
        <v/>
      </c>
      <c r="L83" s="255" t="str">
        <f>IF('Employee Detail FY23'!L83="","",'Employee Detail FY23'!L83)</f>
        <v/>
      </c>
      <c r="M83" s="92" t="str">
        <f>IF('Employee Detail FY23'!M83="","",'Employee Detail FY23'!M83)</f>
        <v/>
      </c>
      <c r="N83" s="3" t="str">
        <f>IF('Employee Detail FY23'!N83="","",'Employee Detail FY23'!N83)</f>
        <v/>
      </c>
      <c r="O83" s="3" t="str">
        <f>IF('Employee Detail FY23'!O83="","",'Employee Detail FY23'!O83)</f>
        <v/>
      </c>
      <c r="P83" s="3" t="str">
        <f>IF('Employee Detail FY23'!P83="","",'Employee Detail FY23'!P83)</f>
        <v/>
      </c>
      <c r="Q83" s="3" t="str">
        <f>IF('Employee Detail FY23'!Q83="","",'Employee Detail FY23'!Q83)</f>
        <v/>
      </c>
      <c r="R83" s="3" t="str">
        <f>IF('Employee Detail FY23'!R83="","",'Employee Detail FY23'!R83)</f>
        <v/>
      </c>
      <c r="S83" s="3" t="str">
        <f>IF('Employee Detail FY23'!S83="","",'Employee Detail FY23'!S83)</f>
        <v/>
      </c>
      <c r="T83" s="263" t="str">
        <f t="shared" si="18"/>
        <v/>
      </c>
      <c r="U83" s="269">
        <f>IF('Employee Detail FY23'!U83="","",'Employee Detail FY23'!U83)</f>
        <v>0</v>
      </c>
      <c r="V83" s="270">
        <f t="shared" si="19"/>
        <v>0</v>
      </c>
      <c r="W83" s="270" t="str">
        <f t="shared" si="20"/>
        <v/>
      </c>
      <c r="X83" s="270" t="str">
        <f t="shared" si="21"/>
        <v/>
      </c>
      <c r="Y83" s="62">
        <v>0</v>
      </c>
      <c r="Z83" s="62">
        <v>0</v>
      </c>
      <c r="AA83" s="256">
        <f t="shared" si="22"/>
        <v>0</v>
      </c>
      <c r="AB83" s="3"/>
      <c r="AC83" s="62" t="str">
        <f t="shared" si="23"/>
        <v/>
      </c>
      <c r="AD83" s="62" t="str">
        <f t="shared" si="24"/>
        <v/>
      </c>
      <c r="AE83" s="62" t="str">
        <f t="shared" si="25"/>
        <v/>
      </c>
      <c r="AF83" s="62" t="str">
        <f t="shared" si="26"/>
        <v/>
      </c>
      <c r="AG83" s="192">
        <v>0</v>
      </c>
      <c r="AH83" s="62" t="str">
        <f t="shared" si="27"/>
        <v/>
      </c>
      <c r="AI83" s="62">
        <f t="shared" si="28"/>
        <v>0</v>
      </c>
      <c r="AJ83" s="62"/>
      <c r="AK83" s="62">
        <v>0</v>
      </c>
      <c r="AL83" s="256">
        <f t="shared" si="29"/>
        <v>0</v>
      </c>
      <c r="AM83" s="256">
        <f t="shared" si="30"/>
        <v>0</v>
      </c>
      <c r="AN83" s="256">
        <f t="shared" si="31"/>
        <v>0</v>
      </c>
    </row>
    <row r="84" spans="1:40" x14ac:dyDescent="0.2">
      <c r="A84" s="3" t="str">
        <f>IF('Employee Detail FY23'!A84="","",'Employee Detail FY23'!A84)</f>
        <v/>
      </c>
      <c r="B84" s="647" t="str">
        <f>IF('Employee Detail FY23'!B84="","",'Employee Detail FY23'!B84)</f>
        <v>280</v>
      </c>
      <c r="C84" s="647" t="str">
        <f>IF('Employee Detail FY23'!C84="","",'Employee Detail FY23'!C84)</f>
        <v>624</v>
      </c>
      <c r="D84" s="647"/>
      <c r="E84" s="647" t="str">
        <f>IF('Employee Detail FY23'!E84="","",'Employee Detail FY23'!E84)</f>
        <v>430</v>
      </c>
      <c r="F84" s="647" t="str">
        <f>IF('Employee Detail FY23'!F84="","",'Employee Detail FY23'!F84)</f>
        <v>1000</v>
      </c>
      <c r="G84" s="647" t="str">
        <f>IF('Employee Detail FY23'!G84="","",'Employee Detail FY23'!G84)</f>
        <v>0151</v>
      </c>
      <c r="H84" s="3"/>
      <c r="I84" s="255" t="str">
        <f>IF('Employee Detail FY23'!I84="","",'Employee Detail FY23'!I84)</f>
        <v>TITLE I 1003A</v>
      </c>
      <c r="J84" s="255" t="str">
        <f>IF('Employee Detail FY23'!J84="","",'Employee Detail FY23'!J84)</f>
        <v>PD</v>
      </c>
      <c r="K84" s="255" t="str">
        <f>IF('Employee Detail FY23'!K84="","",'Employee Detail FY23'!K84)</f>
        <v/>
      </c>
      <c r="L84" s="255" t="str">
        <f>IF('Employee Detail FY23'!L84="","",'Employee Detail FY23'!L84)</f>
        <v>TITLE I 1003A PD</v>
      </c>
      <c r="M84" s="92">
        <f>IF('Employee Detail FY23'!M84="","",'Employee Detail FY23'!M84)</f>
        <v>0</v>
      </c>
      <c r="N84" s="3" t="str">
        <f>IF('Employee Detail FY23'!N84="","",'Employee Detail FY23'!N84)</f>
        <v/>
      </c>
      <c r="O84" s="3" t="str">
        <f>IF('Employee Detail FY23'!O84="","",'Employee Detail FY23'!O84)</f>
        <v/>
      </c>
      <c r="P84" s="3" t="str">
        <f>IF('Employee Detail FY23'!P84="","",'Employee Detail FY23'!P84)</f>
        <v>N</v>
      </c>
      <c r="Q84" s="3" t="str">
        <f>IF('Employee Detail FY23'!Q84="","",'Employee Detail FY23'!Q84)</f>
        <v/>
      </c>
      <c r="R84" s="3" t="str">
        <f>IF('Employee Detail FY23'!R84="","",'Employee Detail FY23'!R84)</f>
        <v/>
      </c>
      <c r="S84" s="3" t="str">
        <f>IF('Employee Detail FY23'!S84="","",'Employee Detail FY23'!S84)</f>
        <v/>
      </c>
      <c r="T84" s="263" t="str">
        <f t="shared" si="18"/>
        <v/>
      </c>
      <c r="U84" s="269">
        <f>IF('Employee Detail FY23'!U84="","",'Employee Detail FY23'!U84)</f>
        <v>0</v>
      </c>
      <c r="V84" s="270">
        <f t="shared" si="19"/>
        <v>0</v>
      </c>
      <c r="W84" s="270" t="str">
        <f t="shared" si="20"/>
        <v/>
      </c>
      <c r="X84" s="270">
        <f t="shared" si="21"/>
        <v>0</v>
      </c>
      <c r="Y84" s="62">
        <v>0</v>
      </c>
      <c r="Z84" s="62">
        <v>0</v>
      </c>
      <c r="AA84" s="256">
        <f t="shared" si="22"/>
        <v>0</v>
      </c>
      <c r="AB84" s="3"/>
      <c r="AC84" s="62" t="str">
        <f t="shared" si="23"/>
        <v/>
      </c>
      <c r="AD84" s="62">
        <f t="shared" si="24"/>
        <v>0</v>
      </c>
      <c r="AE84" s="62" t="str">
        <f t="shared" si="25"/>
        <v/>
      </c>
      <c r="AF84" s="62" t="str">
        <f t="shared" si="26"/>
        <v/>
      </c>
      <c r="AG84" s="192">
        <v>0</v>
      </c>
      <c r="AH84" s="62" t="str">
        <f t="shared" si="27"/>
        <v/>
      </c>
      <c r="AI84" s="62">
        <f t="shared" si="28"/>
        <v>0</v>
      </c>
      <c r="AJ84" s="62"/>
      <c r="AK84" s="62">
        <v>0</v>
      </c>
      <c r="AL84" s="256">
        <f t="shared" si="29"/>
        <v>0</v>
      </c>
      <c r="AM84" s="256">
        <f t="shared" si="30"/>
        <v>0</v>
      </c>
      <c r="AN84" s="256">
        <f t="shared" si="31"/>
        <v>0</v>
      </c>
    </row>
    <row r="85" spans="1:40" hidden="1" x14ac:dyDescent="0.2">
      <c r="A85" s="3" t="str">
        <f>IF('Employee Detail FY23'!A85="","",'Employee Detail FY23'!A85)</f>
        <v/>
      </c>
      <c r="B85" s="647" t="str">
        <f>IF('Employee Detail FY23'!B85="","",'Employee Detail FY23'!B85)</f>
        <v>280</v>
      </c>
      <c r="C85" s="647" t="str">
        <f>IF('Employee Detail FY23'!C85="","",'Employee Detail FY23'!C85)</f>
        <v>624</v>
      </c>
      <c r="D85" s="647"/>
      <c r="E85" s="647" t="str">
        <f>IF('Employee Detail FY23'!E85="","",'Employee Detail FY23'!E85)</f>
        <v>430</v>
      </c>
      <c r="F85" s="647" t="str">
        <f>IF('Employee Detail FY23'!F85="","",'Employee Detail FY23'!F85)</f>
        <v>2210</v>
      </c>
      <c r="G85" s="647" t="str">
        <f>IF('Employee Detail FY23'!G85="","",'Employee Detail FY23'!G85)</f>
        <v>0151</v>
      </c>
      <c r="H85" s="3"/>
      <c r="I85" s="255" t="str">
        <f>IF('Employee Detail FY23'!I85="","",'Employee Detail FY23'!I85)</f>
        <v>TITLE I 1003A</v>
      </c>
      <c r="J85" s="255" t="str">
        <f>IF('Employee Detail FY23'!J85="","",'Employee Detail FY23'!J85)</f>
        <v>PD</v>
      </c>
      <c r="K85" s="255" t="str">
        <f>IF('Employee Detail FY23'!K85="","",'Employee Detail FY23'!K85)</f>
        <v/>
      </c>
      <c r="L85" s="255" t="str">
        <f>IF('Employee Detail FY23'!L85="","",'Employee Detail FY23'!L85)</f>
        <v>TITLE I 1003A PD</v>
      </c>
      <c r="M85" s="92">
        <f>IF('Employee Detail FY23'!M85="","",'Employee Detail FY23'!M85)</f>
        <v>0</v>
      </c>
      <c r="N85" s="3" t="str">
        <f>IF('Employee Detail FY23'!N85="","",'Employee Detail FY23'!N85)</f>
        <v/>
      </c>
      <c r="O85" s="3" t="str">
        <f>IF('Employee Detail FY23'!O85="","",'Employee Detail FY23'!O85)</f>
        <v/>
      </c>
      <c r="P85" s="3" t="str">
        <f>IF('Employee Detail FY23'!P85="","",'Employee Detail FY23'!P85)</f>
        <v>N</v>
      </c>
      <c r="Q85" s="3" t="str">
        <f>IF('Employee Detail FY23'!Q85="","",'Employee Detail FY23'!Q85)</f>
        <v/>
      </c>
      <c r="R85" s="3" t="str">
        <f>IF('Employee Detail FY23'!R85="","",'Employee Detail FY23'!R85)</f>
        <v/>
      </c>
      <c r="S85" s="3" t="str">
        <f>IF('Employee Detail FY23'!S85="","",'Employee Detail FY23'!S85)</f>
        <v/>
      </c>
      <c r="T85" s="263" t="str">
        <f t="shared" si="18"/>
        <v/>
      </c>
      <c r="U85" s="269">
        <f>IF('Employee Detail FY23'!U85="","",'Employee Detail FY23'!U85)</f>
        <v>0</v>
      </c>
      <c r="V85" s="270">
        <f t="shared" si="19"/>
        <v>0</v>
      </c>
      <c r="W85" s="270" t="str">
        <f t="shared" si="20"/>
        <v/>
      </c>
      <c r="X85" s="270">
        <f t="shared" si="21"/>
        <v>0</v>
      </c>
      <c r="Y85" s="62">
        <v>0</v>
      </c>
      <c r="Z85" s="62">
        <v>0</v>
      </c>
      <c r="AA85" s="256">
        <f t="shared" si="22"/>
        <v>0</v>
      </c>
      <c r="AB85" s="3"/>
      <c r="AC85" s="62" t="str">
        <f t="shared" si="23"/>
        <v/>
      </c>
      <c r="AD85" s="62">
        <f t="shared" si="24"/>
        <v>0</v>
      </c>
      <c r="AE85" s="62" t="str">
        <f t="shared" si="25"/>
        <v/>
      </c>
      <c r="AF85" s="62" t="str">
        <f t="shared" si="26"/>
        <v/>
      </c>
      <c r="AG85" s="192">
        <v>0</v>
      </c>
      <c r="AH85" s="62" t="str">
        <f t="shared" si="27"/>
        <v/>
      </c>
      <c r="AI85" s="62">
        <f t="shared" si="28"/>
        <v>0</v>
      </c>
      <c r="AJ85" s="62"/>
      <c r="AK85" s="62">
        <v>0</v>
      </c>
      <c r="AL85" s="256">
        <f t="shared" si="29"/>
        <v>0</v>
      </c>
      <c r="AM85" s="256">
        <f t="shared" si="30"/>
        <v>0</v>
      </c>
      <c r="AN85" s="256">
        <f t="shared" si="31"/>
        <v>0</v>
      </c>
    </row>
    <row r="86" spans="1:40" x14ac:dyDescent="0.2">
      <c r="A86" s="3" t="str">
        <f>IF('Employee Detail FY23'!A86="","",'Employee Detail FY23'!A86)</f>
        <v/>
      </c>
      <c r="B86" s="647" t="str">
        <f>IF('Employee Detail FY23'!B86="","",'Employee Detail FY23'!B86)</f>
        <v>280</v>
      </c>
      <c r="C86" s="647" t="str">
        <f>IF('Employee Detail FY23'!C86="","",'Employee Detail FY23'!C86)</f>
        <v>624</v>
      </c>
      <c r="D86" s="647"/>
      <c r="E86" s="647" t="str">
        <f>IF('Employee Detail FY23'!E86="","",'Employee Detail FY23'!E86)</f>
        <v>430</v>
      </c>
      <c r="F86" s="647" t="str">
        <f>IF('Employee Detail FY23'!F86="","",'Employee Detail FY23'!F86)</f>
        <v>1000</v>
      </c>
      <c r="G86" s="647" t="str">
        <f>IF('Employee Detail FY23'!G86="","",'Employee Detail FY23'!G86)</f>
        <v>0152</v>
      </c>
      <c r="H86" s="3"/>
      <c r="I86" s="255" t="str">
        <f>IF('Employee Detail FY23'!I86="","",'Employee Detail FY23'!I86)</f>
        <v>TITLE I 1003A</v>
      </c>
      <c r="J86" s="255" t="str">
        <f>IF('Employee Detail FY23'!J86="","",'Employee Detail FY23'!J86)</f>
        <v>PD</v>
      </c>
      <c r="K86" s="255" t="str">
        <f>IF('Employee Detail FY23'!K86="","",'Employee Detail FY23'!K86)</f>
        <v/>
      </c>
      <c r="L86" s="255" t="str">
        <f>IF('Employee Detail FY23'!L86="","",'Employee Detail FY23'!L86)</f>
        <v>TITLE I 1003A PD</v>
      </c>
      <c r="M86" s="92">
        <f>IF('Employee Detail FY23'!M86="","",'Employee Detail FY23'!M86)</f>
        <v>0</v>
      </c>
      <c r="N86" s="3" t="str">
        <f>IF('Employee Detail FY23'!N86="","",'Employee Detail FY23'!N86)</f>
        <v/>
      </c>
      <c r="O86" s="3" t="str">
        <f>IF('Employee Detail FY23'!O86="","",'Employee Detail FY23'!O86)</f>
        <v/>
      </c>
      <c r="P86" s="3" t="str">
        <f>IF('Employee Detail FY23'!P86="","",'Employee Detail FY23'!P86)</f>
        <v>N</v>
      </c>
      <c r="Q86" s="3" t="str">
        <f>IF('Employee Detail FY23'!Q86="","",'Employee Detail FY23'!Q86)</f>
        <v/>
      </c>
      <c r="R86" s="3" t="str">
        <f>IF('Employee Detail FY23'!R86="","",'Employee Detail FY23'!R86)</f>
        <v/>
      </c>
      <c r="S86" s="3" t="str">
        <f>IF('Employee Detail FY23'!S86="","",'Employee Detail FY23'!S86)</f>
        <v/>
      </c>
      <c r="T86" s="263" t="str">
        <f t="shared" si="18"/>
        <v/>
      </c>
      <c r="U86" s="269">
        <f>IF('Employee Detail FY23'!U86="","",'Employee Detail FY23'!U86)</f>
        <v>0</v>
      </c>
      <c r="V86" s="270">
        <f t="shared" si="19"/>
        <v>0</v>
      </c>
      <c r="W86" s="270" t="str">
        <f t="shared" si="20"/>
        <v/>
      </c>
      <c r="X86" s="270">
        <f t="shared" si="21"/>
        <v>0</v>
      </c>
      <c r="Y86" s="62">
        <v>0</v>
      </c>
      <c r="Z86" s="62">
        <v>0</v>
      </c>
      <c r="AA86" s="256">
        <f t="shared" si="22"/>
        <v>0</v>
      </c>
      <c r="AB86" s="3"/>
      <c r="AC86" s="62" t="str">
        <f t="shared" si="23"/>
        <v/>
      </c>
      <c r="AD86" s="62">
        <f t="shared" si="24"/>
        <v>0</v>
      </c>
      <c r="AE86" s="62" t="str">
        <f t="shared" si="25"/>
        <v/>
      </c>
      <c r="AF86" s="62" t="str">
        <f t="shared" si="26"/>
        <v/>
      </c>
      <c r="AG86" s="192">
        <v>0</v>
      </c>
      <c r="AH86" s="62" t="str">
        <f t="shared" si="27"/>
        <v/>
      </c>
      <c r="AI86" s="62">
        <f t="shared" si="28"/>
        <v>0</v>
      </c>
      <c r="AJ86" s="62"/>
      <c r="AK86" s="62">
        <v>0</v>
      </c>
      <c r="AL86" s="256">
        <f t="shared" si="29"/>
        <v>0</v>
      </c>
      <c r="AM86" s="256">
        <f t="shared" si="30"/>
        <v>0</v>
      </c>
      <c r="AN86" s="256">
        <f t="shared" si="31"/>
        <v>0</v>
      </c>
    </row>
    <row r="87" spans="1:40" hidden="1" x14ac:dyDescent="0.2">
      <c r="A87" s="3" t="str">
        <f>IF('Employee Detail FY23'!A87="","",'Employee Detail FY23'!A87)</f>
        <v/>
      </c>
      <c r="B87" s="647" t="str">
        <f>IF('Employee Detail FY23'!B87="","",'Employee Detail FY23'!B87)</f>
        <v>280</v>
      </c>
      <c r="C87" s="647" t="str">
        <f>IF('Employee Detail FY23'!C87="","",'Employee Detail FY23'!C87)</f>
        <v>624</v>
      </c>
      <c r="D87" s="647"/>
      <c r="E87" s="647" t="str">
        <f>IF('Employee Detail FY23'!E87="","",'Employee Detail FY23'!E87)</f>
        <v>430</v>
      </c>
      <c r="F87" s="647">
        <f>IF('Employee Detail FY23'!F87="","",'Employee Detail FY23'!F87)</f>
        <v>2410</v>
      </c>
      <c r="G87" s="647" t="str">
        <f>IF('Employee Detail FY23'!G87="","",'Employee Detail FY23'!G87)</f>
        <v>0154</v>
      </c>
      <c r="H87" s="3"/>
      <c r="I87" s="255" t="str">
        <f>IF('Employee Detail FY23'!I87="","",'Employee Detail FY23'!I87)</f>
        <v>TITLE I 1003A</v>
      </c>
      <c r="J87" s="255" t="str">
        <f>IF('Employee Detail FY23'!J87="","",'Employee Detail FY23'!J87)</f>
        <v>PD</v>
      </c>
      <c r="K87" s="255" t="str">
        <f>IF('Employee Detail FY23'!K87="","",'Employee Detail FY23'!K87)</f>
        <v/>
      </c>
      <c r="L87" s="255" t="str">
        <f>IF('Employee Detail FY23'!L87="","",'Employee Detail FY23'!L87)</f>
        <v>TITLE I 1003A PD</v>
      </c>
      <c r="M87" s="92">
        <f>IF('Employee Detail FY23'!M87="","",'Employee Detail FY23'!M87)</f>
        <v>0</v>
      </c>
      <c r="N87" s="3" t="str">
        <f>IF('Employee Detail FY23'!N87="","",'Employee Detail FY23'!N87)</f>
        <v/>
      </c>
      <c r="O87" s="3" t="str">
        <f>IF('Employee Detail FY23'!O87="","",'Employee Detail FY23'!O87)</f>
        <v/>
      </c>
      <c r="P87" s="3" t="str">
        <f>IF('Employee Detail FY23'!P87="","",'Employee Detail FY23'!P87)</f>
        <v>N</v>
      </c>
      <c r="Q87" s="3" t="str">
        <f>IF('Employee Detail FY23'!Q87="","",'Employee Detail FY23'!Q87)</f>
        <v/>
      </c>
      <c r="R87" s="3" t="str">
        <f>IF('Employee Detail FY23'!R87="","",'Employee Detail FY23'!R87)</f>
        <v/>
      </c>
      <c r="S87" s="3" t="str">
        <f>IF('Employee Detail FY23'!S87="","",'Employee Detail FY23'!S87)</f>
        <v/>
      </c>
      <c r="T87" s="263" t="str">
        <f t="shared" si="18"/>
        <v/>
      </c>
      <c r="U87" s="269">
        <f>IF('Employee Detail FY23'!U87="","",'Employee Detail FY23'!U87)</f>
        <v>0</v>
      </c>
      <c r="V87" s="270">
        <f t="shared" si="19"/>
        <v>0</v>
      </c>
      <c r="W87" s="270" t="str">
        <f t="shared" si="20"/>
        <v/>
      </c>
      <c r="X87" s="270">
        <f t="shared" si="21"/>
        <v>0</v>
      </c>
      <c r="Y87" s="62">
        <v>0</v>
      </c>
      <c r="Z87" s="62">
        <v>0</v>
      </c>
      <c r="AA87" s="256">
        <f t="shared" si="22"/>
        <v>0</v>
      </c>
      <c r="AB87" s="3"/>
      <c r="AC87" s="62" t="str">
        <f t="shared" si="23"/>
        <v/>
      </c>
      <c r="AD87" s="62">
        <f t="shared" si="24"/>
        <v>0</v>
      </c>
      <c r="AE87" s="62" t="str">
        <f t="shared" si="25"/>
        <v/>
      </c>
      <c r="AF87" s="62" t="str">
        <f t="shared" si="26"/>
        <v/>
      </c>
      <c r="AG87" s="192">
        <v>0</v>
      </c>
      <c r="AH87" s="62" t="str">
        <f t="shared" si="27"/>
        <v/>
      </c>
      <c r="AI87" s="62">
        <f t="shared" si="28"/>
        <v>0</v>
      </c>
      <c r="AJ87" s="62"/>
      <c r="AK87" s="62">
        <v>0</v>
      </c>
      <c r="AL87" s="256">
        <f t="shared" si="29"/>
        <v>0</v>
      </c>
      <c r="AM87" s="256">
        <f t="shared" si="30"/>
        <v>0</v>
      </c>
      <c r="AN87" s="256">
        <f t="shared" si="31"/>
        <v>0</v>
      </c>
    </row>
    <row r="88" spans="1:40" hidden="1" x14ac:dyDescent="0.2">
      <c r="A88" s="3" t="str">
        <f>IF('Employee Detail FY23'!A88="","",'Employee Detail FY23'!A88)</f>
        <v/>
      </c>
      <c r="B88" s="647" t="str">
        <f>IF('Employee Detail FY23'!B88="","",'Employee Detail FY23'!B88)</f>
        <v>280</v>
      </c>
      <c r="C88" s="647" t="str">
        <f>IF('Employee Detail FY23'!C88="","",'Employee Detail FY23'!C88)</f>
        <v>624</v>
      </c>
      <c r="D88" s="647"/>
      <c r="E88" s="647" t="str">
        <f>IF('Employee Detail FY23'!E88="","",'Employee Detail FY23'!E88)</f>
        <v>430</v>
      </c>
      <c r="F88" s="647" t="str">
        <f>IF('Employee Detail FY23'!F88="","",'Employee Detail FY23'!F88)</f>
        <v>2120</v>
      </c>
      <c r="G88" s="647" t="str">
        <f>IF('Employee Detail FY23'!G88="","",'Employee Detail FY23'!G88)</f>
        <v>0156</v>
      </c>
      <c r="H88" s="3"/>
      <c r="I88" s="255" t="str">
        <f>IF('Employee Detail FY23'!I88="","",'Employee Detail FY23'!I88)</f>
        <v>TITLE I 1003A</v>
      </c>
      <c r="J88" s="255" t="str">
        <f>IF('Employee Detail FY23'!J88="","",'Employee Detail FY23'!J88)</f>
        <v>PD</v>
      </c>
      <c r="K88" s="255" t="str">
        <f>IF('Employee Detail FY23'!K88="","",'Employee Detail FY23'!K88)</f>
        <v/>
      </c>
      <c r="L88" s="255" t="str">
        <f>IF('Employee Detail FY23'!L88="","",'Employee Detail FY23'!L88)</f>
        <v>TITLE I 1003A PD</v>
      </c>
      <c r="M88" s="92">
        <f>IF('Employee Detail FY23'!M88="","",'Employee Detail FY23'!M88)</f>
        <v>0</v>
      </c>
      <c r="N88" s="3" t="str">
        <f>IF('Employee Detail FY23'!N88="","",'Employee Detail FY23'!N88)</f>
        <v/>
      </c>
      <c r="O88" s="3" t="str">
        <f>IF('Employee Detail FY23'!O88="","",'Employee Detail FY23'!O88)</f>
        <v/>
      </c>
      <c r="P88" s="3" t="str">
        <f>IF('Employee Detail FY23'!P88="","",'Employee Detail FY23'!P88)</f>
        <v>N</v>
      </c>
      <c r="Q88" s="3" t="str">
        <f>IF('Employee Detail FY23'!Q88="","",'Employee Detail FY23'!Q88)</f>
        <v/>
      </c>
      <c r="R88" s="3" t="str">
        <f>IF('Employee Detail FY23'!R88="","",'Employee Detail FY23'!R88)</f>
        <v/>
      </c>
      <c r="S88" s="3" t="str">
        <f>IF('Employee Detail FY23'!S88="","",'Employee Detail FY23'!S88)</f>
        <v/>
      </c>
      <c r="T88" s="263" t="str">
        <f t="shared" si="18"/>
        <v/>
      </c>
      <c r="U88" s="269">
        <f>IF('Employee Detail FY23'!U88="","",'Employee Detail FY23'!U88)</f>
        <v>0</v>
      </c>
      <c r="V88" s="270">
        <f t="shared" si="19"/>
        <v>0</v>
      </c>
      <c r="W88" s="270" t="str">
        <f t="shared" si="20"/>
        <v/>
      </c>
      <c r="X88" s="270">
        <f t="shared" si="21"/>
        <v>0</v>
      </c>
      <c r="Y88" s="62">
        <v>0</v>
      </c>
      <c r="Z88" s="62">
        <v>0</v>
      </c>
      <c r="AA88" s="256">
        <f t="shared" si="22"/>
        <v>0</v>
      </c>
      <c r="AB88" s="3"/>
      <c r="AC88" s="62" t="str">
        <f t="shared" si="23"/>
        <v/>
      </c>
      <c r="AD88" s="62">
        <f t="shared" si="24"/>
        <v>0</v>
      </c>
      <c r="AE88" s="62" t="str">
        <f t="shared" si="25"/>
        <v/>
      </c>
      <c r="AF88" s="62" t="str">
        <f t="shared" si="26"/>
        <v/>
      </c>
      <c r="AG88" s="192">
        <v>0</v>
      </c>
      <c r="AH88" s="62" t="str">
        <f t="shared" si="27"/>
        <v/>
      </c>
      <c r="AI88" s="62">
        <f t="shared" si="28"/>
        <v>0</v>
      </c>
      <c r="AJ88" s="62"/>
      <c r="AK88" s="62">
        <v>0</v>
      </c>
      <c r="AL88" s="256">
        <f t="shared" si="29"/>
        <v>0</v>
      </c>
      <c r="AM88" s="256">
        <f t="shared" si="30"/>
        <v>0</v>
      </c>
      <c r="AN88" s="256">
        <f t="shared" si="31"/>
        <v>0</v>
      </c>
    </row>
    <row r="89" spans="1:40" hidden="1" x14ac:dyDescent="0.2">
      <c r="A89" s="3" t="str">
        <f>IF('Employee Detail FY23'!A89="","",'Employee Detail FY23'!A89)</f>
        <v/>
      </c>
      <c r="B89" s="647" t="str">
        <f>IF('Employee Detail FY23'!B89="","",'Employee Detail FY23'!B89)</f>
        <v>280</v>
      </c>
      <c r="C89" s="647" t="str">
        <f>IF('Employee Detail FY23'!C89="","",'Employee Detail FY23'!C89)</f>
        <v>624</v>
      </c>
      <c r="D89" s="647"/>
      <c r="E89" s="647" t="str">
        <f>IF('Employee Detail FY23'!E89="","",'Employee Detail FY23'!E89)</f>
        <v>430</v>
      </c>
      <c r="F89" s="647" t="str">
        <f>IF('Employee Detail FY23'!F89="","",'Employee Detail FY23'!F89)</f>
        <v>2140</v>
      </c>
      <c r="G89" s="647" t="str">
        <f>IF('Employee Detail FY23'!G89="","",'Employee Detail FY23'!G89)</f>
        <v>0156</v>
      </c>
      <c r="H89" s="3"/>
      <c r="I89" s="255" t="str">
        <f>IF('Employee Detail FY23'!I89="","",'Employee Detail FY23'!I89)</f>
        <v>TITLE I 1003A</v>
      </c>
      <c r="J89" s="255" t="str">
        <f>IF('Employee Detail FY23'!J89="","",'Employee Detail FY23'!J89)</f>
        <v>PD</v>
      </c>
      <c r="K89" s="255" t="str">
        <f>IF('Employee Detail FY23'!K89="","",'Employee Detail FY23'!K89)</f>
        <v/>
      </c>
      <c r="L89" s="255" t="str">
        <f>IF('Employee Detail FY23'!L89="","",'Employee Detail FY23'!L89)</f>
        <v>TITLE I 1003A PD</v>
      </c>
      <c r="M89" s="92">
        <f>IF('Employee Detail FY23'!M89="","",'Employee Detail FY23'!M89)</f>
        <v>0</v>
      </c>
      <c r="N89" s="3" t="str">
        <f>IF('Employee Detail FY23'!N89="","",'Employee Detail FY23'!N89)</f>
        <v/>
      </c>
      <c r="O89" s="3" t="str">
        <f>IF('Employee Detail FY23'!O89="","",'Employee Detail FY23'!O89)</f>
        <v/>
      </c>
      <c r="P89" s="3" t="str">
        <f>IF('Employee Detail FY23'!P89="","",'Employee Detail FY23'!P89)</f>
        <v>N</v>
      </c>
      <c r="Q89" s="3" t="str">
        <f>IF('Employee Detail FY23'!Q89="","",'Employee Detail FY23'!Q89)</f>
        <v/>
      </c>
      <c r="R89" s="3" t="str">
        <f>IF('Employee Detail FY23'!R89="","",'Employee Detail FY23'!R89)</f>
        <v/>
      </c>
      <c r="S89" s="3" t="str">
        <f>IF('Employee Detail FY23'!S89="","",'Employee Detail FY23'!S89)</f>
        <v/>
      </c>
      <c r="T89" s="263" t="str">
        <f t="shared" si="18"/>
        <v/>
      </c>
      <c r="U89" s="269">
        <f>IF('Employee Detail FY23'!U89="","",'Employee Detail FY23'!U89)</f>
        <v>0</v>
      </c>
      <c r="V89" s="270">
        <f t="shared" si="19"/>
        <v>0</v>
      </c>
      <c r="W89" s="270" t="str">
        <f t="shared" si="20"/>
        <v/>
      </c>
      <c r="X89" s="270">
        <f t="shared" si="21"/>
        <v>0</v>
      </c>
      <c r="Y89" s="62">
        <v>0</v>
      </c>
      <c r="Z89" s="62">
        <v>0</v>
      </c>
      <c r="AA89" s="256">
        <f t="shared" si="22"/>
        <v>0</v>
      </c>
      <c r="AB89" s="3"/>
      <c r="AC89" s="62" t="str">
        <f t="shared" si="23"/>
        <v/>
      </c>
      <c r="AD89" s="62">
        <f t="shared" si="24"/>
        <v>0</v>
      </c>
      <c r="AE89" s="62" t="str">
        <f t="shared" si="25"/>
        <v/>
      </c>
      <c r="AF89" s="62" t="str">
        <f t="shared" si="26"/>
        <v/>
      </c>
      <c r="AG89" s="192">
        <v>0</v>
      </c>
      <c r="AH89" s="62" t="str">
        <f t="shared" si="27"/>
        <v/>
      </c>
      <c r="AI89" s="62">
        <f t="shared" si="28"/>
        <v>0</v>
      </c>
      <c r="AJ89" s="62"/>
      <c r="AK89" s="62">
        <v>0</v>
      </c>
      <c r="AL89" s="256">
        <f t="shared" si="29"/>
        <v>0</v>
      </c>
      <c r="AM89" s="256">
        <f t="shared" si="30"/>
        <v>0</v>
      </c>
      <c r="AN89" s="256">
        <f t="shared" si="31"/>
        <v>0</v>
      </c>
    </row>
    <row r="90" spans="1:40" hidden="1" x14ac:dyDescent="0.2">
      <c r="A90" s="3" t="str">
        <f>IF('Employee Detail FY23'!A90="","",'Employee Detail FY23'!A90)</f>
        <v/>
      </c>
      <c r="B90" s="647" t="str">
        <f>IF('Employee Detail FY23'!B90="","",'Employee Detail FY23'!B90)</f>
        <v>280</v>
      </c>
      <c r="C90" s="647" t="str">
        <f>IF('Employee Detail FY23'!C90="","",'Employee Detail FY23'!C90)</f>
        <v>624</v>
      </c>
      <c r="D90" s="647"/>
      <c r="E90" s="647" t="str">
        <f>IF('Employee Detail FY23'!E90="","",'Employee Detail FY23'!E90)</f>
        <v>430</v>
      </c>
      <c r="F90" s="647" t="str">
        <f>IF('Employee Detail FY23'!F90="","",'Employee Detail FY23'!F90)</f>
        <v>2110</v>
      </c>
      <c r="G90" s="647" t="str">
        <f>IF('Employee Detail FY23'!G90="","",'Employee Detail FY23'!G90)</f>
        <v>0157</v>
      </c>
      <c r="H90" s="3"/>
      <c r="I90" s="255" t="str">
        <f>IF('Employee Detail FY23'!I90="","",'Employee Detail FY23'!I90)</f>
        <v>TITLE I 1003A</v>
      </c>
      <c r="J90" s="255" t="str">
        <f>IF('Employee Detail FY23'!J90="","",'Employee Detail FY23'!J90)</f>
        <v>PD</v>
      </c>
      <c r="K90" s="255" t="str">
        <f>IF('Employee Detail FY23'!K90="","",'Employee Detail FY23'!K90)</f>
        <v/>
      </c>
      <c r="L90" s="255" t="str">
        <f>IF('Employee Detail FY23'!L90="","",'Employee Detail FY23'!L90)</f>
        <v>TITLE I 1003A PD</v>
      </c>
      <c r="M90" s="92">
        <f>IF('Employee Detail FY23'!M90="","",'Employee Detail FY23'!M90)</f>
        <v>0</v>
      </c>
      <c r="N90" s="3" t="str">
        <f>IF('Employee Detail FY23'!N90="","",'Employee Detail FY23'!N90)</f>
        <v/>
      </c>
      <c r="O90" s="3" t="str">
        <f>IF('Employee Detail FY23'!O90="","",'Employee Detail FY23'!O90)</f>
        <v/>
      </c>
      <c r="P90" s="3" t="str">
        <f>IF('Employee Detail FY23'!P90="","",'Employee Detail FY23'!P90)</f>
        <v>N</v>
      </c>
      <c r="Q90" s="3" t="str">
        <f>IF('Employee Detail FY23'!Q90="","",'Employee Detail FY23'!Q90)</f>
        <v/>
      </c>
      <c r="R90" s="3" t="str">
        <f>IF('Employee Detail FY23'!R90="","",'Employee Detail FY23'!R90)</f>
        <v/>
      </c>
      <c r="S90" s="3" t="str">
        <f>IF('Employee Detail FY23'!S90="","",'Employee Detail FY23'!S90)</f>
        <v/>
      </c>
      <c r="T90" s="263" t="str">
        <f t="shared" si="18"/>
        <v/>
      </c>
      <c r="U90" s="269">
        <f>IF('Employee Detail FY23'!U90="","",'Employee Detail FY23'!U90)</f>
        <v>0</v>
      </c>
      <c r="V90" s="270">
        <f t="shared" si="19"/>
        <v>0</v>
      </c>
      <c r="W90" s="270" t="str">
        <f t="shared" si="20"/>
        <v/>
      </c>
      <c r="X90" s="270">
        <f t="shared" si="21"/>
        <v>0</v>
      </c>
      <c r="Y90" s="62">
        <v>0</v>
      </c>
      <c r="Z90" s="62">
        <v>0</v>
      </c>
      <c r="AA90" s="256">
        <f t="shared" si="22"/>
        <v>0</v>
      </c>
      <c r="AB90" s="3"/>
      <c r="AC90" s="62" t="str">
        <f t="shared" si="23"/>
        <v/>
      </c>
      <c r="AD90" s="62">
        <f t="shared" si="24"/>
        <v>0</v>
      </c>
      <c r="AE90" s="62" t="str">
        <f t="shared" si="25"/>
        <v/>
      </c>
      <c r="AF90" s="62" t="str">
        <f t="shared" si="26"/>
        <v/>
      </c>
      <c r="AG90" s="192">
        <v>0</v>
      </c>
      <c r="AH90" s="62" t="str">
        <f t="shared" si="27"/>
        <v/>
      </c>
      <c r="AI90" s="62">
        <f t="shared" si="28"/>
        <v>0</v>
      </c>
      <c r="AJ90" s="62"/>
      <c r="AK90" s="62">
        <v>0</v>
      </c>
      <c r="AL90" s="256">
        <f t="shared" si="29"/>
        <v>0</v>
      </c>
      <c r="AM90" s="256">
        <f t="shared" si="30"/>
        <v>0</v>
      </c>
      <c r="AN90" s="256">
        <f t="shared" si="31"/>
        <v>0</v>
      </c>
    </row>
    <row r="91" spans="1:40" hidden="1" x14ac:dyDescent="0.2">
      <c r="A91" s="3" t="str">
        <f>IF('Employee Detail FY23'!A91="","",'Employee Detail FY23'!A91)</f>
        <v/>
      </c>
      <c r="B91" s="647" t="str">
        <f>IF('Employee Detail FY23'!B91="","",'Employee Detail FY23'!B91)</f>
        <v>280</v>
      </c>
      <c r="C91" s="647" t="str">
        <f>IF('Employee Detail FY23'!C91="","",'Employee Detail FY23'!C91)</f>
        <v>624</v>
      </c>
      <c r="D91" s="647"/>
      <c r="E91" s="647" t="str">
        <f>IF('Employee Detail FY23'!E91="","",'Employee Detail FY23'!E91)</f>
        <v>430</v>
      </c>
      <c r="F91" s="647" t="str">
        <f>IF('Employee Detail FY23'!F91="","",'Employee Detail FY23'!F91)</f>
        <v>2212</v>
      </c>
      <c r="G91" s="647" t="str">
        <f>IF('Employee Detail FY23'!G91="","",'Employee Detail FY23'!G91)</f>
        <v>0157</v>
      </c>
      <c r="H91" s="3"/>
      <c r="I91" s="255" t="str">
        <f>IF('Employee Detail FY23'!I91="","",'Employee Detail FY23'!I91)</f>
        <v>TITLE I 1003A</v>
      </c>
      <c r="J91" s="255" t="str">
        <f>IF('Employee Detail FY23'!J91="","",'Employee Detail FY23'!J91)</f>
        <v>PD</v>
      </c>
      <c r="K91" s="255" t="str">
        <f>IF('Employee Detail FY23'!K91="","",'Employee Detail FY23'!K91)</f>
        <v/>
      </c>
      <c r="L91" s="255" t="str">
        <f>IF('Employee Detail FY23'!L91="","",'Employee Detail FY23'!L91)</f>
        <v>TITLE I 1003A PD</v>
      </c>
      <c r="M91" s="92">
        <f>IF('Employee Detail FY23'!M91="","",'Employee Detail FY23'!M91)</f>
        <v>0</v>
      </c>
      <c r="N91" s="3" t="str">
        <f>IF('Employee Detail FY23'!N91="","",'Employee Detail FY23'!N91)</f>
        <v/>
      </c>
      <c r="O91" s="3" t="str">
        <f>IF('Employee Detail FY23'!O91="","",'Employee Detail FY23'!O91)</f>
        <v/>
      </c>
      <c r="P91" s="3" t="str">
        <f>IF('Employee Detail FY23'!P91="","",'Employee Detail FY23'!P91)</f>
        <v>N</v>
      </c>
      <c r="Q91" s="3" t="str">
        <f>IF('Employee Detail FY23'!Q91="","",'Employee Detail FY23'!Q91)</f>
        <v/>
      </c>
      <c r="R91" s="3" t="str">
        <f>IF('Employee Detail FY23'!R91="","",'Employee Detail FY23'!R91)</f>
        <v/>
      </c>
      <c r="S91" s="3" t="str">
        <f>IF('Employee Detail FY23'!S91="","",'Employee Detail FY23'!S91)</f>
        <v/>
      </c>
      <c r="T91" s="263" t="str">
        <f t="shared" si="18"/>
        <v/>
      </c>
      <c r="U91" s="269">
        <f>IF('Employee Detail FY23'!U91="","",'Employee Detail FY23'!U91)</f>
        <v>0</v>
      </c>
      <c r="V91" s="270">
        <f t="shared" si="19"/>
        <v>0</v>
      </c>
      <c r="W91" s="270" t="str">
        <f t="shared" si="20"/>
        <v/>
      </c>
      <c r="X91" s="270">
        <f t="shared" si="21"/>
        <v>0</v>
      </c>
      <c r="Y91" s="62">
        <v>0</v>
      </c>
      <c r="Z91" s="62">
        <v>0</v>
      </c>
      <c r="AA91" s="256">
        <f t="shared" si="22"/>
        <v>0</v>
      </c>
      <c r="AB91" s="3"/>
      <c r="AC91" s="62" t="str">
        <f t="shared" si="23"/>
        <v/>
      </c>
      <c r="AD91" s="62">
        <f t="shared" si="24"/>
        <v>0</v>
      </c>
      <c r="AE91" s="62" t="str">
        <f t="shared" si="25"/>
        <v/>
      </c>
      <c r="AF91" s="62" t="str">
        <f t="shared" si="26"/>
        <v/>
      </c>
      <c r="AG91" s="192">
        <v>0</v>
      </c>
      <c r="AH91" s="62" t="str">
        <f t="shared" si="27"/>
        <v/>
      </c>
      <c r="AI91" s="62">
        <f t="shared" si="28"/>
        <v>0</v>
      </c>
      <c r="AJ91" s="62"/>
      <c r="AK91" s="62">
        <v>0</v>
      </c>
      <c r="AL91" s="256">
        <f t="shared" si="29"/>
        <v>0</v>
      </c>
      <c r="AM91" s="256">
        <f t="shared" si="30"/>
        <v>0</v>
      </c>
      <c r="AN91" s="256">
        <f t="shared" si="31"/>
        <v>0</v>
      </c>
    </row>
    <row r="92" spans="1:40" hidden="1" x14ac:dyDescent="0.2">
      <c r="A92" s="3" t="str">
        <f>IF('Employee Detail FY23'!A92="","",'Employee Detail FY23'!A92)</f>
        <v/>
      </c>
      <c r="B92" s="647" t="str">
        <f>IF('Employee Detail FY23'!B92="","",'Employee Detail FY23'!B92)</f>
        <v/>
      </c>
      <c r="C92" s="647" t="str">
        <f>IF('Employee Detail FY23'!C92="","",'Employee Detail FY23'!C92)</f>
        <v/>
      </c>
      <c r="D92" s="647"/>
      <c r="E92" s="647" t="str">
        <f>IF('Employee Detail FY23'!E92="","",'Employee Detail FY23'!E92)</f>
        <v/>
      </c>
      <c r="F92" s="647" t="str">
        <f>IF('Employee Detail FY23'!F92="","",'Employee Detail FY23'!F92)</f>
        <v/>
      </c>
      <c r="G92" s="647" t="str">
        <f>IF('Employee Detail FY23'!G92="","",'Employee Detail FY23'!G92)</f>
        <v/>
      </c>
      <c r="H92" s="3"/>
      <c r="I92" s="255" t="str">
        <f>IF('Employee Detail FY23'!I92="","",'Employee Detail FY23'!I92)</f>
        <v/>
      </c>
      <c r="J92" s="255" t="str">
        <f>IF('Employee Detail FY23'!J92="","",'Employee Detail FY23'!J92)</f>
        <v/>
      </c>
      <c r="K92" s="255" t="str">
        <f>IF('Employee Detail FY23'!K92="","",'Employee Detail FY23'!K92)</f>
        <v/>
      </c>
      <c r="L92" s="255" t="str">
        <f>IF('Employee Detail FY23'!L92="","",'Employee Detail FY23'!L92)</f>
        <v/>
      </c>
      <c r="M92" s="92" t="str">
        <f>IF('Employee Detail FY23'!M92="","",'Employee Detail FY23'!M92)</f>
        <v/>
      </c>
      <c r="N92" s="3" t="str">
        <f>IF('Employee Detail FY23'!N92="","",'Employee Detail FY23'!N92)</f>
        <v/>
      </c>
      <c r="O92" s="3" t="str">
        <f>IF('Employee Detail FY23'!O92="","",'Employee Detail FY23'!O92)</f>
        <v/>
      </c>
      <c r="P92" s="3" t="str">
        <f>IF('Employee Detail FY23'!P92="","",'Employee Detail FY23'!P92)</f>
        <v/>
      </c>
      <c r="Q92" s="3" t="str">
        <f>IF('Employee Detail FY23'!Q92="","",'Employee Detail FY23'!Q92)</f>
        <v/>
      </c>
      <c r="R92" s="3" t="str">
        <f>IF('Employee Detail FY23'!R92="","",'Employee Detail FY23'!R92)</f>
        <v/>
      </c>
      <c r="S92" s="3" t="str">
        <f>IF('Employee Detail FY23'!S92="","",'Employee Detail FY23'!S92)</f>
        <v/>
      </c>
      <c r="T92" s="263" t="str">
        <f t="shared" si="18"/>
        <v/>
      </c>
      <c r="U92" s="269">
        <f>IF('Employee Detail FY23'!U92="","",'Employee Detail FY23'!U92)</f>
        <v>0</v>
      </c>
      <c r="V92" s="270">
        <f t="shared" si="19"/>
        <v>0</v>
      </c>
      <c r="W92" s="270" t="str">
        <f t="shared" si="20"/>
        <v/>
      </c>
      <c r="X92" s="270" t="str">
        <f t="shared" si="21"/>
        <v/>
      </c>
      <c r="Y92" s="62">
        <v>0</v>
      </c>
      <c r="Z92" s="62">
        <v>0</v>
      </c>
      <c r="AA92" s="256">
        <f t="shared" si="22"/>
        <v>0</v>
      </c>
      <c r="AB92" s="3"/>
      <c r="AC92" s="62" t="str">
        <f t="shared" si="23"/>
        <v/>
      </c>
      <c r="AD92" s="62" t="str">
        <f t="shared" si="24"/>
        <v/>
      </c>
      <c r="AE92" s="62" t="str">
        <f t="shared" si="25"/>
        <v/>
      </c>
      <c r="AF92" s="62" t="str">
        <f t="shared" si="26"/>
        <v/>
      </c>
      <c r="AG92" s="192">
        <v>0</v>
      </c>
      <c r="AH92" s="62" t="str">
        <f t="shared" si="27"/>
        <v/>
      </c>
      <c r="AI92" s="62">
        <f t="shared" si="28"/>
        <v>0</v>
      </c>
      <c r="AJ92" s="62"/>
      <c r="AK92" s="62">
        <v>0</v>
      </c>
      <c r="AL92" s="256">
        <f t="shared" si="29"/>
        <v>0</v>
      </c>
      <c r="AM92" s="256">
        <f t="shared" si="30"/>
        <v>0</v>
      </c>
      <c r="AN92" s="256">
        <f t="shared" si="31"/>
        <v>0</v>
      </c>
    </row>
    <row r="93" spans="1:40" x14ac:dyDescent="0.2">
      <c r="A93" s="3" t="str">
        <f>IF('Employee Detail FY23'!A93="","",'Employee Detail FY23'!A93)</f>
        <v>CSP</v>
      </c>
      <c r="B93" s="647" t="s">
        <v>468</v>
      </c>
      <c r="C93" s="647" t="s">
        <v>145</v>
      </c>
      <c r="D93" s="647"/>
      <c r="E93" s="647">
        <f>IF('Employee Detail FY23'!E93="","",'Employee Detail FY23'!E93)</f>
        <v>100</v>
      </c>
      <c r="F93" s="647" t="str">
        <f>IF('Employee Detail FY23'!F93="","",'Employee Detail FY23'!F93)</f>
        <v>1000</v>
      </c>
      <c r="G93" s="647" t="str">
        <f>IF('Employee Detail FY23'!G93="","",'Employee Detail FY23'!G93)</f>
        <v>0151</v>
      </c>
      <c r="H93" s="3"/>
      <c r="I93" s="255" t="str">
        <f>IF('Employee Detail FY23'!I93="","",'Employee Detail FY23'!I93)</f>
        <v>CSP PROFESSIONAL DEVELOPMENT</v>
      </c>
      <c r="J93" s="255" t="str">
        <f>IF('Employee Detail FY23'!J93="","",'Employee Detail FY23'!J93)</f>
        <v/>
      </c>
      <c r="K93" s="255" t="str">
        <f>IF('Employee Detail FY23'!K93="","",'Employee Detail FY23'!K93)</f>
        <v/>
      </c>
      <c r="L93" s="255" t="str">
        <f>IF('Employee Detail FY23'!L93="","",'Employee Detail FY23'!L93)</f>
        <v>CSP PROFESSIONAL DEVELOPMENT</v>
      </c>
      <c r="M93" s="92">
        <f>IF('Employee Detail FY23'!M93="","",'Employee Detail FY23'!M93)</f>
        <v>0</v>
      </c>
      <c r="N93" s="3" t="str">
        <f>IF('Employee Detail FY23'!N93="","",'Employee Detail FY23'!N93)</f>
        <v/>
      </c>
      <c r="O93" s="3" t="str">
        <f>IF('Employee Detail FY23'!O93="","",'Employee Detail FY23'!O93)</f>
        <v/>
      </c>
      <c r="P93" s="3" t="str">
        <f>IF('Employee Detail FY23'!P93="","",'Employee Detail FY23'!P93)</f>
        <v>N</v>
      </c>
      <c r="Q93" s="3" t="str">
        <f>IF('Employee Detail FY23'!Q93="","",'Employee Detail FY23'!Q93)</f>
        <v/>
      </c>
      <c r="R93" s="3" t="str">
        <f>IF('Employee Detail FY23'!R93="","",'Employee Detail FY23'!R93)</f>
        <v/>
      </c>
      <c r="S93" s="3" t="str">
        <f>IF('Employee Detail FY23'!S93="","",'Employee Detail FY23'!S93)</f>
        <v/>
      </c>
      <c r="T93" s="263" t="str">
        <f t="shared" si="18"/>
        <v/>
      </c>
      <c r="U93" s="269">
        <f>IF('Employee Detail FY23'!U93="","",'Employee Detail FY23'!U93)</f>
        <v>0</v>
      </c>
      <c r="V93" s="270">
        <f t="shared" si="19"/>
        <v>0</v>
      </c>
      <c r="W93" s="270" t="str">
        <f t="shared" si="20"/>
        <v/>
      </c>
      <c r="X93" s="270">
        <f t="shared" si="21"/>
        <v>0</v>
      </c>
      <c r="Y93" s="62">
        <v>0</v>
      </c>
      <c r="Z93" s="62">
        <v>0</v>
      </c>
      <c r="AA93" s="256">
        <f t="shared" si="22"/>
        <v>0</v>
      </c>
      <c r="AB93" s="3"/>
      <c r="AC93" s="62" t="str">
        <f t="shared" si="23"/>
        <v/>
      </c>
      <c r="AD93" s="62">
        <f t="shared" si="24"/>
        <v>0</v>
      </c>
      <c r="AE93" s="62" t="str">
        <f t="shared" si="25"/>
        <v/>
      </c>
      <c r="AF93" s="62" t="str">
        <f t="shared" si="26"/>
        <v/>
      </c>
      <c r="AG93" s="192">
        <v>0</v>
      </c>
      <c r="AH93" s="62" t="str">
        <f t="shared" si="27"/>
        <v/>
      </c>
      <c r="AI93" s="62">
        <f t="shared" si="28"/>
        <v>0</v>
      </c>
      <c r="AJ93" s="62"/>
      <c r="AK93" s="62">
        <v>0</v>
      </c>
      <c r="AL93" s="256">
        <f t="shared" si="29"/>
        <v>0</v>
      </c>
      <c r="AM93" s="256">
        <f t="shared" si="30"/>
        <v>0</v>
      </c>
      <c r="AN93" s="256">
        <f t="shared" si="31"/>
        <v>0</v>
      </c>
    </row>
    <row r="94" spans="1:40" x14ac:dyDescent="0.2">
      <c r="A94" s="3" t="str">
        <f>IF('Employee Detail FY23'!A94="","",'Employee Detail FY23'!A94)</f>
        <v>CSP</v>
      </c>
      <c r="B94" s="647" t="s">
        <v>468</v>
      </c>
      <c r="C94" s="647" t="s">
        <v>145</v>
      </c>
      <c r="D94" s="647"/>
      <c r="E94" s="647">
        <f>IF('Employee Detail FY23'!E94="","",'Employee Detail FY23'!E94)</f>
        <v>100</v>
      </c>
      <c r="F94" s="647" t="str">
        <f>IF('Employee Detail FY23'!F94="","",'Employee Detail FY23'!F94)</f>
        <v>1000</v>
      </c>
      <c r="G94" s="647" t="str">
        <f>IF('Employee Detail FY23'!G94="","",'Employee Detail FY23'!G94)</f>
        <v>0151</v>
      </c>
      <c r="H94" s="3"/>
      <c r="I94" s="255" t="str">
        <f>IF('Employee Detail FY23'!I94="","",'Employee Detail FY23'!I94)</f>
        <v>CSP PROFESSIONAL DEVELOPMENT</v>
      </c>
      <c r="J94" s="255" t="str">
        <f>IF('Employee Detail FY23'!J94="","",'Employee Detail FY23'!J94)</f>
        <v/>
      </c>
      <c r="K94" s="255" t="str">
        <f>IF('Employee Detail FY23'!K94="","",'Employee Detail FY23'!K94)</f>
        <v/>
      </c>
      <c r="L94" s="255" t="str">
        <f>IF('Employee Detail FY23'!L94="","",'Employee Detail FY23'!L94)</f>
        <v>CSP PROFESSIONAL DEVELOPMENT</v>
      </c>
      <c r="M94" s="92">
        <f>IF('Employee Detail FY23'!M94="","",'Employee Detail FY23'!M94)</f>
        <v>0</v>
      </c>
      <c r="N94" s="3" t="str">
        <f>IF('Employee Detail FY23'!N94="","",'Employee Detail FY23'!N94)</f>
        <v/>
      </c>
      <c r="O94" s="3" t="str">
        <f>IF('Employee Detail FY23'!O94="","",'Employee Detail FY23'!O94)</f>
        <v/>
      </c>
      <c r="P94" s="3" t="str">
        <f>IF('Employee Detail FY23'!P94="","",'Employee Detail FY23'!P94)</f>
        <v>N</v>
      </c>
      <c r="Q94" s="3" t="str">
        <f>IF('Employee Detail FY23'!Q94="","",'Employee Detail FY23'!Q94)</f>
        <v/>
      </c>
      <c r="R94" s="3" t="str">
        <f>IF('Employee Detail FY23'!R94="","",'Employee Detail FY23'!R94)</f>
        <v/>
      </c>
      <c r="S94" s="3" t="str">
        <f>IF('Employee Detail FY23'!S94="","",'Employee Detail FY23'!S94)</f>
        <v/>
      </c>
      <c r="T94" s="263" t="str">
        <f t="shared" si="18"/>
        <v/>
      </c>
      <c r="U94" s="269">
        <f>IF('Employee Detail FY23'!U94="","",'Employee Detail FY23'!U94)</f>
        <v>0</v>
      </c>
      <c r="V94" s="270">
        <f t="shared" si="19"/>
        <v>0</v>
      </c>
      <c r="W94" s="270" t="str">
        <f t="shared" si="20"/>
        <v/>
      </c>
      <c r="X94" s="270">
        <f t="shared" si="21"/>
        <v>0</v>
      </c>
      <c r="Y94" s="62">
        <v>0</v>
      </c>
      <c r="Z94" s="62">
        <v>0</v>
      </c>
      <c r="AA94" s="256">
        <f t="shared" si="22"/>
        <v>0</v>
      </c>
      <c r="AB94" s="3"/>
      <c r="AC94" s="62" t="str">
        <f t="shared" si="23"/>
        <v/>
      </c>
      <c r="AD94" s="62">
        <f t="shared" si="24"/>
        <v>0</v>
      </c>
      <c r="AE94" s="62" t="str">
        <f t="shared" si="25"/>
        <v/>
      </c>
      <c r="AF94" s="62" t="str">
        <f t="shared" si="26"/>
        <v/>
      </c>
      <c r="AG94" s="192">
        <v>0</v>
      </c>
      <c r="AH94" s="62" t="str">
        <f t="shared" si="27"/>
        <v/>
      </c>
      <c r="AI94" s="62">
        <f t="shared" si="28"/>
        <v>0</v>
      </c>
      <c r="AJ94" s="62"/>
      <c r="AK94" s="62">
        <v>0</v>
      </c>
      <c r="AL94" s="256">
        <f t="shared" si="29"/>
        <v>0</v>
      </c>
      <c r="AM94" s="256">
        <f t="shared" si="30"/>
        <v>0</v>
      </c>
      <c r="AN94" s="256">
        <f t="shared" si="31"/>
        <v>0</v>
      </c>
    </row>
    <row r="95" spans="1:40" x14ac:dyDescent="0.2">
      <c r="A95" s="3" t="str">
        <f>IF('Employee Detail FY23'!A95="","",'Employee Detail FY23'!A95)</f>
        <v>CSP</v>
      </c>
      <c r="B95" s="647" t="s">
        <v>468</v>
      </c>
      <c r="C95" s="647" t="s">
        <v>145</v>
      </c>
      <c r="D95" s="647"/>
      <c r="E95" s="647">
        <f>IF('Employee Detail FY23'!E95="","",'Employee Detail FY23'!E95)</f>
        <v>100</v>
      </c>
      <c r="F95" s="647" t="str">
        <f>IF('Employee Detail FY23'!F95="","",'Employee Detail FY23'!F95)</f>
        <v>1000</v>
      </c>
      <c r="G95" s="647" t="str">
        <f>IF('Employee Detail FY23'!G95="","",'Employee Detail FY23'!G95)</f>
        <v>0151</v>
      </c>
      <c r="H95" s="3"/>
      <c r="I95" s="255" t="str">
        <f>IF('Employee Detail FY23'!I95="","",'Employee Detail FY23'!I95)</f>
        <v>CSP PROFESSIONAL DEVELOPMENT</v>
      </c>
      <c r="J95" s="255" t="str">
        <f>IF('Employee Detail FY23'!J95="","",'Employee Detail FY23'!J95)</f>
        <v/>
      </c>
      <c r="K95" s="255" t="str">
        <f>IF('Employee Detail FY23'!K95="","",'Employee Detail FY23'!K95)</f>
        <v/>
      </c>
      <c r="L95" s="255" t="str">
        <f>IF('Employee Detail FY23'!L95="","",'Employee Detail FY23'!L95)</f>
        <v>CSP PROFESSIONAL DEVELOPMENT</v>
      </c>
      <c r="M95" s="92">
        <f>IF('Employee Detail FY23'!M95="","",'Employee Detail FY23'!M95)</f>
        <v>0</v>
      </c>
      <c r="N95" s="3" t="str">
        <f>IF('Employee Detail FY23'!N95="","",'Employee Detail FY23'!N95)</f>
        <v/>
      </c>
      <c r="O95" s="3" t="str">
        <f>IF('Employee Detail FY23'!O95="","",'Employee Detail FY23'!O95)</f>
        <v/>
      </c>
      <c r="P95" s="3" t="str">
        <f>IF('Employee Detail FY23'!P95="","",'Employee Detail FY23'!P95)</f>
        <v>N</v>
      </c>
      <c r="Q95" s="3" t="str">
        <f>IF('Employee Detail FY23'!Q95="","",'Employee Detail FY23'!Q95)</f>
        <v/>
      </c>
      <c r="R95" s="3" t="str">
        <f>IF('Employee Detail FY23'!R95="","",'Employee Detail FY23'!R95)</f>
        <v/>
      </c>
      <c r="S95" s="3" t="str">
        <f>IF('Employee Detail FY23'!S95="","",'Employee Detail FY23'!S95)</f>
        <v/>
      </c>
      <c r="T95" s="263" t="str">
        <f t="shared" si="18"/>
        <v/>
      </c>
      <c r="U95" s="269">
        <f>IF('Employee Detail FY23'!U95="","",'Employee Detail FY23'!U95)</f>
        <v>0</v>
      </c>
      <c r="V95" s="270">
        <f t="shared" si="19"/>
        <v>0</v>
      </c>
      <c r="W95" s="270" t="str">
        <f t="shared" si="20"/>
        <v/>
      </c>
      <c r="X95" s="270">
        <f t="shared" si="21"/>
        <v>0</v>
      </c>
      <c r="Y95" s="62">
        <v>0</v>
      </c>
      <c r="Z95" s="62">
        <v>0</v>
      </c>
      <c r="AA95" s="256">
        <f t="shared" si="22"/>
        <v>0</v>
      </c>
      <c r="AB95" s="3"/>
      <c r="AC95" s="62" t="str">
        <f t="shared" si="23"/>
        <v/>
      </c>
      <c r="AD95" s="62">
        <f t="shared" si="24"/>
        <v>0</v>
      </c>
      <c r="AE95" s="62" t="str">
        <f t="shared" si="25"/>
        <v/>
      </c>
      <c r="AF95" s="62" t="str">
        <f t="shared" si="26"/>
        <v/>
      </c>
      <c r="AG95" s="192">
        <v>0</v>
      </c>
      <c r="AH95" s="62" t="str">
        <f t="shared" si="27"/>
        <v/>
      </c>
      <c r="AI95" s="62">
        <f t="shared" si="28"/>
        <v>0</v>
      </c>
      <c r="AJ95" s="62"/>
      <c r="AK95" s="62">
        <v>0</v>
      </c>
      <c r="AL95" s="256">
        <f t="shared" si="29"/>
        <v>0</v>
      </c>
      <c r="AM95" s="256">
        <f t="shared" si="30"/>
        <v>0</v>
      </c>
      <c r="AN95" s="256">
        <f t="shared" si="31"/>
        <v>0</v>
      </c>
    </row>
    <row r="96" spans="1:40" hidden="1" x14ac:dyDescent="0.2">
      <c r="A96" s="3" t="str">
        <f>IF('Employee Detail FY23'!A96="","",'Employee Detail FY23'!A96)</f>
        <v/>
      </c>
      <c r="B96" s="647" t="str">
        <f>IF('Employee Detail FY23'!B96="","",'Employee Detail FY23'!B96)</f>
        <v/>
      </c>
      <c r="C96" s="647" t="str">
        <f>IF('Employee Detail FY23'!C96="","",'Employee Detail FY23'!C96)</f>
        <v/>
      </c>
      <c r="D96" s="647"/>
      <c r="E96" s="647" t="str">
        <f>IF('Employee Detail FY23'!E96="","",'Employee Detail FY23'!E96)</f>
        <v/>
      </c>
      <c r="F96" s="647" t="str">
        <f>IF('Employee Detail FY23'!F96="","",'Employee Detail FY23'!F96)</f>
        <v/>
      </c>
      <c r="G96" s="647" t="str">
        <f>IF('Employee Detail FY23'!G96="","",'Employee Detail FY23'!G96)</f>
        <v/>
      </c>
      <c r="H96" s="3"/>
      <c r="I96" s="255" t="str">
        <f>IF('Employee Detail FY23'!I96="","",'Employee Detail FY23'!I96)</f>
        <v/>
      </c>
      <c r="J96" s="255" t="str">
        <f>IF('Employee Detail FY23'!J96="","",'Employee Detail FY23'!J96)</f>
        <v/>
      </c>
      <c r="K96" s="255" t="str">
        <f>IF('Employee Detail FY23'!K96="","",'Employee Detail FY23'!K96)</f>
        <v/>
      </c>
      <c r="L96" s="255" t="str">
        <f>IF('Employee Detail FY23'!L96="","",'Employee Detail FY23'!L96)</f>
        <v/>
      </c>
      <c r="M96" s="92" t="str">
        <f>IF('Employee Detail FY23'!M96="","",'Employee Detail FY23'!M96)</f>
        <v/>
      </c>
      <c r="N96" s="3" t="str">
        <f>IF('Employee Detail FY23'!N96="","",'Employee Detail FY23'!N96)</f>
        <v/>
      </c>
      <c r="O96" s="3" t="str">
        <f>IF('Employee Detail FY23'!O96="","",'Employee Detail FY23'!O96)</f>
        <v/>
      </c>
      <c r="P96" s="3" t="str">
        <f>IF('Employee Detail FY23'!P96="","",'Employee Detail FY23'!P96)</f>
        <v/>
      </c>
      <c r="Q96" s="3" t="str">
        <f>IF('Employee Detail FY23'!Q96="","",'Employee Detail FY23'!Q96)</f>
        <v/>
      </c>
      <c r="R96" s="3" t="str">
        <f>IF('Employee Detail FY23'!R96="","",'Employee Detail FY23'!R96)</f>
        <v/>
      </c>
      <c r="S96" s="3" t="str">
        <f>IF('Employee Detail FY23'!S96="","",'Employee Detail FY23'!S96)</f>
        <v/>
      </c>
      <c r="T96" s="263" t="str">
        <f t="shared" si="18"/>
        <v/>
      </c>
      <c r="U96" s="269">
        <f>IF('Employee Detail FY23'!U96="","",'Employee Detail FY23'!U96)</f>
        <v>0</v>
      </c>
      <c r="V96" s="270">
        <f t="shared" si="19"/>
        <v>0</v>
      </c>
      <c r="W96" s="270" t="str">
        <f t="shared" si="20"/>
        <v/>
      </c>
      <c r="X96" s="270" t="str">
        <f t="shared" si="21"/>
        <v/>
      </c>
      <c r="Y96" s="62">
        <v>0</v>
      </c>
      <c r="Z96" s="62">
        <v>0</v>
      </c>
      <c r="AA96" s="256">
        <f t="shared" si="22"/>
        <v>0</v>
      </c>
      <c r="AB96" s="3"/>
      <c r="AC96" s="62" t="str">
        <f t="shared" si="23"/>
        <v/>
      </c>
      <c r="AD96" s="62" t="str">
        <f t="shared" si="24"/>
        <v/>
      </c>
      <c r="AE96" s="62" t="str">
        <f t="shared" si="25"/>
        <v/>
      </c>
      <c r="AF96" s="62" t="str">
        <f t="shared" si="26"/>
        <v/>
      </c>
      <c r="AG96" s="192">
        <v>0</v>
      </c>
      <c r="AH96" s="62" t="str">
        <f t="shared" si="27"/>
        <v/>
      </c>
      <c r="AI96" s="62">
        <f t="shared" si="28"/>
        <v>0</v>
      </c>
      <c r="AJ96" s="62"/>
      <c r="AK96" s="62">
        <v>0</v>
      </c>
      <c r="AL96" s="256">
        <f t="shared" si="29"/>
        <v>0</v>
      </c>
      <c r="AM96" s="256">
        <f t="shared" si="30"/>
        <v>0</v>
      </c>
      <c r="AN96" s="256">
        <f t="shared" si="31"/>
        <v>0</v>
      </c>
    </row>
    <row r="97" spans="1:40" hidden="1" x14ac:dyDescent="0.2">
      <c r="A97" s="3" t="str">
        <f>IF('Employee Detail FY23'!A97="","",'Employee Detail FY23'!A97)</f>
        <v/>
      </c>
      <c r="B97" s="647" t="str">
        <f>IF('Employee Detail FY23'!B97="","",'Employee Detail FY23'!B97)</f>
        <v/>
      </c>
      <c r="C97" s="647" t="str">
        <f>IF('Employee Detail FY23'!C97="","",'Employee Detail FY23'!C97)</f>
        <v/>
      </c>
      <c r="D97" s="647"/>
      <c r="E97" s="647" t="str">
        <f>IF('Employee Detail FY23'!E97="","",'Employee Detail FY23'!E97)</f>
        <v/>
      </c>
      <c r="F97" s="647" t="str">
        <f>IF('Employee Detail FY23'!F97="","",'Employee Detail FY23'!F97)</f>
        <v/>
      </c>
      <c r="G97" s="647" t="str">
        <f>IF('Employee Detail FY23'!G97="","",'Employee Detail FY23'!G97)</f>
        <v/>
      </c>
      <c r="H97" s="3"/>
      <c r="I97" s="255" t="str">
        <f>IF('Employee Detail FY23'!I97="","",'Employee Detail FY23'!I97)</f>
        <v/>
      </c>
      <c r="J97" s="255" t="str">
        <f>IF('Employee Detail FY23'!J97="","",'Employee Detail FY23'!J97)</f>
        <v/>
      </c>
      <c r="K97" s="255" t="str">
        <f>IF('Employee Detail FY23'!K97="","",'Employee Detail FY23'!K97)</f>
        <v/>
      </c>
      <c r="L97" s="255" t="str">
        <f>IF('Employee Detail FY23'!L97="","",'Employee Detail FY23'!L97)</f>
        <v/>
      </c>
      <c r="M97" s="92" t="str">
        <f>IF('Employee Detail FY23'!M97="","",'Employee Detail FY23'!M97)</f>
        <v/>
      </c>
      <c r="N97" s="3" t="str">
        <f>IF('Employee Detail FY23'!N97="","",'Employee Detail FY23'!N97)</f>
        <v/>
      </c>
      <c r="O97" s="3" t="str">
        <f>IF('Employee Detail FY23'!O97="","",'Employee Detail FY23'!O97)</f>
        <v/>
      </c>
      <c r="P97" s="3" t="str">
        <f>IF('Employee Detail FY23'!P97="","",'Employee Detail FY23'!P97)</f>
        <v/>
      </c>
      <c r="Q97" s="3" t="str">
        <f>IF('Employee Detail FY23'!Q97="","",'Employee Detail FY23'!Q97)</f>
        <v/>
      </c>
      <c r="R97" s="3" t="str">
        <f>IF('Employee Detail FY23'!R97="","",'Employee Detail FY23'!R97)</f>
        <v/>
      </c>
      <c r="S97" s="3" t="str">
        <f>IF('Employee Detail FY23'!S97="","",'Employee Detail FY23'!S97)</f>
        <v/>
      </c>
      <c r="T97" s="263" t="str">
        <f t="shared" ref="T97:T98" si="32">+IF(R97="","",R97*S97)</f>
        <v/>
      </c>
      <c r="U97" s="269">
        <f>IF('Employee Detail FY23'!U97="","",'Employee Detail FY23'!U97)</f>
        <v>0</v>
      </c>
      <c r="V97" s="270">
        <f t="shared" si="19"/>
        <v>0</v>
      </c>
      <c r="W97" s="270" t="str">
        <f t="shared" ref="W97:W98" si="33">+IF(P97="EE",+V97*$W$1,"")</f>
        <v/>
      </c>
      <c r="X97" s="270" t="str">
        <f t="shared" ref="X97:X98" si="34">_xlfn.IFS(P97="ER",V97,P97="EE",W97,P97="N",V97,P97="","")</f>
        <v/>
      </c>
      <c r="Y97" s="62">
        <v>0</v>
      </c>
      <c r="Z97" s="62">
        <v>0</v>
      </c>
      <c r="AA97" s="256">
        <f t="shared" ref="AA97:AA98" si="35">SUM(X97:Z97)</f>
        <v>0</v>
      </c>
      <c r="AB97" s="3"/>
      <c r="AC97" s="62" t="str">
        <f t="shared" ref="AC97:AC98" si="36">IF(AND(M97=1,P97&lt;&gt;"N"),$AC$1,"")</f>
        <v/>
      </c>
      <c r="AD97" s="62" t="str">
        <f t="shared" ref="AD97:AD98" si="37">_xlfn.IFS(P97="N",$AD$1*AA97,P97="EE","",P97="ER","",P97="","")</f>
        <v/>
      </c>
      <c r="AE97" s="62" t="str">
        <f t="shared" ref="AE97:AE98" si="38">_xlfn.IFS(P97="EE",X97*$AE$1,P97="ER",X97*$AE$2,P97="N","",P97="","")</f>
        <v/>
      </c>
      <c r="AF97" s="62" t="str">
        <f t="shared" ref="AF97:AF98" si="39">+IF(AA97&gt;1,AA97*$AF$1,"")</f>
        <v/>
      </c>
      <c r="AG97" s="192">
        <v>0</v>
      </c>
      <c r="AH97" s="62" t="str">
        <f t="shared" ref="AH97:AH98" si="40">+IF(AA97&gt;1,AA97*$AH$1,"")</f>
        <v/>
      </c>
      <c r="AI97" s="62">
        <f t="shared" ref="AI97:AI98" si="41">+_xlfn.IFS(F97&lt;2300,(AA97*$AI$1),F97&gt;=2300,(AA97*$AI$2),F97="","")</f>
        <v>0</v>
      </c>
      <c r="AJ97" s="62"/>
      <c r="AK97" s="62">
        <v>0</v>
      </c>
      <c r="AL97" s="256">
        <f t="shared" ref="AL97:AL98" si="42">SUM(AC97:AK97)</f>
        <v>0</v>
      </c>
      <c r="AM97" s="256">
        <f t="shared" ref="AM97:AM98" si="43">AA97</f>
        <v>0</v>
      </c>
      <c r="AN97" s="256">
        <f t="shared" ref="AN97:AN98" si="44">SUM(AL97:AM97)</f>
        <v>0</v>
      </c>
    </row>
    <row r="98" spans="1:40" hidden="1" x14ac:dyDescent="0.2">
      <c r="A98" s="3" t="str">
        <f>IF('Employee Detail FY23'!A98="","",'Employee Detail FY23'!A98)</f>
        <v/>
      </c>
      <c r="B98" s="647" t="str">
        <f>IF('Employee Detail FY23'!B98="","",'Employee Detail FY23'!B98)</f>
        <v/>
      </c>
      <c r="C98" s="647" t="str">
        <f>IF('Employee Detail FY23'!C98="","",'Employee Detail FY23'!C98)</f>
        <v/>
      </c>
      <c r="D98" s="647"/>
      <c r="E98" s="647" t="str">
        <f>IF('Employee Detail FY23'!E98="","",'Employee Detail FY23'!E98)</f>
        <v/>
      </c>
      <c r="F98" s="647" t="str">
        <f>IF('Employee Detail FY23'!F98="","",'Employee Detail FY23'!F98)</f>
        <v/>
      </c>
      <c r="G98" s="647" t="str">
        <f>IF('Employee Detail FY23'!G98="","",'Employee Detail FY23'!G98)</f>
        <v/>
      </c>
      <c r="H98" s="3"/>
      <c r="I98" s="255" t="str">
        <f>IF('Employee Detail FY23'!I98="","",'Employee Detail FY23'!I98)</f>
        <v/>
      </c>
      <c r="J98" s="255" t="str">
        <f>IF('Employee Detail FY23'!J98="","",'Employee Detail FY23'!J98)</f>
        <v/>
      </c>
      <c r="K98" s="255" t="str">
        <f>IF('Employee Detail FY23'!K98="","",'Employee Detail FY23'!K98)</f>
        <v/>
      </c>
      <c r="L98" s="255" t="str">
        <f>IF('Employee Detail FY23'!L98="","",'Employee Detail FY23'!L98)</f>
        <v/>
      </c>
      <c r="M98" s="92" t="str">
        <f>IF('Employee Detail FY23'!M98="","",'Employee Detail FY23'!M98)</f>
        <v/>
      </c>
      <c r="N98" s="3" t="str">
        <f>IF('Employee Detail FY23'!N98="","",'Employee Detail FY23'!N98)</f>
        <v/>
      </c>
      <c r="O98" s="3" t="str">
        <f>IF('Employee Detail FY23'!O98="","",'Employee Detail FY23'!O98)</f>
        <v/>
      </c>
      <c r="P98" s="3" t="str">
        <f>IF('Employee Detail FY23'!P98="","",'Employee Detail FY23'!P98)</f>
        <v/>
      </c>
      <c r="Q98" s="3" t="str">
        <f>IF('Employee Detail FY23'!Q98="","",'Employee Detail FY23'!Q98)</f>
        <v/>
      </c>
      <c r="R98" s="3" t="str">
        <f>IF('Employee Detail FY23'!R98="","",'Employee Detail FY23'!R98)</f>
        <v/>
      </c>
      <c r="S98" s="3" t="str">
        <f>IF('Employee Detail FY23'!S98="","",'Employee Detail FY23'!S98)</f>
        <v/>
      </c>
      <c r="T98" s="263" t="str">
        <f t="shared" si="32"/>
        <v/>
      </c>
      <c r="U98" s="269">
        <f>IF('Employee Detail FY23'!U98="","",'Employee Detail FY23'!U98)</f>
        <v>0</v>
      </c>
      <c r="V98" s="270">
        <f t="shared" si="19"/>
        <v>0</v>
      </c>
      <c r="W98" s="270" t="str">
        <f t="shared" si="33"/>
        <v/>
      </c>
      <c r="X98" s="270" t="str">
        <f t="shared" si="34"/>
        <v/>
      </c>
      <c r="Y98" s="62">
        <v>0</v>
      </c>
      <c r="Z98" s="62">
        <v>0</v>
      </c>
      <c r="AA98" s="256">
        <f t="shared" si="35"/>
        <v>0</v>
      </c>
      <c r="AB98" s="3"/>
      <c r="AC98" s="62" t="str">
        <f t="shared" si="36"/>
        <v/>
      </c>
      <c r="AD98" s="62" t="str">
        <f t="shared" si="37"/>
        <v/>
      </c>
      <c r="AE98" s="62" t="str">
        <f t="shared" si="38"/>
        <v/>
      </c>
      <c r="AF98" s="62" t="str">
        <f t="shared" si="39"/>
        <v/>
      </c>
      <c r="AG98" s="192">
        <v>0</v>
      </c>
      <c r="AH98" s="62" t="str">
        <f t="shared" si="40"/>
        <v/>
      </c>
      <c r="AI98" s="62">
        <f t="shared" si="41"/>
        <v>0</v>
      </c>
      <c r="AJ98" s="62"/>
      <c r="AK98" s="62">
        <v>0</v>
      </c>
      <c r="AL98" s="256">
        <f t="shared" si="42"/>
        <v>0</v>
      </c>
      <c r="AM98" s="256">
        <f t="shared" si="43"/>
        <v>0</v>
      </c>
      <c r="AN98" s="256">
        <f t="shared" si="44"/>
        <v>0</v>
      </c>
    </row>
    <row r="99" spans="1:40" hidden="1" x14ac:dyDescent="0.2">
      <c r="A99" s="3" t="str">
        <f>IF('Employee Detail FY23'!A99="","",'Employee Detail FY23'!A99)</f>
        <v/>
      </c>
      <c r="B99" s="647" t="str">
        <f>IF('Employee Detail FY23'!B99="","",'Employee Detail FY23'!B99)</f>
        <v/>
      </c>
      <c r="C99" s="647" t="str">
        <f>IF('Employee Detail FY23'!C99="","",'Employee Detail FY23'!C99)</f>
        <v/>
      </c>
      <c r="D99" s="647"/>
      <c r="E99" s="647" t="str">
        <f>IF('Employee Detail FY23'!E99="","",'Employee Detail FY23'!E99)</f>
        <v/>
      </c>
      <c r="F99" s="647" t="str">
        <f>IF('Employee Detail FY23'!F99="","",'Employee Detail FY23'!F99)</f>
        <v/>
      </c>
      <c r="G99" s="647" t="str">
        <f>IF('Employee Detail FY23'!G99="","",'Employee Detail FY23'!G99)</f>
        <v/>
      </c>
      <c r="H99" s="3"/>
      <c r="I99" s="255" t="str">
        <f>IF('Employee Detail FY23'!I99="","",'Employee Detail FY23'!I99)</f>
        <v/>
      </c>
      <c r="J99" s="255" t="str">
        <f>IF('Employee Detail FY23'!J99="","",'Employee Detail FY23'!J99)</f>
        <v/>
      </c>
      <c r="K99" s="255" t="str">
        <f>IF('Employee Detail FY23'!K99="","",'Employee Detail FY23'!K99)</f>
        <v/>
      </c>
      <c r="L99" s="255" t="str">
        <f>IF('Employee Detail FY23'!L99="","",'Employee Detail FY23'!L99)</f>
        <v/>
      </c>
      <c r="M99" s="92" t="str">
        <f>IF('Employee Detail FY23'!M99="","",'Employee Detail FY23'!M99)</f>
        <v/>
      </c>
      <c r="N99" s="3" t="str">
        <f>IF('Employee Detail FY23'!N99="","",'Employee Detail FY23'!N99)</f>
        <v/>
      </c>
      <c r="O99" s="3" t="str">
        <f>IF('Employee Detail FY23'!O99="","",'Employee Detail FY23'!O99)</f>
        <v/>
      </c>
      <c r="P99" s="3" t="str">
        <f>IF('Employee Detail FY23'!P99="","",'Employee Detail FY23'!P99)</f>
        <v/>
      </c>
      <c r="Q99" s="3" t="str">
        <f>IF('Employee Detail FY23'!Q99="","",'Employee Detail FY23'!Q99)</f>
        <v/>
      </c>
      <c r="R99" s="3" t="str">
        <f>IF('Employee Detail FY23'!R99="","",'Employee Detail FY23'!R99)</f>
        <v/>
      </c>
      <c r="S99" s="3" t="str">
        <f>IF('Employee Detail FY23'!S99="","",'Employee Detail FY23'!S99)</f>
        <v/>
      </c>
      <c r="T99" s="263" t="str">
        <f t="shared" si="18"/>
        <v/>
      </c>
      <c r="U99" s="269">
        <f>IF('Employee Detail FY23'!U99="","",'Employee Detail FY23'!U99)</f>
        <v>0</v>
      </c>
      <c r="V99" s="270">
        <f t="shared" si="19"/>
        <v>0</v>
      </c>
      <c r="W99" s="270" t="str">
        <f t="shared" si="20"/>
        <v/>
      </c>
      <c r="X99" s="270" t="str">
        <f t="shared" si="21"/>
        <v/>
      </c>
      <c r="Y99" s="62">
        <v>0</v>
      </c>
      <c r="Z99" s="62">
        <v>0</v>
      </c>
      <c r="AA99" s="256">
        <f t="shared" si="22"/>
        <v>0</v>
      </c>
      <c r="AB99" s="3"/>
      <c r="AC99" s="62" t="str">
        <f t="shared" si="23"/>
        <v/>
      </c>
      <c r="AD99" s="62" t="str">
        <f t="shared" si="24"/>
        <v/>
      </c>
      <c r="AE99" s="62" t="str">
        <f t="shared" si="25"/>
        <v/>
      </c>
      <c r="AF99" s="62" t="str">
        <f t="shared" si="26"/>
        <v/>
      </c>
      <c r="AG99" s="192">
        <v>0</v>
      </c>
      <c r="AH99" s="62" t="str">
        <f t="shared" si="27"/>
        <v/>
      </c>
      <c r="AI99" s="62">
        <f t="shared" si="28"/>
        <v>0</v>
      </c>
      <c r="AJ99" s="62"/>
      <c r="AK99" s="62">
        <v>0</v>
      </c>
      <c r="AL99" s="256">
        <f t="shared" si="29"/>
        <v>0</v>
      </c>
      <c r="AM99" s="256">
        <f t="shared" si="30"/>
        <v>0</v>
      </c>
      <c r="AN99" s="256">
        <f t="shared" si="31"/>
        <v>0</v>
      </c>
    </row>
    <row r="100" spans="1:40" hidden="1" x14ac:dyDescent="0.2">
      <c r="A100" s="3" t="str">
        <f>IF('Employee Detail FY23'!A100="","",'Employee Detail FY23'!A100)</f>
        <v/>
      </c>
      <c r="B100" s="647" t="str">
        <f>IF('Employee Detail FY23'!B100="","",'Employee Detail FY23'!B100)</f>
        <v/>
      </c>
      <c r="C100" s="647" t="str">
        <f>IF('Employee Detail FY23'!C100="","",'Employee Detail FY23'!C100)</f>
        <v/>
      </c>
      <c r="D100" s="647"/>
      <c r="E100" s="647" t="str">
        <f>IF('Employee Detail FY23'!E100="","",'Employee Detail FY23'!E100)</f>
        <v/>
      </c>
      <c r="F100" s="647" t="str">
        <f>IF('Employee Detail FY23'!F100="","",'Employee Detail FY23'!F100)</f>
        <v/>
      </c>
      <c r="G100" s="647" t="str">
        <f>IF('Employee Detail FY23'!G100="","",'Employee Detail FY23'!G100)</f>
        <v/>
      </c>
      <c r="H100" s="3"/>
      <c r="I100" s="255" t="str">
        <f>IF('Employee Detail FY23'!I100="","",'Employee Detail FY23'!I100)</f>
        <v/>
      </c>
      <c r="J100" s="255" t="str">
        <f>IF('Employee Detail FY23'!J100="","",'Employee Detail FY23'!J100)</f>
        <v/>
      </c>
      <c r="K100" s="255" t="str">
        <f>IF('Employee Detail FY23'!K100="","",'Employee Detail FY23'!K100)</f>
        <v/>
      </c>
      <c r="L100" s="255" t="str">
        <f>IF('Employee Detail FY23'!L100="","",'Employee Detail FY23'!L100)</f>
        <v/>
      </c>
      <c r="M100" s="92" t="str">
        <f>IF('Employee Detail FY23'!M100="","",'Employee Detail FY23'!M100)</f>
        <v/>
      </c>
      <c r="N100" s="3" t="str">
        <f>IF('Employee Detail FY23'!N100="","",'Employee Detail FY23'!N100)</f>
        <v/>
      </c>
      <c r="O100" s="3" t="str">
        <f>IF('Employee Detail FY23'!O100="","",'Employee Detail FY23'!O100)</f>
        <v/>
      </c>
      <c r="P100" s="3" t="str">
        <f>IF('Employee Detail FY23'!P100="","",'Employee Detail FY23'!P100)</f>
        <v/>
      </c>
      <c r="Q100" s="3" t="str">
        <f>IF('Employee Detail FY23'!Q100="","",'Employee Detail FY23'!Q100)</f>
        <v/>
      </c>
      <c r="R100" s="3" t="str">
        <f>IF('Employee Detail FY23'!R100="","",'Employee Detail FY23'!R100)</f>
        <v/>
      </c>
      <c r="S100" s="3" t="str">
        <f>IF('Employee Detail FY23'!S100="","",'Employee Detail FY23'!S100)</f>
        <v/>
      </c>
      <c r="T100" s="263" t="str">
        <f t="shared" ref="T100:T104" si="45">+IF(R100="","",R100*S100)</f>
        <v/>
      </c>
      <c r="U100" s="269">
        <f>IF('Employee Detail FY23'!U100="","",'Employee Detail FY23'!U100)</f>
        <v>0</v>
      </c>
      <c r="V100" s="270">
        <f t="shared" si="19"/>
        <v>0</v>
      </c>
      <c r="W100" s="270" t="str">
        <f t="shared" ref="W100:W104" si="46">+IF(P100="EE",+V100*$W$1,"")</f>
        <v/>
      </c>
      <c r="X100" s="270" t="str">
        <f t="shared" ref="X100:X104" si="47">_xlfn.IFS(P100="ER",V100,P100="EE",W100,P100="N",V100,P100="","")</f>
        <v/>
      </c>
      <c r="Y100" s="62">
        <v>0</v>
      </c>
      <c r="Z100" s="62">
        <v>0</v>
      </c>
      <c r="AA100" s="256">
        <f t="shared" ref="AA100:AA104" si="48">SUM(X100:Z100)</f>
        <v>0</v>
      </c>
      <c r="AB100" s="3"/>
      <c r="AC100" s="62" t="str">
        <f t="shared" ref="AC100:AC104" si="49">IF(AND(M100=1,P100&lt;&gt;"N"),$AC$1,"")</f>
        <v/>
      </c>
      <c r="AD100" s="62" t="str">
        <f t="shared" ref="AD100:AD104" si="50">_xlfn.IFS(P100="N",$AD$1*AA100,P100="EE","",P100="ER","",P100="","")</f>
        <v/>
      </c>
      <c r="AE100" s="62" t="str">
        <f t="shared" ref="AE100:AE104" si="51">_xlfn.IFS(P100="EE",X100*$AE$1,P100="ER",X100*$AE$2,P100="N","",P100="","")</f>
        <v/>
      </c>
      <c r="AF100" s="62" t="str">
        <f t="shared" ref="AF100:AF104" si="52">+IF(AA100&gt;1,AA100*$AF$1,"")</f>
        <v/>
      </c>
      <c r="AG100" s="192">
        <v>0</v>
      </c>
      <c r="AH100" s="62" t="str">
        <f t="shared" ref="AH100:AH104" si="53">+IF(AA100&gt;1,AA100*$AH$1,"")</f>
        <v/>
      </c>
      <c r="AI100" s="62">
        <f t="shared" ref="AI100:AI104" si="54">+_xlfn.IFS(F100&lt;2300,(AA100*$AI$1),F100&gt;=2300,(AA100*$AI$2),F100="","")</f>
        <v>0</v>
      </c>
      <c r="AJ100" s="62"/>
      <c r="AK100" s="62">
        <v>0</v>
      </c>
      <c r="AL100" s="256">
        <f t="shared" ref="AL100:AL104" si="55">SUM(AC100:AK100)</f>
        <v>0</v>
      </c>
      <c r="AM100" s="256">
        <f t="shared" ref="AM100:AM104" si="56">AA100</f>
        <v>0</v>
      </c>
      <c r="AN100" s="256">
        <f t="shared" ref="AN100:AN104" si="57">SUM(AL100:AM100)</f>
        <v>0</v>
      </c>
    </row>
    <row r="101" spans="1:40" hidden="1" x14ac:dyDescent="0.2">
      <c r="A101" s="3" t="str">
        <f>IF('Employee Detail FY23'!A101="","",'Employee Detail FY23'!A101)</f>
        <v/>
      </c>
      <c r="B101" s="647" t="str">
        <f>IF('Employee Detail FY23'!B101="","",'Employee Detail FY23'!B101)</f>
        <v/>
      </c>
      <c r="C101" s="647" t="str">
        <f>IF('Employee Detail FY23'!C101="","",'Employee Detail FY23'!C101)</f>
        <v/>
      </c>
      <c r="D101" s="647"/>
      <c r="E101" s="647" t="str">
        <f>IF('Employee Detail FY23'!E101="","",'Employee Detail FY23'!E101)</f>
        <v/>
      </c>
      <c r="F101" s="647" t="str">
        <f>IF('Employee Detail FY23'!F101="","",'Employee Detail FY23'!F101)</f>
        <v/>
      </c>
      <c r="G101" s="647" t="str">
        <f>IF('Employee Detail FY23'!G101="","",'Employee Detail FY23'!G101)</f>
        <v/>
      </c>
      <c r="H101" s="3"/>
      <c r="I101" s="255" t="str">
        <f>IF('Employee Detail FY23'!I101="","",'Employee Detail FY23'!I101)</f>
        <v/>
      </c>
      <c r="J101" s="255" t="str">
        <f>IF('Employee Detail FY23'!J101="","",'Employee Detail FY23'!J101)</f>
        <v/>
      </c>
      <c r="K101" s="255" t="str">
        <f>IF('Employee Detail FY23'!K101="","",'Employee Detail FY23'!K101)</f>
        <v/>
      </c>
      <c r="L101" s="255" t="str">
        <f>IF('Employee Detail FY23'!L101="","",'Employee Detail FY23'!L101)</f>
        <v/>
      </c>
      <c r="M101" s="92" t="str">
        <f>IF('Employee Detail FY23'!M101="","",'Employee Detail FY23'!M101)</f>
        <v/>
      </c>
      <c r="N101" s="3" t="str">
        <f>IF('Employee Detail FY23'!N101="","",'Employee Detail FY23'!N101)</f>
        <v/>
      </c>
      <c r="O101" s="3" t="str">
        <f>IF('Employee Detail FY23'!O101="","",'Employee Detail FY23'!O101)</f>
        <v/>
      </c>
      <c r="P101" s="3" t="str">
        <f>IF('Employee Detail FY23'!P101="","",'Employee Detail FY23'!P101)</f>
        <v/>
      </c>
      <c r="Q101" s="3" t="str">
        <f>IF('Employee Detail FY23'!Q101="","",'Employee Detail FY23'!Q101)</f>
        <v/>
      </c>
      <c r="R101" s="3" t="str">
        <f>IF('Employee Detail FY23'!R101="","",'Employee Detail FY23'!R101)</f>
        <v/>
      </c>
      <c r="S101" s="3" t="str">
        <f>IF('Employee Detail FY23'!S101="","",'Employee Detail FY23'!S101)</f>
        <v/>
      </c>
      <c r="T101" s="263" t="str">
        <f t="shared" si="45"/>
        <v/>
      </c>
      <c r="U101" s="269">
        <f>IF('Employee Detail FY23'!U101="","",'Employee Detail FY23'!U101)</f>
        <v>0</v>
      </c>
      <c r="V101" s="270">
        <f t="shared" si="19"/>
        <v>0</v>
      </c>
      <c r="W101" s="270" t="str">
        <f t="shared" si="46"/>
        <v/>
      </c>
      <c r="X101" s="270" t="str">
        <f t="shared" si="47"/>
        <v/>
      </c>
      <c r="Y101" s="62">
        <v>0</v>
      </c>
      <c r="Z101" s="62">
        <v>0</v>
      </c>
      <c r="AA101" s="256">
        <f t="shared" si="48"/>
        <v>0</v>
      </c>
      <c r="AB101" s="3"/>
      <c r="AC101" s="62" t="str">
        <f t="shared" si="49"/>
        <v/>
      </c>
      <c r="AD101" s="62" t="str">
        <f t="shared" si="50"/>
        <v/>
      </c>
      <c r="AE101" s="62" t="str">
        <f t="shared" si="51"/>
        <v/>
      </c>
      <c r="AF101" s="62" t="str">
        <f t="shared" si="52"/>
        <v/>
      </c>
      <c r="AG101" s="192">
        <v>0</v>
      </c>
      <c r="AH101" s="62" t="str">
        <f t="shared" si="53"/>
        <v/>
      </c>
      <c r="AI101" s="62">
        <f t="shared" si="54"/>
        <v>0</v>
      </c>
      <c r="AJ101" s="62"/>
      <c r="AK101" s="62">
        <v>0</v>
      </c>
      <c r="AL101" s="256">
        <f t="shared" si="55"/>
        <v>0</v>
      </c>
      <c r="AM101" s="256">
        <f t="shared" si="56"/>
        <v>0</v>
      </c>
      <c r="AN101" s="256">
        <f t="shared" si="57"/>
        <v>0</v>
      </c>
    </row>
    <row r="102" spans="1:40" hidden="1" x14ac:dyDescent="0.2">
      <c r="A102" s="3" t="str">
        <f>IF('Employee Detail FY23'!A102="","",'Employee Detail FY23'!A102)</f>
        <v/>
      </c>
      <c r="B102" s="647" t="str">
        <f>IF('Employee Detail FY23'!B102="","",'Employee Detail FY23'!B102)</f>
        <v/>
      </c>
      <c r="C102" s="647" t="str">
        <f>IF('Employee Detail FY23'!C102="","",'Employee Detail FY23'!C102)</f>
        <v/>
      </c>
      <c r="D102" s="647"/>
      <c r="E102" s="647" t="str">
        <f>IF('Employee Detail FY23'!E102="","",'Employee Detail FY23'!E102)</f>
        <v/>
      </c>
      <c r="F102" s="647" t="str">
        <f>IF('Employee Detail FY23'!F102="","",'Employee Detail FY23'!F102)</f>
        <v/>
      </c>
      <c r="G102" s="647" t="str">
        <f>IF('Employee Detail FY23'!G102="","",'Employee Detail FY23'!G102)</f>
        <v/>
      </c>
      <c r="H102" s="3"/>
      <c r="I102" s="255" t="str">
        <f>IF('Employee Detail FY23'!I102="","",'Employee Detail FY23'!I102)</f>
        <v/>
      </c>
      <c r="J102" s="255" t="str">
        <f>IF('Employee Detail FY23'!J102="","",'Employee Detail FY23'!J102)</f>
        <v/>
      </c>
      <c r="K102" s="255" t="str">
        <f>IF('Employee Detail FY23'!K102="","",'Employee Detail FY23'!K102)</f>
        <v/>
      </c>
      <c r="L102" s="255" t="str">
        <f>IF('Employee Detail FY23'!L102="","",'Employee Detail FY23'!L102)</f>
        <v/>
      </c>
      <c r="M102" s="92" t="str">
        <f>IF('Employee Detail FY23'!M102="","",'Employee Detail FY23'!M102)</f>
        <v/>
      </c>
      <c r="N102" s="3" t="str">
        <f>IF('Employee Detail FY23'!N102="","",'Employee Detail FY23'!N102)</f>
        <v/>
      </c>
      <c r="O102" s="3" t="str">
        <f>IF('Employee Detail FY23'!O102="","",'Employee Detail FY23'!O102)</f>
        <v/>
      </c>
      <c r="P102" s="3" t="str">
        <f>IF('Employee Detail FY23'!P102="","",'Employee Detail FY23'!P102)</f>
        <v/>
      </c>
      <c r="Q102" s="3" t="str">
        <f>IF('Employee Detail FY23'!Q102="","",'Employee Detail FY23'!Q102)</f>
        <v/>
      </c>
      <c r="R102" s="3" t="str">
        <f>IF('Employee Detail FY23'!R102="","",'Employee Detail FY23'!R102)</f>
        <v/>
      </c>
      <c r="S102" s="3" t="str">
        <f>IF('Employee Detail FY23'!S102="","",'Employee Detail FY23'!S102)</f>
        <v/>
      </c>
      <c r="T102" s="263" t="str">
        <f t="shared" si="45"/>
        <v/>
      </c>
      <c r="U102" s="269">
        <f>IF('Employee Detail FY23'!U102="","",'Employee Detail FY23'!U102)</f>
        <v>0</v>
      </c>
      <c r="V102" s="270">
        <f t="shared" si="19"/>
        <v>0</v>
      </c>
      <c r="W102" s="270" t="str">
        <f t="shared" si="46"/>
        <v/>
      </c>
      <c r="X102" s="270" t="str">
        <f t="shared" si="47"/>
        <v/>
      </c>
      <c r="Y102" s="62">
        <v>0</v>
      </c>
      <c r="Z102" s="62">
        <v>0</v>
      </c>
      <c r="AA102" s="256">
        <f t="shared" si="48"/>
        <v>0</v>
      </c>
      <c r="AB102" s="3"/>
      <c r="AC102" s="62" t="str">
        <f t="shared" si="49"/>
        <v/>
      </c>
      <c r="AD102" s="62" t="str">
        <f t="shared" si="50"/>
        <v/>
      </c>
      <c r="AE102" s="62" t="str">
        <f t="shared" si="51"/>
        <v/>
      </c>
      <c r="AF102" s="62" t="str">
        <f t="shared" si="52"/>
        <v/>
      </c>
      <c r="AG102" s="192">
        <v>0</v>
      </c>
      <c r="AH102" s="62" t="str">
        <f t="shared" si="53"/>
        <v/>
      </c>
      <c r="AI102" s="62">
        <f t="shared" si="54"/>
        <v>0</v>
      </c>
      <c r="AJ102" s="62"/>
      <c r="AK102" s="62">
        <v>0</v>
      </c>
      <c r="AL102" s="256">
        <f t="shared" si="55"/>
        <v>0</v>
      </c>
      <c r="AM102" s="256">
        <f t="shared" si="56"/>
        <v>0</v>
      </c>
      <c r="AN102" s="256">
        <f t="shared" si="57"/>
        <v>0</v>
      </c>
    </row>
    <row r="103" spans="1:40" hidden="1" x14ac:dyDescent="0.2">
      <c r="A103" s="3" t="str">
        <f>IF('Employee Detail FY23'!A103="","",'Employee Detail FY23'!A103)</f>
        <v/>
      </c>
      <c r="B103" s="647" t="str">
        <f>IF('Employee Detail FY23'!B103="","",'Employee Detail FY23'!B103)</f>
        <v/>
      </c>
      <c r="C103" s="647" t="str">
        <f>IF('Employee Detail FY23'!C103="","",'Employee Detail FY23'!C103)</f>
        <v/>
      </c>
      <c r="D103" s="647"/>
      <c r="E103" s="647" t="str">
        <f>IF('Employee Detail FY23'!E103="","",'Employee Detail FY23'!E103)</f>
        <v/>
      </c>
      <c r="F103" s="647" t="str">
        <f>IF('Employee Detail FY23'!F103="","",'Employee Detail FY23'!F103)</f>
        <v/>
      </c>
      <c r="G103" s="647" t="str">
        <f>IF('Employee Detail FY23'!G103="","",'Employee Detail FY23'!G103)</f>
        <v/>
      </c>
      <c r="H103" s="3"/>
      <c r="I103" s="255" t="str">
        <f>IF('Employee Detail FY23'!I103="","",'Employee Detail FY23'!I103)</f>
        <v/>
      </c>
      <c r="J103" s="255" t="str">
        <f>IF('Employee Detail FY23'!J103="","",'Employee Detail FY23'!J103)</f>
        <v/>
      </c>
      <c r="K103" s="255" t="str">
        <f>IF('Employee Detail FY23'!K103="","",'Employee Detail FY23'!K103)</f>
        <v/>
      </c>
      <c r="L103" s="255" t="str">
        <f>IF('Employee Detail FY23'!L103="","",'Employee Detail FY23'!L103)</f>
        <v/>
      </c>
      <c r="M103" s="92" t="str">
        <f>IF('Employee Detail FY23'!M103="","",'Employee Detail FY23'!M103)</f>
        <v/>
      </c>
      <c r="N103" s="3" t="str">
        <f>IF('Employee Detail FY23'!N103="","",'Employee Detail FY23'!N103)</f>
        <v/>
      </c>
      <c r="O103" s="3" t="str">
        <f>IF('Employee Detail FY23'!O103="","",'Employee Detail FY23'!O103)</f>
        <v/>
      </c>
      <c r="P103" s="3" t="str">
        <f>IF('Employee Detail FY23'!P103="","",'Employee Detail FY23'!P103)</f>
        <v/>
      </c>
      <c r="Q103" s="3" t="str">
        <f>IF('Employee Detail FY23'!Q103="","",'Employee Detail FY23'!Q103)</f>
        <v/>
      </c>
      <c r="R103" s="3" t="str">
        <f>IF('Employee Detail FY23'!R103="","",'Employee Detail FY23'!R103)</f>
        <v/>
      </c>
      <c r="S103" s="3" t="str">
        <f>IF('Employee Detail FY23'!S103="","",'Employee Detail FY23'!S103)</f>
        <v/>
      </c>
      <c r="T103" s="263" t="str">
        <f t="shared" si="45"/>
        <v/>
      </c>
      <c r="U103" s="269">
        <f>IF('Employee Detail FY23'!U103="","",'Employee Detail FY23'!U103)</f>
        <v>0</v>
      </c>
      <c r="V103" s="270">
        <f t="shared" si="19"/>
        <v>0</v>
      </c>
      <c r="W103" s="270" t="str">
        <f t="shared" si="46"/>
        <v/>
      </c>
      <c r="X103" s="270" t="str">
        <f t="shared" si="47"/>
        <v/>
      </c>
      <c r="Y103" s="62">
        <v>0</v>
      </c>
      <c r="Z103" s="62">
        <v>0</v>
      </c>
      <c r="AA103" s="256">
        <f t="shared" si="48"/>
        <v>0</v>
      </c>
      <c r="AB103" s="3"/>
      <c r="AC103" s="62" t="str">
        <f t="shared" si="49"/>
        <v/>
      </c>
      <c r="AD103" s="62" t="str">
        <f t="shared" si="50"/>
        <v/>
      </c>
      <c r="AE103" s="62" t="str">
        <f t="shared" si="51"/>
        <v/>
      </c>
      <c r="AF103" s="62" t="str">
        <f t="shared" si="52"/>
        <v/>
      </c>
      <c r="AG103" s="192">
        <v>0</v>
      </c>
      <c r="AH103" s="62" t="str">
        <f t="shared" si="53"/>
        <v/>
      </c>
      <c r="AI103" s="62">
        <f t="shared" si="54"/>
        <v>0</v>
      </c>
      <c r="AJ103" s="62"/>
      <c r="AK103" s="62">
        <v>0</v>
      </c>
      <c r="AL103" s="256">
        <f t="shared" si="55"/>
        <v>0</v>
      </c>
      <c r="AM103" s="256">
        <f t="shared" si="56"/>
        <v>0</v>
      </c>
      <c r="AN103" s="256">
        <f t="shared" si="57"/>
        <v>0</v>
      </c>
    </row>
    <row r="104" spans="1:40" hidden="1" x14ac:dyDescent="0.2">
      <c r="A104" s="3" t="str">
        <f>IF('Employee Detail FY23'!A104="","",'Employee Detail FY23'!A104)</f>
        <v/>
      </c>
      <c r="B104" s="647" t="str">
        <f>IF('Employee Detail FY23'!B104="","",'Employee Detail FY23'!B104)</f>
        <v/>
      </c>
      <c r="C104" s="647" t="str">
        <f>IF('Employee Detail FY23'!C104="","",'Employee Detail FY23'!C104)</f>
        <v/>
      </c>
      <c r="D104" s="647"/>
      <c r="E104" s="647" t="str">
        <f>IF('Employee Detail FY23'!E104="","",'Employee Detail FY23'!E104)</f>
        <v/>
      </c>
      <c r="F104" s="647" t="str">
        <f>IF('Employee Detail FY23'!F104="","",'Employee Detail FY23'!F104)</f>
        <v/>
      </c>
      <c r="G104" s="647" t="str">
        <f>IF('Employee Detail FY23'!G104="","",'Employee Detail FY23'!G104)</f>
        <v/>
      </c>
      <c r="H104" s="3"/>
      <c r="I104" s="255" t="str">
        <f>IF('Employee Detail FY23'!I104="","",'Employee Detail FY23'!I104)</f>
        <v/>
      </c>
      <c r="J104" s="255" t="str">
        <f>IF('Employee Detail FY23'!J104="","",'Employee Detail FY23'!J104)</f>
        <v/>
      </c>
      <c r="K104" s="255" t="str">
        <f>IF('Employee Detail FY23'!K104="","",'Employee Detail FY23'!K104)</f>
        <v/>
      </c>
      <c r="L104" s="255" t="str">
        <f>IF('Employee Detail FY23'!L104="","",'Employee Detail FY23'!L104)</f>
        <v/>
      </c>
      <c r="M104" s="92" t="str">
        <f>IF('Employee Detail FY23'!M104="","",'Employee Detail FY23'!M104)</f>
        <v/>
      </c>
      <c r="N104" s="3" t="str">
        <f>IF('Employee Detail FY23'!N104="","",'Employee Detail FY23'!N104)</f>
        <v/>
      </c>
      <c r="O104" s="3" t="str">
        <f>IF('Employee Detail FY23'!O104="","",'Employee Detail FY23'!O104)</f>
        <v/>
      </c>
      <c r="P104" s="3" t="str">
        <f>IF('Employee Detail FY23'!P104="","",'Employee Detail FY23'!P104)</f>
        <v/>
      </c>
      <c r="Q104" s="3" t="str">
        <f>IF('Employee Detail FY23'!Q104="","",'Employee Detail FY23'!Q104)</f>
        <v/>
      </c>
      <c r="R104" s="3" t="str">
        <f>IF('Employee Detail FY23'!R104="","",'Employee Detail FY23'!R104)</f>
        <v/>
      </c>
      <c r="S104" s="3" t="str">
        <f>IF('Employee Detail FY23'!S104="","",'Employee Detail FY23'!S104)</f>
        <v/>
      </c>
      <c r="T104" s="263" t="str">
        <f t="shared" si="45"/>
        <v/>
      </c>
      <c r="U104" s="269">
        <f>IF('Employee Detail FY23'!U104="","",'Employee Detail FY23'!U104)</f>
        <v>0</v>
      </c>
      <c r="V104" s="270">
        <f t="shared" si="19"/>
        <v>0</v>
      </c>
      <c r="W104" s="270" t="str">
        <f t="shared" si="46"/>
        <v/>
      </c>
      <c r="X104" s="270" t="str">
        <f t="shared" si="47"/>
        <v/>
      </c>
      <c r="Y104" s="62">
        <v>0</v>
      </c>
      <c r="Z104" s="62">
        <v>0</v>
      </c>
      <c r="AA104" s="256">
        <f t="shared" si="48"/>
        <v>0</v>
      </c>
      <c r="AB104" s="3"/>
      <c r="AC104" s="62" t="str">
        <f t="shared" si="49"/>
        <v/>
      </c>
      <c r="AD104" s="62" t="str">
        <f t="shared" si="50"/>
        <v/>
      </c>
      <c r="AE104" s="62" t="str">
        <f t="shared" si="51"/>
        <v/>
      </c>
      <c r="AF104" s="62" t="str">
        <f t="shared" si="52"/>
        <v/>
      </c>
      <c r="AG104" s="192">
        <v>0</v>
      </c>
      <c r="AH104" s="62" t="str">
        <f t="shared" si="53"/>
        <v/>
      </c>
      <c r="AI104" s="62">
        <f t="shared" si="54"/>
        <v>0</v>
      </c>
      <c r="AJ104" s="62"/>
      <c r="AK104" s="62">
        <v>0</v>
      </c>
      <c r="AL104" s="256">
        <f t="shared" si="55"/>
        <v>0</v>
      </c>
      <c r="AM104" s="256">
        <f t="shared" si="56"/>
        <v>0</v>
      </c>
      <c r="AN104" s="256">
        <f t="shared" si="57"/>
        <v>0</v>
      </c>
    </row>
    <row r="105" spans="1:40" hidden="1" x14ac:dyDescent="0.2">
      <c r="A105" s="474"/>
      <c r="B105" s="789"/>
      <c r="C105" s="789"/>
      <c r="D105" s="789"/>
      <c r="E105" s="789"/>
      <c r="F105" s="789"/>
      <c r="G105" s="789"/>
      <c r="H105" s="425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263" t="s">
        <v>386</v>
      </c>
      <c r="U105" s="269"/>
      <c r="V105" s="270"/>
      <c r="W105" s="270" t="str">
        <f t="shared" ref="W105:W106" si="58">+IF(P105="EE",+V105*$W$1,"")</f>
        <v/>
      </c>
      <c r="X105" s="270" t="str">
        <f t="shared" ref="X105:X106" si="59">_xlfn.IFS(P105="ER",V105,P105="EE",W105,P105="N",V105,P105="","")</f>
        <v/>
      </c>
      <c r="Y105" s="62">
        <v>0</v>
      </c>
      <c r="Z105" s="62">
        <v>0</v>
      </c>
      <c r="AA105" s="256">
        <f t="shared" ref="AA105:AA106" si="60">SUM(X105:Z105)</f>
        <v>0</v>
      </c>
      <c r="AB105" s="3"/>
      <c r="AC105" s="62" t="str">
        <f t="shared" ref="AC105:AC130" si="61">IF(AND(M105=1,P105&lt;&gt;"N"),$AC$1,"")</f>
        <v/>
      </c>
      <c r="AD105" s="62" t="str">
        <f t="shared" ref="AD105:AD106" si="62">_xlfn.IFS(P105="N",$AD$1*AA105,P105="EE","",P105="ER","",P105="","")</f>
        <v/>
      </c>
      <c r="AE105" s="62" t="str">
        <f t="shared" ref="AE105:AE106" si="63">_xlfn.IFS(P105="EE",X105*$AE$1,P105="ER",X105*$AE$2,P105="N","",P105="","")</f>
        <v/>
      </c>
      <c r="AF105" s="62" t="str">
        <f t="shared" ref="AF105:AF106" si="64">+IF(AA105&gt;1,AA105*$AF$1,"")</f>
        <v/>
      </c>
      <c r="AG105" s="192">
        <v>0</v>
      </c>
      <c r="AH105" s="62" t="str">
        <f t="shared" ref="AH105:AH106" si="65">+IF(AA105&gt;1,AA105*$AH$1,"")</f>
        <v/>
      </c>
      <c r="AI105" s="62">
        <f t="shared" ref="AI105:AI106" si="66">+_xlfn.IFS(F105&lt;2300,(AA105*$AI$1),F105&gt;=2300,(AA105*$AI$2),F105="","")</f>
        <v>0</v>
      </c>
      <c r="AJ105" s="62"/>
      <c r="AK105" s="62">
        <v>0</v>
      </c>
      <c r="AL105" s="256">
        <f t="shared" ref="AL105:AL106" si="67">SUM(AC105:AK105)</f>
        <v>0</v>
      </c>
      <c r="AM105" s="256">
        <f t="shared" ref="AM105:AM106" si="68">AA105</f>
        <v>0</v>
      </c>
      <c r="AN105" s="256">
        <f t="shared" ref="AN105:AN106" si="69">SUM(AL105:AM105)</f>
        <v>0</v>
      </c>
    </row>
    <row r="106" spans="1:40" x14ac:dyDescent="0.2">
      <c r="A106" s="311" t="s">
        <v>1149</v>
      </c>
      <c r="B106" s="380">
        <v>100</v>
      </c>
      <c r="C106" s="380" t="s">
        <v>145</v>
      </c>
      <c r="D106" s="380"/>
      <c r="E106" s="380">
        <v>100</v>
      </c>
      <c r="F106" s="380">
        <v>1000</v>
      </c>
      <c r="G106" s="380" t="s">
        <v>161</v>
      </c>
      <c r="H106" s="351" t="s">
        <v>497</v>
      </c>
      <c r="I106" s="312" t="str">
        <f>IF('Employee Detail FY23'!I106="","",'Employee Detail FY23'!I106)</f>
        <v>VACANT</v>
      </c>
      <c r="J106" s="311" t="s">
        <v>506</v>
      </c>
      <c r="K106" s="311" t="s">
        <v>389</v>
      </c>
      <c r="L106" s="311" t="s">
        <v>498</v>
      </c>
      <c r="M106" s="313">
        <v>1</v>
      </c>
      <c r="N106" s="311"/>
      <c r="O106" s="311"/>
      <c r="P106" s="311" t="s">
        <v>342</v>
      </c>
      <c r="Q106" s="311" t="s">
        <v>386</v>
      </c>
      <c r="R106" s="311" t="s">
        <v>386</v>
      </c>
      <c r="S106" s="311" t="s">
        <v>386</v>
      </c>
      <c r="T106" s="263" t="s">
        <v>386</v>
      </c>
      <c r="U106" s="269">
        <v>45000</v>
      </c>
      <c r="V106" s="270">
        <f t="shared" ref="V106:V130" si="70">IF($U106="","",$U106*(1+$V$1))</f>
        <v>47700</v>
      </c>
      <c r="W106" s="270" t="str">
        <f t="shared" si="58"/>
        <v/>
      </c>
      <c r="X106" s="270">
        <f t="shared" si="59"/>
        <v>47700</v>
      </c>
      <c r="Y106" s="62">
        <v>0</v>
      </c>
      <c r="Z106" s="62">
        <v>0</v>
      </c>
      <c r="AA106" s="256">
        <f t="shared" si="60"/>
        <v>47700</v>
      </c>
      <c r="AB106" s="3"/>
      <c r="AC106" s="62">
        <f t="shared" si="61"/>
        <v>7943.76</v>
      </c>
      <c r="AD106" s="62" t="str">
        <f t="shared" si="62"/>
        <v/>
      </c>
      <c r="AE106" s="62">
        <f t="shared" si="63"/>
        <v>13952.25</v>
      </c>
      <c r="AF106" s="62">
        <f t="shared" si="64"/>
        <v>691.65000000000009</v>
      </c>
      <c r="AG106" s="192">
        <v>0</v>
      </c>
      <c r="AH106" s="62">
        <f t="shared" si="65"/>
        <v>434.1814322997248</v>
      </c>
      <c r="AI106" s="62">
        <f t="shared" si="66"/>
        <v>140.48597845101759</v>
      </c>
      <c r="AJ106" s="62"/>
      <c r="AK106" s="62">
        <v>0</v>
      </c>
      <c r="AL106" s="256">
        <f t="shared" si="67"/>
        <v>23162.327410750746</v>
      </c>
      <c r="AM106" s="256">
        <f t="shared" si="68"/>
        <v>47700</v>
      </c>
      <c r="AN106" s="256">
        <f t="shared" si="69"/>
        <v>70862.327410750746</v>
      </c>
    </row>
    <row r="107" spans="1:40" x14ac:dyDescent="0.2">
      <c r="A107" s="311" t="str">
        <f>IF('Employee Detail FY23'!A107="","",'Employee Detail FY23'!A107)</f>
        <v>VACANT</v>
      </c>
      <c r="B107" s="798">
        <f>IF('Employee Detail FY23'!B107="","",'Employee Detail FY23'!B107)</f>
        <v>250</v>
      </c>
      <c r="C107" s="798" t="str">
        <f>IF('Employee Detail FY23'!C107="","",'Employee Detail FY23'!C107)</f>
        <v>000</v>
      </c>
      <c r="D107" s="798"/>
      <c r="E107" s="798">
        <f>IF('Employee Detail FY23'!E107="","",'Employee Detail FY23'!E107)</f>
        <v>200</v>
      </c>
      <c r="F107" s="798">
        <f>IF('Employee Detail FY23'!F107="","",'Employee Detail FY23'!F107)</f>
        <v>1000</v>
      </c>
      <c r="G107" s="798" t="str">
        <f>IF('Employee Detail FY23'!G107="","",'Employee Detail FY23'!G107)</f>
        <v>0101</v>
      </c>
      <c r="H107" s="311"/>
      <c r="I107" s="312" t="str">
        <f>IF('Employee Detail FY23'!I107="","",'Employee Detail FY23'!I107)</f>
        <v>VACANT</v>
      </c>
      <c r="J107" s="312" t="str">
        <f>IF('Employee Detail FY23'!J107="","",'Employee Detail FY23'!J107)</f>
        <v>FY24</v>
      </c>
      <c r="K107" s="312" t="str">
        <f>IF('Employee Detail FY23'!K107="","",'Employee Detail FY23'!K107)</f>
        <v>Licensed Staff</v>
      </c>
      <c r="L107" s="312" t="str">
        <f>IF('Employee Detail FY23'!L107="","",'Employee Detail FY23'!L107)</f>
        <v>SPED TEACHER</v>
      </c>
      <c r="M107" s="313">
        <v>1</v>
      </c>
      <c r="N107" s="311"/>
      <c r="O107" s="311"/>
      <c r="P107" s="311" t="s">
        <v>342</v>
      </c>
      <c r="Q107" s="311"/>
      <c r="R107" s="311"/>
      <c r="S107" s="311"/>
      <c r="T107" s="263"/>
      <c r="U107" s="269">
        <f>IF('Employee Detail FY23'!U107="","",'Employee Detail FY23'!U107)</f>
        <v>45500</v>
      </c>
      <c r="V107" s="270">
        <f>IF($U107="","",$U107*(1+$V$1))</f>
        <v>48230</v>
      </c>
      <c r="W107" s="270" t="str">
        <f t="shared" ref="W107:W112" si="71">+IF(P107="EE",+V107*$W$1,"")</f>
        <v/>
      </c>
      <c r="X107" s="270">
        <f t="shared" ref="X107:X112" si="72">_xlfn.IFS(P107="ER",V107,P107="EE",W107,P107="N",V107,P107="","")</f>
        <v>48230</v>
      </c>
      <c r="Y107" s="62">
        <v>0</v>
      </c>
      <c r="Z107" s="62">
        <v>0</v>
      </c>
      <c r="AA107" s="256">
        <f t="shared" ref="AA107:AA112" si="73">SUM(X107:Z107)</f>
        <v>48230</v>
      </c>
      <c r="AB107" s="3"/>
      <c r="AC107" s="62">
        <f t="shared" ref="AC107:AC112" si="74">IF(AND(M107=1,P107&lt;&gt;"N"),$AC$1,"")</f>
        <v>7943.76</v>
      </c>
      <c r="AD107" s="62" t="str">
        <f t="shared" ref="AD107:AD112" si="75">_xlfn.IFS(P107="N",$AD$1*AA107,P107="EE","",P107="ER","",P107="","")</f>
        <v/>
      </c>
      <c r="AE107" s="62">
        <f t="shared" ref="AE107:AE112" si="76">_xlfn.IFS(P107="EE",X107*$AE$1,P107="ER",X107*$AE$2,P107="N","",P107="","")</f>
        <v>14107.275</v>
      </c>
      <c r="AF107" s="62">
        <f t="shared" ref="AF107:AF112" si="77">+IF(AA107&gt;1,AA107*$AF$1,"")</f>
        <v>699.33500000000004</v>
      </c>
      <c r="AG107" s="192">
        <v>0</v>
      </c>
      <c r="AH107" s="62">
        <f t="shared" ref="AH107:AH112" si="78">+IF(AA107&gt;1,AA107*$AH$1,"")</f>
        <v>439.00567043638841</v>
      </c>
      <c r="AI107" s="62">
        <f t="shared" ref="AI107:AI112" si="79">+_xlfn.IFS(F107&lt;2300,(AA107*$AI$1),F107&gt;=2300,(AA107*$AI$2),F107="","")</f>
        <v>142.04693376714002</v>
      </c>
      <c r="AJ107" s="62"/>
      <c r="AK107" s="62">
        <v>0</v>
      </c>
      <c r="AL107" s="256">
        <f t="shared" ref="AL107:AL112" si="80">SUM(AC107:AK107)</f>
        <v>23331.422604203526</v>
      </c>
      <c r="AM107" s="256">
        <f t="shared" ref="AM107:AM112" si="81">AA107</f>
        <v>48230</v>
      </c>
      <c r="AN107" s="256">
        <f t="shared" ref="AN107:AN112" si="82">SUM(AL107:AM107)</f>
        <v>71561.42260420353</v>
      </c>
    </row>
    <row r="108" spans="1:40" x14ac:dyDescent="0.2">
      <c r="A108" s="311" t="s">
        <v>1149</v>
      </c>
      <c r="B108" s="798">
        <v>100</v>
      </c>
      <c r="C108" s="798" t="s">
        <v>145</v>
      </c>
      <c r="D108" s="798"/>
      <c r="E108" s="798">
        <v>100</v>
      </c>
      <c r="F108" s="798">
        <v>1000</v>
      </c>
      <c r="G108" s="798" t="s">
        <v>169</v>
      </c>
      <c r="H108" s="311"/>
      <c r="I108" s="312" t="s">
        <v>1149</v>
      </c>
      <c r="J108" s="312" t="s">
        <v>506</v>
      </c>
      <c r="K108" s="312" t="s">
        <v>384</v>
      </c>
      <c r="L108" s="312" t="s">
        <v>989</v>
      </c>
      <c r="M108" s="313"/>
      <c r="N108" s="311"/>
      <c r="O108" s="311"/>
      <c r="P108" s="311"/>
      <c r="Q108" s="311"/>
      <c r="R108" s="311"/>
      <c r="S108" s="311"/>
      <c r="T108" s="263"/>
      <c r="U108" s="269">
        <v>31500</v>
      </c>
      <c r="V108" s="270">
        <f>IF($U108="","",$U108*(1+$V$1))</f>
        <v>33390</v>
      </c>
      <c r="W108" s="270" t="str">
        <f t="shared" si="71"/>
        <v/>
      </c>
      <c r="X108" s="270" t="str">
        <f t="shared" si="72"/>
        <v/>
      </c>
      <c r="Y108" s="62">
        <v>0</v>
      </c>
      <c r="Z108" s="62">
        <v>0</v>
      </c>
      <c r="AA108" s="256">
        <f t="shared" si="73"/>
        <v>0</v>
      </c>
      <c r="AB108" s="3"/>
      <c r="AC108" s="62" t="str">
        <f t="shared" si="74"/>
        <v/>
      </c>
      <c r="AD108" s="62" t="str">
        <f t="shared" si="75"/>
        <v/>
      </c>
      <c r="AE108" s="62" t="str">
        <f t="shared" si="76"/>
        <v/>
      </c>
      <c r="AF108" s="62" t="str">
        <f t="shared" si="77"/>
        <v/>
      </c>
      <c r="AG108" s="192">
        <v>0</v>
      </c>
      <c r="AH108" s="62" t="str">
        <f t="shared" si="78"/>
        <v/>
      </c>
      <c r="AI108" s="62">
        <f t="shared" si="79"/>
        <v>0</v>
      </c>
      <c r="AJ108" s="62"/>
      <c r="AK108" s="62">
        <v>0</v>
      </c>
      <c r="AL108" s="256">
        <f t="shared" si="80"/>
        <v>0</v>
      </c>
      <c r="AM108" s="256">
        <f t="shared" si="81"/>
        <v>0</v>
      </c>
      <c r="AN108" s="256">
        <f t="shared" si="82"/>
        <v>0</v>
      </c>
    </row>
    <row r="109" spans="1:40" x14ac:dyDescent="0.2">
      <c r="A109" s="311" t="str">
        <f>IF('Employee Detail FY23'!A109="","",'Employee Detail FY23'!A109)</f>
        <v>VACANT</v>
      </c>
      <c r="B109" s="798">
        <f>IF('Employee Detail FY23'!B109="","",'Employee Detail FY23'!B109)</f>
        <v>250</v>
      </c>
      <c r="C109" s="798" t="str">
        <f>IF('Employee Detail FY23'!C109="","",'Employee Detail FY23'!C109)</f>
        <v>000</v>
      </c>
      <c r="D109" s="798"/>
      <c r="E109" s="798">
        <f>IF('Employee Detail FY23'!E109="","",'Employee Detail FY23'!E109)</f>
        <v>200</v>
      </c>
      <c r="F109" s="798">
        <f>IF('Employee Detail FY23'!F109="","",'Employee Detail FY23'!F109)</f>
        <v>1000</v>
      </c>
      <c r="G109" s="798" t="str">
        <f>IF('Employee Detail FY23'!G109="","",'Employee Detail FY23'!G109)</f>
        <v>0101</v>
      </c>
      <c r="H109" s="311"/>
      <c r="I109" s="312" t="str">
        <f>IF('Employee Detail FY23'!I109="","",'Employee Detail FY23'!I109)</f>
        <v>VACANT</v>
      </c>
      <c r="J109" s="312" t="s">
        <v>506</v>
      </c>
      <c r="K109" s="312" t="str">
        <f>IF('Employee Detail FY23'!K109="","",'Employee Detail FY23'!K109)</f>
        <v>Licensed Staff</v>
      </c>
      <c r="L109" s="312" t="str">
        <f>IF('Employee Detail FY23'!L109="","",'Employee Detail FY23'!L109)</f>
        <v>RtI Facilitators</v>
      </c>
      <c r="M109" s="313">
        <v>1</v>
      </c>
      <c r="N109" s="311"/>
      <c r="O109" s="311"/>
      <c r="P109" s="311" t="s">
        <v>342</v>
      </c>
      <c r="Q109" s="311"/>
      <c r="R109" s="311" t="str">
        <f>IF('Employee Detail FY23'!R109="","",'Employee Detail FY23'!R109)</f>
        <v/>
      </c>
      <c r="S109" s="311" t="str">
        <f>IF('Employee Detail FY23'!S109="","",'Employee Detail FY23'!S109)</f>
        <v/>
      </c>
      <c r="T109" s="263" t="str">
        <f>+IF(R109="","",R109*S109)</f>
        <v/>
      </c>
      <c r="U109" s="269">
        <f>IF('Employee Detail FY23'!U109="","",'Employee Detail FY23'!U109)</f>
        <v>45000</v>
      </c>
      <c r="V109" s="270">
        <f>IF($U109="","",$U109*(1+$V$1))</f>
        <v>47700</v>
      </c>
      <c r="W109" s="270" t="str">
        <f t="shared" si="71"/>
        <v/>
      </c>
      <c r="X109" s="270">
        <f t="shared" si="72"/>
        <v>47700</v>
      </c>
      <c r="Y109" s="62">
        <v>0</v>
      </c>
      <c r="Z109" s="62">
        <v>0</v>
      </c>
      <c r="AA109" s="256">
        <f t="shared" si="73"/>
        <v>47700</v>
      </c>
      <c r="AB109" s="3"/>
      <c r="AC109" s="62">
        <f t="shared" si="74"/>
        <v>7943.76</v>
      </c>
      <c r="AD109" s="62" t="str">
        <f t="shared" si="75"/>
        <v/>
      </c>
      <c r="AE109" s="62">
        <f t="shared" si="76"/>
        <v>13952.25</v>
      </c>
      <c r="AF109" s="62">
        <f t="shared" si="77"/>
        <v>691.65000000000009</v>
      </c>
      <c r="AG109" s="192">
        <v>0</v>
      </c>
      <c r="AH109" s="62">
        <f t="shared" si="78"/>
        <v>434.1814322997248</v>
      </c>
      <c r="AI109" s="62">
        <f t="shared" si="79"/>
        <v>140.48597845101759</v>
      </c>
      <c r="AJ109" s="62"/>
      <c r="AK109" s="62">
        <v>0</v>
      </c>
      <c r="AL109" s="256">
        <f t="shared" si="80"/>
        <v>23162.327410750746</v>
      </c>
      <c r="AM109" s="256">
        <f t="shared" si="81"/>
        <v>47700</v>
      </c>
      <c r="AN109" s="256">
        <f t="shared" si="82"/>
        <v>70862.327410750746</v>
      </c>
    </row>
    <row r="110" spans="1:40" hidden="1" x14ac:dyDescent="0.2">
      <c r="A110" s="311" t="s">
        <v>1149</v>
      </c>
      <c r="B110" s="798" t="s">
        <v>468</v>
      </c>
      <c r="C110" s="798" t="s">
        <v>145</v>
      </c>
      <c r="D110" s="798"/>
      <c r="E110" s="798" t="s">
        <v>468</v>
      </c>
      <c r="F110" s="798" t="s">
        <v>556</v>
      </c>
      <c r="G110" s="798" t="s">
        <v>167</v>
      </c>
      <c r="H110" s="311"/>
      <c r="I110" s="312" t="s">
        <v>1149</v>
      </c>
      <c r="J110" s="312" t="s">
        <v>506</v>
      </c>
      <c r="K110" s="311" t="s">
        <v>389</v>
      </c>
      <c r="L110" s="312" t="s">
        <v>910</v>
      </c>
      <c r="M110" s="313">
        <v>1</v>
      </c>
      <c r="N110" s="311"/>
      <c r="O110" s="311"/>
      <c r="P110" s="311" t="s">
        <v>342</v>
      </c>
      <c r="Q110" s="311" t="str">
        <f>IF('Employee Detail FY23'!Q110="","",'Employee Detail FY23'!Q110)</f>
        <v/>
      </c>
      <c r="R110" s="311" t="str">
        <f>IF('Employee Detail FY23'!R110="","",'Employee Detail FY23'!R110)</f>
        <v/>
      </c>
      <c r="S110" s="311" t="str">
        <f>IF('Employee Detail FY23'!S110="","",'Employee Detail FY23'!S110)</f>
        <v/>
      </c>
      <c r="T110" s="263" t="str">
        <f>+IF(R110="","",R110*S110)</f>
        <v/>
      </c>
      <c r="U110" s="269">
        <v>35000</v>
      </c>
      <c r="V110" s="270">
        <f>IF($U110="","",$U110*(1+$V$1))</f>
        <v>37100</v>
      </c>
      <c r="W110" s="270" t="str">
        <f t="shared" si="71"/>
        <v/>
      </c>
      <c r="X110" s="270">
        <f t="shared" si="72"/>
        <v>37100</v>
      </c>
      <c r="Y110" s="62">
        <v>0</v>
      </c>
      <c r="Z110" s="62">
        <v>0</v>
      </c>
      <c r="AA110" s="256">
        <f t="shared" si="73"/>
        <v>37100</v>
      </c>
      <c r="AB110" s="3"/>
      <c r="AC110" s="62">
        <f t="shared" si="74"/>
        <v>7943.76</v>
      </c>
      <c r="AD110" s="62" t="str">
        <f t="shared" si="75"/>
        <v/>
      </c>
      <c r="AE110" s="62">
        <f t="shared" si="76"/>
        <v>10851.75</v>
      </c>
      <c r="AF110" s="62">
        <f t="shared" si="77"/>
        <v>537.95000000000005</v>
      </c>
      <c r="AG110" s="192">
        <v>0</v>
      </c>
      <c r="AH110" s="62">
        <f t="shared" si="78"/>
        <v>337.69666956645261</v>
      </c>
      <c r="AI110" s="62">
        <f t="shared" si="79"/>
        <v>109.26687212856925</v>
      </c>
      <c r="AJ110" s="62"/>
      <c r="AK110" s="62">
        <v>0</v>
      </c>
      <c r="AL110" s="256">
        <f t="shared" si="80"/>
        <v>19780.423541695025</v>
      </c>
      <c r="AM110" s="256">
        <f t="shared" si="81"/>
        <v>37100</v>
      </c>
      <c r="AN110" s="256">
        <f t="shared" si="82"/>
        <v>56880.423541695025</v>
      </c>
    </row>
    <row r="111" spans="1:40" hidden="1" x14ac:dyDescent="0.2">
      <c r="A111" s="311" t="s">
        <v>386</v>
      </c>
      <c r="B111" s="798" t="s">
        <v>386</v>
      </c>
      <c r="C111" s="798" t="s">
        <v>386</v>
      </c>
      <c r="D111" s="798"/>
      <c r="E111" s="798" t="s">
        <v>386</v>
      </c>
      <c r="F111" s="798" t="s">
        <v>386</v>
      </c>
      <c r="G111" s="798" t="s">
        <v>386</v>
      </c>
      <c r="H111" s="311"/>
      <c r="I111" s="312" t="s">
        <v>386</v>
      </c>
      <c r="J111" s="312" t="s">
        <v>386</v>
      </c>
      <c r="K111" s="312" t="s">
        <v>386</v>
      </c>
      <c r="L111" s="312" t="s">
        <v>386</v>
      </c>
      <c r="M111" s="313"/>
      <c r="N111" s="311"/>
      <c r="O111" s="311"/>
      <c r="P111" s="311"/>
      <c r="Q111" s="311" t="str">
        <f>IF('Employee Detail FY23'!Q142="","",'Employee Detail FY23'!Q142)</f>
        <v/>
      </c>
      <c r="R111" s="311" t="str">
        <f>IF('Employee Detail FY23'!R142="","",'Employee Detail FY23'!R142)</f>
        <v/>
      </c>
      <c r="S111" s="311" t="str">
        <f>IF('Employee Detail FY23'!S142="","",'Employee Detail FY23'!S142)</f>
        <v/>
      </c>
      <c r="T111" s="263" t="str">
        <f>+IF(R111="","",R111*S111)</f>
        <v/>
      </c>
      <c r="U111" s="269" t="str">
        <f>IF('Employee Detail FY23'!U142="","",'Employee Detail FY23'!U142)</f>
        <v/>
      </c>
      <c r="V111" s="270"/>
      <c r="W111" s="270" t="str">
        <f t="shared" si="71"/>
        <v/>
      </c>
      <c r="X111" s="270" t="str">
        <f t="shared" si="72"/>
        <v/>
      </c>
      <c r="Y111" s="62">
        <v>0</v>
      </c>
      <c r="Z111" s="62">
        <v>0</v>
      </c>
      <c r="AA111" s="256">
        <f t="shared" si="73"/>
        <v>0</v>
      </c>
      <c r="AB111" s="3"/>
      <c r="AC111" s="62" t="str">
        <f t="shared" si="74"/>
        <v/>
      </c>
      <c r="AD111" s="62" t="str">
        <f t="shared" si="75"/>
        <v/>
      </c>
      <c r="AE111" s="62" t="str">
        <f t="shared" si="76"/>
        <v/>
      </c>
      <c r="AF111" s="62" t="str">
        <f t="shared" si="77"/>
        <v/>
      </c>
      <c r="AG111" s="192">
        <v>0</v>
      </c>
      <c r="AH111" s="62" t="str">
        <f t="shared" si="78"/>
        <v/>
      </c>
      <c r="AI111" s="62">
        <f t="shared" si="79"/>
        <v>0</v>
      </c>
      <c r="AJ111" s="62"/>
      <c r="AK111" s="62">
        <v>0</v>
      </c>
      <c r="AL111" s="256">
        <f t="shared" si="80"/>
        <v>0</v>
      </c>
      <c r="AM111" s="256">
        <f t="shared" si="81"/>
        <v>0</v>
      </c>
      <c r="AN111" s="256">
        <f t="shared" si="82"/>
        <v>0</v>
      </c>
    </row>
    <row r="112" spans="1:40" x14ac:dyDescent="0.2">
      <c r="A112" s="311" t="s">
        <v>1149</v>
      </c>
      <c r="B112" s="380">
        <v>100</v>
      </c>
      <c r="C112" s="380" t="s">
        <v>145</v>
      </c>
      <c r="D112" s="380"/>
      <c r="E112" s="380">
        <v>100</v>
      </c>
      <c r="F112" s="380">
        <v>1000</v>
      </c>
      <c r="G112" s="380" t="s">
        <v>161</v>
      </c>
      <c r="H112" s="351" t="s">
        <v>497</v>
      </c>
      <c r="I112" s="312" t="str">
        <f>IF('Employee Detail FY23'!I112="","",'Employee Detail FY23'!I112)</f>
        <v>VACANT</v>
      </c>
      <c r="J112" s="311" t="s">
        <v>508</v>
      </c>
      <c r="K112" s="311" t="s">
        <v>389</v>
      </c>
      <c r="L112" s="311" t="s">
        <v>498</v>
      </c>
      <c r="M112" s="311"/>
      <c r="N112" s="311"/>
      <c r="O112" s="311"/>
      <c r="P112" s="311"/>
      <c r="Q112" s="311" t="s">
        <v>386</v>
      </c>
      <c r="R112" s="311" t="s">
        <v>386</v>
      </c>
      <c r="S112" s="311" t="s">
        <v>386</v>
      </c>
      <c r="T112" s="263" t="str">
        <f>+IF(R112="","",R112*S112)</f>
        <v/>
      </c>
      <c r="U112" s="269">
        <v>45000</v>
      </c>
      <c r="V112" s="270"/>
      <c r="W112" s="270" t="str">
        <f t="shared" si="71"/>
        <v/>
      </c>
      <c r="X112" s="270" t="str">
        <f t="shared" si="72"/>
        <v/>
      </c>
      <c r="Y112" s="62">
        <v>0</v>
      </c>
      <c r="Z112" s="62">
        <v>0</v>
      </c>
      <c r="AA112" s="256">
        <f t="shared" si="73"/>
        <v>0</v>
      </c>
      <c r="AB112" s="3"/>
      <c r="AC112" s="62" t="str">
        <f t="shared" si="74"/>
        <v/>
      </c>
      <c r="AD112" s="62" t="str">
        <f t="shared" si="75"/>
        <v/>
      </c>
      <c r="AE112" s="62" t="str">
        <f t="shared" si="76"/>
        <v/>
      </c>
      <c r="AF112" s="62" t="str">
        <f t="shared" si="77"/>
        <v/>
      </c>
      <c r="AG112" s="192">
        <v>0</v>
      </c>
      <c r="AH112" s="62" t="str">
        <f t="shared" si="78"/>
        <v/>
      </c>
      <c r="AI112" s="62">
        <f t="shared" si="79"/>
        <v>0</v>
      </c>
      <c r="AJ112" s="62"/>
      <c r="AK112" s="62">
        <v>0</v>
      </c>
      <c r="AL112" s="256">
        <f t="shared" si="80"/>
        <v>0</v>
      </c>
      <c r="AM112" s="256">
        <f t="shared" si="81"/>
        <v>0</v>
      </c>
      <c r="AN112" s="256">
        <f t="shared" si="82"/>
        <v>0</v>
      </c>
    </row>
    <row r="113" spans="1:40" x14ac:dyDescent="0.2">
      <c r="A113" s="311" t="s">
        <v>1149</v>
      </c>
      <c r="B113" s="380">
        <v>100</v>
      </c>
      <c r="C113" s="380" t="s">
        <v>145</v>
      </c>
      <c r="D113" s="380"/>
      <c r="E113" s="380">
        <v>100</v>
      </c>
      <c r="F113" s="380">
        <v>1000</v>
      </c>
      <c r="G113" s="380" t="s">
        <v>161</v>
      </c>
      <c r="H113" s="351" t="s">
        <v>497</v>
      </c>
      <c r="I113" s="312" t="str">
        <f>IF('Employee Detail FY23'!I113="","",'Employee Detail FY23'!I113)</f>
        <v>VACANT</v>
      </c>
      <c r="J113" s="311" t="s">
        <v>508</v>
      </c>
      <c r="K113" s="311" t="s">
        <v>389</v>
      </c>
      <c r="L113" s="311" t="s">
        <v>498</v>
      </c>
      <c r="M113" s="311"/>
      <c r="N113" s="311"/>
      <c r="O113" s="311"/>
      <c r="P113" s="311"/>
      <c r="Q113" s="311" t="s">
        <v>386</v>
      </c>
      <c r="R113" s="311" t="s">
        <v>386</v>
      </c>
      <c r="S113" s="311" t="s">
        <v>386</v>
      </c>
      <c r="T113" s="263" t="str">
        <f t="shared" ref="T113" si="83">+IF(R113="","",R113*S113)</f>
        <v/>
      </c>
      <c r="U113" s="269">
        <v>45000</v>
      </c>
      <c r="V113" s="270"/>
      <c r="W113" s="270" t="str">
        <f t="shared" ref="W113" si="84">+IF(P113="EE",+V113*$W$1,"")</f>
        <v/>
      </c>
      <c r="X113" s="270" t="str">
        <f t="shared" ref="X113" si="85">_xlfn.IFS(P113="ER",V113,P113="EE",W113,P113="N",V113,P113="","")</f>
        <v/>
      </c>
      <c r="Y113" s="62">
        <v>0</v>
      </c>
      <c r="Z113" s="62">
        <v>0</v>
      </c>
      <c r="AA113" s="256">
        <f t="shared" ref="AA113" si="86">SUM(X113:Z113)</f>
        <v>0</v>
      </c>
      <c r="AB113" s="3"/>
      <c r="AC113" s="62" t="str">
        <f t="shared" ref="AC113" si="87">IF(AND(M113=1,P113&lt;&gt;"N"),$AC$1,"")</f>
        <v/>
      </c>
      <c r="AD113" s="62" t="str">
        <f t="shared" ref="AD113" si="88">_xlfn.IFS(P113="N",$AD$1*AA113,P113="EE","",P113="ER","",P113="","")</f>
        <v/>
      </c>
      <c r="AE113" s="62" t="str">
        <f t="shared" ref="AE113" si="89">_xlfn.IFS(P113="EE",X113*$AE$1,P113="ER",X113*$AE$2,P113="N","",P113="","")</f>
        <v/>
      </c>
      <c r="AF113" s="62" t="str">
        <f t="shared" ref="AF113" si="90">+IF(AA113&gt;1,AA113*$AF$1,"")</f>
        <v/>
      </c>
      <c r="AG113" s="192">
        <v>0</v>
      </c>
      <c r="AH113" s="62" t="str">
        <f t="shared" ref="AH113" si="91">+IF(AA113&gt;1,AA113*$AH$1,"")</f>
        <v/>
      </c>
      <c r="AI113" s="62">
        <f t="shared" ref="AI113" si="92">+_xlfn.IFS(F113&lt;2300,(AA113*$AI$1),F113&gt;=2300,(AA113*$AI$2),F113="","")</f>
        <v>0</v>
      </c>
      <c r="AJ113" s="62"/>
      <c r="AK113" s="62">
        <v>0</v>
      </c>
      <c r="AL113" s="256">
        <f t="shared" ref="AL113" si="93">SUM(AC113:AK113)</f>
        <v>0</v>
      </c>
      <c r="AM113" s="256">
        <f t="shared" ref="AM113" si="94">AA113</f>
        <v>0</v>
      </c>
      <c r="AN113" s="256">
        <f t="shared" ref="AN113" si="95">SUM(AL113:AM113)</f>
        <v>0</v>
      </c>
    </row>
    <row r="114" spans="1:40" x14ac:dyDescent="0.2">
      <c r="A114" s="311" t="s">
        <v>1149</v>
      </c>
      <c r="B114" s="380">
        <v>250</v>
      </c>
      <c r="C114" s="380" t="s">
        <v>145</v>
      </c>
      <c r="D114" s="380"/>
      <c r="E114" s="380">
        <v>200</v>
      </c>
      <c r="F114" s="380">
        <v>1000</v>
      </c>
      <c r="G114" s="380" t="s">
        <v>161</v>
      </c>
      <c r="H114" s="351" t="s">
        <v>497</v>
      </c>
      <c r="I114" s="312" t="str">
        <f>IF('Employee Detail FY23'!I114="","",'Employee Detail FY23'!I114)</f>
        <v>VACANT</v>
      </c>
      <c r="J114" s="311" t="s">
        <v>508</v>
      </c>
      <c r="K114" s="311" t="s">
        <v>389</v>
      </c>
      <c r="L114" s="311" t="s">
        <v>495</v>
      </c>
      <c r="M114" s="311"/>
      <c r="N114" s="311"/>
      <c r="O114" s="311"/>
      <c r="P114" s="311"/>
      <c r="Q114" s="311" t="s">
        <v>386</v>
      </c>
      <c r="R114" s="311" t="s">
        <v>386</v>
      </c>
      <c r="S114" s="311" t="s">
        <v>386</v>
      </c>
      <c r="T114" s="263" t="str">
        <f>+IF(R114="","",R114*S114)</f>
        <v/>
      </c>
      <c r="U114" s="269">
        <v>45000</v>
      </c>
      <c r="V114" s="270"/>
      <c r="W114" s="270" t="str">
        <f>+IF(P114="EE",+V114*$W$1,"")</f>
        <v/>
      </c>
      <c r="X114" s="270" t="str">
        <f>_xlfn.IFS(P114="ER",V114,P114="EE",W114,P114="N",V114,P114="","")</f>
        <v/>
      </c>
      <c r="Y114" s="62">
        <v>0</v>
      </c>
      <c r="Z114" s="62">
        <v>0</v>
      </c>
      <c r="AA114" s="256">
        <f>SUM(X114:Z114)</f>
        <v>0</v>
      </c>
      <c r="AB114" s="3"/>
      <c r="AC114" s="62" t="str">
        <f>IF(AND(M114=1,P114&lt;&gt;"N"),$AC$1,"")</f>
        <v/>
      </c>
      <c r="AD114" s="62" t="str">
        <f>_xlfn.IFS(P114="N",$AD$1*AA114,P114="EE","",P114="ER","",P114="","")</f>
        <v/>
      </c>
      <c r="AE114" s="62" t="str">
        <f>_xlfn.IFS(P114="EE",X114*$AE$1,P114="ER",X114*$AE$2,P114="N","",P114="","")</f>
        <v/>
      </c>
      <c r="AF114" s="62" t="str">
        <f>+IF(AA114&gt;1,AA114*$AF$1,"")</f>
        <v/>
      </c>
      <c r="AG114" s="192">
        <v>0</v>
      </c>
      <c r="AH114" s="62" t="str">
        <f>+IF(AA114&gt;1,AA114*$AH$1,"")</f>
        <v/>
      </c>
      <c r="AI114" s="62">
        <f>+_xlfn.IFS(F114&lt;2300,(AA114*$AI$1),F114&gt;=2300,(AA114*$AI$2),F114="","")</f>
        <v>0</v>
      </c>
      <c r="AJ114" s="62"/>
      <c r="AK114" s="62">
        <v>0</v>
      </c>
      <c r="AL114" s="256">
        <f>SUM(AC114:AK114)</f>
        <v>0</v>
      </c>
      <c r="AM114" s="256">
        <f>AA114</f>
        <v>0</v>
      </c>
      <c r="AN114" s="256">
        <f>SUM(AL114:AM114)</f>
        <v>0</v>
      </c>
    </row>
    <row r="115" spans="1:40" x14ac:dyDescent="0.2">
      <c r="A115" s="311" t="s">
        <v>1149</v>
      </c>
      <c r="B115" s="798" t="s">
        <v>462</v>
      </c>
      <c r="C115" s="798" t="s">
        <v>145</v>
      </c>
      <c r="D115" s="798"/>
      <c r="E115" s="798" t="s">
        <v>463</v>
      </c>
      <c r="F115" s="798" t="s">
        <v>461</v>
      </c>
      <c r="G115" s="798" t="s">
        <v>161</v>
      </c>
      <c r="H115" s="311"/>
      <c r="I115" s="312" t="str">
        <f>IF('Employee Detail FY23'!I115="","",'Employee Detail FY23'!I115)</f>
        <v>VACANT</v>
      </c>
      <c r="J115" s="311" t="s">
        <v>508</v>
      </c>
      <c r="K115" s="312" t="s">
        <v>389</v>
      </c>
      <c r="L115" s="312" t="s">
        <v>896</v>
      </c>
      <c r="M115" s="313"/>
      <c r="N115" s="311"/>
      <c r="O115" s="311"/>
      <c r="P115" s="311"/>
      <c r="Q115" s="311" t="str">
        <f>IF('Employee Detail FY23'!Q143="","",'Employee Detail FY23'!Q143)</f>
        <v/>
      </c>
      <c r="R115" s="311" t="str">
        <f>IF('Employee Detail FY23'!R143="","",'Employee Detail FY23'!R143)</f>
        <v/>
      </c>
      <c r="S115" s="311" t="str">
        <f>IF('Employee Detail FY23'!S143="","",'Employee Detail FY23'!S143)</f>
        <v/>
      </c>
      <c r="T115" s="263" t="str">
        <f>+IF(R115="","",R115*S115)</f>
        <v/>
      </c>
      <c r="U115" s="269">
        <v>65000</v>
      </c>
      <c r="V115" s="270"/>
      <c r="W115" s="270" t="str">
        <f>+IF(P115="EE",+V115*$W$1,"")</f>
        <v/>
      </c>
      <c r="X115" s="270" t="str">
        <f>_xlfn.IFS(P115="ER",V115,P115="EE",W115,P115="N",V115,P115="","")</f>
        <v/>
      </c>
      <c r="Y115" s="62">
        <v>0</v>
      </c>
      <c r="Z115" s="62">
        <v>0</v>
      </c>
      <c r="AA115" s="256">
        <f>SUM(X115:Z115)</f>
        <v>0</v>
      </c>
      <c r="AB115" s="3"/>
      <c r="AC115" s="62" t="str">
        <f>IF(AND(M115=1,P115&lt;&gt;"N"),$AC$1,"")</f>
        <v/>
      </c>
      <c r="AD115" s="62" t="str">
        <f>_xlfn.IFS(P115="N",$AD$1*AA115,P115="EE","",P115="ER","",P115="","")</f>
        <v/>
      </c>
      <c r="AE115" s="62" t="str">
        <f>_xlfn.IFS(P115="EE",X115*$AE$1,P115="ER",X115*$AE$2,P115="N","",P115="","")</f>
        <v/>
      </c>
      <c r="AF115" s="62" t="str">
        <f>+IF(AA115&gt;1,AA115*$AF$1,"")</f>
        <v/>
      </c>
      <c r="AG115" s="192">
        <v>0</v>
      </c>
      <c r="AH115" s="62" t="str">
        <f>+IF(AA115&gt;1,AA115*$AH$1,"")</f>
        <v/>
      </c>
      <c r="AI115" s="62">
        <f>+_xlfn.IFS(F115&lt;2300,(AA115*$AI$1),F115&gt;=2300,(AA115*$AI$2),F115="","")</f>
        <v>0</v>
      </c>
      <c r="AJ115" s="62"/>
      <c r="AK115" s="62">
        <v>0</v>
      </c>
      <c r="AL115" s="256">
        <f>SUM(AC115:AK115)</f>
        <v>0</v>
      </c>
      <c r="AM115" s="256">
        <f>AA115</f>
        <v>0</v>
      </c>
      <c r="AN115" s="256">
        <f>SUM(AL115:AM115)</f>
        <v>0</v>
      </c>
    </row>
    <row r="116" spans="1:40" hidden="1" x14ac:dyDescent="0.2">
      <c r="A116" s="311"/>
      <c r="B116" s="380"/>
      <c r="C116" s="380"/>
      <c r="D116" s="380"/>
      <c r="E116" s="380"/>
      <c r="F116" s="380"/>
      <c r="G116" s="380"/>
      <c r="H116" s="35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263"/>
      <c r="U116" s="269"/>
      <c r="V116" s="270" t="str">
        <f>IF($U116="","",$U116*(1+$V$1))</f>
        <v/>
      </c>
      <c r="W116" s="270" t="str">
        <f>+IF(P116="EE",+V116*$W$1,"")</f>
        <v/>
      </c>
      <c r="X116" s="270" t="str">
        <f>_xlfn.IFS(P116="ER",V116,P116="EE",W116,P116="N",V116,P116="","")</f>
        <v/>
      </c>
      <c r="Y116" s="62">
        <v>0</v>
      </c>
      <c r="Z116" s="62">
        <v>0</v>
      </c>
      <c r="AA116" s="256">
        <f>SUM(X116:Z116)</f>
        <v>0</v>
      </c>
      <c r="AB116" s="3"/>
      <c r="AC116" s="62" t="str">
        <f>IF(AND(M116=1,P116&lt;&gt;"N"),$AC$1,"")</f>
        <v/>
      </c>
      <c r="AD116" s="62" t="str">
        <f>_xlfn.IFS(P116="N",$AD$1*AA116,P116="EE","",P116="ER","",P116="","")</f>
        <v/>
      </c>
      <c r="AE116" s="62" t="str">
        <f>_xlfn.IFS(P116="EE",X116*$AE$1,P116="ER",X116*$AE$2,P116="N","",P116="","")</f>
        <v/>
      </c>
      <c r="AF116" s="62" t="str">
        <f>+IF(AA116&gt;1,AA116*$AF$1,"")</f>
        <v/>
      </c>
      <c r="AG116" s="192">
        <v>0</v>
      </c>
      <c r="AH116" s="62" t="str">
        <f>+IF(AA116&gt;1,AA116*$AH$1,"")</f>
        <v/>
      </c>
      <c r="AI116" s="62">
        <f>+_xlfn.IFS(F116&lt;2300,(AA116*$AI$1),F116&gt;=2300,(AA116*$AI$2),F116="","")</f>
        <v>0</v>
      </c>
      <c r="AJ116" s="62"/>
      <c r="AK116" s="62">
        <v>0</v>
      </c>
      <c r="AL116" s="256">
        <f>SUM(AC116:AK116)</f>
        <v>0</v>
      </c>
      <c r="AM116" s="256">
        <f>AA116</f>
        <v>0</v>
      </c>
      <c r="AN116" s="256">
        <f>SUM(AL116:AM116)</f>
        <v>0</v>
      </c>
    </row>
    <row r="117" spans="1:40" x14ac:dyDescent="0.2">
      <c r="A117" s="311" t="s">
        <v>1149</v>
      </c>
      <c r="B117" s="380">
        <v>100</v>
      </c>
      <c r="C117" s="380" t="s">
        <v>145</v>
      </c>
      <c r="D117" s="380"/>
      <c r="E117" s="380">
        <v>100</v>
      </c>
      <c r="F117" s="380">
        <v>1000</v>
      </c>
      <c r="G117" s="380" t="s">
        <v>161</v>
      </c>
      <c r="H117" s="351" t="s">
        <v>497</v>
      </c>
      <c r="I117" s="312" t="str">
        <f>IF('Employee Detail FY23'!I117="","",'Employee Detail FY23'!I117)</f>
        <v>VACANT</v>
      </c>
      <c r="J117" s="311" t="s">
        <v>1262</v>
      </c>
      <c r="K117" s="311" t="s">
        <v>389</v>
      </c>
      <c r="L117" s="311" t="s">
        <v>498</v>
      </c>
      <c r="M117" s="311"/>
      <c r="N117" s="311"/>
      <c r="O117" s="311"/>
      <c r="P117" s="311"/>
      <c r="Q117" s="311" t="s">
        <v>386</v>
      </c>
      <c r="R117" s="311" t="s">
        <v>386</v>
      </c>
      <c r="S117" s="311" t="s">
        <v>386</v>
      </c>
      <c r="T117" s="263" t="str">
        <f t="shared" ref="T117:T118" si="96">+IF(R117="","",R117*S117)</f>
        <v/>
      </c>
      <c r="U117" s="269">
        <v>45000</v>
      </c>
      <c r="V117" s="270"/>
      <c r="W117" s="270" t="str">
        <f t="shared" ref="W117:W118" si="97">+IF(P117="EE",+V117*$W$1,"")</f>
        <v/>
      </c>
      <c r="X117" s="270" t="str">
        <f t="shared" ref="X117:X118" si="98">_xlfn.IFS(P117="ER",V117,P117="EE",W117,P117="N",V117,P117="","")</f>
        <v/>
      </c>
      <c r="Y117" s="62">
        <v>0</v>
      </c>
      <c r="Z117" s="62">
        <v>0</v>
      </c>
      <c r="AA117" s="256">
        <f t="shared" ref="AA117:AA118" si="99">SUM(X117:Z117)</f>
        <v>0</v>
      </c>
      <c r="AB117" s="3"/>
      <c r="AC117" s="62" t="str">
        <f t="shared" ref="AC117:AC118" si="100">IF(AND(M117=1,P117&lt;&gt;"N"),$AC$1,"")</f>
        <v/>
      </c>
      <c r="AD117" s="62" t="str">
        <f t="shared" ref="AD117:AD118" si="101">_xlfn.IFS(P117="N",$AD$1*AA117,P117="EE","",P117="ER","",P117="","")</f>
        <v/>
      </c>
      <c r="AE117" s="62" t="str">
        <f t="shared" ref="AE117:AE118" si="102">_xlfn.IFS(P117="EE",X117*$AE$1,P117="ER",X117*$AE$2,P117="N","",P117="","")</f>
        <v/>
      </c>
      <c r="AF117" s="62" t="str">
        <f t="shared" ref="AF117:AF118" si="103">+IF(AA117&gt;1,AA117*$AF$1,"")</f>
        <v/>
      </c>
      <c r="AG117" s="192">
        <v>0</v>
      </c>
      <c r="AH117" s="62" t="str">
        <f t="shared" ref="AH117:AH118" si="104">+IF(AA117&gt;1,AA117*$AH$1,"")</f>
        <v/>
      </c>
      <c r="AI117" s="62">
        <f t="shared" ref="AI117:AI118" si="105">+_xlfn.IFS(F117&lt;2300,(AA117*$AI$1),F117&gt;=2300,(AA117*$AI$2),F117="","")</f>
        <v>0</v>
      </c>
      <c r="AJ117" s="62"/>
      <c r="AK117" s="62">
        <v>0</v>
      </c>
      <c r="AL117" s="256">
        <f t="shared" ref="AL117:AL118" si="106">SUM(AC117:AK117)</f>
        <v>0</v>
      </c>
      <c r="AM117" s="256">
        <f t="shared" ref="AM117:AM118" si="107">AA117</f>
        <v>0</v>
      </c>
      <c r="AN117" s="256">
        <f t="shared" ref="AN117:AN118" si="108">SUM(AL117:AM117)</f>
        <v>0</v>
      </c>
    </row>
    <row r="118" spans="1:40" x14ac:dyDescent="0.2">
      <c r="A118" s="311" t="s">
        <v>1149</v>
      </c>
      <c r="B118" s="380">
        <v>100</v>
      </c>
      <c r="C118" s="380" t="s">
        <v>145</v>
      </c>
      <c r="D118" s="380"/>
      <c r="E118" s="380">
        <v>100</v>
      </c>
      <c r="F118" s="380">
        <v>1000</v>
      </c>
      <c r="G118" s="380" t="s">
        <v>161</v>
      </c>
      <c r="H118" s="351" t="s">
        <v>497</v>
      </c>
      <c r="I118" s="312" t="str">
        <f>IF('Employee Detail FY23'!I118="","",'Employee Detail FY23'!I118)</f>
        <v>VACANT</v>
      </c>
      <c r="J118" s="311" t="s">
        <v>1262</v>
      </c>
      <c r="K118" s="311" t="s">
        <v>389</v>
      </c>
      <c r="L118" s="311" t="s">
        <v>498</v>
      </c>
      <c r="M118" s="311"/>
      <c r="N118" s="311"/>
      <c r="O118" s="311"/>
      <c r="P118" s="311"/>
      <c r="Q118" s="311" t="s">
        <v>386</v>
      </c>
      <c r="R118" s="311" t="s">
        <v>386</v>
      </c>
      <c r="S118" s="311" t="s">
        <v>386</v>
      </c>
      <c r="T118" s="263" t="str">
        <f t="shared" si="96"/>
        <v/>
      </c>
      <c r="U118" s="269">
        <v>45000</v>
      </c>
      <c r="V118" s="270"/>
      <c r="W118" s="270" t="str">
        <f t="shared" si="97"/>
        <v/>
      </c>
      <c r="X118" s="270" t="str">
        <f t="shared" si="98"/>
        <v/>
      </c>
      <c r="Y118" s="62">
        <v>0</v>
      </c>
      <c r="Z118" s="62">
        <v>0</v>
      </c>
      <c r="AA118" s="256">
        <f t="shared" si="99"/>
        <v>0</v>
      </c>
      <c r="AB118" s="3"/>
      <c r="AC118" s="62" t="str">
        <f t="shared" si="100"/>
        <v/>
      </c>
      <c r="AD118" s="62" t="str">
        <f t="shared" si="101"/>
        <v/>
      </c>
      <c r="AE118" s="62" t="str">
        <f t="shared" si="102"/>
        <v/>
      </c>
      <c r="AF118" s="62" t="str">
        <f t="shared" si="103"/>
        <v/>
      </c>
      <c r="AG118" s="192">
        <v>0</v>
      </c>
      <c r="AH118" s="62" t="str">
        <f t="shared" si="104"/>
        <v/>
      </c>
      <c r="AI118" s="62">
        <f t="shared" si="105"/>
        <v>0</v>
      </c>
      <c r="AJ118" s="62"/>
      <c r="AK118" s="62">
        <v>0</v>
      </c>
      <c r="AL118" s="256">
        <f t="shared" si="106"/>
        <v>0</v>
      </c>
      <c r="AM118" s="256">
        <f t="shared" si="107"/>
        <v>0</v>
      </c>
      <c r="AN118" s="256">
        <f t="shared" si="108"/>
        <v>0</v>
      </c>
    </row>
    <row r="119" spans="1:40" x14ac:dyDescent="0.2">
      <c r="A119" s="311" t="s">
        <v>1149</v>
      </c>
      <c r="B119" s="380">
        <v>250</v>
      </c>
      <c r="C119" s="380" t="s">
        <v>145</v>
      </c>
      <c r="D119" s="380"/>
      <c r="E119" s="380">
        <v>200</v>
      </c>
      <c r="F119" s="380">
        <v>1000</v>
      </c>
      <c r="G119" s="380" t="s">
        <v>161</v>
      </c>
      <c r="H119" s="351" t="s">
        <v>497</v>
      </c>
      <c r="I119" s="312" t="str">
        <f>IF('Employee Detail FY23'!I119="","",'Employee Detail FY23'!I119)</f>
        <v>VACANT</v>
      </c>
      <c r="J119" s="311" t="s">
        <v>1262</v>
      </c>
      <c r="K119" s="311" t="s">
        <v>389</v>
      </c>
      <c r="L119" s="311" t="s">
        <v>495</v>
      </c>
      <c r="M119" s="311"/>
      <c r="N119" s="311"/>
      <c r="O119" s="311"/>
      <c r="P119" s="311"/>
      <c r="Q119" s="311" t="s">
        <v>386</v>
      </c>
      <c r="R119" s="311" t="s">
        <v>386</v>
      </c>
      <c r="S119" s="311" t="s">
        <v>386</v>
      </c>
      <c r="T119" s="263" t="str">
        <f t="shared" ref="T119" si="109">+IF(R119="","",R119*S119)</f>
        <v/>
      </c>
      <c r="U119" s="269">
        <v>45000</v>
      </c>
      <c r="V119" s="270"/>
      <c r="W119" s="270" t="str">
        <f t="shared" ref="W119" si="110">+IF(P119="EE",+V119*$W$1,"")</f>
        <v/>
      </c>
      <c r="X119" s="270" t="str">
        <f t="shared" ref="X119" si="111">_xlfn.IFS(P119="ER",V119,P119="EE",W119,P119="N",V119,P119="","")</f>
        <v/>
      </c>
      <c r="Y119" s="62">
        <v>0</v>
      </c>
      <c r="Z119" s="62">
        <v>0</v>
      </c>
      <c r="AA119" s="256">
        <f t="shared" ref="AA119" si="112">SUM(X119:Z119)</f>
        <v>0</v>
      </c>
      <c r="AB119" s="3"/>
      <c r="AC119" s="62" t="str">
        <f t="shared" ref="AC119" si="113">IF(AND(M119=1,P119&lt;&gt;"N"),$AC$1,"")</f>
        <v/>
      </c>
      <c r="AD119" s="62" t="str">
        <f t="shared" ref="AD119" si="114">_xlfn.IFS(P119="N",$AD$1*AA119,P119="EE","",P119="ER","",P119="","")</f>
        <v/>
      </c>
      <c r="AE119" s="62" t="str">
        <f t="shared" ref="AE119" si="115">_xlfn.IFS(P119="EE",X119*$AE$1,P119="ER",X119*$AE$2,P119="N","",P119="","")</f>
        <v/>
      </c>
      <c r="AF119" s="62" t="str">
        <f t="shared" ref="AF119" si="116">+IF(AA119&gt;1,AA119*$AF$1,"")</f>
        <v/>
      </c>
      <c r="AG119" s="192">
        <v>0</v>
      </c>
      <c r="AH119" s="62" t="str">
        <f t="shared" ref="AH119" si="117">+IF(AA119&gt;1,AA119*$AH$1,"")</f>
        <v/>
      </c>
      <c r="AI119" s="62">
        <f t="shared" ref="AI119" si="118">+_xlfn.IFS(F119&lt;2300,(AA119*$AI$1),F119&gt;=2300,(AA119*$AI$2),F119="","")</f>
        <v>0</v>
      </c>
      <c r="AJ119" s="62"/>
      <c r="AK119" s="62">
        <v>0</v>
      </c>
      <c r="AL119" s="256">
        <f t="shared" ref="AL119" si="119">SUM(AC119:AK119)</f>
        <v>0</v>
      </c>
      <c r="AM119" s="256">
        <f t="shared" ref="AM119" si="120">AA119</f>
        <v>0</v>
      </c>
      <c r="AN119" s="256">
        <f t="shared" ref="AN119" si="121">SUM(AL119:AM119)</f>
        <v>0</v>
      </c>
    </row>
    <row r="120" spans="1:40" x14ac:dyDescent="0.2">
      <c r="A120" s="311" t="s">
        <v>1149</v>
      </c>
      <c r="B120" s="798">
        <v>100</v>
      </c>
      <c r="C120" s="798" t="s">
        <v>145</v>
      </c>
      <c r="D120" s="798"/>
      <c r="E120" s="798">
        <v>100</v>
      </c>
      <c r="F120" s="798">
        <v>1000</v>
      </c>
      <c r="G120" s="798" t="s">
        <v>169</v>
      </c>
      <c r="H120" s="311"/>
      <c r="I120" s="312" t="s">
        <v>1149</v>
      </c>
      <c r="J120" s="312" t="s">
        <v>1262</v>
      </c>
      <c r="K120" s="312" t="s">
        <v>384</v>
      </c>
      <c r="L120" s="312" t="s">
        <v>989</v>
      </c>
      <c r="M120" s="313"/>
      <c r="N120" s="311"/>
      <c r="O120" s="311"/>
      <c r="P120" s="311"/>
      <c r="Q120" s="311"/>
      <c r="R120" s="311"/>
      <c r="S120" s="311"/>
      <c r="T120" s="263"/>
      <c r="U120" s="269">
        <v>31500</v>
      </c>
      <c r="V120" s="270"/>
      <c r="W120" s="270" t="str">
        <f t="shared" ref="W120" si="122">+IF(P120="EE",+V120*$W$1,"")</f>
        <v/>
      </c>
      <c r="X120" s="270" t="str">
        <f t="shared" ref="X120" si="123">_xlfn.IFS(P120="ER",V120,P120="EE",W120,P120="N",V120,P120="","")</f>
        <v/>
      </c>
      <c r="Y120" s="62">
        <v>0</v>
      </c>
      <c r="Z120" s="62">
        <v>0</v>
      </c>
      <c r="AA120" s="256">
        <f t="shared" ref="AA120" si="124">SUM(X120:Z120)</f>
        <v>0</v>
      </c>
      <c r="AB120" s="3"/>
      <c r="AC120" s="62" t="str">
        <f t="shared" ref="AC120" si="125">IF(AND(M120=1,P120&lt;&gt;"N"),$AC$1,"")</f>
        <v/>
      </c>
      <c r="AD120" s="62" t="str">
        <f t="shared" ref="AD120" si="126">_xlfn.IFS(P120="N",$AD$1*AA120,P120="EE","",P120="ER","",P120="","")</f>
        <v/>
      </c>
      <c r="AE120" s="62" t="str">
        <f t="shared" ref="AE120" si="127">_xlfn.IFS(P120="EE",X120*$AE$1,P120="ER",X120*$AE$2,P120="N","",P120="","")</f>
        <v/>
      </c>
      <c r="AF120" s="62" t="str">
        <f t="shared" ref="AF120" si="128">+IF(AA120&gt;1,AA120*$AF$1,"")</f>
        <v/>
      </c>
      <c r="AG120" s="192">
        <v>0</v>
      </c>
      <c r="AH120" s="62" t="str">
        <f t="shared" ref="AH120" si="129">+IF(AA120&gt;1,AA120*$AH$1,"")</f>
        <v/>
      </c>
      <c r="AI120" s="62">
        <f t="shared" ref="AI120" si="130">+_xlfn.IFS(F120&lt;2300,(AA120*$AI$1),F120&gt;=2300,(AA120*$AI$2),F120="","")</f>
        <v>0</v>
      </c>
      <c r="AJ120" s="62"/>
      <c r="AK120" s="62">
        <v>0</v>
      </c>
      <c r="AL120" s="256">
        <f t="shared" ref="AL120" si="131">SUM(AC120:AK120)</f>
        <v>0</v>
      </c>
      <c r="AM120" s="256">
        <f t="shared" ref="AM120" si="132">AA120</f>
        <v>0</v>
      </c>
      <c r="AN120" s="256">
        <f t="shared" ref="AN120" si="133">SUM(AL120:AM120)</f>
        <v>0</v>
      </c>
    </row>
    <row r="121" spans="1:40" hidden="1" x14ac:dyDescent="0.2">
      <c r="A121" s="311" t="str">
        <f>IF('Employee Detail FY23'!A121="","",'Employee Detail FY23'!A121)</f>
        <v/>
      </c>
      <c r="B121" s="798" t="str">
        <f>IF('Employee Detail FY23'!B121="","",'Employee Detail FY23'!B121)</f>
        <v/>
      </c>
      <c r="C121" s="798" t="str">
        <f>IF('Employee Detail FY23'!C121="","",'Employee Detail FY23'!C121)</f>
        <v/>
      </c>
      <c r="D121" s="798"/>
      <c r="E121" s="798" t="str">
        <f>IF('Employee Detail FY23'!E121="","",'Employee Detail FY23'!E121)</f>
        <v/>
      </c>
      <c r="F121" s="798" t="str">
        <f>IF('Employee Detail FY23'!F121="","",'Employee Detail FY23'!F121)</f>
        <v/>
      </c>
      <c r="G121" s="798" t="str">
        <f>IF('Employee Detail FY23'!G121="","",'Employee Detail FY23'!G121)</f>
        <v/>
      </c>
      <c r="H121" s="311"/>
      <c r="I121" s="312" t="str">
        <f>IF('Employee Detail FY23'!I121="","",'Employee Detail FY23'!I121)</f>
        <v/>
      </c>
      <c r="J121" s="312" t="str">
        <f>IF('Employee Detail FY23'!J121="","",'Employee Detail FY23'!J121)</f>
        <v/>
      </c>
      <c r="K121" s="312" t="str">
        <f>IF('Employee Detail FY23'!K121="","",'Employee Detail FY23'!K121)</f>
        <v/>
      </c>
      <c r="L121" s="312" t="str">
        <f>IF('Employee Detail FY23'!L121="","",'Employee Detail FY23'!L121)</f>
        <v/>
      </c>
      <c r="M121" s="313"/>
      <c r="N121" s="311"/>
      <c r="O121" s="311"/>
      <c r="P121" s="311"/>
      <c r="Q121" s="311"/>
      <c r="R121" s="311"/>
      <c r="S121" s="311"/>
      <c r="T121" s="263" t="str">
        <f>+IF(R121="","",R121*S121)</f>
        <v/>
      </c>
      <c r="U121" s="269" t="str">
        <f>IF('Employee Detail FY23'!U121="","",'Employee Detail FY23'!U121)</f>
        <v/>
      </c>
      <c r="V121" s="270" t="str">
        <f>IF($U121="","",$U121*(1+$V$1))</f>
        <v/>
      </c>
      <c r="W121" s="270" t="str">
        <f t="shared" ref="W121:W126" si="134">+IF(P121="EE",+V121*$W$1,"")</f>
        <v/>
      </c>
      <c r="X121" s="270" t="str">
        <f t="shared" ref="X121:X126" si="135">_xlfn.IFS(P121="ER",V121,P121="EE",W121,P121="N",V121,P121="","")</f>
        <v/>
      </c>
      <c r="Y121" s="62">
        <v>0</v>
      </c>
      <c r="Z121" s="62">
        <v>0</v>
      </c>
      <c r="AA121" s="256">
        <f t="shared" ref="AA121:AA126" si="136">SUM(X121:Z121)</f>
        <v>0</v>
      </c>
      <c r="AB121" s="3"/>
      <c r="AC121" s="62" t="str">
        <f t="shared" ref="AC121:AC126" si="137">IF(AND(M121=1,P121&lt;&gt;"N"),$AC$1,"")</f>
        <v/>
      </c>
      <c r="AD121" s="62" t="str">
        <f t="shared" ref="AD121:AD126" si="138">_xlfn.IFS(P121="N",$AD$1*AA121,P121="EE","",P121="ER","",P121="","")</f>
        <v/>
      </c>
      <c r="AE121" s="62" t="str">
        <f t="shared" ref="AE121:AE126" si="139">_xlfn.IFS(P121="EE",X121*$AE$1,P121="ER",X121*$AE$2,P121="N","",P121="","")</f>
        <v/>
      </c>
      <c r="AF121" s="62" t="str">
        <f t="shared" ref="AF121:AF126" si="140">+IF(AA121&gt;1,AA121*$AF$1,"")</f>
        <v/>
      </c>
      <c r="AG121" s="192">
        <v>0</v>
      </c>
      <c r="AH121" s="62" t="str">
        <f t="shared" ref="AH121:AH126" si="141">+IF(AA121&gt;1,AA121*$AH$1,"")</f>
        <v/>
      </c>
      <c r="AI121" s="62">
        <f t="shared" ref="AI121:AI126" si="142">+_xlfn.IFS(F121&lt;2300,(AA121*$AI$1),F121&gt;=2300,(AA121*$AI$2),F121="","")</f>
        <v>0</v>
      </c>
      <c r="AJ121" s="62"/>
      <c r="AK121" s="62">
        <v>0</v>
      </c>
      <c r="AL121" s="256">
        <f t="shared" ref="AL121:AL126" si="143">SUM(AC121:AK121)</f>
        <v>0</v>
      </c>
      <c r="AM121" s="256">
        <f t="shared" ref="AM121:AM126" si="144">AA121</f>
        <v>0</v>
      </c>
      <c r="AN121" s="256">
        <f t="shared" ref="AN121:AN126" si="145">SUM(AL121:AM121)</f>
        <v>0</v>
      </c>
    </row>
    <row r="122" spans="1:40" x14ac:dyDescent="0.2">
      <c r="A122" s="311" t="s">
        <v>1149</v>
      </c>
      <c r="B122" s="380">
        <v>250</v>
      </c>
      <c r="C122" s="380" t="s">
        <v>145</v>
      </c>
      <c r="D122" s="380"/>
      <c r="E122" s="380">
        <v>200</v>
      </c>
      <c r="F122" s="380">
        <v>1000</v>
      </c>
      <c r="G122" s="380" t="s">
        <v>161</v>
      </c>
      <c r="H122" s="351" t="s">
        <v>497</v>
      </c>
      <c r="I122" s="312" t="str">
        <f>IF('Employee Detail FY23'!I122="","",'Employee Detail FY23'!I122)</f>
        <v>VACANT</v>
      </c>
      <c r="J122" s="311" t="s">
        <v>1263</v>
      </c>
      <c r="K122" s="311" t="s">
        <v>389</v>
      </c>
      <c r="L122" s="311" t="s">
        <v>495</v>
      </c>
      <c r="M122" s="311"/>
      <c r="N122" s="311"/>
      <c r="O122" s="311"/>
      <c r="P122" s="311"/>
      <c r="Q122" s="311" t="s">
        <v>386</v>
      </c>
      <c r="R122" s="311" t="s">
        <v>386</v>
      </c>
      <c r="S122" s="311" t="s">
        <v>386</v>
      </c>
      <c r="T122" s="263" t="str">
        <f t="shared" ref="T122" si="146">+IF(R122="","",R122*S122)</f>
        <v/>
      </c>
      <c r="U122" s="269">
        <v>45000</v>
      </c>
      <c r="V122" s="270"/>
      <c r="W122" s="270" t="str">
        <f t="shared" si="134"/>
        <v/>
      </c>
      <c r="X122" s="270" t="str">
        <f t="shared" si="135"/>
        <v/>
      </c>
      <c r="Y122" s="62">
        <v>0</v>
      </c>
      <c r="Z122" s="62">
        <v>0</v>
      </c>
      <c r="AA122" s="256">
        <f t="shared" si="136"/>
        <v>0</v>
      </c>
      <c r="AB122" s="3"/>
      <c r="AC122" s="62" t="str">
        <f t="shared" si="137"/>
        <v/>
      </c>
      <c r="AD122" s="62" t="str">
        <f t="shared" si="138"/>
        <v/>
      </c>
      <c r="AE122" s="62" t="str">
        <f t="shared" si="139"/>
        <v/>
      </c>
      <c r="AF122" s="62" t="str">
        <f t="shared" si="140"/>
        <v/>
      </c>
      <c r="AG122" s="192">
        <v>0</v>
      </c>
      <c r="AH122" s="62" t="str">
        <f t="shared" si="141"/>
        <v/>
      </c>
      <c r="AI122" s="62">
        <f t="shared" si="142"/>
        <v>0</v>
      </c>
      <c r="AJ122" s="62"/>
      <c r="AK122" s="62">
        <v>0</v>
      </c>
      <c r="AL122" s="256">
        <f t="shared" si="143"/>
        <v>0</v>
      </c>
      <c r="AM122" s="256">
        <f t="shared" si="144"/>
        <v>0</v>
      </c>
      <c r="AN122" s="256">
        <f t="shared" si="145"/>
        <v>0</v>
      </c>
    </row>
    <row r="123" spans="1:40" hidden="1" x14ac:dyDescent="0.2">
      <c r="A123" s="311" t="s">
        <v>386</v>
      </c>
      <c r="B123" s="798" t="s">
        <v>386</v>
      </c>
      <c r="C123" s="798" t="s">
        <v>386</v>
      </c>
      <c r="D123" s="798"/>
      <c r="E123" s="798" t="s">
        <v>386</v>
      </c>
      <c r="F123" s="798" t="s">
        <v>386</v>
      </c>
      <c r="G123" s="798" t="s">
        <v>386</v>
      </c>
      <c r="H123" s="311"/>
      <c r="I123" s="312" t="s">
        <v>386</v>
      </c>
      <c r="J123" s="312" t="s">
        <v>386</v>
      </c>
      <c r="K123" s="312" t="s">
        <v>386</v>
      </c>
      <c r="L123" s="312" t="s">
        <v>386</v>
      </c>
      <c r="M123" s="313"/>
      <c r="N123" s="311"/>
      <c r="O123" s="311"/>
      <c r="P123" s="311"/>
      <c r="Q123" s="311" t="str">
        <f>IF('Employee Detail FY23'!Q149="","",'Employee Detail FY23'!Q149)</f>
        <v/>
      </c>
      <c r="R123" s="311" t="str">
        <f>IF('Employee Detail FY23'!R149="","",'Employee Detail FY23'!R149)</f>
        <v/>
      </c>
      <c r="S123" s="311" t="str">
        <f>IF('Employee Detail FY23'!S149="","",'Employee Detail FY23'!S149)</f>
        <v/>
      </c>
      <c r="T123" s="263" t="str">
        <f>+IF(R123="","",R123*S123)</f>
        <v/>
      </c>
      <c r="U123" s="269" t="str">
        <f>IF('Employee Detail FY23'!U149="","",'Employee Detail FY23'!U149)</f>
        <v/>
      </c>
      <c r="V123" s="270"/>
      <c r="W123" s="270" t="str">
        <f t="shared" si="134"/>
        <v/>
      </c>
      <c r="X123" s="270" t="str">
        <f t="shared" si="135"/>
        <v/>
      </c>
      <c r="Y123" s="62">
        <v>0</v>
      </c>
      <c r="Z123" s="62">
        <v>0</v>
      </c>
      <c r="AA123" s="256">
        <f t="shared" si="136"/>
        <v>0</v>
      </c>
      <c r="AB123" s="3"/>
      <c r="AC123" s="62" t="str">
        <f t="shared" si="137"/>
        <v/>
      </c>
      <c r="AD123" s="62" t="str">
        <f t="shared" si="138"/>
        <v/>
      </c>
      <c r="AE123" s="62" t="str">
        <f t="shared" si="139"/>
        <v/>
      </c>
      <c r="AF123" s="62" t="str">
        <f t="shared" si="140"/>
        <v/>
      </c>
      <c r="AG123" s="192">
        <v>0</v>
      </c>
      <c r="AH123" s="62" t="str">
        <f t="shared" si="141"/>
        <v/>
      </c>
      <c r="AI123" s="62">
        <f t="shared" si="142"/>
        <v>0</v>
      </c>
      <c r="AJ123" s="62"/>
      <c r="AK123" s="62">
        <v>0</v>
      </c>
      <c r="AL123" s="256">
        <f t="shared" si="143"/>
        <v>0</v>
      </c>
      <c r="AM123" s="256">
        <f t="shared" si="144"/>
        <v>0</v>
      </c>
      <c r="AN123" s="256">
        <f t="shared" si="145"/>
        <v>0</v>
      </c>
    </row>
    <row r="124" spans="1:40" hidden="1" x14ac:dyDescent="0.2">
      <c r="A124" s="311"/>
      <c r="B124" s="380"/>
      <c r="C124" s="380"/>
      <c r="D124" s="380"/>
      <c r="E124" s="380"/>
      <c r="F124" s="380"/>
      <c r="G124" s="380"/>
      <c r="H124" s="35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263" t="str">
        <f t="shared" ref="T124" si="147">+IF(R124="","",R124*S124)</f>
        <v/>
      </c>
      <c r="U124" s="269" t="str">
        <f>IF('Employee Detail FY23'!U111="","",'Employee Detail FY23'!U111)</f>
        <v/>
      </c>
      <c r="V124" s="270"/>
      <c r="W124" s="270" t="str">
        <f t="shared" si="134"/>
        <v/>
      </c>
      <c r="X124" s="270" t="str">
        <f t="shared" si="135"/>
        <v/>
      </c>
      <c r="Y124" s="62">
        <v>0</v>
      </c>
      <c r="Z124" s="62">
        <v>0</v>
      </c>
      <c r="AA124" s="256">
        <f t="shared" si="136"/>
        <v>0</v>
      </c>
      <c r="AB124" s="3"/>
      <c r="AC124" s="62" t="str">
        <f t="shared" si="137"/>
        <v/>
      </c>
      <c r="AD124" s="62" t="str">
        <f t="shared" si="138"/>
        <v/>
      </c>
      <c r="AE124" s="62" t="str">
        <f t="shared" si="139"/>
        <v/>
      </c>
      <c r="AF124" s="62" t="str">
        <f t="shared" si="140"/>
        <v/>
      </c>
      <c r="AG124" s="192">
        <v>0</v>
      </c>
      <c r="AH124" s="62" t="str">
        <f t="shared" si="141"/>
        <v/>
      </c>
      <c r="AI124" s="62">
        <f t="shared" si="142"/>
        <v>0</v>
      </c>
      <c r="AJ124" s="62"/>
      <c r="AK124" s="62">
        <v>0</v>
      </c>
      <c r="AL124" s="256">
        <f t="shared" si="143"/>
        <v>0</v>
      </c>
      <c r="AM124" s="256">
        <f t="shared" si="144"/>
        <v>0</v>
      </c>
      <c r="AN124" s="256">
        <f t="shared" si="145"/>
        <v>0</v>
      </c>
    </row>
    <row r="125" spans="1:40" hidden="1" x14ac:dyDescent="0.2">
      <c r="A125" s="311" t="s">
        <v>386</v>
      </c>
      <c r="B125" s="798" t="s">
        <v>386</v>
      </c>
      <c r="C125" s="798" t="s">
        <v>386</v>
      </c>
      <c r="D125" s="798"/>
      <c r="E125" s="798" t="s">
        <v>386</v>
      </c>
      <c r="F125" s="798" t="s">
        <v>386</v>
      </c>
      <c r="G125" s="798" t="s">
        <v>386</v>
      </c>
      <c r="H125" s="311"/>
      <c r="I125" s="312" t="s">
        <v>386</v>
      </c>
      <c r="J125" s="312" t="s">
        <v>386</v>
      </c>
      <c r="K125" s="312" t="s">
        <v>386</v>
      </c>
      <c r="L125" s="312" t="s">
        <v>386</v>
      </c>
      <c r="M125" s="313"/>
      <c r="N125" s="311"/>
      <c r="O125" s="311"/>
      <c r="P125" s="311"/>
      <c r="Q125" s="311" t="str">
        <f>IF('Employee Detail FY23'!Q125="","",'Employee Detail FY23'!Q125)</f>
        <v/>
      </c>
      <c r="R125" s="311" t="str">
        <f>IF('Employee Detail FY23'!R125="","",'Employee Detail FY23'!R125)</f>
        <v/>
      </c>
      <c r="S125" s="311" t="str">
        <f>IF('Employee Detail FY23'!S125="","",'Employee Detail FY23'!S125)</f>
        <v/>
      </c>
      <c r="T125" s="263" t="str">
        <f>+IF(R125="","",R125*S125)</f>
        <v/>
      </c>
      <c r="U125" s="269" t="str">
        <f>IF('Employee Detail FY23'!U125="","",'Employee Detail FY23'!U125)</f>
        <v/>
      </c>
      <c r="V125" s="270" t="str">
        <f>IF($U125="","",$U125*(1+$V$1))</f>
        <v/>
      </c>
      <c r="W125" s="270" t="str">
        <f t="shared" si="134"/>
        <v/>
      </c>
      <c r="X125" s="270" t="str">
        <f t="shared" si="135"/>
        <v/>
      </c>
      <c r="Y125" s="62">
        <v>0</v>
      </c>
      <c r="Z125" s="62">
        <v>0</v>
      </c>
      <c r="AA125" s="256">
        <f t="shared" si="136"/>
        <v>0</v>
      </c>
      <c r="AB125" s="3"/>
      <c r="AC125" s="62" t="str">
        <f t="shared" si="137"/>
        <v/>
      </c>
      <c r="AD125" s="62" t="str">
        <f t="shared" si="138"/>
        <v/>
      </c>
      <c r="AE125" s="62" t="str">
        <f t="shared" si="139"/>
        <v/>
      </c>
      <c r="AF125" s="62" t="str">
        <f t="shared" si="140"/>
        <v/>
      </c>
      <c r="AG125" s="192">
        <v>0</v>
      </c>
      <c r="AH125" s="62" t="str">
        <f t="shared" si="141"/>
        <v/>
      </c>
      <c r="AI125" s="62">
        <f t="shared" si="142"/>
        <v>0</v>
      </c>
      <c r="AJ125" s="62"/>
      <c r="AK125" s="62">
        <v>0</v>
      </c>
      <c r="AL125" s="256">
        <f t="shared" si="143"/>
        <v>0</v>
      </c>
      <c r="AM125" s="256">
        <f t="shared" si="144"/>
        <v>0</v>
      </c>
      <c r="AN125" s="256">
        <f t="shared" si="145"/>
        <v>0</v>
      </c>
    </row>
    <row r="126" spans="1:40" hidden="1" x14ac:dyDescent="0.2">
      <c r="A126" s="311"/>
      <c r="B126" s="380"/>
      <c r="C126" s="380"/>
      <c r="D126" s="380"/>
      <c r="E126" s="380"/>
      <c r="F126" s="380"/>
      <c r="G126" s="380"/>
      <c r="H126" s="35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263" t="s">
        <v>386</v>
      </c>
      <c r="U126" s="269"/>
      <c r="V126" s="270"/>
      <c r="W126" s="270" t="str">
        <f t="shared" si="134"/>
        <v/>
      </c>
      <c r="X126" s="270" t="str">
        <f t="shared" si="135"/>
        <v/>
      </c>
      <c r="Y126" s="62">
        <v>0</v>
      </c>
      <c r="Z126" s="62">
        <v>0</v>
      </c>
      <c r="AA126" s="256">
        <f t="shared" si="136"/>
        <v>0</v>
      </c>
      <c r="AB126" s="3"/>
      <c r="AC126" s="62" t="str">
        <f t="shared" si="137"/>
        <v/>
      </c>
      <c r="AD126" s="62" t="str">
        <f t="shared" si="138"/>
        <v/>
      </c>
      <c r="AE126" s="62" t="str">
        <f t="shared" si="139"/>
        <v/>
      </c>
      <c r="AF126" s="62" t="str">
        <f t="shared" si="140"/>
        <v/>
      </c>
      <c r="AG126" s="192">
        <v>0</v>
      </c>
      <c r="AH126" s="62" t="str">
        <f t="shared" si="141"/>
        <v/>
      </c>
      <c r="AI126" s="62">
        <f t="shared" si="142"/>
        <v>0</v>
      </c>
      <c r="AJ126" s="62"/>
      <c r="AK126" s="62">
        <v>0</v>
      </c>
      <c r="AL126" s="256">
        <f t="shared" si="143"/>
        <v>0</v>
      </c>
      <c r="AM126" s="256">
        <f t="shared" si="144"/>
        <v>0</v>
      </c>
      <c r="AN126" s="256">
        <f t="shared" si="145"/>
        <v>0</v>
      </c>
    </row>
    <row r="127" spans="1:40" hidden="1" x14ac:dyDescent="0.2">
      <c r="A127" s="311" t="s">
        <v>386</v>
      </c>
      <c r="B127" s="798" t="s">
        <v>386</v>
      </c>
      <c r="C127" s="798" t="s">
        <v>386</v>
      </c>
      <c r="D127" s="798"/>
      <c r="E127" s="798" t="s">
        <v>386</v>
      </c>
      <c r="F127" s="798" t="s">
        <v>386</v>
      </c>
      <c r="G127" s="798" t="s">
        <v>386</v>
      </c>
      <c r="H127" s="311"/>
      <c r="I127" s="312" t="s">
        <v>386</v>
      </c>
      <c r="J127" s="312" t="s">
        <v>386</v>
      </c>
      <c r="K127" s="312" t="s">
        <v>386</v>
      </c>
      <c r="L127" s="312" t="s">
        <v>386</v>
      </c>
      <c r="M127" s="313"/>
      <c r="N127" s="311"/>
      <c r="O127" s="311"/>
      <c r="P127" s="311"/>
      <c r="Q127" s="311" t="str">
        <f>IF('Employee Detail FY23'!Q144="","",'Employee Detail FY23'!Q144)</f>
        <v/>
      </c>
      <c r="R127" s="311" t="str">
        <f>IF('Employee Detail FY23'!R144="","",'Employee Detail FY23'!R144)</f>
        <v/>
      </c>
      <c r="S127" s="311" t="str">
        <f>IF('Employee Detail FY23'!S144="","",'Employee Detail FY23'!S144)</f>
        <v/>
      </c>
      <c r="T127" s="263" t="str">
        <f t="shared" ref="T127" si="148">+IF(R127="","",R127*S127)</f>
        <v/>
      </c>
      <c r="U127" s="269" t="str">
        <f>IF('Employee Detail FY23'!U144="","",'Employee Detail FY23'!U144)</f>
        <v/>
      </c>
      <c r="V127" s="270"/>
      <c r="W127" s="270" t="str">
        <f t="shared" ref="W127" si="149">+IF(P127="EE",+V127*$W$1,"")</f>
        <v/>
      </c>
      <c r="X127" s="270" t="str">
        <f t="shared" ref="X127" si="150">_xlfn.IFS(P127="ER",V127,P127="EE",W127,P127="N",V127,P127="","")</f>
        <v/>
      </c>
      <c r="Y127" s="62">
        <v>0</v>
      </c>
      <c r="Z127" s="62">
        <v>0</v>
      </c>
      <c r="AA127" s="256">
        <f t="shared" ref="AA127" si="151">SUM(X127:Z127)</f>
        <v>0</v>
      </c>
      <c r="AB127" s="3"/>
      <c r="AC127" s="62" t="str">
        <f t="shared" ref="AC127" si="152">IF(AND(M127=1,P127&lt;&gt;"N"),$AC$1,"")</f>
        <v/>
      </c>
      <c r="AD127" s="62" t="str">
        <f t="shared" ref="AD127" si="153">_xlfn.IFS(P127="N",$AD$1*AA127,P127="EE","",P127="ER","",P127="","")</f>
        <v/>
      </c>
      <c r="AE127" s="62" t="str">
        <f t="shared" ref="AE127" si="154">_xlfn.IFS(P127="EE",X127*$AE$1,P127="ER",X127*$AE$2,P127="N","",P127="","")</f>
        <v/>
      </c>
      <c r="AF127" s="62" t="str">
        <f t="shared" ref="AF127" si="155">+IF(AA127&gt;1,AA127*$AF$1,"")</f>
        <v/>
      </c>
      <c r="AG127" s="192">
        <v>0</v>
      </c>
      <c r="AH127" s="62" t="str">
        <f t="shared" ref="AH127" si="156">+IF(AA127&gt;1,AA127*$AH$1,"")</f>
        <v/>
      </c>
      <c r="AI127" s="62">
        <f t="shared" ref="AI127" si="157">+_xlfn.IFS(F127&lt;2300,(AA127*$AI$1),F127&gt;=2300,(AA127*$AI$2),F127="","")</f>
        <v>0</v>
      </c>
      <c r="AJ127" s="62"/>
      <c r="AK127" s="62">
        <v>0</v>
      </c>
      <c r="AL127" s="256">
        <f t="shared" ref="AL127" si="158">SUM(AC127:AK127)</f>
        <v>0</v>
      </c>
      <c r="AM127" s="256">
        <f t="shared" ref="AM127" si="159">AA127</f>
        <v>0</v>
      </c>
      <c r="AN127" s="256">
        <f t="shared" ref="AN127" si="160">SUM(AL127:AM127)</f>
        <v>0</v>
      </c>
    </row>
    <row r="128" spans="1:40" hidden="1" x14ac:dyDescent="0.2">
      <c r="A128" s="311"/>
      <c r="B128" s="380"/>
      <c r="C128" s="380"/>
      <c r="D128" s="380"/>
      <c r="E128" s="380"/>
      <c r="F128" s="380"/>
      <c r="G128" s="380"/>
      <c r="H128" s="35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263"/>
      <c r="U128" s="269"/>
      <c r="V128" s="270"/>
      <c r="W128" s="270" t="str">
        <f>+IF(P128="EE",+V128*$W$1,"")</f>
        <v/>
      </c>
      <c r="X128" s="270" t="str">
        <f>_xlfn.IFS(P128="ER",V128,P128="EE",W128,P128="N",V128,P128="","")</f>
        <v/>
      </c>
      <c r="Y128" s="62">
        <v>0</v>
      </c>
      <c r="Z128" s="62">
        <v>0</v>
      </c>
      <c r="AA128" s="256">
        <f>SUM(X128:Z128)</f>
        <v>0</v>
      </c>
      <c r="AB128" s="3"/>
      <c r="AC128" s="62" t="str">
        <f>IF(AND(M128=1,P128&lt;&gt;"N"),$AC$1,"")</f>
        <v/>
      </c>
      <c r="AD128" s="62" t="str">
        <f>_xlfn.IFS(P128="N",$AD$1*AA128,P128="EE","",P128="ER","",P128="","")</f>
        <v/>
      </c>
      <c r="AE128" s="62" t="str">
        <f>_xlfn.IFS(P128="EE",X128*$AE$1,P128="ER",X128*$AE$2,P128="N","",P128="","")</f>
        <v/>
      </c>
      <c r="AF128" s="62" t="str">
        <f>+IF(AA128&gt;1,AA128*$AF$1,"")</f>
        <v/>
      </c>
      <c r="AG128" s="192">
        <v>0</v>
      </c>
      <c r="AH128" s="62" t="str">
        <f>+IF(AA128&gt;1,AA128*$AH$1,"")</f>
        <v/>
      </c>
      <c r="AI128" s="62">
        <f>+_xlfn.IFS(F128&lt;2300,(AA128*$AI$1),F128&gt;=2300,(AA128*$AI$2),F128="","")</f>
        <v>0</v>
      </c>
      <c r="AJ128" s="62"/>
      <c r="AK128" s="62">
        <v>0</v>
      </c>
      <c r="AL128" s="256">
        <f>SUM(AC128:AK128)</f>
        <v>0</v>
      </c>
      <c r="AM128" s="256">
        <f>AA128</f>
        <v>0</v>
      </c>
      <c r="AN128" s="256">
        <f>SUM(AL128:AM128)</f>
        <v>0</v>
      </c>
    </row>
    <row r="129" spans="1:40" hidden="1" x14ac:dyDescent="0.2">
      <c r="A129" s="311" t="s">
        <v>386</v>
      </c>
      <c r="B129" s="798" t="s">
        <v>386</v>
      </c>
      <c r="C129" s="798" t="s">
        <v>386</v>
      </c>
      <c r="D129" s="798"/>
      <c r="E129" s="798" t="s">
        <v>386</v>
      </c>
      <c r="F129" s="798" t="s">
        <v>386</v>
      </c>
      <c r="G129" s="798" t="s">
        <v>386</v>
      </c>
      <c r="H129" s="311"/>
      <c r="I129" s="312" t="s">
        <v>386</v>
      </c>
      <c r="J129" s="312" t="s">
        <v>386</v>
      </c>
      <c r="K129" s="312" t="s">
        <v>386</v>
      </c>
      <c r="L129" s="312" t="s">
        <v>386</v>
      </c>
      <c r="M129" s="313"/>
      <c r="N129" s="311"/>
      <c r="O129" s="311"/>
      <c r="P129" s="311"/>
      <c r="Q129" s="311" t="str">
        <f>IF('Employee Detail FY23'!Q152="","",'Employee Detail FY23'!Q152)</f>
        <v/>
      </c>
      <c r="R129" s="311" t="str">
        <f>IF('Employee Detail FY23'!R152="","",'Employee Detail FY23'!R152)</f>
        <v/>
      </c>
      <c r="S129" s="311" t="str">
        <f>IF('Employee Detail FY23'!S152="","",'Employee Detail FY23'!S152)</f>
        <v/>
      </c>
      <c r="T129" s="263" t="str">
        <f>+IF(R129="","",R129*S129)</f>
        <v/>
      </c>
      <c r="U129" s="269" t="str">
        <f>IF('Employee Detail FY23'!U152="","",'Employee Detail FY23'!U152)</f>
        <v/>
      </c>
      <c r="V129" s="270"/>
      <c r="W129" s="270" t="str">
        <f>+IF(P129="EE",+V129*$W$1,"")</f>
        <v/>
      </c>
      <c r="X129" s="270" t="str">
        <f>_xlfn.IFS(P129="ER",V129,P129="EE",W129,P129="N",V129,P129="","")</f>
        <v/>
      </c>
      <c r="Y129" s="62">
        <v>0</v>
      </c>
      <c r="Z129" s="62">
        <v>0</v>
      </c>
      <c r="AA129" s="256">
        <f>SUM(X129:Z129)</f>
        <v>0</v>
      </c>
      <c r="AB129" s="3"/>
      <c r="AC129" s="62" t="str">
        <f>IF(AND(M129=1,P129&lt;&gt;"N"),$AC$1,"")</f>
        <v/>
      </c>
      <c r="AD129" s="62" t="str">
        <f>_xlfn.IFS(P129="N",$AD$1*AA129,P129="EE","",P129="ER","",P129="","")</f>
        <v/>
      </c>
      <c r="AE129" s="62" t="str">
        <f>_xlfn.IFS(P129="EE",X129*$AE$1,P129="ER",X129*$AE$2,P129="N","",P129="","")</f>
        <v/>
      </c>
      <c r="AF129" s="62" t="str">
        <f>+IF(AA129&gt;1,AA129*$AF$1,"")</f>
        <v/>
      </c>
      <c r="AG129" s="192">
        <v>0</v>
      </c>
      <c r="AH129" s="62" t="str">
        <f>+IF(AA129&gt;1,AA129*$AH$1,"")</f>
        <v/>
      </c>
      <c r="AI129" s="62">
        <f>+_xlfn.IFS(F129&lt;2300,(AA129*$AI$1),F129&gt;=2300,(AA129*$AI$2),F129="","")</f>
        <v>0</v>
      </c>
      <c r="AJ129" s="62"/>
      <c r="AK129" s="62">
        <v>0</v>
      </c>
      <c r="AL129" s="256">
        <f>SUM(AC129:AK129)</f>
        <v>0</v>
      </c>
      <c r="AM129" s="256">
        <f>AA129</f>
        <v>0</v>
      </c>
      <c r="AN129" s="256">
        <f>SUM(AL129:AM129)</f>
        <v>0</v>
      </c>
    </row>
    <row r="130" spans="1:40" hidden="1" x14ac:dyDescent="0.2">
      <c r="A130" s="264" t="str">
        <f>IF('Employee Detail FY23'!A130="","",'Employee Detail FY23'!A130)</f>
        <v/>
      </c>
      <c r="B130" s="264" t="str">
        <f>IF('Employee Detail FY23'!B130="","",'Employee Detail FY23'!B130)</f>
        <v/>
      </c>
      <c r="C130" s="264" t="str">
        <f>IF('Employee Detail FY23'!C130="","",'Employee Detail FY23'!C130)</f>
        <v/>
      </c>
      <c r="D130" s="264"/>
      <c r="E130" s="264" t="str">
        <f>IF('Employee Detail FY23'!E130="","",'Employee Detail FY23'!E130)</f>
        <v/>
      </c>
      <c r="F130" s="264" t="str">
        <f>IF('Employee Detail FY23'!F130="","",'Employee Detail FY23'!F130)</f>
        <v/>
      </c>
      <c r="G130" s="264" t="str">
        <f>IF('Employee Detail FY23'!G130="","",'Employee Detail FY23'!G130)</f>
        <v/>
      </c>
      <c r="H130" s="264"/>
      <c r="I130" s="265" t="str">
        <f>IF('Employee Detail FY23'!I130="","",'Employee Detail FY23'!I130)</f>
        <v/>
      </c>
      <c r="J130" s="265" t="str">
        <f>IF('Employee Detail FY23'!J130="","",'Employee Detail FY23'!J130)</f>
        <v/>
      </c>
      <c r="K130" s="265" t="str">
        <f>IF('Employee Detail FY23'!K130="","",'Employee Detail FY23'!K130)</f>
        <v/>
      </c>
      <c r="L130" s="265" t="str">
        <f>IF('Employee Detail FY23'!L130="","",'Employee Detail FY23'!L130)</f>
        <v/>
      </c>
      <c r="M130" s="267" t="str">
        <f>IF('Employee Detail FY23'!M130="","",'Employee Detail FY23'!M130)</f>
        <v/>
      </c>
      <c r="N130" s="264" t="str">
        <f>IF('Employee Detail FY23'!N130="","",'Employee Detail FY23'!N130)</f>
        <v/>
      </c>
      <c r="O130" s="264" t="str">
        <f>IF('Employee Detail FY23'!O130="","",'Employee Detail FY23'!O130)</f>
        <v/>
      </c>
      <c r="P130" s="264" t="str">
        <f>IF('Employee Detail FY23'!P130="","",'Employee Detail FY23'!P130)</f>
        <v/>
      </c>
      <c r="Q130" s="264" t="str">
        <f>IF('Employee Detail FY23'!Q130="","",'Employee Detail FY23'!Q130)</f>
        <v/>
      </c>
      <c r="R130" s="264" t="str">
        <f>IF('Employee Detail FY23'!R130="","",'Employee Detail FY23'!R130)</f>
        <v/>
      </c>
      <c r="S130" s="264" t="str">
        <f>IF('Employee Detail FY23'!S130="","",'Employee Detail FY23'!S130)</f>
        <v/>
      </c>
      <c r="T130" s="263" t="str">
        <f t="shared" ref="T130" si="161">+IF(R130="","",R130*S130)</f>
        <v/>
      </c>
      <c r="U130" s="269" t="str">
        <f>IF('Employee Detail FY23'!U130="","",'Employee Detail FY23'!U130)</f>
        <v/>
      </c>
      <c r="V130" s="270" t="str">
        <f t="shared" si="70"/>
        <v/>
      </c>
      <c r="W130" s="270" t="str">
        <f t="shared" ref="W130" si="162">+IF(P130="EE",+V130*$W$1,"")</f>
        <v/>
      </c>
      <c r="X130" s="270" t="str">
        <f t="shared" ref="X130" si="163">_xlfn.IFS(P130="ER",V130,P130="EE",W130,P130="N",V130,P130="","")</f>
        <v/>
      </c>
      <c r="Y130" s="62">
        <v>0</v>
      </c>
      <c r="Z130" s="62">
        <v>0</v>
      </c>
      <c r="AA130" s="256">
        <f t="shared" si="0"/>
        <v>0</v>
      </c>
      <c r="AB130" s="3"/>
      <c r="AC130" s="62" t="str">
        <f t="shared" si="61"/>
        <v/>
      </c>
      <c r="AD130" s="62" t="str">
        <f t="shared" si="1"/>
        <v/>
      </c>
      <c r="AE130" s="62" t="str">
        <f t="shared" si="2"/>
        <v/>
      </c>
      <c r="AF130" s="62" t="str">
        <f t="shared" si="3"/>
        <v/>
      </c>
      <c r="AG130" s="192">
        <v>0</v>
      </c>
      <c r="AH130" s="62" t="str">
        <f t="shared" ref="AH130" si="164">+IF(AA130&gt;1,AA130*$AH$1,"")</f>
        <v/>
      </c>
      <c r="AI130" s="62">
        <f t="shared" ref="AI130" si="165">+_xlfn.IFS(F130&lt;2300,(AA130*$AI$1),F130&gt;=2300,(AA130*$AI$2),F130="","")</f>
        <v>0</v>
      </c>
      <c r="AJ130" s="62"/>
      <c r="AK130" s="62">
        <v>0</v>
      </c>
      <c r="AL130" s="256">
        <f t="shared" ref="AL130" si="166">SUM(AC130:AK130)</f>
        <v>0</v>
      </c>
      <c r="AM130" s="256">
        <f t="shared" ref="AM130" si="167">AA130</f>
        <v>0</v>
      </c>
      <c r="AN130" s="256">
        <f t="shared" ref="AN130" si="168">SUM(AL130:AM130)</f>
        <v>0</v>
      </c>
    </row>
    <row r="131" spans="1:40" ht="13.5" thickBot="1" x14ac:dyDescent="0.25">
      <c r="A131" s="259"/>
      <c r="B131" s="259"/>
      <c r="C131" s="259"/>
      <c r="D131" s="259"/>
      <c r="E131" s="259"/>
      <c r="F131" s="259"/>
      <c r="G131" s="259"/>
      <c r="H131" s="259"/>
      <c r="I131" s="260"/>
      <c r="J131" s="260"/>
      <c r="K131" s="260"/>
      <c r="L131" s="260"/>
      <c r="M131" s="261">
        <f>SUM(M6:M130)</f>
        <v>50.5</v>
      </c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8">
        <f>SUM(Y6:Y130)</f>
        <v>0</v>
      </c>
      <c r="Z131" s="258">
        <f>SUM(Z6:Z130)</f>
        <v>0</v>
      </c>
      <c r="AA131" s="258">
        <f>SUM(AA6:AA130)</f>
        <v>3031648.0078184875</v>
      </c>
      <c r="AB131" s="5"/>
      <c r="AC131" s="257">
        <f t="shared" ref="AC131:AN131" si="169">SUM(AC6:AC130)</f>
        <v>397188.00000000029</v>
      </c>
      <c r="AD131" s="257">
        <f t="shared" si="169"/>
        <v>2754.1280400000001</v>
      </c>
      <c r="AE131" s="257">
        <f t="shared" si="169"/>
        <v>700980.93120231933</v>
      </c>
      <c r="AF131" s="257">
        <f t="shared" si="169"/>
        <v>43958.896113368086</v>
      </c>
      <c r="AG131" s="257">
        <f t="shared" si="169"/>
        <v>0</v>
      </c>
      <c r="AH131" s="257">
        <f t="shared" si="169"/>
        <v>27595.079125015473</v>
      </c>
      <c r="AI131" s="257">
        <f t="shared" si="169"/>
        <v>8928.8058007852942</v>
      </c>
      <c r="AJ131" s="257">
        <f t="shared" si="169"/>
        <v>0</v>
      </c>
      <c r="AK131" s="257">
        <f t="shared" si="169"/>
        <v>0</v>
      </c>
      <c r="AL131" s="257">
        <f t="shared" si="169"/>
        <v>1181405.8402814886</v>
      </c>
      <c r="AM131" s="257">
        <f t="shared" si="169"/>
        <v>3031648.0078184875</v>
      </c>
      <c r="AN131" s="257">
        <f t="shared" si="169"/>
        <v>4213053.8480999758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255"/>
      <c r="J132" s="255"/>
      <c r="K132" s="255"/>
      <c r="L132" s="2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259"/>
      <c r="B133" s="259"/>
      <c r="C133" s="259"/>
      <c r="D133" s="259"/>
      <c r="E133" s="259"/>
      <c r="F133" s="259"/>
      <c r="G133" s="259"/>
      <c r="H133" s="259"/>
      <c r="I133" s="260"/>
      <c r="J133" s="260"/>
      <c r="K133" s="260"/>
      <c r="L133" s="260"/>
      <c r="M133" s="262">
        <f>SUBTOTAL(9,M6:M130)</f>
        <v>23</v>
      </c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8">
        <f t="shared" ref="Y133:AN133" si="170">SUBTOTAL(9,Y6:Y130)</f>
        <v>0</v>
      </c>
      <c r="Z133" s="258">
        <f t="shared" si="170"/>
        <v>0</v>
      </c>
      <c r="AA133" s="258">
        <f t="shared" si="170"/>
        <v>1186166.2313811597</v>
      </c>
      <c r="AB133" s="258">
        <f t="shared" si="170"/>
        <v>0</v>
      </c>
      <c r="AC133" s="258">
        <f t="shared" si="170"/>
        <v>182706.48000000004</v>
      </c>
      <c r="AD133" s="258">
        <f t="shared" si="170"/>
        <v>0</v>
      </c>
      <c r="AE133" s="258">
        <f t="shared" si="170"/>
        <v>295510.20668562688</v>
      </c>
      <c r="AF133" s="258">
        <f t="shared" si="170"/>
        <v>17199.410355026823</v>
      </c>
      <c r="AG133" s="258">
        <f t="shared" si="170"/>
        <v>0</v>
      </c>
      <c r="AH133" s="258">
        <f t="shared" si="170"/>
        <v>10796.883716701026</v>
      </c>
      <c r="AI133" s="258">
        <f t="shared" si="170"/>
        <v>3493.495254111916</v>
      </c>
      <c r="AJ133" s="258">
        <f t="shared" si="170"/>
        <v>0</v>
      </c>
      <c r="AK133" s="258">
        <f t="shared" si="170"/>
        <v>0</v>
      </c>
      <c r="AL133" s="258">
        <f t="shared" si="170"/>
        <v>509706.47601146676</v>
      </c>
      <c r="AM133" s="258">
        <f t="shared" si="170"/>
        <v>1186166.2313811597</v>
      </c>
      <c r="AN133" s="258">
        <f t="shared" si="170"/>
        <v>1695872.7073926271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255"/>
      <c r="J134" s="255"/>
      <c r="K134" s="255"/>
      <c r="L134" s="2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3"/>
      <c r="B138" s="3"/>
      <c r="C138" s="3"/>
      <c r="D138" s="3"/>
      <c r="E138" s="3"/>
      <c r="F138" s="3"/>
      <c r="G138" s="3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">
      <c r="A139" s="3"/>
      <c r="B139" s="3"/>
      <c r="C139" s="3"/>
      <c r="D139" s="3"/>
      <c r="E139" s="3"/>
      <c r="F139" s="3"/>
      <c r="G139" s="3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">
      <c r="A140" s="3"/>
      <c r="B140" s="3"/>
      <c r="C140" s="3"/>
      <c r="D140" s="3"/>
      <c r="E140" s="3"/>
      <c r="F140" s="3"/>
      <c r="G140" s="3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">
      <c r="A141" s="3"/>
      <c r="B141" s="3"/>
      <c r="C141" s="3"/>
      <c r="D141" s="3"/>
      <c r="E141" s="3"/>
      <c r="F141" s="3"/>
      <c r="G141" s="3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">
      <c r="A142" s="3"/>
      <c r="B142" s="3"/>
      <c r="C142" s="3"/>
      <c r="D142" s="3"/>
      <c r="E142" s="3"/>
      <c r="F142" s="3"/>
      <c r="G142" s="3"/>
      <c r="H142" s="3"/>
      <c r="I142" s="255"/>
      <c r="J142" s="255"/>
      <c r="K142" s="255"/>
      <c r="L142" s="2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">
      <c r="A143" s="3"/>
      <c r="B143" s="3"/>
      <c r="C143" s="3"/>
      <c r="D143" s="3"/>
      <c r="E143" s="3"/>
      <c r="F143" s="3"/>
      <c r="G143" s="3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">
      <c r="A144" s="3"/>
      <c r="B144" s="3"/>
      <c r="C144" s="3"/>
      <c r="D144" s="3"/>
      <c r="E144" s="3"/>
      <c r="F144" s="3"/>
      <c r="G144" s="3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">
      <c r="A145" s="3"/>
      <c r="B145" s="3"/>
      <c r="C145" s="3"/>
      <c r="D145" s="3"/>
      <c r="E145" s="3"/>
      <c r="F145" s="3"/>
      <c r="G145" s="3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">
      <c r="A146" s="3"/>
      <c r="B146" s="3"/>
      <c r="C146" s="3"/>
      <c r="D146" s="3"/>
      <c r="E146" s="3"/>
      <c r="F146" s="3"/>
      <c r="G146" s="3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">
      <c r="A147" s="3"/>
      <c r="B147" s="3"/>
      <c r="C147" s="3"/>
      <c r="D147" s="3"/>
      <c r="E147" s="3"/>
      <c r="F147" s="3"/>
      <c r="G147" s="3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">
      <c r="A148" s="3"/>
      <c r="B148" s="3"/>
      <c r="C148" s="3"/>
      <c r="D148" s="3"/>
      <c r="E148" s="3"/>
      <c r="F148" s="3"/>
      <c r="G148" s="3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">
      <c r="A149" s="3"/>
      <c r="B149" s="3"/>
      <c r="C149" s="3"/>
      <c r="D149" s="3"/>
      <c r="E149" s="3"/>
      <c r="F149" s="3"/>
      <c r="G149" s="3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">
      <c r="A150" s="3"/>
      <c r="B150" s="3"/>
      <c r="C150" s="3"/>
      <c r="D150" s="3"/>
      <c r="E150" s="3"/>
      <c r="F150" s="3"/>
      <c r="G150" s="3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">
      <c r="A151" s="3"/>
      <c r="B151" s="3"/>
      <c r="C151" s="3"/>
      <c r="D151" s="3"/>
      <c r="E151" s="3"/>
      <c r="F151" s="3"/>
      <c r="G151" s="3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">
      <c r="A152" s="3"/>
      <c r="B152" s="3"/>
      <c r="C152" s="3"/>
      <c r="D152" s="3"/>
      <c r="E152" s="3"/>
      <c r="F152" s="3"/>
      <c r="G152" s="3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">
      <c r="A153" s="3"/>
      <c r="B153" s="3"/>
      <c r="C153" s="3"/>
      <c r="D153" s="3"/>
      <c r="E153" s="3"/>
      <c r="F153" s="3"/>
      <c r="G153" s="3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">
      <c r="A154" s="3"/>
      <c r="B154" s="3"/>
      <c r="C154" s="3"/>
      <c r="D154" s="3"/>
      <c r="E154" s="3"/>
      <c r="F154" s="3"/>
      <c r="G154" s="3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</sheetData>
  <autoFilter ref="B3:H130" xr:uid="{AE856389-D68B-4864-B1AF-6E5DFB64D7CF}">
    <filterColumn colId="4">
      <filters>
        <filter val="1000"/>
      </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ADB97-2819-433F-A3C4-F5F92F4618B5}">
  <sheetPr codeName="Sheet2"/>
  <dimension ref="A1:U43"/>
  <sheetViews>
    <sheetView workbookViewId="0">
      <pane ySplit="6" topLeftCell="A7" activePane="bottomLeft" state="frozen"/>
      <selection activeCell="I33" sqref="I33"/>
      <selection pane="bottomLeft" activeCell="I33" sqref="I33"/>
    </sheetView>
  </sheetViews>
  <sheetFormatPr defaultRowHeight="12.75" x14ac:dyDescent="0.2"/>
  <cols>
    <col min="1" max="1" width="17.42578125" style="3" bestFit="1" customWidth="1"/>
    <col min="2" max="4" width="9.140625" style="3"/>
    <col min="13" max="21" width="9.140625" style="3"/>
  </cols>
  <sheetData>
    <row r="1" spans="1:3" x14ac:dyDescent="0.2">
      <c r="A1" s="2"/>
    </row>
    <row r="2" spans="1:3" x14ac:dyDescent="0.2">
      <c r="A2" s="2" t="s">
        <v>1277</v>
      </c>
    </row>
    <row r="3" spans="1:3" x14ac:dyDescent="0.2">
      <c r="A3" s="2" t="s">
        <v>8</v>
      </c>
      <c r="B3" s="61">
        <v>2122</v>
      </c>
    </row>
    <row r="7" spans="1:3" x14ac:dyDescent="0.2">
      <c r="A7" s="2" t="s">
        <v>1278</v>
      </c>
    </row>
    <row r="9" spans="1:3" x14ac:dyDescent="0.2">
      <c r="A9" s="3" t="s">
        <v>1279</v>
      </c>
      <c r="B9" s="3">
        <v>433</v>
      </c>
    </row>
    <row r="10" spans="1:3" x14ac:dyDescent="0.2">
      <c r="A10" s="3" t="s">
        <v>1280</v>
      </c>
      <c r="B10" s="3">
        <v>553</v>
      </c>
      <c r="C10" s="286">
        <f t="shared" ref="C10:C18" si="0">((B10-B9)/B9)</f>
        <v>0.27713625866050806</v>
      </c>
    </row>
    <row r="11" spans="1:3" x14ac:dyDescent="0.2">
      <c r="A11" s="3" t="s">
        <v>1281</v>
      </c>
      <c r="B11" s="3">
        <v>570</v>
      </c>
      <c r="C11" s="286">
        <f t="shared" si="0"/>
        <v>3.074141048824593E-2</v>
      </c>
    </row>
    <row r="12" spans="1:3" x14ac:dyDescent="0.2">
      <c r="A12" s="3" t="s">
        <v>1282</v>
      </c>
      <c r="B12" s="3">
        <v>616</v>
      </c>
      <c r="C12" s="286">
        <f t="shared" si="0"/>
        <v>8.0701754385964913E-2</v>
      </c>
    </row>
    <row r="13" spans="1:3" x14ac:dyDescent="0.2">
      <c r="A13" s="3" t="s">
        <v>1283</v>
      </c>
      <c r="B13" s="3">
        <v>709</v>
      </c>
      <c r="C13" s="286">
        <f t="shared" si="0"/>
        <v>0.15097402597402598</v>
      </c>
    </row>
    <row r="14" spans="1:3" x14ac:dyDescent="0.2">
      <c r="A14" s="3" t="s">
        <v>1284</v>
      </c>
      <c r="B14" s="3">
        <v>754</v>
      </c>
      <c r="C14" s="286">
        <f t="shared" si="0"/>
        <v>6.3469675599435824E-2</v>
      </c>
    </row>
    <row r="15" spans="1:3" x14ac:dyDescent="0.2">
      <c r="A15" s="3" t="s">
        <v>1285</v>
      </c>
      <c r="B15" s="3">
        <v>833.89</v>
      </c>
      <c r="C15" s="286">
        <f t="shared" si="0"/>
        <v>0.1059549071618037</v>
      </c>
    </row>
    <row r="16" spans="1:3" x14ac:dyDescent="0.2">
      <c r="A16" s="3" t="s">
        <v>1286</v>
      </c>
      <c r="B16" s="3">
        <v>900</v>
      </c>
      <c r="C16" s="286">
        <f t="shared" si="0"/>
        <v>7.927904160021107E-2</v>
      </c>
    </row>
    <row r="17" spans="1:3" x14ac:dyDescent="0.2">
      <c r="A17" s="3" t="s">
        <v>1287</v>
      </c>
      <c r="B17" s="3">
        <v>989</v>
      </c>
      <c r="C17" s="286">
        <f t="shared" si="0"/>
        <v>9.8888888888888887E-2</v>
      </c>
    </row>
    <row r="18" spans="1:3" x14ac:dyDescent="0.2">
      <c r="A18" s="3" t="s">
        <v>1288</v>
      </c>
      <c r="B18" s="3">
        <v>1134</v>
      </c>
      <c r="C18" s="286">
        <f t="shared" si="0"/>
        <v>0.14661274014155712</v>
      </c>
    </row>
    <row r="19" spans="1:3" x14ac:dyDescent="0.2">
      <c r="A19" s="3" t="s">
        <v>1289</v>
      </c>
      <c r="B19" s="3">
        <v>1215</v>
      </c>
      <c r="C19" s="286">
        <f>((B19-B18)/B18)</f>
        <v>7.1428571428571425E-2</v>
      </c>
    </row>
    <row r="20" spans="1:3" x14ac:dyDescent="0.2">
      <c r="A20" s="3" t="s">
        <v>1290</v>
      </c>
      <c r="B20" s="3">
        <v>1296</v>
      </c>
      <c r="C20" s="286">
        <f t="shared" ref="C20:C23" si="1">((B20-B19)/B19)</f>
        <v>6.6666666666666666E-2</v>
      </c>
    </row>
    <row r="21" spans="1:3" x14ac:dyDescent="0.2">
      <c r="A21" s="3" t="s">
        <v>1291</v>
      </c>
      <c r="B21" s="3">
        <v>1323</v>
      </c>
      <c r="C21" s="286">
        <f t="shared" si="1"/>
        <v>2.0833333333333332E-2</v>
      </c>
    </row>
    <row r="22" spans="1:3" x14ac:dyDescent="0.2">
      <c r="A22" s="3" t="s">
        <v>1292</v>
      </c>
      <c r="B22" s="3">
        <v>1350</v>
      </c>
      <c r="C22" s="286">
        <f t="shared" si="1"/>
        <v>2.0408163265306121E-2</v>
      </c>
    </row>
    <row r="23" spans="1:3" x14ac:dyDescent="0.2">
      <c r="A23" s="3" t="s">
        <v>1293</v>
      </c>
      <c r="B23" s="3">
        <v>1350</v>
      </c>
      <c r="C23" s="286">
        <f t="shared" si="1"/>
        <v>0</v>
      </c>
    </row>
    <row r="28" spans="1:3" x14ac:dyDescent="0.2">
      <c r="A28" s="2" t="s">
        <v>1294</v>
      </c>
    </row>
    <row r="30" spans="1:3" x14ac:dyDescent="0.2">
      <c r="A30" s="3" t="s">
        <v>1279</v>
      </c>
      <c r="B30" s="62">
        <v>6506.1900000000005</v>
      </c>
    </row>
    <row r="31" spans="1:3" x14ac:dyDescent="0.2">
      <c r="A31" s="3" t="s">
        <v>1280</v>
      </c>
      <c r="B31" s="62">
        <v>6506.1900000000005</v>
      </c>
      <c r="C31" s="824">
        <f t="shared" ref="C31:C35" si="2">((B31-B30)/B30)</f>
        <v>0</v>
      </c>
    </row>
    <row r="32" spans="1:3" x14ac:dyDescent="0.2">
      <c r="A32" s="3" t="s">
        <v>1281</v>
      </c>
      <c r="B32" s="62">
        <v>6597</v>
      </c>
      <c r="C32" s="824">
        <f t="shared" si="2"/>
        <v>1.3957477417659103E-2</v>
      </c>
    </row>
    <row r="33" spans="1:3" x14ac:dyDescent="0.2">
      <c r="A33" s="3" t="s">
        <v>1282</v>
      </c>
      <c r="B33" s="62">
        <v>6720.03</v>
      </c>
      <c r="C33" s="824">
        <f t="shared" si="2"/>
        <v>1.8649386084583865E-2</v>
      </c>
    </row>
    <row r="34" spans="1:3" x14ac:dyDescent="0.2">
      <c r="A34" s="3" t="s">
        <v>1283</v>
      </c>
      <c r="B34" s="62">
        <v>6720.03</v>
      </c>
      <c r="C34" s="824">
        <f t="shared" si="2"/>
        <v>0</v>
      </c>
    </row>
    <row r="35" spans="1:3" x14ac:dyDescent="0.2">
      <c r="A35" s="3" t="s">
        <v>1284</v>
      </c>
      <c r="B35" s="62">
        <f>6067+1163.66</f>
        <v>7230.66</v>
      </c>
      <c r="C35" s="824">
        <f t="shared" si="2"/>
        <v>7.5986267918446815E-2</v>
      </c>
    </row>
    <row r="36" spans="1:3" x14ac:dyDescent="0.2">
      <c r="A36" s="3" t="s">
        <v>1285</v>
      </c>
      <c r="B36" s="62">
        <v>7372.38</v>
      </c>
      <c r="C36" s="824">
        <f>((B36-B35)/B35)</f>
        <v>1.9599870551236024E-2</v>
      </c>
    </row>
    <row r="37" spans="1:3" x14ac:dyDescent="0.2">
      <c r="A37" s="3" t="s">
        <v>1295</v>
      </c>
      <c r="B37" s="62">
        <v>7197</v>
      </c>
      <c r="C37" s="824">
        <f>((B37-B36)/B36)</f>
        <v>-2.3788790051516621E-2</v>
      </c>
    </row>
    <row r="38" spans="1:3" x14ac:dyDescent="0.2">
      <c r="A38" s="3" t="s">
        <v>1296</v>
      </c>
      <c r="B38" s="62">
        <v>7293.1809010453544</v>
      </c>
      <c r="C38" s="824">
        <f>((B38-B37)/B37)</f>
        <v>1.3364026823031042E-2</v>
      </c>
    </row>
    <row r="39" spans="1:3" x14ac:dyDescent="0.2">
      <c r="A39" s="3" t="s">
        <v>1297</v>
      </c>
      <c r="B39" s="62">
        <v>7293.1809010453544</v>
      </c>
      <c r="C39" s="824">
        <f>((B39-B38)/B38)</f>
        <v>0</v>
      </c>
    </row>
    <row r="40" spans="1:3" x14ac:dyDescent="0.2">
      <c r="A40" s="3" t="s">
        <v>1298</v>
      </c>
      <c r="B40" s="62">
        <v>7293.1809010453544</v>
      </c>
      <c r="C40" s="824">
        <f>((B40-B39)/B39)</f>
        <v>0</v>
      </c>
    </row>
    <row r="41" spans="1:3" x14ac:dyDescent="0.2">
      <c r="A41" s="3" t="s">
        <v>1291</v>
      </c>
      <c r="B41" s="62">
        <v>7293.1809010453544</v>
      </c>
      <c r="C41" s="824">
        <f t="shared" ref="C41:C43" si="3">((B41-B40)/B40)</f>
        <v>0</v>
      </c>
    </row>
    <row r="42" spans="1:3" x14ac:dyDescent="0.2">
      <c r="A42" s="3" t="s">
        <v>1292</v>
      </c>
      <c r="B42" s="62">
        <v>7293.1809010453544</v>
      </c>
      <c r="C42" s="824">
        <f t="shared" si="3"/>
        <v>0</v>
      </c>
    </row>
    <row r="43" spans="1:3" x14ac:dyDescent="0.2">
      <c r="A43" s="3" t="s">
        <v>1293</v>
      </c>
      <c r="B43" s="62">
        <v>7293.1809010453544</v>
      </c>
      <c r="C43" s="824">
        <f t="shared" si="3"/>
        <v>0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73138-0D83-415C-A294-B931B53EF0D8}">
  <sheetPr codeName="Sheet20" filterMode="1"/>
  <dimension ref="A1:WWF154"/>
  <sheetViews>
    <sheetView workbookViewId="0">
      <pane xSplit="8" ySplit="5" topLeftCell="AA84" activePane="bottomRight" state="frozen"/>
      <selection activeCell="C412" sqref="C412"/>
      <selection pane="topRight" activeCell="C412" sqref="C412"/>
      <selection pane="bottomLeft" activeCell="C412" sqref="C412"/>
      <selection pane="bottomRight" activeCell="C412" sqref="C412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style="253" bestFit="1" customWidth="1"/>
    <col min="10" max="10" width="9.42578125" style="253" bestFit="1" customWidth="1"/>
    <col min="11" max="11" width="10.140625" style="253" bestFit="1" customWidth="1"/>
    <col min="12" max="12" width="31.7109375" style="253" customWidth="1"/>
    <col min="13" max="13" width="9.140625" customWidth="1"/>
    <col min="16" max="16" width="11.140625" customWidth="1"/>
    <col min="21" max="22" width="11" bestFit="1" customWidth="1"/>
    <col min="23" max="23" width="10.5703125" customWidth="1"/>
    <col min="24" max="24" width="12" customWidth="1"/>
    <col min="25" max="25" width="12.28515625" customWidth="1"/>
    <col min="26" max="26" width="10" bestFit="1" customWidth="1"/>
    <col min="27" max="27" width="12.5703125" bestFit="1" customWidth="1"/>
    <col min="28" max="28" width="1.7109375" customWidth="1"/>
    <col min="29" max="29" width="11.140625" bestFit="1" customWidth="1"/>
    <col min="30" max="30" width="9.5703125" bestFit="1" customWidth="1"/>
    <col min="31" max="31" width="11.140625" bestFit="1" customWidth="1"/>
    <col min="32" max="32" width="10.140625" bestFit="1" customWidth="1"/>
    <col min="33" max="33" width="9.42578125" bestFit="1" customWidth="1"/>
    <col min="34" max="34" width="10.28515625" customWidth="1"/>
    <col min="35" max="35" width="10.140625" bestFit="1" customWidth="1"/>
    <col min="36" max="36" width="8" bestFit="1" customWidth="1"/>
    <col min="37" max="37" width="7.42578125" bestFit="1" customWidth="1"/>
    <col min="38" max="39" width="12.5703125" bestFit="1" customWidth="1"/>
    <col min="40" max="40" width="12.85546875" customWidth="1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f>'Employee Detail FY24'!V1+0.03</f>
        <v>0.09</v>
      </c>
      <c r="W1" s="226">
        <f>IF('Employee Detail FY24'!W1="","",'Employee Detail FY24'!W1)</f>
        <v>1.153586</v>
      </c>
      <c r="X1" s="229"/>
      <c r="Y1" s="229"/>
      <c r="Z1" s="229"/>
      <c r="AA1" s="229"/>
      <c r="AB1" s="229"/>
      <c r="AC1" s="192">
        <f>IF('Employee Detail FY24'!AC1="","",'Employee Detail FY24'!AC1)</f>
        <v>7943.76</v>
      </c>
      <c r="AD1" s="232">
        <v>6.2E-2</v>
      </c>
      <c r="AE1" s="232">
        <v>0.1525</v>
      </c>
      <c r="AF1" s="232">
        <v>1.4500000000000001E-2</v>
      </c>
      <c r="AG1" s="229"/>
      <c r="AH1" s="281">
        <f>'Employee Detail FY21'!AH1</f>
        <v>9.1023361069124693E-3</v>
      </c>
      <c r="AI1" s="282">
        <f>'Employee Detail FY21'!AI1</f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Students'!G6</f>
        <v>FY2526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0.29249999999999998</v>
      </c>
      <c r="AF2" s="229"/>
      <c r="AG2" s="229"/>
      <c r="AH2" s="229"/>
      <c r="AI2" s="282">
        <f>'Employee Detail FY21'!AI2</f>
        <v>2.9451987096649392E-3</v>
      </c>
      <c r="AJ2" s="229"/>
      <c r="AK2" s="229"/>
      <c r="AL2" s="229"/>
      <c r="AM2" s="229"/>
      <c r="AN2" s="229"/>
    </row>
    <row r="3" spans="1:16152" s="243" customFormat="1" ht="40.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238" t="s">
        <v>339</v>
      </c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hidden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hidden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hidden="1" x14ac:dyDescent="0.2">
      <c r="A6" s="264" t="str">
        <f>IF('Employee Detail FY24'!A6="","",'Employee Detail FY24'!A6)</f>
        <v/>
      </c>
      <c r="B6" s="787" t="str">
        <f>IF('Employee Detail FY24'!B6="","",'Employee Detail FY24'!B6)</f>
        <v/>
      </c>
      <c r="C6" s="787" t="str">
        <f>IF('Employee Detail FY24'!C6="","",'Employee Detail FY24'!C6)</f>
        <v/>
      </c>
      <c r="D6" s="787"/>
      <c r="E6" s="787" t="str">
        <f>IF('Employee Detail FY24'!E6="","",'Employee Detail FY24'!E6)</f>
        <v/>
      </c>
      <c r="F6" s="787" t="str">
        <f>IF('Employee Detail FY24'!F6="","",'Employee Detail FY24'!F6)</f>
        <v/>
      </c>
      <c r="G6" s="787" t="str">
        <f>IF('Employee Detail FY24'!G6="","",'Employee Detail FY24'!G6)</f>
        <v/>
      </c>
      <c r="H6" s="264"/>
      <c r="I6" s="264" t="str">
        <f>IF('Employee Detail FY24'!I6="","",'Employee Detail FY24'!I6)</f>
        <v/>
      </c>
      <c r="J6" s="264" t="str">
        <f>IF('Employee Detail FY24'!J6="","",'Employee Detail FY24'!J6)</f>
        <v/>
      </c>
      <c r="K6" s="264" t="str">
        <f>IF('Employee Detail FY24'!K6="","",'Employee Detail FY24'!K6)</f>
        <v/>
      </c>
      <c r="L6" s="264" t="str">
        <f>IF('Employee Detail FY24'!L6="","",'Employee Detail FY24'!L6)</f>
        <v/>
      </c>
      <c r="M6" s="267" t="str">
        <f>IF('Employee Detail FY24'!M6="","",'Employee Detail FY24'!M6)</f>
        <v/>
      </c>
      <c r="N6" s="264" t="str">
        <f>IF('Employee Detail FY24'!N6="","",'Employee Detail FY24'!N6)</f>
        <v/>
      </c>
      <c r="O6" s="264" t="str">
        <f>IF('Employee Detail FY24'!O6="","",'Employee Detail FY24'!O6)</f>
        <v/>
      </c>
      <c r="P6" s="264" t="str">
        <f>IF('Employee Detail FY24'!P6="","",'Employee Detail FY24'!P6)</f>
        <v/>
      </c>
      <c r="Q6" s="264" t="str">
        <f>IF('Employee Detail FY24'!Q6="","",'Employee Detail FY24'!Q6)</f>
        <v/>
      </c>
      <c r="R6" s="264" t="str">
        <f>IF('Employee Detail FY24'!R6="","",'Employee Detail FY24'!R6)</f>
        <v/>
      </c>
      <c r="S6" s="264" t="str">
        <f>IF('Employee Detail FY24'!S6="","",'Employee Detail FY24'!S6)</f>
        <v/>
      </c>
      <c r="T6" s="263" t="str">
        <f>+IF(R6="","",R6*S6)</f>
        <v/>
      </c>
      <c r="U6" s="269" t="str">
        <f>IF('Employee Detail FY24'!U6="","",'Employee Detail FY24'!U6)</f>
        <v/>
      </c>
      <c r="V6" s="270" t="str">
        <f>IF($U6="","",$U6*(1+$V$1))</f>
        <v/>
      </c>
      <c r="W6" s="270" t="str">
        <f>+IF(P6="EE",+V6*$W$1,"")</f>
        <v/>
      </c>
      <c r="X6" s="270" t="str">
        <f>_xlfn.IFS(P6="ER",V6,P6="EE",W6,P6="N",V6,P6="","")</f>
        <v/>
      </c>
      <c r="Y6" s="62">
        <v>0</v>
      </c>
      <c r="Z6" s="62">
        <v>0</v>
      </c>
      <c r="AA6" s="256">
        <f t="shared" ref="AA6:AA130" si="0">SUM(X6:Z6)</f>
        <v>0</v>
      </c>
      <c r="AB6" s="3"/>
      <c r="AC6" s="62" t="str">
        <f>IF(AND(M6=1,P6&lt;&gt;"N"),$AC$1,"")</f>
        <v/>
      </c>
      <c r="AD6" s="62" t="str">
        <f t="shared" ref="AD6:AD130" si="1">_xlfn.IFS(P6="N",$AD$1*AA6,P6="EE","",P6="ER","",P6="","")</f>
        <v/>
      </c>
      <c r="AE6" s="62" t="str">
        <f t="shared" ref="AE6:AE130" si="2">_xlfn.IFS(P6="EE",X6*$AE$1,P6="ER",X6*$AE$2,P6="N","",P6="","")</f>
        <v/>
      </c>
      <c r="AF6" s="62" t="str">
        <f t="shared" ref="AF6:AF130" si="3">+IF(AA6&gt;1,AA6*$AF$1,"")</f>
        <v/>
      </c>
      <c r="AG6" s="192">
        <v>0</v>
      </c>
      <c r="AH6" s="62" t="str">
        <f t="shared" ref="AH6:AH130" si="4">+IF(AA6&gt;1,AA6*$AH$1,"")</f>
        <v/>
      </c>
      <c r="AI6" s="62">
        <f t="shared" ref="AI6:AI130" si="5">+_xlfn.IFS(F6&lt;2300,(AA6*$AI$1),F6&gt;=2300,(AA6*$AI$2),F6="","")</f>
        <v>0</v>
      </c>
      <c r="AJ6" s="62"/>
      <c r="AK6" s="62">
        <v>0</v>
      </c>
      <c r="AL6" s="256">
        <f>SUM(AC6:AK6)</f>
        <v>0</v>
      </c>
      <c r="AM6" s="256">
        <f>AA6</f>
        <v>0</v>
      </c>
      <c r="AN6" s="256">
        <f>SUM(AL6:AM6)</f>
        <v>0</v>
      </c>
    </row>
    <row r="7" spans="1:16152" hidden="1" x14ac:dyDescent="0.2">
      <c r="A7" s="3" t="str">
        <f>IF('Employee Detail FY24'!A7="","",'Employee Detail FY24'!A7)</f>
        <v/>
      </c>
      <c r="B7" s="647">
        <f>IF('Employee Detail FY24'!B7="","",'Employee Detail FY24'!B7)</f>
        <v>100</v>
      </c>
      <c r="C7" s="647" t="str">
        <f>IF('Employee Detail FY24'!C7="","",'Employee Detail FY24'!C7)</f>
        <v>000</v>
      </c>
      <c r="D7" s="647"/>
      <c r="E7" s="647">
        <f>IF('Employee Detail FY24'!E7="","",'Employee Detail FY24'!E7)</f>
        <v>100</v>
      </c>
      <c r="F7" s="647" t="str">
        <f>IF('Employee Detail FY24'!F7="","",'Employee Detail FY24'!F7)</f>
        <v>2320</v>
      </c>
      <c r="G7" s="647" t="str">
        <f>IF('Employee Detail FY24'!G7="","",'Employee Detail FY24'!G7)</f>
        <v>0104</v>
      </c>
      <c r="H7" s="3"/>
      <c r="I7" s="255" t="str">
        <f>IF('Employee Detail FY24'!I7="","",'Employee Detail FY24'!I7)</f>
        <v>DAMORE</v>
      </c>
      <c r="J7" s="255" t="str">
        <f>IF('Employee Detail FY24'!J7="","",'Employee Detail FY24'!J7)</f>
        <v>ANDREA</v>
      </c>
      <c r="K7" s="255" t="str">
        <f>IF('Employee Detail FY24'!K7="","",'Employee Detail FY24'!K7)</f>
        <v>Admnistration</v>
      </c>
      <c r="L7" s="255" t="str">
        <f>IF('Employee Detail FY24'!L7="","",'Employee Detail FY24'!L7)</f>
        <v>EXEC. DIR. ACADEMICS</v>
      </c>
      <c r="M7" s="92">
        <v>1</v>
      </c>
      <c r="N7" s="3" t="str">
        <f>IF('Employee Detail FY24'!N7="","",'Employee Detail FY24'!N7)</f>
        <v>S</v>
      </c>
      <c r="O7" s="3">
        <f>IF('Employee Detail FY24'!O7="","",'Employee Detail FY24'!O7)</f>
        <v>1</v>
      </c>
      <c r="P7" s="3" t="str">
        <f>IF('Employee Detail FY24'!P7="","",'Employee Detail FY24'!P7)</f>
        <v>ER</v>
      </c>
      <c r="Q7" s="3" t="str">
        <f>IF('Employee Detail FY24'!Q7="","",'Employee Detail FY24'!Q7)</f>
        <v/>
      </c>
      <c r="R7" s="3">
        <f>IF('Employee Detail FY24'!R7="","",'Employee Detail FY24'!R7)</f>
        <v>261</v>
      </c>
      <c r="S7" s="3">
        <f>IF('Employee Detail FY24'!S7="","",'Employee Detail FY24'!S7)</f>
        <v>8</v>
      </c>
      <c r="T7" s="263">
        <f t="shared" ref="T7:T68" si="6">+IF(R7="","",R7*S7)</f>
        <v>2088</v>
      </c>
      <c r="U7" s="269">
        <f>IF('Employee Detail FY24'!U7="","",'Employee Detail FY24'!U7)</f>
        <v>123000</v>
      </c>
      <c r="V7" s="270">
        <f t="shared" ref="V7:V68" si="7">IF($U7="","",$U7*(1+$V$1))</f>
        <v>134070</v>
      </c>
      <c r="W7" s="270" t="str">
        <f t="shared" ref="W7:W68" si="8">+IF(P7="EE",+V7*$W$1,"")</f>
        <v/>
      </c>
      <c r="X7" s="270">
        <f t="shared" ref="X7:X68" si="9">_xlfn.IFS(P7="ER",V7,P7="EE",W7,P7="N",V7,P7="","")</f>
        <v>134070</v>
      </c>
      <c r="Y7" s="62">
        <v>0</v>
      </c>
      <c r="Z7" s="62">
        <v>0</v>
      </c>
      <c r="AA7" s="256">
        <f t="shared" ref="AA7:AA68" si="10">SUM(X7:Z7)</f>
        <v>134070</v>
      </c>
      <c r="AB7" s="3"/>
      <c r="AC7" s="62">
        <f t="shared" ref="AC7:AC68" si="11">IF(AND(M7=1,P7&lt;&gt;"N"),$AC$1,"")</f>
        <v>7943.76</v>
      </c>
      <c r="AD7" s="62" t="str">
        <f t="shared" ref="AD7:AD68" si="12">_xlfn.IFS(P7="N",$AD$1*AA7,P7="EE","",P7="ER","",P7="","")</f>
        <v/>
      </c>
      <c r="AE7" s="62">
        <f t="shared" ref="AE7:AE68" si="13">_xlfn.IFS(P7="EE",X7*$AE$1,P7="ER",X7*$AE$2,P7="N","",P7="","")</f>
        <v>39215.474999999999</v>
      </c>
      <c r="AF7" s="62">
        <f t="shared" ref="AF7:AF68" si="14">+IF(AA7&gt;1,AA7*$AF$1,"")</f>
        <v>1944.0150000000001</v>
      </c>
      <c r="AG7" s="192">
        <v>0</v>
      </c>
      <c r="AH7" s="62">
        <f t="shared" ref="AH7:AH68" si="15">+IF(AA7&gt;1,AA7*$AH$1,"")</f>
        <v>1220.3502018537547</v>
      </c>
      <c r="AI7" s="62">
        <f t="shared" ref="AI7:AI68" si="16">+_xlfn.IFS(F7&lt;2300,(AA7*$AI$1),F7&gt;=2300,(AA7*$AI$2),F7="","")</f>
        <v>394.86279100477839</v>
      </c>
      <c r="AJ7" s="62"/>
      <c r="AK7" s="62">
        <v>0</v>
      </c>
      <c r="AL7" s="256">
        <f t="shared" ref="AL7:AL68" si="17">SUM(AC7:AK7)</f>
        <v>50718.462992858535</v>
      </c>
      <c r="AM7" s="256">
        <f t="shared" ref="AM7:AM68" si="18">AA7</f>
        <v>134070</v>
      </c>
      <c r="AN7" s="256">
        <f t="shared" ref="AN7:AN68" si="19">SUM(AL7:AM7)</f>
        <v>184788.46299285855</v>
      </c>
    </row>
    <row r="8" spans="1:16152" hidden="1" x14ac:dyDescent="0.2">
      <c r="A8" s="3" t="str">
        <f>IF('Employee Detail FY24'!A8="","",'Employee Detail FY24'!A8)</f>
        <v/>
      </c>
      <c r="B8" s="647">
        <f>IF('Employee Detail FY24'!B8="","",'Employee Detail FY24'!B8)</f>
        <v>100</v>
      </c>
      <c r="C8" s="647" t="str">
        <f>IF('Employee Detail FY24'!C8="","",'Employee Detail FY24'!C8)</f>
        <v>000</v>
      </c>
      <c r="D8" s="647"/>
      <c r="E8" s="647">
        <f>IF('Employee Detail FY24'!E8="","",'Employee Detail FY24'!E8)</f>
        <v>100</v>
      </c>
      <c r="F8" s="647" t="str">
        <f>IF('Employee Detail FY24'!F8="","",'Employee Detail FY24'!F8)</f>
        <v>2320</v>
      </c>
      <c r="G8" s="647" t="str">
        <f>IF('Employee Detail FY24'!G8="","",'Employee Detail FY24'!G8)</f>
        <v>0104</v>
      </c>
      <c r="H8" s="3"/>
      <c r="I8" s="255" t="str">
        <f>IF('Employee Detail FY24'!I8="","",'Employee Detail FY24'!I8)</f>
        <v>TONDRYK</v>
      </c>
      <c r="J8" s="255" t="str">
        <f>IF('Employee Detail FY24'!J8="","",'Employee Detail FY24'!J8)</f>
        <v>Tambre</v>
      </c>
      <c r="K8" s="255" t="str">
        <f>IF('Employee Detail FY24'!K8="","",'Employee Detail FY24'!K8)</f>
        <v>Administration</v>
      </c>
      <c r="L8" s="255" t="str">
        <f>IF('Employee Detail FY24'!L8="","",'Employee Detail FY24'!L8)</f>
        <v>Exec. Dir. Operations</v>
      </c>
      <c r="M8" s="92">
        <v>1</v>
      </c>
      <c r="N8" s="3" t="str">
        <f>IF('Employee Detail FY24'!N8="","",'Employee Detail FY24'!N8)</f>
        <v/>
      </c>
      <c r="O8" s="3">
        <f>IF('Employee Detail FY24'!O8="","",'Employee Detail FY24'!O8)</f>
        <v>26</v>
      </c>
      <c r="P8" s="3" t="str">
        <f>IF('Employee Detail FY24'!P8="","",'Employee Detail FY24'!P8)</f>
        <v>ER</v>
      </c>
      <c r="Q8" s="3" t="str">
        <f>IF('Employee Detail FY24'!Q8="","",'Employee Detail FY24'!Q8)</f>
        <v/>
      </c>
      <c r="R8" s="3">
        <f>IF('Employee Detail FY24'!R8="","",'Employee Detail FY24'!R8)</f>
        <v>261</v>
      </c>
      <c r="S8" s="3">
        <f>IF('Employee Detail FY24'!S8="","",'Employee Detail FY24'!S8)</f>
        <v>8</v>
      </c>
      <c r="T8" s="263">
        <f t="shared" si="6"/>
        <v>2088</v>
      </c>
      <c r="U8" s="269">
        <f>IF('Employee Detail FY24'!U8="","",'Employee Detail FY24'!U8)</f>
        <v>135000</v>
      </c>
      <c r="V8" s="270">
        <f t="shared" si="7"/>
        <v>147150</v>
      </c>
      <c r="W8" s="270" t="str">
        <f t="shared" si="8"/>
        <v/>
      </c>
      <c r="X8" s="270">
        <f t="shared" si="9"/>
        <v>147150</v>
      </c>
      <c r="Y8" s="62">
        <v>0</v>
      </c>
      <c r="Z8" s="62">
        <v>0</v>
      </c>
      <c r="AA8" s="256">
        <f t="shared" si="10"/>
        <v>147150</v>
      </c>
      <c r="AB8" s="3"/>
      <c r="AC8" s="62">
        <f t="shared" si="11"/>
        <v>7943.76</v>
      </c>
      <c r="AD8" s="62" t="str">
        <f t="shared" si="12"/>
        <v/>
      </c>
      <c r="AE8" s="62">
        <f t="shared" si="13"/>
        <v>43041.375</v>
      </c>
      <c r="AF8" s="62">
        <f t="shared" si="14"/>
        <v>2133.6750000000002</v>
      </c>
      <c r="AG8" s="192">
        <v>0</v>
      </c>
      <c r="AH8" s="62">
        <f t="shared" si="15"/>
        <v>1339.4087581321699</v>
      </c>
      <c r="AI8" s="62">
        <f t="shared" si="16"/>
        <v>433.38599012719578</v>
      </c>
      <c r="AJ8" s="62"/>
      <c r="AK8" s="62">
        <v>0</v>
      </c>
      <c r="AL8" s="256">
        <f t="shared" si="17"/>
        <v>54891.604748259371</v>
      </c>
      <c r="AM8" s="256">
        <f t="shared" si="18"/>
        <v>147150</v>
      </c>
      <c r="AN8" s="256">
        <f t="shared" si="19"/>
        <v>202041.60474825936</v>
      </c>
    </row>
    <row r="9" spans="1:16152" hidden="1" x14ac:dyDescent="0.2">
      <c r="A9" s="3" t="str">
        <f>IF('Employee Detail FY24'!A9="","",'Employee Detail FY24'!A9)</f>
        <v/>
      </c>
      <c r="B9" s="647" t="str">
        <f>IF('Employee Detail FY24'!B9="","",'Employee Detail FY24'!B9)</f>
        <v/>
      </c>
      <c r="C9" s="647" t="str">
        <f>IF('Employee Detail FY24'!C9="","",'Employee Detail FY24'!C9)</f>
        <v/>
      </c>
      <c r="D9" s="647"/>
      <c r="E9" s="647" t="str">
        <f>IF('Employee Detail FY24'!E9="","",'Employee Detail FY24'!E9)</f>
        <v/>
      </c>
      <c r="F9" s="647" t="str">
        <f>IF('Employee Detail FY24'!F9="","",'Employee Detail FY24'!F9)</f>
        <v/>
      </c>
      <c r="G9" s="647" t="str">
        <f>IF('Employee Detail FY24'!G9="","",'Employee Detail FY24'!G9)</f>
        <v/>
      </c>
      <c r="H9" s="3"/>
      <c r="I9" s="255" t="str">
        <f>IF('Employee Detail FY24'!I9="","",'Employee Detail FY24'!I9)</f>
        <v/>
      </c>
      <c r="J9" s="255" t="str">
        <f>IF('Employee Detail FY24'!J9="","",'Employee Detail FY24'!J9)</f>
        <v/>
      </c>
      <c r="K9" s="255" t="str">
        <f>IF('Employee Detail FY24'!K9="","",'Employee Detail FY24'!K9)</f>
        <v/>
      </c>
      <c r="L9" s="255" t="str">
        <f>IF('Employee Detail FY24'!L9="","",'Employee Detail FY24'!L9)</f>
        <v/>
      </c>
      <c r="M9" s="92" t="s">
        <v>386</v>
      </c>
      <c r="N9" s="3" t="str">
        <f>IF('Employee Detail FY24'!N9="","",'Employee Detail FY24'!N9)</f>
        <v/>
      </c>
      <c r="O9" s="3" t="str">
        <f>IF('Employee Detail FY24'!O9="","",'Employee Detail FY24'!O9)</f>
        <v/>
      </c>
      <c r="P9" s="3" t="str">
        <f>IF('Employee Detail FY24'!P9="","",'Employee Detail FY24'!P9)</f>
        <v/>
      </c>
      <c r="Q9" s="3" t="str">
        <f>IF('Employee Detail FY24'!Q9="","",'Employee Detail FY24'!Q9)</f>
        <v/>
      </c>
      <c r="R9" s="3" t="str">
        <f>IF('Employee Detail FY24'!R9="","",'Employee Detail FY24'!R9)</f>
        <v/>
      </c>
      <c r="S9" s="3" t="str">
        <f>IF('Employee Detail FY24'!S9="","",'Employee Detail FY24'!S9)</f>
        <v/>
      </c>
      <c r="T9" s="263" t="str">
        <f t="shared" si="6"/>
        <v/>
      </c>
      <c r="U9" s="269" t="str">
        <f>IF('Employee Detail FY24'!U9="","",'Employee Detail FY24'!U9)</f>
        <v/>
      </c>
      <c r="V9" s="270" t="str">
        <f t="shared" si="7"/>
        <v/>
      </c>
      <c r="W9" s="270" t="str">
        <f t="shared" si="8"/>
        <v/>
      </c>
      <c r="X9" s="270" t="str">
        <f t="shared" si="9"/>
        <v/>
      </c>
      <c r="Y9" s="62">
        <v>0</v>
      </c>
      <c r="Z9" s="62">
        <v>0</v>
      </c>
      <c r="AA9" s="256">
        <f t="shared" si="10"/>
        <v>0</v>
      </c>
      <c r="AB9" s="3"/>
      <c r="AC9" s="62" t="str">
        <f t="shared" si="11"/>
        <v/>
      </c>
      <c r="AD9" s="62" t="str">
        <f t="shared" si="12"/>
        <v/>
      </c>
      <c r="AE9" s="62" t="str">
        <f t="shared" si="13"/>
        <v/>
      </c>
      <c r="AF9" s="62" t="str">
        <f t="shared" si="14"/>
        <v/>
      </c>
      <c r="AG9" s="192">
        <v>0</v>
      </c>
      <c r="AH9" s="62" t="str">
        <f t="shared" si="15"/>
        <v/>
      </c>
      <c r="AI9" s="62">
        <f t="shared" si="16"/>
        <v>0</v>
      </c>
      <c r="AJ9" s="62"/>
      <c r="AK9" s="62">
        <v>0</v>
      </c>
      <c r="AL9" s="256">
        <f t="shared" si="17"/>
        <v>0</v>
      </c>
      <c r="AM9" s="256">
        <f t="shared" si="18"/>
        <v>0</v>
      </c>
      <c r="AN9" s="256">
        <f t="shared" si="19"/>
        <v>0</v>
      </c>
    </row>
    <row r="10" spans="1:16152" hidden="1" x14ac:dyDescent="0.2">
      <c r="A10" s="3" t="str">
        <f>IF('Employee Detail FY24'!A10="","",'Employee Detail FY24'!A10)</f>
        <v>TITLE I 1003a</v>
      </c>
      <c r="B10" s="647">
        <f>IF('Employee Detail FY24'!B10="","",'Employee Detail FY24'!B10)</f>
        <v>280</v>
      </c>
      <c r="C10" s="647">
        <f>IF('Employee Detail FY24'!C10="","",'Employee Detail FY24'!C10)</f>
        <v>624</v>
      </c>
      <c r="D10" s="647"/>
      <c r="E10" s="647">
        <f>IF('Employee Detail FY24'!E10="","",'Employee Detail FY24'!E10)</f>
        <v>430</v>
      </c>
      <c r="F10" s="647">
        <f>IF('Employee Detail FY24'!F10="","",'Employee Detail FY24'!F10)</f>
        <v>2410</v>
      </c>
      <c r="G10" s="647" t="str">
        <f>IF('Employee Detail FY24'!G10="","",'Employee Detail FY24'!G10)</f>
        <v>0104</v>
      </c>
      <c r="H10" s="3"/>
      <c r="I10" s="255" t="str">
        <f>IF('Employee Detail FY24'!I10="","",'Employee Detail FY24'!I10)</f>
        <v>MEDINA</v>
      </c>
      <c r="J10" s="255" t="str">
        <f>IF('Employee Detail FY24'!J10="","",'Employee Detail FY24'!J10)</f>
        <v>VINCENT</v>
      </c>
      <c r="K10" s="255" t="str">
        <f>IF('Employee Detail FY24'!K10="","",'Employee Detail FY24'!K10)</f>
        <v>Licensed Staff</v>
      </c>
      <c r="L10" s="255" t="str">
        <f>IF('Employee Detail FY24'!L10="","",'Employee Detail FY24'!L10)</f>
        <v>ACADEMIC COORDINATOR</v>
      </c>
      <c r="M10" s="92">
        <v>1</v>
      </c>
      <c r="N10" s="3" t="str">
        <f>IF('Employee Detail FY24'!N10="","",'Employee Detail FY24'!N10)</f>
        <v/>
      </c>
      <c r="O10" s="3">
        <f>IF('Employee Detail FY24'!O10="","",'Employee Detail FY24'!O10)</f>
        <v>26</v>
      </c>
      <c r="P10" s="3" t="str">
        <f>IF('Employee Detail FY24'!P10="","",'Employee Detail FY24'!P10)</f>
        <v>ER</v>
      </c>
      <c r="Q10" s="3" t="str">
        <f>IF('Employee Detail FY24'!Q10="","",'Employee Detail FY24'!Q10)</f>
        <v/>
      </c>
      <c r="R10" s="3">
        <f>IF('Employee Detail FY24'!R10="","",'Employee Detail FY24'!R10)</f>
        <v>261</v>
      </c>
      <c r="S10" s="3">
        <f>IF('Employee Detail FY24'!S10="","",'Employee Detail FY24'!S10)</f>
        <v>8</v>
      </c>
      <c r="T10" s="263">
        <f t="shared" si="6"/>
        <v>2088</v>
      </c>
      <c r="U10" s="269">
        <f>IF('Employee Detail FY24'!U10="","",'Employee Detail FY24'!U10)</f>
        <v>89000</v>
      </c>
      <c r="V10" s="270">
        <f t="shared" si="7"/>
        <v>97010</v>
      </c>
      <c r="W10" s="270" t="str">
        <f t="shared" si="8"/>
        <v/>
      </c>
      <c r="X10" s="270">
        <f t="shared" si="9"/>
        <v>97010</v>
      </c>
      <c r="Y10" s="62">
        <v>0</v>
      </c>
      <c r="Z10" s="62">
        <v>0</v>
      </c>
      <c r="AA10" s="256">
        <f t="shared" si="10"/>
        <v>97010</v>
      </c>
      <c r="AB10" s="3"/>
      <c r="AC10" s="62">
        <f t="shared" si="11"/>
        <v>7943.76</v>
      </c>
      <c r="AD10" s="62" t="str">
        <f t="shared" si="12"/>
        <v/>
      </c>
      <c r="AE10" s="62">
        <f t="shared" si="13"/>
        <v>28375.424999999999</v>
      </c>
      <c r="AF10" s="62">
        <f t="shared" si="14"/>
        <v>1406.645</v>
      </c>
      <c r="AG10" s="192">
        <v>0</v>
      </c>
      <c r="AH10" s="62">
        <f t="shared" si="15"/>
        <v>883.01762573157862</v>
      </c>
      <c r="AI10" s="62">
        <f t="shared" si="16"/>
        <v>285.71372682459577</v>
      </c>
      <c r="AJ10" s="62"/>
      <c r="AK10" s="62">
        <v>0</v>
      </c>
      <c r="AL10" s="256">
        <f t="shared" si="17"/>
        <v>38894.561352556164</v>
      </c>
      <c r="AM10" s="256">
        <f t="shared" si="18"/>
        <v>97010</v>
      </c>
      <c r="AN10" s="256">
        <f t="shared" si="19"/>
        <v>135904.56135255616</v>
      </c>
    </row>
    <row r="11" spans="1:16152" hidden="1" x14ac:dyDescent="0.2">
      <c r="A11" s="3" t="str">
        <f>IF('Employee Detail FY24'!A11="","",'Employee Detail FY24'!A11)</f>
        <v/>
      </c>
      <c r="B11" s="647" t="str">
        <f>IF('Employee Detail FY24'!B11="","",'Employee Detail FY24'!B11)</f>
        <v/>
      </c>
      <c r="C11" s="647" t="str">
        <f>IF('Employee Detail FY24'!C11="","",'Employee Detail FY24'!C11)</f>
        <v/>
      </c>
      <c r="D11" s="647"/>
      <c r="E11" s="647" t="str">
        <f>IF('Employee Detail FY24'!E11="","",'Employee Detail FY24'!E11)</f>
        <v/>
      </c>
      <c r="F11" s="647" t="str">
        <f>IF('Employee Detail FY24'!F11="","",'Employee Detail FY24'!F11)</f>
        <v/>
      </c>
      <c r="G11" s="647" t="str">
        <f>IF('Employee Detail FY24'!G11="","",'Employee Detail FY24'!G11)</f>
        <v/>
      </c>
      <c r="H11" s="3"/>
      <c r="I11" s="255" t="str">
        <f>IF('Employee Detail FY24'!I11="","",'Employee Detail FY24'!I11)</f>
        <v/>
      </c>
      <c r="J11" s="255" t="str">
        <f>IF('Employee Detail FY24'!J11="","",'Employee Detail FY24'!J11)</f>
        <v/>
      </c>
      <c r="K11" s="255" t="str">
        <f>IF('Employee Detail FY24'!K11="","",'Employee Detail FY24'!K11)</f>
        <v/>
      </c>
      <c r="L11" s="255" t="str">
        <f>IF('Employee Detail FY24'!L11="","",'Employee Detail FY24'!L11)</f>
        <v/>
      </c>
      <c r="M11" s="92" t="s">
        <v>386</v>
      </c>
      <c r="N11" s="3" t="str">
        <f>IF('Employee Detail FY24'!N11="","",'Employee Detail FY24'!N11)</f>
        <v/>
      </c>
      <c r="O11" s="3" t="str">
        <f>IF('Employee Detail FY24'!O11="","",'Employee Detail FY24'!O11)</f>
        <v/>
      </c>
      <c r="P11" s="3" t="str">
        <f>IF('Employee Detail FY24'!P11="","",'Employee Detail FY24'!P11)</f>
        <v/>
      </c>
      <c r="Q11" s="3" t="str">
        <f>IF('Employee Detail FY24'!Q11="","",'Employee Detail FY24'!Q11)</f>
        <v/>
      </c>
      <c r="R11" s="3" t="str">
        <f>IF('Employee Detail FY24'!R11="","",'Employee Detail FY24'!R11)</f>
        <v/>
      </c>
      <c r="S11" s="3" t="str">
        <f>IF('Employee Detail FY24'!S11="","",'Employee Detail FY24'!S11)</f>
        <v/>
      </c>
      <c r="T11" s="263" t="str">
        <f t="shared" si="6"/>
        <v/>
      </c>
      <c r="U11" s="269" t="str">
        <f>IF('Employee Detail FY24'!U11="","",'Employee Detail FY24'!U11)</f>
        <v/>
      </c>
      <c r="V11" s="270" t="str">
        <f t="shared" si="7"/>
        <v/>
      </c>
      <c r="W11" s="270" t="str">
        <f t="shared" si="8"/>
        <v/>
      </c>
      <c r="X11" s="270" t="str">
        <f t="shared" si="9"/>
        <v/>
      </c>
      <c r="Y11" s="62">
        <v>0</v>
      </c>
      <c r="Z11" s="62">
        <v>0</v>
      </c>
      <c r="AA11" s="256">
        <f t="shared" si="10"/>
        <v>0</v>
      </c>
      <c r="AB11" s="3"/>
      <c r="AC11" s="62" t="str">
        <f t="shared" si="11"/>
        <v/>
      </c>
      <c r="AD11" s="62" t="str">
        <f t="shared" si="12"/>
        <v/>
      </c>
      <c r="AE11" s="62" t="str">
        <f t="shared" si="13"/>
        <v/>
      </c>
      <c r="AF11" s="62" t="str">
        <f t="shared" si="14"/>
        <v/>
      </c>
      <c r="AG11" s="192">
        <v>0</v>
      </c>
      <c r="AH11" s="62" t="str">
        <f t="shared" si="15"/>
        <v/>
      </c>
      <c r="AI11" s="62">
        <f t="shared" si="16"/>
        <v>0</v>
      </c>
      <c r="AJ11" s="62"/>
      <c r="AK11" s="62">
        <v>0</v>
      </c>
      <c r="AL11" s="256">
        <f t="shared" si="17"/>
        <v>0</v>
      </c>
      <c r="AM11" s="256">
        <f t="shared" si="18"/>
        <v>0</v>
      </c>
      <c r="AN11" s="256">
        <f t="shared" si="19"/>
        <v>0</v>
      </c>
    </row>
    <row r="12" spans="1:16152" x14ac:dyDescent="0.2">
      <c r="A12" s="3" t="str">
        <f>IF('Employee Detail FY24'!A12="","",'Employee Detail FY24'!A12)</f>
        <v>VACANT</v>
      </c>
      <c r="B12" s="647" t="str">
        <f>IF('Employee Detail FY24'!B12="","",'Employee Detail FY24'!B12)</f>
        <v>250</v>
      </c>
      <c r="C12" s="647" t="str">
        <f>IF('Employee Detail FY24'!C12="","",'Employee Detail FY24'!C12)</f>
        <v>205</v>
      </c>
      <c r="D12" s="647"/>
      <c r="E12" s="647" t="str">
        <f>IF('Employee Detail FY24'!E12="","",'Employee Detail FY24'!E12)</f>
        <v>200</v>
      </c>
      <c r="F12" s="647">
        <f>IF('Employee Detail FY24'!F12="","",'Employee Detail FY24'!F12)</f>
        <v>1000</v>
      </c>
      <c r="G12" s="647" t="str">
        <f>IF('Employee Detail FY24'!G12="","",'Employee Detail FY24'!G12)</f>
        <v>0105</v>
      </c>
      <c r="H12" s="3"/>
      <c r="I12" s="255" t="str">
        <f>IF('Employee Detail FY24'!I12="","",'Employee Detail FY24'!I12)</f>
        <v>VACANT</v>
      </c>
      <c r="J12" s="255" t="str">
        <f>IF('Employee Detail FY24'!J12="","",'Employee Detail FY24'!J12)</f>
        <v>FY23</v>
      </c>
      <c r="K12" s="255" t="str">
        <f>IF('Employee Detail FY24'!K12="","",'Employee Detail FY24'!K12)</f>
        <v>Administration</v>
      </c>
      <c r="L12" s="255" t="str">
        <f>IF('Employee Detail FY24'!L12="","",'Employee Detail FY24'!L12)</f>
        <v>SPECIAL PROGRAMS COORDINATOR</v>
      </c>
      <c r="M12" s="92">
        <v>1</v>
      </c>
      <c r="N12" s="3" t="str">
        <f>IF('Employee Detail FY24'!N12="","",'Employee Detail FY24'!N12)</f>
        <v/>
      </c>
      <c r="O12" s="3">
        <f>IF('Employee Detail FY24'!O12="","",'Employee Detail FY24'!O12)</f>
        <v>1</v>
      </c>
      <c r="P12" s="3" t="str">
        <f>IF('Employee Detail FY24'!P12="","",'Employee Detail FY24'!P12)</f>
        <v>ER</v>
      </c>
      <c r="Q12" s="3" t="str">
        <f>IF('Employee Detail FY24'!Q12="","",'Employee Detail FY24'!Q12)</f>
        <v/>
      </c>
      <c r="R12" s="3">
        <f>IF('Employee Detail FY24'!R12="","",'Employee Detail FY24'!R12)</f>
        <v>261</v>
      </c>
      <c r="S12" s="3">
        <f>IF('Employee Detail FY24'!S12="","",'Employee Detail FY24'!S12)</f>
        <v>8</v>
      </c>
      <c r="T12" s="263">
        <f t="shared" si="6"/>
        <v>2088</v>
      </c>
      <c r="U12" s="269">
        <f>IF('Employee Detail FY24'!U12="","",'Employee Detail FY24'!U12)</f>
        <v>81500</v>
      </c>
      <c r="V12" s="270">
        <f t="shared" si="7"/>
        <v>88835</v>
      </c>
      <c r="W12" s="270" t="str">
        <f t="shared" si="8"/>
        <v/>
      </c>
      <c r="X12" s="270">
        <f t="shared" si="9"/>
        <v>88835</v>
      </c>
      <c r="Y12" s="62">
        <v>0</v>
      </c>
      <c r="Z12" s="62">
        <v>0</v>
      </c>
      <c r="AA12" s="256">
        <f t="shared" si="10"/>
        <v>88835</v>
      </c>
      <c r="AB12" s="3"/>
      <c r="AC12" s="62">
        <f t="shared" si="11"/>
        <v>7943.76</v>
      </c>
      <c r="AD12" s="62" t="str">
        <f t="shared" si="12"/>
        <v/>
      </c>
      <c r="AE12" s="62">
        <f t="shared" si="13"/>
        <v>25984.237499999999</v>
      </c>
      <c r="AF12" s="62">
        <f t="shared" si="14"/>
        <v>1288.1075000000001</v>
      </c>
      <c r="AG12" s="192">
        <v>0</v>
      </c>
      <c r="AH12" s="62">
        <f t="shared" si="15"/>
        <v>808.60602805756923</v>
      </c>
      <c r="AI12" s="62">
        <f t="shared" si="16"/>
        <v>261.63672737308485</v>
      </c>
      <c r="AJ12" s="62"/>
      <c r="AK12" s="62">
        <v>0</v>
      </c>
      <c r="AL12" s="256">
        <f t="shared" si="17"/>
        <v>36286.347755430652</v>
      </c>
      <c r="AM12" s="256">
        <f t="shared" si="18"/>
        <v>88835</v>
      </c>
      <c r="AN12" s="256">
        <f t="shared" si="19"/>
        <v>125121.34775543064</v>
      </c>
    </row>
    <row r="13" spans="1:16152" hidden="1" x14ac:dyDescent="0.2">
      <c r="A13" s="3" t="str">
        <f>IF('Employee Detail FY24'!A13="","",'Employee Detail FY24'!A13)</f>
        <v/>
      </c>
      <c r="B13" s="647" t="str">
        <f>IF('Employee Detail FY24'!B13="","",'Employee Detail FY24'!B13)</f>
        <v/>
      </c>
      <c r="C13" s="647" t="str">
        <f>IF('Employee Detail FY24'!C13="","",'Employee Detail FY24'!C13)</f>
        <v/>
      </c>
      <c r="D13" s="647"/>
      <c r="E13" s="647" t="str">
        <f>IF('Employee Detail FY24'!E13="","",'Employee Detail FY24'!E13)</f>
        <v/>
      </c>
      <c r="F13" s="647" t="str">
        <f>IF('Employee Detail FY24'!F13="","",'Employee Detail FY24'!F13)</f>
        <v/>
      </c>
      <c r="G13" s="647" t="str">
        <f>IF('Employee Detail FY24'!G13="","",'Employee Detail FY24'!G13)</f>
        <v/>
      </c>
      <c r="H13" s="3"/>
      <c r="I13" s="255" t="str">
        <f>IF('Employee Detail FY24'!I13="","",'Employee Detail FY24'!I13)</f>
        <v/>
      </c>
      <c r="J13" s="255" t="str">
        <f>IF('Employee Detail FY24'!J13="","",'Employee Detail FY24'!J13)</f>
        <v/>
      </c>
      <c r="K13" s="255" t="str">
        <f>IF('Employee Detail FY24'!K13="","",'Employee Detail FY24'!K13)</f>
        <v/>
      </c>
      <c r="L13" s="255" t="str">
        <f>IF('Employee Detail FY24'!L13="","",'Employee Detail FY24'!L13)</f>
        <v/>
      </c>
      <c r="M13" s="92" t="s">
        <v>386</v>
      </c>
      <c r="N13" s="3" t="str">
        <f>IF('Employee Detail FY24'!N13="","",'Employee Detail FY24'!N13)</f>
        <v/>
      </c>
      <c r="O13" s="3" t="str">
        <f>IF('Employee Detail FY24'!O13="","",'Employee Detail FY24'!O13)</f>
        <v/>
      </c>
      <c r="P13" s="3" t="str">
        <f>IF('Employee Detail FY24'!P13="","",'Employee Detail FY24'!P13)</f>
        <v/>
      </c>
      <c r="Q13" s="3" t="str">
        <f>IF('Employee Detail FY24'!Q13="","",'Employee Detail FY24'!Q13)</f>
        <v/>
      </c>
      <c r="R13" s="3" t="str">
        <f>IF('Employee Detail FY24'!R13="","",'Employee Detail FY24'!R13)</f>
        <v/>
      </c>
      <c r="S13" s="3" t="str">
        <f>IF('Employee Detail FY24'!S13="","",'Employee Detail FY24'!S13)</f>
        <v/>
      </c>
      <c r="T13" s="263" t="str">
        <f t="shared" si="6"/>
        <v/>
      </c>
      <c r="U13" s="269">
        <f>IF('Employee Detail FY24'!U13="","",'Employee Detail FY24'!U13)</f>
        <v>0</v>
      </c>
      <c r="V13" s="270">
        <f t="shared" si="7"/>
        <v>0</v>
      </c>
      <c r="W13" s="270" t="str">
        <f t="shared" si="8"/>
        <v/>
      </c>
      <c r="X13" s="270" t="str">
        <f t="shared" si="9"/>
        <v/>
      </c>
      <c r="Y13" s="62">
        <v>0</v>
      </c>
      <c r="Z13" s="62">
        <v>0</v>
      </c>
      <c r="AA13" s="256">
        <f t="shared" si="10"/>
        <v>0</v>
      </c>
      <c r="AB13" s="3"/>
      <c r="AC13" s="62" t="str">
        <f t="shared" si="11"/>
        <v/>
      </c>
      <c r="AD13" s="62" t="str">
        <f t="shared" si="12"/>
        <v/>
      </c>
      <c r="AE13" s="62" t="str">
        <f t="shared" si="13"/>
        <v/>
      </c>
      <c r="AF13" s="62" t="str">
        <f t="shared" si="14"/>
        <v/>
      </c>
      <c r="AG13" s="192">
        <v>0</v>
      </c>
      <c r="AH13" s="62" t="str">
        <f t="shared" si="15"/>
        <v/>
      </c>
      <c r="AI13" s="62">
        <f t="shared" si="16"/>
        <v>0</v>
      </c>
      <c r="AJ13" s="62"/>
      <c r="AK13" s="62">
        <v>0</v>
      </c>
      <c r="AL13" s="256">
        <f t="shared" si="17"/>
        <v>0</v>
      </c>
      <c r="AM13" s="256">
        <f t="shared" si="18"/>
        <v>0</v>
      </c>
      <c r="AN13" s="256">
        <f t="shared" si="19"/>
        <v>0</v>
      </c>
    </row>
    <row r="14" spans="1:16152" x14ac:dyDescent="0.2">
      <c r="A14" s="3" t="str">
        <f>IF('Employee Detail FY24'!A14="","",'Employee Detail FY24'!A14)</f>
        <v/>
      </c>
      <c r="B14" s="647">
        <f>IF('Employee Detail FY24'!B14="","",'Employee Detail FY24'!B14)</f>
        <v>100</v>
      </c>
      <c r="C14" s="647" t="str">
        <f>IF('Employee Detail FY24'!C14="","",'Employee Detail FY24'!C14)</f>
        <v>000</v>
      </c>
      <c r="D14" s="647"/>
      <c r="E14" s="647">
        <f>IF('Employee Detail FY24'!E14="","",'Employee Detail FY24'!E14)</f>
        <v>100</v>
      </c>
      <c r="F14" s="647">
        <f>IF('Employee Detail FY24'!F14="","",'Employee Detail FY24'!F14)</f>
        <v>1000</v>
      </c>
      <c r="G14" s="647" t="str">
        <f>IF('Employee Detail FY24'!G14="","",'Employee Detail FY24'!G14)</f>
        <v>0101</v>
      </c>
      <c r="H14" s="3"/>
      <c r="I14" s="255" t="str">
        <f>IF('Employee Detail FY24'!I14="","",'Employee Detail FY24'!I14)</f>
        <v>BAILEY</v>
      </c>
      <c r="J14" s="255" t="str">
        <f>IF('Employee Detail FY24'!J14="","",'Employee Detail FY24'!J14)</f>
        <v>SANDRA</v>
      </c>
      <c r="K14" s="255" t="str">
        <f>IF('Employee Detail FY24'!K14="","",'Employee Detail FY24'!K14)</f>
        <v>Licensed Staff</v>
      </c>
      <c r="L14" s="255" t="str">
        <f>IF('Employee Detail FY24'!L14="","",'Employee Detail FY24'!L14)</f>
        <v>TEACHER</v>
      </c>
      <c r="M14" s="92">
        <v>1</v>
      </c>
      <c r="N14" s="3" t="str">
        <f>IF('Employee Detail FY24'!N14="","",'Employee Detail FY24'!N14)</f>
        <v>S</v>
      </c>
      <c r="O14" s="3">
        <f>IF('Employee Detail FY24'!O14="","",'Employee Detail FY24'!O14)</f>
        <v>1</v>
      </c>
      <c r="P14" s="3" t="str">
        <f>IF('Employee Detail FY24'!P14="","",'Employee Detail FY24'!P14)</f>
        <v>EE</v>
      </c>
      <c r="Q14" s="3" t="str">
        <f>IF('Employee Detail FY24'!Q14="","",'Employee Detail FY24'!Q14)</f>
        <v/>
      </c>
      <c r="R14" s="3">
        <f>IF('Employee Detail FY24'!R14="","",'Employee Detail FY24'!R14)</f>
        <v>200</v>
      </c>
      <c r="S14" s="3">
        <f>IF('Employee Detail FY24'!S14="","",'Employee Detail FY24'!S14)</f>
        <v>8</v>
      </c>
      <c r="T14" s="263">
        <f t="shared" si="6"/>
        <v>1600</v>
      </c>
      <c r="U14" s="269">
        <f>IF('Employee Detail FY24'!U14="","",'Employee Detail FY24'!U14)</f>
        <v>44380</v>
      </c>
      <c r="V14" s="270">
        <f t="shared" si="7"/>
        <v>48374.200000000004</v>
      </c>
      <c r="W14" s="270">
        <f t="shared" si="8"/>
        <v>55803.799881200008</v>
      </c>
      <c r="X14" s="270">
        <f t="shared" si="9"/>
        <v>55803.799881200008</v>
      </c>
      <c r="Y14" s="62">
        <v>0</v>
      </c>
      <c r="Z14" s="62">
        <v>0</v>
      </c>
      <c r="AA14" s="256">
        <f t="shared" si="10"/>
        <v>55803.799881200008</v>
      </c>
      <c r="AB14" s="3"/>
      <c r="AC14" s="62">
        <f t="shared" si="11"/>
        <v>7943.76</v>
      </c>
      <c r="AD14" s="62" t="str">
        <f t="shared" si="12"/>
        <v/>
      </c>
      <c r="AE14" s="62">
        <f t="shared" si="13"/>
        <v>8510.0794818830018</v>
      </c>
      <c r="AF14" s="62">
        <f t="shared" si="14"/>
        <v>809.15509827740016</v>
      </c>
      <c r="AG14" s="192">
        <v>0</v>
      </c>
      <c r="AH14" s="62">
        <f t="shared" si="15"/>
        <v>507.94494256156457</v>
      </c>
      <c r="AI14" s="62">
        <f t="shared" si="16"/>
        <v>164.35327940451074</v>
      </c>
      <c r="AJ14" s="62"/>
      <c r="AK14" s="62">
        <v>0</v>
      </c>
      <c r="AL14" s="256">
        <f t="shared" si="17"/>
        <v>17935.292802126474</v>
      </c>
      <c r="AM14" s="256">
        <f t="shared" si="18"/>
        <v>55803.799881200008</v>
      </c>
      <c r="AN14" s="256">
        <f t="shared" si="19"/>
        <v>73739.092683326482</v>
      </c>
    </row>
    <row r="15" spans="1:16152" x14ac:dyDescent="0.2">
      <c r="A15" s="3" t="str">
        <f>IF('Employee Detail FY24'!A15="","",'Employee Detail FY24'!A15)</f>
        <v/>
      </c>
      <c r="B15" s="647">
        <f>IF('Employee Detail FY24'!B15="","",'Employee Detail FY24'!B15)</f>
        <v>100</v>
      </c>
      <c r="C15" s="647" t="str">
        <f>IF('Employee Detail FY24'!C15="","",'Employee Detail FY24'!C15)</f>
        <v>000</v>
      </c>
      <c r="D15" s="647"/>
      <c r="E15" s="647">
        <f>IF('Employee Detail FY24'!E15="","",'Employee Detail FY24'!E15)</f>
        <v>100</v>
      </c>
      <c r="F15" s="647">
        <f>IF('Employee Detail FY24'!F15="","",'Employee Detail FY24'!F15)</f>
        <v>1000</v>
      </c>
      <c r="G15" s="647" t="str">
        <f>IF('Employee Detail FY24'!G15="","",'Employee Detail FY24'!G15)</f>
        <v>0101</v>
      </c>
      <c r="H15" s="3"/>
      <c r="I15" s="255" t="str">
        <f>IF('Employee Detail FY24'!I15="","",'Employee Detail FY24'!I15)</f>
        <v>BALLEK</v>
      </c>
      <c r="J15" s="255" t="str">
        <f>IF('Employee Detail FY24'!J15="","",'Employee Detail FY24'!J15)</f>
        <v>DIANA</v>
      </c>
      <c r="K15" s="255" t="str">
        <f>IF('Employee Detail FY24'!K15="","",'Employee Detail FY24'!K15)</f>
        <v>Licensed Staff</v>
      </c>
      <c r="L15" s="255" t="str">
        <f>IF('Employee Detail FY24'!L15="","",'Employee Detail FY24'!L15)</f>
        <v>TEACHER</v>
      </c>
      <c r="M15" s="92">
        <v>1</v>
      </c>
      <c r="N15" s="3" t="str">
        <f>IF('Employee Detail FY24'!N15="","",'Employee Detail FY24'!N15)</f>
        <v/>
      </c>
      <c r="O15" s="3">
        <f>IF('Employee Detail FY24'!O15="","",'Employee Detail FY24'!O15)</f>
        <v>26</v>
      </c>
      <c r="P15" s="3" t="str">
        <f>IF('Employee Detail FY24'!P15="","",'Employee Detail FY24'!P15)</f>
        <v>ER</v>
      </c>
      <c r="Q15" s="3" t="str">
        <f>IF('Employee Detail FY24'!Q15="","",'Employee Detail FY24'!Q15)</f>
        <v/>
      </c>
      <c r="R15" s="3">
        <f>IF('Employee Detail FY24'!R15="","",'Employee Detail FY24'!R15)</f>
        <v>200</v>
      </c>
      <c r="S15" s="3">
        <f>IF('Employee Detail FY24'!S15="","",'Employee Detail FY24'!S15)</f>
        <v>8</v>
      </c>
      <c r="T15" s="263">
        <f t="shared" si="6"/>
        <v>1600</v>
      </c>
      <c r="U15" s="269">
        <f>IF('Employee Detail FY24'!U15="","",'Employee Detail FY24'!U15)</f>
        <v>55000</v>
      </c>
      <c r="V15" s="270">
        <f t="shared" si="7"/>
        <v>59950.000000000007</v>
      </c>
      <c r="W15" s="270" t="str">
        <f t="shared" si="8"/>
        <v/>
      </c>
      <c r="X15" s="270">
        <f t="shared" si="9"/>
        <v>59950.000000000007</v>
      </c>
      <c r="Y15" s="62">
        <v>0</v>
      </c>
      <c r="Z15" s="62">
        <v>0</v>
      </c>
      <c r="AA15" s="256">
        <f t="shared" si="10"/>
        <v>59950.000000000007</v>
      </c>
      <c r="AB15" s="3"/>
      <c r="AC15" s="62">
        <f t="shared" si="11"/>
        <v>7943.76</v>
      </c>
      <c r="AD15" s="62" t="str">
        <f t="shared" si="12"/>
        <v/>
      </c>
      <c r="AE15" s="62">
        <f t="shared" si="13"/>
        <v>17535.375</v>
      </c>
      <c r="AF15" s="62">
        <f t="shared" si="14"/>
        <v>869.2750000000002</v>
      </c>
      <c r="AG15" s="192">
        <v>0</v>
      </c>
      <c r="AH15" s="62">
        <f t="shared" si="15"/>
        <v>545.68504960940265</v>
      </c>
      <c r="AI15" s="62">
        <f t="shared" si="16"/>
        <v>176.56466264441312</v>
      </c>
      <c r="AJ15" s="62"/>
      <c r="AK15" s="62">
        <v>0</v>
      </c>
      <c r="AL15" s="256">
        <f t="shared" si="17"/>
        <v>27070.659712253819</v>
      </c>
      <c r="AM15" s="256">
        <f t="shared" si="18"/>
        <v>59950.000000000007</v>
      </c>
      <c r="AN15" s="256">
        <f t="shared" si="19"/>
        <v>87020.659712253822</v>
      </c>
    </row>
    <row r="16" spans="1:16152" x14ac:dyDescent="0.2">
      <c r="A16" s="3" t="str">
        <f>IF('Employee Detail FY24'!A16="","",'Employee Detail FY24'!A16)</f>
        <v/>
      </c>
      <c r="B16" s="647">
        <f>IF('Employee Detail FY24'!B16="","",'Employee Detail FY24'!B16)</f>
        <v>100</v>
      </c>
      <c r="C16" s="647" t="str">
        <f>IF('Employee Detail FY24'!C16="","",'Employee Detail FY24'!C16)</f>
        <v>000</v>
      </c>
      <c r="D16" s="647"/>
      <c r="E16" s="647">
        <f>IF('Employee Detail FY24'!E16="","",'Employee Detail FY24'!E16)</f>
        <v>100</v>
      </c>
      <c r="F16" s="647">
        <f>IF('Employee Detail FY24'!F16="","",'Employee Detail FY24'!F16)</f>
        <v>1000</v>
      </c>
      <c r="G16" s="647" t="str">
        <f>IF('Employee Detail FY24'!G16="","",'Employee Detail FY24'!G16)</f>
        <v>0101</v>
      </c>
      <c r="H16" s="3"/>
      <c r="I16" s="255" t="str">
        <f>IF('Employee Detail FY24'!I16="","",'Employee Detail FY24'!I16)</f>
        <v>BLANCHARD</v>
      </c>
      <c r="J16" s="255" t="str">
        <f>IF('Employee Detail FY24'!J16="","",'Employee Detail FY24'!J16)</f>
        <v>BARBARA</v>
      </c>
      <c r="K16" s="255" t="str">
        <f>IF('Employee Detail FY24'!K16="","",'Employee Detail FY24'!K16)</f>
        <v>Licensed Staff</v>
      </c>
      <c r="L16" s="255" t="str">
        <f>IF('Employee Detail FY24'!L16="","",'Employee Detail FY24'!L16)</f>
        <v>TEACHER</v>
      </c>
      <c r="M16" s="92">
        <v>1</v>
      </c>
      <c r="N16" s="3" t="str">
        <f>IF('Employee Detail FY24'!N16="","",'Employee Detail FY24'!N16)</f>
        <v/>
      </c>
      <c r="O16" s="3">
        <f>IF('Employee Detail FY24'!O16="","",'Employee Detail FY24'!O16)</f>
        <v>26</v>
      </c>
      <c r="P16" s="3" t="str">
        <f>IF('Employee Detail FY24'!P16="","",'Employee Detail FY24'!P16)</f>
        <v>ER</v>
      </c>
      <c r="Q16" s="3" t="str">
        <f>IF('Employee Detail FY24'!Q16="","",'Employee Detail FY24'!Q16)</f>
        <v/>
      </c>
      <c r="R16" s="3">
        <f>IF('Employee Detail FY24'!R16="","",'Employee Detail FY24'!R16)</f>
        <v>200</v>
      </c>
      <c r="S16" s="3">
        <f>IF('Employee Detail FY24'!S16="","",'Employee Detail FY24'!S16)</f>
        <v>8</v>
      </c>
      <c r="T16" s="263">
        <f t="shared" si="6"/>
        <v>1600</v>
      </c>
      <c r="U16" s="269">
        <f>IF('Employee Detail FY24'!U16="","",'Employee Detail FY24'!U16)</f>
        <v>55000</v>
      </c>
      <c r="V16" s="270">
        <f t="shared" si="7"/>
        <v>59950.000000000007</v>
      </c>
      <c r="W16" s="270" t="str">
        <f t="shared" si="8"/>
        <v/>
      </c>
      <c r="X16" s="270">
        <f t="shared" si="9"/>
        <v>59950.000000000007</v>
      </c>
      <c r="Y16" s="62">
        <v>0</v>
      </c>
      <c r="Z16" s="62">
        <v>0</v>
      </c>
      <c r="AA16" s="256">
        <f t="shared" si="10"/>
        <v>59950.000000000007</v>
      </c>
      <c r="AB16" s="3"/>
      <c r="AC16" s="62">
        <f t="shared" si="11"/>
        <v>7943.76</v>
      </c>
      <c r="AD16" s="62" t="str">
        <f t="shared" si="12"/>
        <v/>
      </c>
      <c r="AE16" s="62">
        <f t="shared" si="13"/>
        <v>17535.375</v>
      </c>
      <c r="AF16" s="62">
        <f t="shared" si="14"/>
        <v>869.2750000000002</v>
      </c>
      <c r="AG16" s="192">
        <v>0</v>
      </c>
      <c r="AH16" s="62">
        <f t="shared" si="15"/>
        <v>545.68504960940265</v>
      </c>
      <c r="AI16" s="62">
        <f t="shared" si="16"/>
        <v>176.56466264441312</v>
      </c>
      <c r="AJ16" s="62"/>
      <c r="AK16" s="62">
        <v>0</v>
      </c>
      <c r="AL16" s="256">
        <f t="shared" si="17"/>
        <v>27070.659712253819</v>
      </c>
      <c r="AM16" s="256">
        <f t="shared" si="18"/>
        <v>59950.000000000007</v>
      </c>
      <c r="AN16" s="256">
        <f t="shared" si="19"/>
        <v>87020.659712253822</v>
      </c>
    </row>
    <row r="17" spans="1:40" x14ac:dyDescent="0.2">
      <c r="A17" s="3" t="str">
        <f>IF('Employee Detail FY24'!A17="","",'Employee Detail FY24'!A17)</f>
        <v/>
      </c>
      <c r="B17" s="647" t="str">
        <f>IF('Employee Detail FY24'!B17="","",'Employee Detail FY24'!B17)</f>
        <v>100</v>
      </c>
      <c r="C17" s="647" t="str">
        <f>IF('Employee Detail FY24'!C17="","",'Employee Detail FY24'!C17)</f>
        <v>000</v>
      </c>
      <c r="D17" s="647"/>
      <c r="E17" s="647" t="str">
        <f>IF('Employee Detail FY24'!E17="","",'Employee Detail FY24'!E17)</f>
        <v>100</v>
      </c>
      <c r="F17" s="647">
        <f>IF('Employee Detail FY24'!F17="","",'Employee Detail FY24'!F17)</f>
        <v>1000</v>
      </c>
      <c r="G17" s="647" t="str">
        <f>IF('Employee Detail FY24'!G17="","",'Employee Detail FY24'!G17)</f>
        <v>0101</v>
      </c>
      <c r="H17" s="3"/>
      <c r="I17" s="255" t="str">
        <f>IF('Employee Detail FY24'!I17="","",'Employee Detail FY24'!I17)</f>
        <v>GRANT</v>
      </c>
      <c r="J17" s="255" t="str">
        <f>IF('Employee Detail FY24'!J17="","",'Employee Detail FY24'!J17)</f>
        <v>BRIEN</v>
      </c>
      <c r="K17" s="255" t="str">
        <f>IF('Employee Detail FY24'!K17="","",'Employee Detail FY24'!K17)</f>
        <v>Licensed Support Staff</v>
      </c>
      <c r="L17" s="255" t="str">
        <f>IF('Employee Detail FY24'!L17="","",'Employee Detail FY24'!L17)</f>
        <v>TEACHER</v>
      </c>
      <c r="M17" s="92">
        <v>1</v>
      </c>
      <c r="N17" s="3" t="str">
        <f>IF('Employee Detail FY24'!N17="","",'Employee Detail FY24'!N17)</f>
        <v>H</v>
      </c>
      <c r="O17" s="3">
        <f>IF('Employee Detail FY24'!O17="","",'Employee Detail FY24'!O17)</f>
        <v>26</v>
      </c>
      <c r="P17" s="3" t="str">
        <f>IF('Employee Detail FY24'!P17="","",'Employee Detail FY24'!P17)</f>
        <v>EE</v>
      </c>
      <c r="Q17" s="3" t="str">
        <f>IF('Employee Detail FY24'!Q17="","",'Employee Detail FY24'!Q17)</f>
        <v/>
      </c>
      <c r="R17" s="3">
        <f>IF('Employee Detail FY24'!R17="","",'Employee Detail FY24'!R17)</f>
        <v>200</v>
      </c>
      <c r="S17" s="3">
        <f>IF('Employee Detail FY24'!S17="","",'Employee Detail FY24'!S17)</f>
        <v>8</v>
      </c>
      <c r="T17" s="263">
        <f t="shared" si="6"/>
        <v>1600</v>
      </c>
      <c r="U17" s="269">
        <f>IF('Employee Detail FY24'!U17="","",'Employee Detail FY24'!U17)</f>
        <v>40725</v>
      </c>
      <c r="V17" s="270">
        <f t="shared" si="7"/>
        <v>44390.25</v>
      </c>
      <c r="W17" s="270">
        <f t="shared" si="8"/>
        <v>51207.970936500002</v>
      </c>
      <c r="X17" s="270">
        <f t="shared" si="9"/>
        <v>51207.970936500002</v>
      </c>
      <c r="Y17" s="62">
        <v>0</v>
      </c>
      <c r="Z17" s="62">
        <v>0</v>
      </c>
      <c r="AA17" s="256">
        <f t="shared" si="10"/>
        <v>51207.970936500002</v>
      </c>
      <c r="AB17" s="3"/>
      <c r="AC17" s="62">
        <f t="shared" si="11"/>
        <v>7943.76</v>
      </c>
      <c r="AD17" s="62" t="str">
        <f t="shared" si="12"/>
        <v/>
      </c>
      <c r="AE17" s="62">
        <f t="shared" si="13"/>
        <v>7809.2155678162499</v>
      </c>
      <c r="AF17" s="62">
        <f t="shared" si="14"/>
        <v>742.51557857925002</v>
      </c>
      <c r="AG17" s="192">
        <v>0</v>
      </c>
      <c r="AH17" s="62">
        <f t="shared" si="15"/>
        <v>466.11216281702832</v>
      </c>
      <c r="AI17" s="62">
        <f t="shared" si="16"/>
        <v>150.81764992673951</v>
      </c>
      <c r="AJ17" s="62"/>
      <c r="AK17" s="62">
        <v>0</v>
      </c>
      <c r="AL17" s="256">
        <f t="shared" si="17"/>
        <v>17112.420959139268</v>
      </c>
      <c r="AM17" s="256">
        <f t="shared" si="18"/>
        <v>51207.970936500002</v>
      </c>
      <c r="AN17" s="256">
        <f t="shared" si="19"/>
        <v>68320.391895639274</v>
      </c>
    </row>
    <row r="18" spans="1:40" x14ac:dyDescent="0.2">
      <c r="A18" s="3" t="str">
        <f>IF('Employee Detail FY24'!A18="","",'Employee Detail FY24'!A18)</f>
        <v/>
      </c>
      <c r="B18" s="647">
        <f>IF('Employee Detail FY24'!B18="","",'Employee Detail FY24'!B18)</f>
        <v>100</v>
      </c>
      <c r="C18" s="647" t="str">
        <f>IF('Employee Detail FY24'!C18="","",'Employee Detail FY24'!C18)</f>
        <v>000</v>
      </c>
      <c r="D18" s="647"/>
      <c r="E18" s="647">
        <f>IF('Employee Detail FY24'!E18="","",'Employee Detail FY24'!E18)</f>
        <v>100</v>
      </c>
      <c r="F18" s="647">
        <f>IF('Employee Detail FY24'!F18="","",'Employee Detail FY24'!F18)</f>
        <v>1000</v>
      </c>
      <c r="G18" s="647" t="str">
        <f>IF('Employee Detail FY24'!G18="","",'Employee Detail FY24'!G18)</f>
        <v>0101</v>
      </c>
      <c r="H18" s="3"/>
      <c r="I18" s="255" t="str">
        <f>IF('Employee Detail FY24'!I18="","",'Employee Detail FY24'!I18)</f>
        <v>LEWIS</v>
      </c>
      <c r="J18" s="255" t="str">
        <f>IF('Employee Detail FY24'!J18="","",'Employee Detail FY24'!J18)</f>
        <v>JENNIFER</v>
      </c>
      <c r="K18" s="255" t="str">
        <f>IF('Employee Detail FY24'!K18="","",'Employee Detail FY24'!K18)</f>
        <v>Licensed Staff</v>
      </c>
      <c r="L18" s="255" t="str">
        <f>IF('Employee Detail FY24'!L18="","",'Employee Detail FY24'!L18)</f>
        <v>TEACHER</v>
      </c>
      <c r="M18" s="92">
        <v>1</v>
      </c>
      <c r="N18" s="3" t="str">
        <f>IF('Employee Detail FY24'!N18="","",'Employee Detail FY24'!N18)</f>
        <v/>
      </c>
      <c r="O18" s="3">
        <f>IF('Employee Detail FY24'!O18="","",'Employee Detail FY24'!O18)</f>
        <v>26</v>
      </c>
      <c r="P18" s="3" t="str">
        <f>IF('Employee Detail FY24'!P18="","",'Employee Detail FY24'!P18)</f>
        <v>ER</v>
      </c>
      <c r="Q18" s="3" t="str">
        <f>IF('Employee Detail FY24'!Q18="","",'Employee Detail FY24'!Q18)</f>
        <v/>
      </c>
      <c r="R18" s="3">
        <f>IF('Employee Detail FY24'!R18="","",'Employee Detail FY24'!R18)</f>
        <v>200</v>
      </c>
      <c r="S18" s="3">
        <f>IF('Employee Detail FY24'!S18="","",'Employee Detail FY24'!S18)</f>
        <v>8</v>
      </c>
      <c r="T18" s="263">
        <f t="shared" si="6"/>
        <v>1600</v>
      </c>
      <c r="U18" s="269">
        <f>IF('Employee Detail FY24'!U18="","",'Employee Detail FY24'!U18)</f>
        <v>55000</v>
      </c>
      <c r="V18" s="270">
        <f t="shared" si="7"/>
        <v>59950.000000000007</v>
      </c>
      <c r="W18" s="270" t="str">
        <f t="shared" si="8"/>
        <v/>
      </c>
      <c r="X18" s="270">
        <f t="shared" si="9"/>
        <v>59950.000000000007</v>
      </c>
      <c r="Y18" s="62">
        <v>0</v>
      </c>
      <c r="Z18" s="62">
        <v>0</v>
      </c>
      <c r="AA18" s="256">
        <f t="shared" si="10"/>
        <v>59950.000000000007</v>
      </c>
      <c r="AB18" s="3"/>
      <c r="AC18" s="62">
        <f t="shared" si="11"/>
        <v>7943.76</v>
      </c>
      <c r="AD18" s="62" t="str">
        <f t="shared" si="12"/>
        <v/>
      </c>
      <c r="AE18" s="62">
        <f t="shared" si="13"/>
        <v>17535.375</v>
      </c>
      <c r="AF18" s="62">
        <f t="shared" si="14"/>
        <v>869.2750000000002</v>
      </c>
      <c r="AG18" s="192">
        <v>0</v>
      </c>
      <c r="AH18" s="62">
        <f t="shared" si="15"/>
        <v>545.68504960940265</v>
      </c>
      <c r="AI18" s="62">
        <f t="shared" si="16"/>
        <v>176.56466264441312</v>
      </c>
      <c r="AJ18" s="62"/>
      <c r="AK18" s="62">
        <v>0</v>
      </c>
      <c r="AL18" s="256">
        <f t="shared" si="17"/>
        <v>27070.659712253819</v>
      </c>
      <c r="AM18" s="256">
        <f t="shared" si="18"/>
        <v>59950.000000000007</v>
      </c>
      <c r="AN18" s="256">
        <f t="shared" si="19"/>
        <v>87020.659712253822</v>
      </c>
    </row>
    <row r="19" spans="1:40" x14ac:dyDescent="0.2">
      <c r="A19" s="3" t="str">
        <f>IF('Employee Detail FY24'!A19="","",'Employee Detail FY24'!A19)</f>
        <v/>
      </c>
      <c r="B19" s="647">
        <f>IF('Employee Detail FY24'!B19="","",'Employee Detail FY24'!B19)</f>
        <v>100</v>
      </c>
      <c r="C19" s="647" t="str">
        <f>IF('Employee Detail FY24'!C19="","",'Employee Detail FY24'!C19)</f>
        <v>000</v>
      </c>
      <c r="D19" s="647"/>
      <c r="E19" s="647">
        <f>IF('Employee Detail FY24'!E19="","",'Employee Detail FY24'!E19)</f>
        <v>100</v>
      </c>
      <c r="F19" s="647">
        <f>IF('Employee Detail FY24'!F19="","",'Employee Detail FY24'!F19)</f>
        <v>1000</v>
      </c>
      <c r="G19" s="647" t="str">
        <f>IF('Employee Detail FY24'!G19="","",'Employee Detail FY24'!G19)</f>
        <v>0101</v>
      </c>
      <c r="H19" s="3"/>
      <c r="I19" s="255" t="str">
        <f>IF('Employee Detail FY24'!I19="","",'Employee Detail FY24'!I19)</f>
        <v>SEVERIN</v>
      </c>
      <c r="J19" s="255" t="str">
        <f>IF('Employee Detail FY24'!J19="","",'Employee Detail FY24'!J19)</f>
        <v>RYAN</v>
      </c>
      <c r="K19" s="255" t="str">
        <f>IF('Employee Detail FY24'!K19="","",'Employee Detail FY24'!K19)</f>
        <v>Licensed Staff</v>
      </c>
      <c r="L19" s="255" t="str">
        <f>IF('Employee Detail FY24'!L19="","",'Employee Detail FY24'!L19)</f>
        <v>TEACHER</v>
      </c>
      <c r="M19" s="92">
        <v>1</v>
      </c>
      <c r="N19" s="3" t="str">
        <f>IF('Employee Detail FY24'!N19="","",'Employee Detail FY24'!N19)</f>
        <v/>
      </c>
      <c r="O19" s="3">
        <f>IF('Employee Detail FY24'!O19="","",'Employee Detail FY24'!O19)</f>
        <v>26</v>
      </c>
      <c r="P19" s="3" t="str">
        <f>IF('Employee Detail FY24'!P19="","",'Employee Detail FY24'!P19)</f>
        <v>ER</v>
      </c>
      <c r="Q19" s="3" t="str">
        <f>IF('Employee Detail FY24'!Q19="","",'Employee Detail FY24'!Q19)</f>
        <v/>
      </c>
      <c r="R19" s="3">
        <f>IF('Employee Detail FY24'!R19="","",'Employee Detail FY24'!R19)</f>
        <v>200</v>
      </c>
      <c r="S19" s="3">
        <f>IF('Employee Detail FY24'!S19="","",'Employee Detail FY24'!S19)</f>
        <v>8</v>
      </c>
      <c r="T19" s="263">
        <f t="shared" si="6"/>
        <v>1600</v>
      </c>
      <c r="U19" s="269">
        <f>IF('Employee Detail FY24'!U19="","",'Employee Detail FY24'!U19)</f>
        <v>52840</v>
      </c>
      <c r="V19" s="270">
        <f t="shared" si="7"/>
        <v>57595.600000000006</v>
      </c>
      <c r="W19" s="270" t="str">
        <f t="shared" si="8"/>
        <v/>
      </c>
      <c r="X19" s="270">
        <f t="shared" si="9"/>
        <v>57595.600000000006</v>
      </c>
      <c r="Y19" s="62">
        <v>0</v>
      </c>
      <c r="Z19" s="62">
        <v>0</v>
      </c>
      <c r="AA19" s="256">
        <f t="shared" si="10"/>
        <v>57595.600000000006</v>
      </c>
      <c r="AB19" s="3"/>
      <c r="AC19" s="62">
        <f t="shared" si="11"/>
        <v>7943.76</v>
      </c>
      <c r="AD19" s="62" t="str">
        <f t="shared" si="12"/>
        <v/>
      </c>
      <c r="AE19" s="62">
        <f t="shared" si="13"/>
        <v>16846.713</v>
      </c>
      <c r="AF19" s="62">
        <f t="shared" si="14"/>
        <v>835.13620000000014</v>
      </c>
      <c r="AG19" s="192">
        <v>0</v>
      </c>
      <c r="AH19" s="62">
        <f t="shared" si="15"/>
        <v>524.25450947928789</v>
      </c>
      <c r="AI19" s="62">
        <f t="shared" si="16"/>
        <v>169.63048680237799</v>
      </c>
      <c r="AJ19" s="62"/>
      <c r="AK19" s="62">
        <v>0</v>
      </c>
      <c r="AL19" s="256">
        <f t="shared" si="17"/>
        <v>26319.494196281663</v>
      </c>
      <c r="AM19" s="256">
        <f t="shared" si="18"/>
        <v>57595.600000000006</v>
      </c>
      <c r="AN19" s="256">
        <f t="shared" si="19"/>
        <v>83915.094196281672</v>
      </c>
    </row>
    <row r="20" spans="1:40" x14ac:dyDescent="0.2">
      <c r="A20" s="3" t="str">
        <f>IF('Employee Detail FY24'!A20="","",'Employee Detail FY24'!A20)</f>
        <v>VACANT</v>
      </c>
      <c r="B20" s="647">
        <f>IF('Employee Detail FY24'!B20="","",'Employee Detail FY24'!B20)</f>
        <v>100</v>
      </c>
      <c r="C20" s="647" t="str">
        <f>IF('Employee Detail FY24'!C20="","",'Employee Detail FY24'!C20)</f>
        <v>000</v>
      </c>
      <c r="D20" s="647"/>
      <c r="E20" s="647">
        <f>IF('Employee Detail FY24'!E20="","",'Employee Detail FY24'!E20)</f>
        <v>100</v>
      </c>
      <c r="F20" s="647">
        <f>IF('Employee Detail FY24'!F20="","",'Employee Detail FY24'!F20)</f>
        <v>1000</v>
      </c>
      <c r="G20" s="647" t="str">
        <f>IF('Employee Detail FY24'!G20="","",'Employee Detail FY24'!G20)</f>
        <v>0101</v>
      </c>
      <c r="H20" s="3"/>
      <c r="I20" s="255" t="str">
        <f>IF('Employee Detail FY24'!I20="","",'Employee Detail FY24'!I20)</f>
        <v>VACANT</v>
      </c>
      <c r="J20" s="255" t="str">
        <f>IF('Employee Detail FY24'!J20="","",'Employee Detail FY24'!J20)</f>
        <v>TBD</v>
      </c>
      <c r="K20" s="255" t="str">
        <f>IF('Employee Detail FY24'!K20="","",'Employee Detail FY24'!K20)</f>
        <v>Licensed Staff</v>
      </c>
      <c r="L20" s="255" t="str">
        <f>IF('Employee Detail FY24'!L20="","",'Employee Detail FY24'!L20)</f>
        <v>SOCIAL STUDIES TEACHER</v>
      </c>
      <c r="M20" s="92">
        <v>1</v>
      </c>
      <c r="N20" s="3" t="str">
        <f>IF('Employee Detail FY24'!N20="","",'Employee Detail FY24'!N20)</f>
        <v/>
      </c>
      <c r="O20" s="3">
        <f>IF('Employee Detail FY24'!O20="","",'Employee Detail FY24'!O20)</f>
        <v>26</v>
      </c>
      <c r="P20" s="3" t="str">
        <f>IF('Employee Detail FY24'!P20="","",'Employee Detail FY24'!P20)</f>
        <v>ER</v>
      </c>
      <c r="Q20" s="3" t="str">
        <f>IF('Employee Detail FY24'!Q20="","",'Employee Detail FY24'!Q20)</f>
        <v/>
      </c>
      <c r="R20" s="3">
        <f>IF('Employee Detail FY24'!R20="","",'Employee Detail FY24'!R20)</f>
        <v>200</v>
      </c>
      <c r="S20" s="3">
        <f>IF('Employee Detail FY24'!S20="","",'Employee Detail FY24'!S20)</f>
        <v>8</v>
      </c>
      <c r="T20" s="263">
        <f t="shared" si="6"/>
        <v>1600</v>
      </c>
      <c r="U20" s="269">
        <f>IF('Employee Detail FY24'!U20="","",'Employee Detail FY24'!U20)</f>
        <v>45500</v>
      </c>
      <c r="V20" s="270">
        <f t="shared" si="7"/>
        <v>49595</v>
      </c>
      <c r="W20" s="270" t="str">
        <f t="shared" si="8"/>
        <v/>
      </c>
      <c r="X20" s="270">
        <f t="shared" si="9"/>
        <v>49595</v>
      </c>
      <c r="Y20" s="62">
        <v>0</v>
      </c>
      <c r="Z20" s="62">
        <v>0</v>
      </c>
      <c r="AA20" s="256">
        <f t="shared" si="10"/>
        <v>49595</v>
      </c>
      <c r="AB20" s="3"/>
      <c r="AC20" s="62">
        <f t="shared" si="11"/>
        <v>7943.76</v>
      </c>
      <c r="AD20" s="62" t="str">
        <f t="shared" si="12"/>
        <v/>
      </c>
      <c r="AE20" s="62">
        <f t="shared" si="13"/>
        <v>14506.537499999999</v>
      </c>
      <c r="AF20" s="62">
        <f t="shared" si="14"/>
        <v>719.12750000000005</v>
      </c>
      <c r="AG20" s="192">
        <v>0</v>
      </c>
      <c r="AH20" s="62">
        <f t="shared" si="15"/>
        <v>451.43035922232389</v>
      </c>
      <c r="AI20" s="62">
        <f t="shared" si="16"/>
        <v>146.06713000583267</v>
      </c>
      <c r="AJ20" s="62"/>
      <c r="AK20" s="62">
        <v>0</v>
      </c>
      <c r="AL20" s="256">
        <f t="shared" si="17"/>
        <v>23766.922489228153</v>
      </c>
      <c r="AM20" s="256">
        <f t="shared" si="18"/>
        <v>49595</v>
      </c>
      <c r="AN20" s="256">
        <f t="shared" si="19"/>
        <v>73361.922489228149</v>
      </c>
    </row>
    <row r="21" spans="1:40" hidden="1" x14ac:dyDescent="0.2">
      <c r="A21" s="3" t="str">
        <f>IF('Employee Detail FY24'!A21="","",'Employee Detail FY24'!A21)</f>
        <v/>
      </c>
      <c r="B21" s="647" t="str">
        <f>IF('Employee Detail FY24'!B21="","",'Employee Detail FY24'!B21)</f>
        <v/>
      </c>
      <c r="C21" s="647" t="str">
        <f>IF('Employee Detail FY24'!C21="","",'Employee Detail FY24'!C21)</f>
        <v/>
      </c>
      <c r="D21" s="647"/>
      <c r="E21" s="647" t="str">
        <f>IF('Employee Detail FY24'!E21="","",'Employee Detail FY24'!E21)</f>
        <v/>
      </c>
      <c r="F21" s="647" t="str">
        <f>IF('Employee Detail FY24'!F21="","",'Employee Detail FY24'!F21)</f>
        <v/>
      </c>
      <c r="G21" s="647" t="str">
        <f>IF('Employee Detail FY24'!G21="","",'Employee Detail FY24'!G21)</f>
        <v/>
      </c>
      <c r="H21" s="3"/>
      <c r="I21" s="255" t="str">
        <f>IF('Employee Detail FY24'!I21="","",'Employee Detail FY24'!I21)</f>
        <v/>
      </c>
      <c r="J21" s="255" t="str">
        <f>IF('Employee Detail FY24'!J21="","",'Employee Detail FY24'!J21)</f>
        <v/>
      </c>
      <c r="K21" s="255" t="str">
        <f>IF('Employee Detail FY24'!K21="","",'Employee Detail FY24'!K21)</f>
        <v/>
      </c>
      <c r="L21" s="255" t="str">
        <f>IF('Employee Detail FY24'!L21="","",'Employee Detail FY24'!L21)</f>
        <v/>
      </c>
      <c r="M21" s="92" t="s">
        <v>386</v>
      </c>
      <c r="N21" s="3" t="str">
        <f>IF('Employee Detail FY24'!N21="","",'Employee Detail FY24'!N21)</f>
        <v/>
      </c>
      <c r="O21" s="3" t="str">
        <f>IF('Employee Detail FY24'!O21="","",'Employee Detail FY24'!O21)</f>
        <v/>
      </c>
      <c r="P21" s="3" t="str">
        <f>IF('Employee Detail FY24'!P21="","",'Employee Detail FY24'!P21)</f>
        <v/>
      </c>
      <c r="Q21" s="3" t="str">
        <f>IF('Employee Detail FY24'!Q21="","",'Employee Detail FY24'!Q21)</f>
        <v/>
      </c>
      <c r="R21" s="3" t="str">
        <f>IF('Employee Detail FY24'!R21="","",'Employee Detail FY24'!R21)</f>
        <v/>
      </c>
      <c r="S21" s="3" t="str">
        <f>IF('Employee Detail FY24'!S21="","",'Employee Detail FY24'!S21)</f>
        <v/>
      </c>
      <c r="T21" s="263" t="str">
        <f t="shared" si="6"/>
        <v/>
      </c>
      <c r="U21" s="269">
        <f>IF('Employee Detail FY24'!U21="","",'Employee Detail FY24'!U21)</f>
        <v>45000</v>
      </c>
      <c r="V21" s="270">
        <f t="shared" si="7"/>
        <v>49050</v>
      </c>
      <c r="W21" s="270" t="str">
        <f t="shared" si="8"/>
        <v/>
      </c>
      <c r="X21" s="270" t="str">
        <f t="shared" si="9"/>
        <v/>
      </c>
      <c r="Y21" s="62">
        <v>0</v>
      </c>
      <c r="Z21" s="62">
        <v>0</v>
      </c>
      <c r="AA21" s="256">
        <f t="shared" si="10"/>
        <v>0</v>
      </c>
      <c r="AB21" s="3"/>
      <c r="AC21" s="62" t="str">
        <f t="shared" si="11"/>
        <v/>
      </c>
      <c r="AD21" s="62" t="str">
        <f t="shared" si="12"/>
        <v/>
      </c>
      <c r="AE21" s="62" t="str">
        <f t="shared" si="13"/>
        <v/>
      </c>
      <c r="AF21" s="62" t="str">
        <f t="shared" si="14"/>
        <v/>
      </c>
      <c r="AG21" s="192">
        <v>0</v>
      </c>
      <c r="AH21" s="62" t="str">
        <f t="shared" si="15"/>
        <v/>
      </c>
      <c r="AI21" s="62">
        <f t="shared" si="16"/>
        <v>0</v>
      </c>
      <c r="AJ21" s="62"/>
      <c r="AK21" s="62">
        <v>0</v>
      </c>
      <c r="AL21" s="256">
        <f t="shared" si="17"/>
        <v>0</v>
      </c>
      <c r="AM21" s="256">
        <f t="shared" si="18"/>
        <v>0</v>
      </c>
      <c r="AN21" s="256">
        <f t="shared" si="19"/>
        <v>0</v>
      </c>
    </row>
    <row r="22" spans="1:40" x14ac:dyDescent="0.2">
      <c r="A22" s="3" t="str">
        <f>IF('Employee Detail FY24'!A22="","",'Employee Detail FY24'!A22)</f>
        <v/>
      </c>
      <c r="B22" s="647">
        <f>IF('Employee Detail FY24'!B22="","",'Employee Detail FY24'!B22)</f>
        <v>250</v>
      </c>
      <c r="C22" s="647" t="str">
        <f>IF('Employee Detail FY24'!C22="","",'Employee Detail FY24'!C22)</f>
        <v>000</v>
      </c>
      <c r="D22" s="647"/>
      <c r="E22" s="647">
        <f>IF('Employee Detail FY24'!E22="","",'Employee Detail FY24'!E22)</f>
        <v>200</v>
      </c>
      <c r="F22" s="647">
        <f>IF('Employee Detail FY24'!F22="","",'Employee Detail FY24'!F22)</f>
        <v>1000</v>
      </c>
      <c r="G22" s="647" t="str">
        <f>IF('Employee Detail FY24'!G22="","",'Employee Detail FY24'!G22)</f>
        <v>0101</v>
      </c>
      <c r="H22" s="3"/>
      <c r="I22" s="255" t="str">
        <f>IF('Employee Detail FY24'!I22="","",'Employee Detail FY24'!I22)</f>
        <v>CRAWFORD</v>
      </c>
      <c r="J22" s="255" t="str">
        <f>IF('Employee Detail FY24'!J22="","",'Employee Detail FY24'!J22)</f>
        <v>TONY</v>
      </c>
      <c r="K22" s="255" t="str">
        <f>IF('Employee Detail FY24'!K22="","",'Employee Detail FY24'!K22)</f>
        <v>Licensed Staff</v>
      </c>
      <c r="L22" s="255" t="str">
        <f>IF('Employee Detail FY24'!L22="","",'Employee Detail FY24'!L22)</f>
        <v>SPED TEACHER</v>
      </c>
      <c r="M22" s="92">
        <v>1</v>
      </c>
      <c r="N22" s="3" t="str">
        <f>IF('Employee Detail FY24'!N22="","",'Employee Detail FY24'!N22)</f>
        <v/>
      </c>
      <c r="O22" s="3">
        <f>IF('Employee Detail FY24'!O22="","",'Employee Detail FY24'!O22)</f>
        <v>26</v>
      </c>
      <c r="P22" s="3" t="str">
        <f>IF('Employee Detail FY24'!P22="","",'Employee Detail FY24'!P22)</f>
        <v>ER</v>
      </c>
      <c r="Q22" s="3" t="str">
        <f>IF('Employee Detail FY24'!Q22="","",'Employee Detail FY24'!Q22)</f>
        <v/>
      </c>
      <c r="R22" s="3">
        <f>IF('Employee Detail FY24'!R22="","",'Employee Detail FY24'!R22)</f>
        <v>200</v>
      </c>
      <c r="S22" s="3">
        <f>IF('Employee Detail FY24'!S22="","",'Employee Detail FY24'!S22)</f>
        <v>8</v>
      </c>
      <c r="T22" s="263">
        <f t="shared" si="6"/>
        <v>1600</v>
      </c>
      <c r="U22" s="269">
        <f>IF('Employee Detail FY24'!U22="","",'Employee Detail FY24'!U22)</f>
        <v>55000</v>
      </c>
      <c r="V22" s="270">
        <f t="shared" si="7"/>
        <v>59950.000000000007</v>
      </c>
      <c r="W22" s="270" t="str">
        <f t="shared" si="8"/>
        <v/>
      </c>
      <c r="X22" s="270">
        <f t="shared" si="9"/>
        <v>59950.000000000007</v>
      </c>
      <c r="Y22" s="62">
        <v>0</v>
      </c>
      <c r="Z22" s="62">
        <v>0</v>
      </c>
      <c r="AA22" s="256">
        <f t="shared" si="10"/>
        <v>59950.000000000007</v>
      </c>
      <c r="AB22" s="3"/>
      <c r="AC22" s="62">
        <f t="shared" si="11"/>
        <v>7943.76</v>
      </c>
      <c r="AD22" s="62" t="str">
        <f t="shared" si="12"/>
        <v/>
      </c>
      <c r="AE22" s="62">
        <f t="shared" si="13"/>
        <v>17535.375</v>
      </c>
      <c r="AF22" s="62">
        <f t="shared" si="14"/>
        <v>869.2750000000002</v>
      </c>
      <c r="AG22" s="192">
        <v>0</v>
      </c>
      <c r="AH22" s="62">
        <f t="shared" si="15"/>
        <v>545.68504960940265</v>
      </c>
      <c r="AI22" s="62">
        <f t="shared" si="16"/>
        <v>176.56466264441312</v>
      </c>
      <c r="AJ22" s="62"/>
      <c r="AK22" s="62">
        <v>0</v>
      </c>
      <c r="AL22" s="256">
        <f t="shared" si="17"/>
        <v>27070.659712253819</v>
      </c>
      <c r="AM22" s="256">
        <f t="shared" si="18"/>
        <v>59950.000000000007</v>
      </c>
      <c r="AN22" s="256">
        <f t="shared" si="19"/>
        <v>87020.659712253822</v>
      </c>
    </row>
    <row r="23" spans="1:40" x14ac:dyDescent="0.2">
      <c r="A23" s="3" t="str">
        <f>IF('Employee Detail FY24'!A23="","",'Employee Detail FY24'!A23)</f>
        <v/>
      </c>
      <c r="B23" s="647">
        <f>IF('Employee Detail FY24'!B23="","",'Employee Detail FY24'!B23)</f>
        <v>250</v>
      </c>
      <c r="C23" s="647" t="str">
        <f>IF('Employee Detail FY24'!C23="","",'Employee Detail FY24'!C23)</f>
        <v>000</v>
      </c>
      <c r="D23" s="647"/>
      <c r="E23" s="647">
        <f>IF('Employee Detail FY24'!E23="","",'Employee Detail FY24'!E23)</f>
        <v>200</v>
      </c>
      <c r="F23" s="647">
        <f>IF('Employee Detail FY24'!F23="","",'Employee Detail FY24'!F23)</f>
        <v>1000</v>
      </c>
      <c r="G23" s="647" t="str">
        <f>IF('Employee Detail FY24'!G23="","",'Employee Detail FY24'!G23)</f>
        <v>0101</v>
      </c>
      <c r="H23" s="3"/>
      <c r="I23" s="255" t="str">
        <f>IF('Employee Detail FY24'!I23="","",'Employee Detail FY24'!I23)</f>
        <v>SPED TEACHER</v>
      </c>
      <c r="J23" s="255" t="str">
        <f>IF('Employee Detail FY24'!J23="","",'Employee Detail FY24'!J23)</f>
        <v>FY23</v>
      </c>
      <c r="K23" s="255" t="str">
        <f>IF('Employee Detail FY24'!K23="","",'Employee Detail FY24'!K23)</f>
        <v>Licensed Staff</v>
      </c>
      <c r="L23" s="255" t="str">
        <f>IF('Employee Detail FY24'!L23="","",'Employee Detail FY24'!L23)</f>
        <v>SPED TEACHER</v>
      </c>
      <c r="M23" s="92">
        <v>1</v>
      </c>
      <c r="N23" s="3" t="str">
        <f>IF('Employee Detail FY24'!N23="","",'Employee Detail FY24'!N23)</f>
        <v/>
      </c>
      <c r="O23" s="3" t="str">
        <f>IF('Employee Detail FY24'!O23="","",'Employee Detail FY24'!O23)</f>
        <v/>
      </c>
      <c r="P23" s="3" t="str">
        <f>IF('Employee Detail FY24'!P23="","",'Employee Detail FY24'!P23)</f>
        <v>ER</v>
      </c>
      <c r="Q23" s="3" t="str">
        <f>IF('Employee Detail FY24'!Q23="","",'Employee Detail FY24'!Q23)</f>
        <v/>
      </c>
      <c r="R23" s="3" t="str">
        <f>IF('Employee Detail FY24'!R23="","",'Employee Detail FY24'!R23)</f>
        <v/>
      </c>
      <c r="S23" s="3" t="str">
        <f>IF('Employee Detail FY24'!S23="","",'Employee Detail FY24'!S23)</f>
        <v/>
      </c>
      <c r="T23" s="263" t="str">
        <f t="shared" si="6"/>
        <v/>
      </c>
      <c r="U23" s="269">
        <f>IF('Employee Detail FY24'!U23="","",'Employee Detail FY24'!U23)</f>
        <v>45000</v>
      </c>
      <c r="V23" s="270">
        <f t="shared" si="7"/>
        <v>49050</v>
      </c>
      <c r="W23" s="270" t="str">
        <f t="shared" si="8"/>
        <v/>
      </c>
      <c r="X23" s="270">
        <f t="shared" si="9"/>
        <v>49050</v>
      </c>
      <c r="Y23" s="62">
        <v>0</v>
      </c>
      <c r="Z23" s="62">
        <v>0</v>
      </c>
      <c r="AA23" s="256">
        <f t="shared" si="10"/>
        <v>49050</v>
      </c>
      <c r="AB23" s="3"/>
      <c r="AC23" s="62">
        <f t="shared" si="11"/>
        <v>7943.76</v>
      </c>
      <c r="AD23" s="62" t="str">
        <f t="shared" si="12"/>
        <v/>
      </c>
      <c r="AE23" s="62">
        <f t="shared" si="13"/>
        <v>14347.125</v>
      </c>
      <c r="AF23" s="62">
        <f t="shared" si="14"/>
        <v>711.22500000000002</v>
      </c>
      <c r="AG23" s="192">
        <v>0</v>
      </c>
      <c r="AH23" s="62">
        <f t="shared" si="15"/>
        <v>446.4695860440566</v>
      </c>
      <c r="AI23" s="62">
        <f t="shared" si="16"/>
        <v>144.46199670906526</v>
      </c>
      <c r="AJ23" s="62"/>
      <c r="AK23" s="62">
        <v>0</v>
      </c>
      <c r="AL23" s="256">
        <f t="shared" si="17"/>
        <v>23593.041582753121</v>
      </c>
      <c r="AM23" s="256">
        <f t="shared" si="18"/>
        <v>49050</v>
      </c>
      <c r="AN23" s="256">
        <f t="shared" si="19"/>
        <v>72643.041582753125</v>
      </c>
    </row>
    <row r="24" spans="1:40" x14ac:dyDescent="0.2">
      <c r="A24" s="3" t="str">
        <f>IF('Employee Detail FY24'!A24="","",'Employee Detail FY24'!A24)</f>
        <v>SPED IDEA</v>
      </c>
      <c r="B24" s="647" t="str">
        <f>IF('Employee Detail FY24'!B24="","",'Employee Detail FY24'!B24)</f>
        <v>280</v>
      </c>
      <c r="C24" s="647" t="str">
        <f>IF('Employee Detail FY24'!C24="","",'Employee Detail FY24'!C24)</f>
        <v>639</v>
      </c>
      <c r="D24" s="647"/>
      <c r="E24" s="647">
        <f>IF('Employee Detail FY24'!E24="","",'Employee Detail FY24'!E24)</f>
        <v>200</v>
      </c>
      <c r="F24" s="647">
        <f>IF('Employee Detail FY24'!F24="","",'Employee Detail FY24'!F24)</f>
        <v>1000</v>
      </c>
      <c r="G24" s="647" t="str">
        <f>IF('Employee Detail FY24'!G24="","",'Employee Detail FY24'!G24)</f>
        <v>0101</v>
      </c>
      <c r="H24" s="3"/>
      <c r="I24" s="255" t="str">
        <f>IF('Employee Detail FY24'!I24="","",'Employee Detail FY24'!I24)</f>
        <v>JOHNSON</v>
      </c>
      <c r="J24" s="255" t="str">
        <f>IF('Employee Detail FY24'!J24="","",'Employee Detail FY24'!J24)</f>
        <v>KEVIN</v>
      </c>
      <c r="K24" s="255" t="str">
        <f>IF('Employee Detail FY24'!K24="","",'Employee Detail FY24'!K24)</f>
        <v>Licensed Staff</v>
      </c>
      <c r="L24" s="255" t="str">
        <f>IF('Employee Detail FY24'!L24="","",'Employee Detail FY24'!L24)</f>
        <v>SPED TEACHER</v>
      </c>
      <c r="M24" s="92">
        <v>1</v>
      </c>
      <c r="N24" s="3" t="str">
        <f>IF('Employee Detail FY24'!N24="","",'Employee Detail FY24'!N24)</f>
        <v/>
      </c>
      <c r="O24" s="3">
        <f>IF('Employee Detail FY24'!O24="","",'Employee Detail FY24'!O24)</f>
        <v>26</v>
      </c>
      <c r="P24" s="3" t="str">
        <f>IF('Employee Detail FY24'!P24="","",'Employee Detail FY24'!P24)</f>
        <v>ER</v>
      </c>
      <c r="Q24" s="3" t="str">
        <f>IF('Employee Detail FY24'!Q24="","",'Employee Detail FY24'!Q24)</f>
        <v/>
      </c>
      <c r="R24" s="3">
        <f>IF('Employee Detail FY24'!R24="","",'Employee Detail FY24'!R24)</f>
        <v>200</v>
      </c>
      <c r="S24" s="3">
        <f>IF('Employee Detail FY24'!S24="","",'Employee Detail FY24'!S24)</f>
        <v>8</v>
      </c>
      <c r="T24" s="263">
        <f t="shared" si="6"/>
        <v>1600</v>
      </c>
      <c r="U24" s="269">
        <f>IF('Employee Detail FY24'!U24="","",'Employee Detail FY24'!U24)</f>
        <v>49792</v>
      </c>
      <c r="V24" s="270">
        <f t="shared" si="7"/>
        <v>54273.280000000006</v>
      </c>
      <c r="W24" s="270" t="str">
        <f t="shared" si="8"/>
        <v/>
      </c>
      <c r="X24" s="270">
        <f t="shared" si="9"/>
        <v>54273.280000000006</v>
      </c>
      <c r="Y24" s="62">
        <v>0</v>
      </c>
      <c r="Z24" s="62">
        <v>0</v>
      </c>
      <c r="AA24" s="256">
        <f t="shared" si="10"/>
        <v>54273.280000000006</v>
      </c>
      <c r="AB24" s="3"/>
      <c r="AC24" s="62">
        <f t="shared" si="11"/>
        <v>7943.76</v>
      </c>
      <c r="AD24" s="62" t="str">
        <f t="shared" si="12"/>
        <v/>
      </c>
      <c r="AE24" s="62">
        <f t="shared" si="13"/>
        <v>15874.9344</v>
      </c>
      <c r="AF24" s="62">
        <f t="shared" si="14"/>
        <v>786.96256000000017</v>
      </c>
      <c r="AG24" s="192">
        <v>0</v>
      </c>
      <c r="AH24" s="62">
        <f t="shared" si="15"/>
        <v>494.01363618457043</v>
      </c>
      <c r="AI24" s="62">
        <f t="shared" si="16"/>
        <v>159.84559422528397</v>
      </c>
      <c r="AJ24" s="62"/>
      <c r="AK24" s="62">
        <v>0</v>
      </c>
      <c r="AL24" s="256">
        <f t="shared" si="17"/>
        <v>25259.516190409853</v>
      </c>
      <c r="AM24" s="256">
        <f t="shared" si="18"/>
        <v>54273.280000000006</v>
      </c>
      <c r="AN24" s="256">
        <f t="shared" si="19"/>
        <v>79532.796190409863</v>
      </c>
    </row>
    <row r="25" spans="1:40" x14ac:dyDescent="0.2">
      <c r="A25" s="3" t="str">
        <f>IF('Employee Detail FY24'!A25="","",'Employee Detail FY24'!A25)</f>
        <v>SPED IDEA</v>
      </c>
      <c r="B25" s="647" t="str">
        <f>IF('Employee Detail FY24'!B25="","",'Employee Detail FY24'!B25)</f>
        <v>280</v>
      </c>
      <c r="C25" s="647" t="str">
        <f>IF('Employee Detail FY24'!C25="","",'Employee Detail FY24'!C25)</f>
        <v>639</v>
      </c>
      <c r="D25" s="647"/>
      <c r="E25" s="647">
        <f>IF('Employee Detail FY24'!E25="","",'Employee Detail FY24'!E25)</f>
        <v>200</v>
      </c>
      <c r="F25" s="647">
        <f>IF('Employee Detail FY24'!F25="","",'Employee Detail FY24'!F25)</f>
        <v>1000</v>
      </c>
      <c r="G25" s="647" t="str">
        <f>IF('Employee Detail FY24'!G25="","",'Employee Detail FY24'!G25)</f>
        <v>0101</v>
      </c>
      <c r="H25" s="3"/>
      <c r="I25" s="255" t="str">
        <f>IF('Employee Detail FY24'!I25="","",'Employee Detail FY24'!I25)</f>
        <v>MINER-JAMES</v>
      </c>
      <c r="J25" s="255" t="str">
        <f>IF('Employee Detail FY24'!J25="","",'Employee Detail FY24'!J25)</f>
        <v>Diane</v>
      </c>
      <c r="K25" s="255" t="str">
        <f>IF('Employee Detail FY24'!K25="","",'Employee Detail FY24'!K25)</f>
        <v>Licensed Staff</v>
      </c>
      <c r="L25" s="255" t="str">
        <f>IF('Employee Detail FY24'!L25="","",'Employee Detail FY24'!L25)</f>
        <v>SPED TEACHER</v>
      </c>
      <c r="M25" s="92">
        <v>1</v>
      </c>
      <c r="N25" s="3" t="str">
        <f>IF('Employee Detail FY24'!N25="","",'Employee Detail FY24'!N25)</f>
        <v/>
      </c>
      <c r="O25" s="3">
        <f>IF('Employee Detail FY24'!O25="","",'Employee Detail FY24'!O25)</f>
        <v>26</v>
      </c>
      <c r="P25" s="3" t="str">
        <f>IF('Employee Detail FY24'!P25="","",'Employee Detail FY24'!P25)</f>
        <v>ER</v>
      </c>
      <c r="Q25" s="3" t="str">
        <f>IF('Employee Detail FY24'!Q25="","",'Employee Detail FY24'!Q25)</f>
        <v/>
      </c>
      <c r="R25" s="3">
        <f>IF('Employee Detail FY24'!R25="","",'Employee Detail FY24'!R25)</f>
        <v>200</v>
      </c>
      <c r="S25" s="3">
        <f>IF('Employee Detail FY24'!S25="","",'Employee Detail FY24'!S25)</f>
        <v>8</v>
      </c>
      <c r="T25" s="263">
        <f t="shared" si="6"/>
        <v>1600</v>
      </c>
      <c r="U25" s="269">
        <f>IF('Employee Detail FY24'!U25="","",'Employee Detail FY24'!U25)</f>
        <v>58339</v>
      </c>
      <c r="V25" s="270">
        <f t="shared" si="7"/>
        <v>63589.51</v>
      </c>
      <c r="W25" s="270" t="str">
        <f t="shared" si="8"/>
        <v/>
      </c>
      <c r="X25" s="270">
        <f t="shared" si="9"/>
        <v>63589.51</v>
      </c>
      <c r="Y25" s="62">
        <v>0</v>
      </c>
      <c r="Z25" s="62">
        <v>0</v>
      </c>
      <c r="AA25" s="256">
        <f t="shared" si="10"/>
        <v>63589.51</v>
      </c>
      <c r="AB25" s="3"/>
      <c r="AC25" s="62">
        <f t="shared" si="11"/>
        <v>7943.76</v>
      </c>
      <c r="AD25" s="62" t="str">
        <f t="shared" si="12"/>
        <v/>
      </c>
      <c r="AE25" s="62">
        <f t="shared" si="13"/>
        <v>18599.931675</v>
      </c>
      <c r="AF25" s="62">
        <f t="shared" si="14"/>
        <v>922.04789500000004</v>
      </c>
      <c r="AG25" s="192">
        <v>0</v>
      </c>
      <c r="AH25" s="62">
        <f t="shared" si="15"/>
        <v>578.8130928938715</v>
      </c>
      <c r="AI25" s="62">
        <f t="shared" si="16"/>
        <v>187.28374280022575</v>
      </c>
      <c r="AJ25" s="62"/>
      <c r="AK25" s="62">
        <v>0</v>
      </c>
      <c r="AL25" s="256">
        <f t="shared" si="17"/>
        <v>28231.836405694095</v>
      </c>
      <c r="AM25" s="256">
        <f t="shared" si="18"/>
        <v>63589.51</v>
      </c>
      <c r="AN25" s="256">
        <f t="shared" si="19"/>
        <v>91821.346405694101</v>
      </c>
    </row>
    <row r="26" spans="1:40" hidden="1" x14ac:dyDescent="0.2">
      <c r="A26" s="3" t="str">
        <f>IF('Employee Detail FY24'!A26="","",'Employee Detail FY24'!A26)</f>
        <v/>
      </c>
      <c r="B26" s="647" t="str">
        <f>IF('Employee Detail FY24'!B26="","",'Employee Detail FY24'!B26)</f>
        <v/>
      </c>
      <c r="C26" s="647" t="str">
        <f>IF('Employee Detail FY24'!C26="","",'Employee Detail FY24'!C26)</f>
        <v/>
      </c>
      <c r="D26" s="647"/>
      <c r="E26" s="647" t="str">
        <f>IF('Employee Detail FY24'!E26="","",'Employee Detail FY24'!E26)</f>
        <v/>
      </c>
      <c r="F26" s="647" t="str">
        <f>IF('Employee Detail FY24'!F26="","",'Employee Detail FY24'!F26)</f>
        <v/>
      </c>
      <c r="G26" s="647" t="str">
        <f>IF('Employee Detail FY24'!G26="","",'Employee Detail FY24'!G26)</f>
        <v/>
      </c>
      <c r="H26" s="3"/>
      <c r="I26" s="255" t="str">
        <f>IF('Employee Detail FY24'!I26="","",'Employee Detail FY24'!I26)</f>
        <v/>
      </c>
      <c r="J26" s="255" t="str">
        <f>IF('Employee Detail FY24'!J26="","",'Employee Detail FY24'!J26)</f>
        <v/>
      </c>
      <c r="K26" s="255" t="str">
        <f>IF('Employee Detail FY24'!K26="","",'Employee Detail FY24'!K26)</f>
        <v/>
      </c>
      <c r="L26" s="255" t="str">
        <f>IF('Employee Detail FY24'!L26="","",'Employee Detail FY24'!L26)</f>
        <v/>
      </c>
      <c r="M26" s="92" t="s">
        <v>386</v>
      </c>
      <c r="N26" s="3" t="str">
        <f>IF('Employee Detail FY24'!N26="","",'Employee Detail FY24'!N26)</f>
        <v/>
      </c>
      <c r="O26" s="3" t="str">
        <f>IF('Employee Detail FY24'!O26="","",'Employee Detail FY24'!O26)</f>
        <v/>
      </c>
      <c r="P26" s="3" t="str">
        <f>IF('Employee Detail FY24'!P26="","",'Employee Detail FY24'!P26)</f>
        <v/>
      </c>
      <c r="Q26" s="3" t="str">
        <f>IF('Employee Detail FY24'!Q26="","",'Employee Detail FY24'!Q26)</f>
        <v/>
      </c>
      <c r="R26" s="3" t="str">
        <f>IF('Employee Detail FY24'!R26="","",'Employee Detail FY24'!R26)</f>
        <v/>
      </c>
      <c r="S26" s="3" t="str">
        <f>IF('Employee Detail FY24'!S26="","",'Employee Detail FY24'!S26)</f>
        <v/>
      </c>
      <c r="T26" s="263" t="str">
        <f t="shared" si="6"/>
        <v/>
      </c>
      <c r="U26" s="269" t="str">
        <f>IF('Employee Detail FY24'!U26="","",'Employee Detail FY24'!U26)</f>
        <v/>
      </c>
      <c r="V26" s="270" t="str">
        <f t="shared" si="7"/>
        <v/>
      </c>
      <c r="W26" s="270" t="str">
        <f t="shared" si="8"/>
        <v/>
      </c>
      <c r="X26" s="270" t="str">
        <f t="shared" si="9"/>
        <v/>
      </c>
      <c r="Y26" s="62">
        <v>0</v>
      </c>
      <c r="Z26" s="62">
        <v>0</v>
      </c>
      <c r="AA26" s="256">
        <f t="shared" si="10"/>
        <v>0</v>
      </c>
      <c r="AB26" s="3"/>
      <c r="AC26" s="62" t="str">
        <f t="shared" si="11"/>
        <v/>
      </c>
      <c r="AD26" s="62" t="str">
        <f t="shared" si="12"/>
        <v/>
      </c>
      <c r="AE26" s="62" t="str">
        <f t="shared" si="13"/>
        <v/>
      </c>
      <c r="AF26" s="62" t="str">
        <f t="shared" si="14"/>
        <v/>
      </c>
      <c r="AG26" s="192">
        <v>0</v>
      </c>
      <c r="AH26" s="62" t="str">
        <f t="shared" si="15"/>
        <v/>
      </c>
      <c r="AI26" s="62">
        <f t="shared" si="16"/>
        <v>0</v>
      </c>
      <c r="AJ26" s="62"/>
      <c r="AK26" s="62">
        <v>0</v>
      </c>
      <c r="AL26" s="256">
        <f t="shared" si="17"/>
        <v>0</v>
      </c>
      <c r="AM26" s="256">
        <f t="shared" si="18"/>
        <v>0</v>
      </c>
      <c r="AN26" s="256">
        <f t="shared" si="19"/>
        <v>0</v>
      </c>
    </row>
    <row r="27" spans="1:40" hidden="1" x14ac:dyDescent="0.2">
      <c r="A27" s="3" t="str">
        <f>IF('Employee Detail FY24'!A27="","",'Employee Detail FY24'!A27)</f>
        <v>ESSER II</v>
      </c>
      <c r="B27" s="647">
        <f>IF('Employee Detail FY24'!B27="","",'Employee Detail FY24'!B27)</f>
        <v>280</v>
      </c>
      <c r="C27" s="647">
        <f>IF('Employee Detail FY24'!C27="","",'Employee Detail FY24'!C27)</f>
        <v>741</v>
      </c>
      <c r="D27" s="647"/>
      <c r="E27" s="647" t="str">
        <f>IF('Employee Detail FY24'!E27="","",'Employee Detail FY24'!E27)</f>
        <v>100</v>
      </c>
      <c r="F27" s="647" t="str">
        <f>IF('Employee Detail FY24'!F27="","",'Employee Detail FY24'!F27)</f>
        <v>2110</v>
      </c>
      <c r="G27" s="647" t="str">
        <f>IF('Employee Detail FY24'!G27="","",'Employee Detail FY24'!G27)</f>
        <v>0106</v>
      </c>
      <c r="H27" s="3"/>
      <c r="I27" s="255" t="str">
        <f>IF('Employee Detail FY24'!I27="","",'Employee Detail FY24'!I27)</f>
        <v>VACANT</v>
      </c>
      <c r="J27" s="255" t="str">
        <f>IF('Employee Detail FY24'!J27="","",'Employee Detail FY24'!J27)</f>
        <v/>
      </c>
      <c r="K27" s="255" t="str">
        <f>IF('Employee Detail FY24'!K27="","",'Employee Detail FY24'!K27)</f>
        <v>Licensed Support Staff</v>
      </c>
      <c r="L27" s="255" t="str">
        <f>IF('Employee Detail FY24'!L27="","",'Employee Detail FY24'!L27)</f>
        <v xml:space="preserve">WRAP AROUND FACILITATOR (SOCIAL WORKER) </v>
      </c>
      <c r="M27" s="92">
        <v>1</v>
      </c>
      <c r="N27" s="3" t="str">
        <f>IF('Employee Detail FY24'!N27="","",'Employee Detail FY24'!N27)</f>
        <v/>
      </c>
      <c r="O27" s="3">
        <f>IF('Employee Detail FY24'!O27="","",'Employee Detail FY24'!O27)</f>
        <v>26</v>
      </c>
      <c r="P27" s="3" t="str">
        <f>IF('Employee Detail FY24'!P27="","",'Employee Detail FY24'!P27)</f>
        <v>EE</v>
      </c>
      <c r="Q27" s="3" t="str">
        <f>IF('Employee Detail FY24'!Q27="","",'Employee Detail FY24'!Q27)</f>
        <v/>
      </c>
      <c r="R27" s="3">
        <f>IF('Employee Detail FY24'!R27="","",'Employee Detail FY24'!R27)</f>
        <v>200</v>
      </c>
      <c r="S27" s="3">
        <f>IF('Employee Detail FY24'!S27="","",'Employee Detail FY24'!S27)</f>
        <v>8</v>
      </c>
      <c r="T27" s="263">
        <f t="shared" si="6"/>
        <v>1600</v>
      </c>
      <c r="U27" s="269">
        <f>IF('Employee Detail FY24'!U27="","",'Employee Detail FY24'!U27)</f>
        <v>39919</v>
      </c>
      <c r="V27" s="270">
        <f t="shared" si="7"/>
        <v>43511.710000000006</v>
      </c>
      <c r="W27" s="270">
        <f t="shared" si="8"/>
        <v>50194.499492060007</v>
      </c>
      <c r="X27" s="270">
        <f t="shared" si="9"/>
        <v>50194.499492060007</v>
      </c>
      <c r="Y27" s="62">
        <v>0</v>
      </c>
      <c r="Z27" s="62">
        <v>0</v>
      </c>
      <c r="AA27" s="256">
        <f t="shared" si="10"/>
        <v>50194.499492060007</v>
      </c>
      <c r="AB27" s="3"/>
      <c r="AC27" s="62">
        <f t="shared" si="11"/>
        <v>7943.76</v>
      </c>
      <c r="AD27" s="62" t="str">
        <f t="shared" si="12"/>
        <v/>
      </c>
      <c r="AE27" s="62">
        <f t="shared" si="13"/>
        <v>7654.6611725391513</v>
      </c>
      <c r="AF27" s="62">
        <f t="shared" si="14"/>
        <v>727.82024263487017</v>
      </c>
      <c r="AG27" s="192">
        <v>0</v>
      </c>
      <c r="AH27" s="62">
        <f t="shared" si="15"/>
        <v>456.88720509497739</v>
      </c>
      <c r="AI27" s="62">
        <f t="shared" si="16"/>
        <v>147.83277513629258</v>
      </c>
      <c r="AJ27" s="62"/>
      <c r="AK27" s="62">
        <v>0</v>
      </c>
      <c r="AL27" s="256">
        <f t="shared" si="17"/>
        <v>16930.961395405291</v>
      </c>
      <c r="AM27" s="256">
        <f t="shared" si="18"/>
        <v>50194.499492060007</v>
      </c>
      <c r="AN27" s="256">
        <f t="shared" si="19"/>
        <v>67125.460887465306</v>
      </c>
    </row>
    <row r="28" spans="1:40" hidden="1" x14ac:dyDescent="0.2">
      <c r="A28" s="3" t="str">
        <f>IF('Employee Detail FY24'!A28="","",'Employee Detail FY24'!A28)</f>
        <v/>
      </c>
      <c r="B28" s="647" t="str">
        <f>IF('Employee Detail FY24'!B28="","",'Employee Detail FY24'!B28)</f>
        <v/>
      </c>
      <c r="C28" s="647" t="str">
        <f>IF('Employee Detail FY24'!C28="","",'Employee Detail FY24'!C28)</f>
        <v/>
      </c>
      <c r="D28" s="647"/>
      <c r="E28" s="647" t="str">
        <f>IF('Employee Detail FY24'!E28="","",'Employee Detail FY24'!E28)</f>
        <v/>
      </c>
      <c r="F28" s="647" t="str">
        <f>IF('Employee Detail FY24'!F28="","",'Employee Detail FY24'!F28)</f>
        <v/>
      </c>
      <c r="G28" s="647" t="str">
        <f>IF('Employee Detail FY24'!G28="","",'Employee Detail FY24'!G28)</f>
        <v/>
      </c>
      <c r="H28" s="3"/>
      <c r="I28" s="255" t="str">
        <f>IF('Employee Detail FY24'!I28="","",'Employee Detail FY24'!I28)</f>
        <v/>
      </c>
      <c r="J28" s="255" t="str">
        <f>IF('Employee Detail FY24'!J28="","",'Employee Detail FY24'!J28)</f>
        <v/>
      </c>
      <c r="K28" s="255" t="str">
        <f>IF('Employee Detail FY24'!K28="","",'Employee Detail FY24'!K28)</f>
        <v/>
      </c>
      <c r="L28" s="255" t="str">
        <f>IF('Employee Detail FY24'!L28="","",'Employee Detail FY24'!L28)</f>
        <v/>
      </c>
      <c r="M28" s="92" t="s">
        <v>386</v>
      </c>
      <c r="N28" s="3" t="str">
        <f>IF('Employee Detail FY24'!N28="","",'Employee Detail FY24'!N28)</f>
        <v/>
      </c>
      <c r="O28" s="3" t="str">
        <f>IF('Employee Detail FY24'!O28="","",'Employee Detail FY24'!O28)</f>
        <v/>
      </c>
      <c r="P28" s="3" t="str">
        <f>IF('Employee Detail FY24'!P28="","",'Employee Detail FY24'!P28)</f>
        <v/>
      </c>
      <c r="Q28" s="3" t="str">
        <f>IF('Employee Detail FY24'!Q28="","",'Employee Detail FY24'!Q28)</f>
        <v/>
      </c>
      <c r="R28" s="3" t="str">
        <f>IF('Employee Detail FY24'!R28="","",'Employee Detail FY24'!R28)</f>
        <v/>
      </c>
      <c r="S28" s="3" t="str">
        <f>IF('Employee Detail FY24'!S28="","",'Employee Detail FY24'!S28)</f>
        <v/>
      </c>
      <c r="T28" s="263" t="str">
        <f t="shared" si="6"/>
        <v/>
      </c>
      <c r="U28" s="269" t="str">
        <f>IF('Employee Detail FY24'!U28="","",'Employee Detail FY24'!U28)</f>
        <v/>
      </c>
      <c r="V28" s="270" t="str">
        <f t="shared" si="7"/>
        <v/>
      </c>
      <c r="W28" s="270" t="str">
        <f t="shared" si="8"/>
        <v/>
      </c>
      <c r="X28" s="270" t="str">
        <f t="shared" si="9"/>
        <v/>
      </c>
      <c r="Y28" s="62">
        <v>0</v>
      </c>
      <c r="Z28" s="62">
        <v>0</v>
      </c>
      <c r="AA28" s="256">
        <f t="shared" si="10"/>
        <v>0</v>
      </c>
      <c r="AB28" s="3"/>
      <c r="AC28" s="62" t="str">
        <f t="shared" si="11"/>
        <v/>
      </c>
      <c r="AD28" s="62" t="str">
        <f t="shared" si="12"/>
        <v/>
      </c>
      <c r="AE28" s="62" t="str">
        <f t="shared" si="13"/>
        <v/>
      </c>
      <c r="AF28" s="62" t="str">
        <f t="shared" si="14"/>
        <v/>
      </c>
      <c r="AG28" s="192">
        <v>0</v>
      </c>
      <c r="AH28" s="62" t="str">
        <f t="shared" si="15"/>
        <v/>
      </c>
      <c r="AI28" s="62">
        <f t="shared" si="16"/>
        <v>0</v>
      </c>
      <c r="AJ28" s="62"/>
      <c r="AK28" s="62">
        <v>0</v>
      </c>
      <c r="AL28" s="256">
        <f t="shared" si="17"/>
        <v>0</v>
      </c>
      <c r="AM28" s="256">
        <f t="shared" si="18"/>
        <v>0</v>
      </c>
      <c r="AN28" s="256">
        <f t="shared" si="19"/>
        <v>0</v>
      </c>
    </row>
    <row r="29" spans="1:40" hidden="1" x14ac:dyDescent="0.2">
      <c r="A29" s="3" t="str">
        <f>IF('Employee Detail FY24'!A29="","",'Employee Detail FY24'!A29)</f>
        <v/>
      </c>
      <c r="B29" s="647" t="str">
        <f>IF('Employee Detail FY24'!B29="","",'Employee Detail FY24'!B29)</f>
        <v>100</v>
      </c>
      <c r="C29" s="647" t="str">
        <f>IF('Employee Detail FY24'!C29="","",'Employee Detail FY24'!C29)</f>
        <v>000</v>
      </c>
      <c r="D29" s="647"/>
      <c r="E29" s="647" t="str">
        <f>IF('Employee Detail FY24'!E29="","",'Employee Detail FY24'!E29)</f>
        <v>100</v>
      </c>
      <c r="F29" s="647" t="str">
        <f>IF('Employee Detail FY24'!F29="","",'Employee Detail FY24'!F29)</f>
        <v>2110</v>
      </c>
      <c r="G29" s="647" t="str">
        <f>IF('Employee Detail FY24'!G29="","",'Employee Detail FY24'!G29)</f>
        <v>0106</v>
      </c>
      <c r="H29" s="3"/>
      <c r="I29" s="255" t="str">
        <f>IF('Employee Detail FY24'!I29="","",'Employee Detail FY24'!I29)</f>
        <v>KAYS</v>
      </c>
      <c r="J29" s="255" t="str">
        <f>IF('Employee Detail FY24'!J29="","",'Employee Detail FY24'!J29)</f>
        <v>JILL</v>
      </c>
      <c r="K29" s="255" t="str">
        <f>IF('Employee Detail FY24'!K29="","",'Employee Detail FY24'!K29)</f>
        <v>Licensed Staff</v>
      </c>
      <c r="L29" s="255" t="str">
        <f>IF('Employee Detail FY24'!L29="","",'Employee Detail FY24'!L29)</f>
        <v>SOCIAL WORKER</v>
      </c>
      <c r="M29" s="92">
        <v>1</v>
      </c>
      <c r="N29" s="3" t="str">
        <f>IF('Employee Detail FY24'!N29="","",'Employee Detail FY24'!N29)</f>
        <v/>
      </c>
      <c r="O29" s="3">
        <f>IF('Employee Detail FY24'!O29="","",'Employee Detail FY24'!O29)</f>
        <v>26</v>
      </c>
      <c r="P29" s="3" t="str">
        <f>IF('Employee Detail FY24'!P29="","",'Employee Detail FY24'!P29)</f>
        <v>ER</v>
      </c>
      <c r="Q29" s="3" t="str">
        <f>IF('Employee Detail FY24'!Q29="","",'Employee Detail FY24'!Q29)</f>
        <v/>
      </c>
      <c r="R29" s="3">
        <f>IF('Employee Detail FY24'!R29="","",'Employee Detail FY24'!R29)</f>
        <v>200</v>
      </c>
      <c r="S29" s="3">
        <f>IF('Employee Detail FY24'!S29="","",'Employee Detail FY24'!S29)</f>
        <v>8</v>
      </c>
      <c r="T29" s="263">
        <f t="shared" si="6"/>
        <v>1600</v>
      </c>
      <c r="U29" s="269">
        <f>IF('Employee Detail FY24'!U29="","",'Employee Detail FY24'!U29)</f>
        <v>50788</v>
      </c>
      <c r="V29" s="270">
        <f t="shared" si="7"/>
        <v>55358.920000000006</v>
      </c>
      <c r="W29" s="270" t="str">
        <f t="shared" si="8"/>
        <v/>
      </c>
      <c r="X29" s="270">
        <f t="shared" si="9"/>
        <v>55358.920000000006</v>
      </c>
      <c r="Y29" s="62">
        <v>0</v>
      </c>
      <c r="Z29" s="62">
        <v>0</v>
      </c>
      <c r="AA29" s="256">
        <f t="shared" si="10"/>
        <v>55358.920000000006</v>
      </c>
      <c r="AB29" s="3"/>
      <c r="AC29" s="62">
        <f t="shared" si="11"/>
        <v>7943.76</v>
      </c>
      <c r="AD29" s="62" t="str">
        <f t="shared" si="12"/>
        <v/>
      </c>
      <c r="AE29" s="62">
        <f t="shared" si="13"/>
        <v>16192.484100000001</v>
      </c>
      <c r="AF29" s="62">
        <f t="shared" si="14"/>
        <v>802.70434000000012</v>
      </c>
      <c r="AG29" s="192">
        <v>0</v>
      </c>
      <c r="AH29" s="62">
        <f t="shared" si="15"/>
        <v>503.89549635567886</v>
      </c>
      <c r="AI29" s="62">
        <f t="shared" si="16"/>
        <v>163.04301975244462</v>
      </c>
      <c r="AJ29" s="62"/>
      <c r="AK29" s="62">
        <v>0</v>
      </c>
      <c r="AL29" s="256">
        <f t="shared" si="17"/>
        <v>25605.886956108126</v>
      </c>
      <c r="AM29" s="256">
        <f t="shared" si="18"/>
        <v>55358.920000000006</v>
      </c>
      <c r="AN29" s="256">
        <f t="shared" si="19"/>
        <v>80964.806956108136</v>
      </c>
    </row>
    <row r="30" spans="1:40" hidden="1" x14ac:dyDescent="0.2">
      <c r="A30" s="3" t="str">
        <f>IF('Employee Detail FY24'!A30="","",'Employee Detail FY24'!A30)</f>
        <v/>
      </c>
      <c r="B30" s="647">
        <f>IF('Employee Detail FY24'!B30="","",'Employee Detail FY24'!B30)</f>
        <v>100</v>
      </c>
      <c r="C30" s="647" t="str">
        <f>IF('Employee Detail FY24'!C30="","",'Employee Detail FY24'!C30)</f>
        <v>000</v>
      </c>
      <c r="D30" s="647"/>
      <c r="E30" s="647">
        <f>IF('Employee Detail FY24'!E30="","",'Employee Detail FY24'!E30)</f>
        <v>100</v>
      </c>
      <c r="F30" s="647">
        <f>IF('Employee Detail FY24'!F30="","",'Employee Detail FY24'!F30)</f>
        <v>2110</v>
      </c>
      <c r="G30" s="647" t="str">
        <f>IF('Employee Detail FY24'!G30="","",'Employee Detail FY24'!G30)</f>
        <v>0106</v>
      </c>
      <c r="H30" s="3"/>
      <c r="I30" s="255" t="str">
        <f>IF('Employee Detail FY24'!I30="","",'Employee Detail FY24'!I30)</f>
        <v>DIAZ</v>
      </c>
      <c r="J30" s="255" t="str">
        <f>IF('Employee Detail FY24'!J30="","",'Employee Detail FY24'!J30)</f>
        <v>ALBERTO</v>
      </c>
      <c r="K30" s="255" t="str">
        <f>IF('Employee Detail FY24'!K30="","",'Employee Detail FY24'!K30)</f>
        <v>Licensed Staff</v>
      </c>
      <c r="L30" s="255" t="str">
        <f>IF('Employee Detail FY24'!L30="","",'Employee Detail FY24'!L30)</f>
        <v>SOCIAL WORKER 01</v>
      </c>
      <c r="M30" s="92">
        <v>1</v>
      </c>
      <c r="N30" s="3" t="str">
        <f>IF('Employee Detail FY24'!N30="","",'Employee Detail FY24'!N30)</f>
        <v/>
      </c>
      <c r="O30" s="3">
        <f>IF('Employee Detail FY24'!O30="","",'Employee Detail FY24'!O30)</f>
        <v>26</v>
      </c>
      <c r="P30" s="3" t="str">
        <f>IF('Employee Detail FY24'!P30="","",'Employee Detail FY24'!P30)</f>
        <v>EE</v>
      </c>
      <c r="Q30" s="3" t="str">
        <f>IF('Employee Detail FY24'!Q30="","",'Employee Detail FY24'!Q30)</f>
        <v/>
      </c>
      <c r="R30" s="3">
        <f>IF('Employee Detail FY24'!R30="","",'Employee Detail FY24'!R30)</f>
        <v>200</v>
      </c>
      <c r="S30" s="3">
        <f>IF('Employee Detail FY24'!S30="","",'Employee Detail FY24'!S30)</f>
        <v>8</v>
      </c>
      <c r="T30" s="263">
        <f t="shared" si="6"/>
        <v>1600</v>
      </c>
      <c r="U30" s="269">
        <f>IF('Employee Detail FY24'!U30="","",'Employee Detail FY24'!U30)</f>
        <v>55000</v>
      </c>
      <c r="V30" s="270">
        <f t="shared" si="7"/>
        <v>59950.000000000007</v>
      </c>
      <c r="W30" s="270">
        <f t="shared" si="8"/>
        <v>69157.480700000015</v>
      </c>
      <c r="X30" s="270">
        <f t="shared" si="9"/>
        <v>69157.480700000015</v>
      </c>
      <c r="Y30" s="62">
        <v>0</v>
      </c>
      <c r="Z30" s="62">
        <v>0</v>
      </c>
      <c r="AA30" s="256">
        <f t="shared" si="10"/>
        <v>69157.480700000015</v>
      </c>
      <c r="AB30" s="3"/>
      <c r="AC30" s="62">
        <f t="shared" si="11"/>
        <v>7943.76</v>
      </c>
      <c r="AD30" s="62" t="str">
        <f t="shared" si="12"/>
        <v/>
      </c>
      <c r="AE30" s="62">
        <f t="shared" si="13"/>
        <v>10546.515806750002</v>
      </c>
      <c r="AF30" s="62">
        <f t="shared" si="14"/>
        <v>1002.7834701500003</v>
      </c>
      <c r="AG30" s="192">
        <v>0</v>
      </c>
      <c r="AH30" s="62">
        <f t="shared" si="15"/>
        <v>629.49463363871234</v>
      </c>
      <c r="AI30" s="62">
        <f t="shared" si="16"/>
        <v>203.68252292131797</v>
      </c>
      <c r="AJ30" s="62"/>
      <c r="AK30" s="62">
        <v>0</v>
      </c>
      <c r="AL30" s="256">
        <f t="shared" si="17"/>
        <v>20326.236433460032</v>
      </c>
      <c r="AM30" s="256">
        <f t="shared" si="18"/>
        <v>69157.480700000015</v>
      </c>
      <c r="AN30" s="256">
        <f t="shared" si="19"/>
        <v>89483.717133460043</v>
      </c>
    </row>
    <row r="31" spans="1:40" hidden="1" x14ac:dyDescent="0.2">
      <c r="A31" s="3" t="str">
        <f>IF('Employee Detail FY24'!A31="","",'Employee Detail FY24'!A31)</f>
        <v>ESSER II</v>
      </c>
      <c r="B31" s="647">
        <f>IF('Employee Detail FY24'!B31="","",'Employee Detail FY24'!B31)</f>
        <v>280</v>
      </c>
      <c r="C31" s="647">
        <f>IF('Employee Detail FY24'!C31="","",'Employee Detail FY24'!C31)</f>
        <v>741</v>
      </c>
      <c r="D31" s="647"/>
      <c r="E31" s="647">
        <f>IF('Employee Detail FY24'!E31="","",'Employee Detail FY24'!E31)</f>
        <v>100</v>
      </c>
      <c r="F31" s="647">
        <f>IF('Employee Detail FY24'!F31="","",'Employee Detail FY24'!F31)</f>
        <v>2110</v>
      </c>
      <c r="G31" s="647" t="str">
        <f>IF('Employee Detail FY24'!G31="","",'Employee Detail FY24'!G31)</f>
        <v>0106</v>
      </c>
      <c r="H31" s="3"/>
      <c r="I31" s="255" t="str">
        <f>IF('Employee Detail FY24'!I31="","",'Employee Detail FY24'!I31)</f>
        <v>HERNANDEZ</v>
      </c>
      <c r="J31" s="255" t="str">
        <f>IF('Employee Detail FY24'!J31="","",'Employee Detail FY24'!J31)</f>
        <v>ALLISON</v>
      </c>
      <c r="K31" s="255" t="str">
        <f>IF('Employee Detail FY24'!K31="","",'Employee Detail FY24'!K31)</f>
        <v>Licensed Staff</v>
      </c>
      <c r="L31" s="255" t="str">
        <f>IF('Employee Detail FY24'!L31="","",'Employee Detail FY24'!L31)</f>
        <v>SOCIAL WORKER 02</v>
      </c>
      <c r="M31" s="92">
        <v>1</v>
      </c>
      <c r="N31" s="3" t="str">
        <f>IF('Employee Detail FY24'!N31="","",'Employee Detail FY24'!N31)</f>
        <v/>
      </c>
      <c r="O31" s="3">
        <f>IF('Employee Detail FY24'!O31="","",'Employee Detail FY24'!O31)</f>
        <v>26</v>
      </c>
      <c r="P31" s="3" t="str">
        <f>IF('Employee Detail FY24'!P31="","",'Employee Detail FY24'!P31)</f>
        <v>EE</v>
      </c>
      <c r="Q31" s="3" t="str">
        <f>IF('Employee Detail FY24'!Q31="","",'Employee Detail FY24'!Q31)</f>
        <v/>
      </c>
      <c r="R31" s="3">
        <f>IF('Employee Detail FY24'!R31="","",'Employee Detail FY24'!R31)</f>
        <v>200</v>
      </c>
      <c r="S31" s="3">
        <f>IF('Employee Detail FY24'!S31="","",'Employee Detail FY24'!S31)</f>
        <v>8</v>
      </c>
      <c r="T31" s="263">
        <f t="shared" si="6"/>
        <v>1600</v>
      </c>
      <c r="U31" s="269">
        <f>IF('Employee Detail FY24'!U31="","",'Employee Detail FY24'!U31)</f>
        <v>55000</v>
      </c>
      <c r="V31" s="270">
        <f t="shared" si="7"/>
        <v>59950.000000000007</v>
      </c>
      <c r="W31" s="270">
        <f t="shared" si="8"/>
        <v>69157.480700000015</v>
      </c>
      <c r="X31" s="270">
        <f t="shared" si="9"/>
        <v>69157.480700000015</v>
      </c>
      <c r="Y31" s="62">
        <v>0</v>
      </c>
      <c r="Z31" s="62">
        <v>0</v>
      </c>
      <c r="AA31" s="256">
        <f t="shared" si="10"/>
        <v>69157.480700000015</v>
      </c>
      <c r="AB31" s="3"/>
      <c r="AC31" s="62">
        <f t="shared" si="11"/>
        <v>7943.76</v>
      </c>
      <c r="AD31" s="62" t="str">
        <f t="shared" si="12"/>
        <v/>
      </c>
      <c r="AE31" s="62">
        <f t="shared" si="13"/>
        <v>10546.515806750002</v>
      </c>
      <c r="AF31" s="62">
        <f t="shared" si="14"/>
        <v>1002.7834701500003</v>
      </c>
      <c r="AG31" s="192">
        <v>0</v>
      </c>
      <c r="AH31" s="62">
        <f t="shared" si="15"/>
        <v>629.49463363871234</v>
      </c>
      <c r="AI31" s="62">
        <f t="shared" si="16"/>
        <v>203.68252292131797</v>
      </c>
      <c r="AJ31" s="62"/>
      <c r="AK31" s="62">
        <v>0</v>
      </c>
      <c r="AL31" s="256">
        <f t="shared" si="17"/>
        <v>20326.236433460032</v>
      </c>
      <c r="AM31" s="256">
        <f t="shared" si="18"/>
        <v>69157.480700000015</v>
      </c>
      <c r="AN31" s="256">
        <f t="shared" si="19"/>
        <v>89483.717133460043</v>
      </c>
    </row>
    <row r="32" spans="1:40" hidden="1" x14ac:dyDescent="0.2">
      <c r="A32" s="3" t="str">
        <f>IF('Employee Detail FY24'!A32="","",'Employee Detail FY24'!A32)</f>
        <v/>
      </c>
      <c r="B32" s="647" t="str">
        <f>IF('Employee Detail FY24'!B32="","",'Employee Detail FY24'!B32)</f>
        <v/>
      </c>
      <c r="C32" s="647" t="str">
        <f>IF('Employee Detail FY24'!C32="","",'Employee Detail FY24'!C32)</f>
        <v/>
      </c>
      <c r="D32" s="647"/>
      <c r="E32" s="647" t="str">
        <f>IF('Employee Detail FY24'!E32="","",'Employee Detail FY24'!E32)</f>
        <v/>
      </c>
      <c r="F32" s="647" t="str">
        <f>IF('Employee Detail FY24'!F32="","",'Employee Detail FY24'!F32)</f>
        <v/>
      </c>
      <c r="G32" s="647" t="str">
        <f>IF('Employee Detail FY24'!G32="","",'Employee Detail FY24'!G32)</f>
        <v/>
      </c>
      <c r="H32" s="3"/>
      <c r="I32" s="255" t="str">
        <f>IF('Employee Detail FY24'!I32="","",'Employee Detail FY24'!I32)</f>
        <v/>
      </c>
      <c r="J32" s="255" t="str">
        <f>IF('Employee Detail FY24'!J32="","",'Employee Detail FY24'!J32)</f>
        <v/>
      </c>
      <c r="K32" s="255" t="str">
        <f>IF('Employee Detail FY24'!K32="","",'Employee Detail FY24'!K32)</f>
        <v/>
      </c>
      <c r="L32" s="255" t="str">
        <f>IF('Employee Detail FY24'!L32="","",'Employee Detail FY24'!L32)</f>
        <v/>
      </c>
      <c r="M32" s="92" t="s">
        <v>386</v>
      </c>
      <c r="N32" s="3" t="str">
        <f>IF('Employee Detail FY24'!N32="","",'Employee Detail FY24'!N32)</f>
        <v/>
      </c>
      <c r="O32" s="3" t="str">
        <f>IF('Employee Detail FY24'!O32="","",'Employee Detail FY24'!O32)</f>
        <v/>
      </c>
      <c r="P32" s="3" t="str">
        <f>IF('Employee Detail FY24'!P32="","",'Employee Detail FY24'!P32)</f>
        <v/>
      </c>
      <c r="Q32" s="3" t="str">
        <f>IF('Employee Detail FY24'!Q32="","",'Employee Detail FY24'!Q32)</f>
        <v/>
      </c>
      <c r="R32" s="3" t="str">
        <f>IF('Employee Detail FY24'!R32="","",'Employee Detail FY24'!R32)</f>
        <v/>
      </c>
      <c r="S32" s="3" t="str">
        <f>IF('Employee Detail FY24'!S32="","",'Employee Detail FY24'!S32)</f>
        <v/>
      </c>
      <c r="T32" s="263" t="str">
        <f t="shared" si="6"/>
        <v/>
      </c>
      <c r="U32" s="269" t="str">
        <f>IF('Employee Detail FY24'!U32="","",'Employee Detail FY24'!U32)</f>
        <v/>
      </c>
      <c r="V32" s="270" t="str">
        <f t="shared" si="7"/>
        <v/>
      </c>
      <c r="W32" s="270" t="str">
        <f t="shared" si="8"/>
        <v/>
      </c>
      <c r="X32" s="270" t="str">
        <f t="shared" si="9"/>
        <v/>
      </c>
      <c r="Y32" s="62">
        <v>0</v>
      </c>
      <c r="Z32" s="62">
        <v>0</v>
      </c>
      <c r="AA32" s="256">
        <f t="shared" si="10"/>
        <v>0</v>
      </c>
      <c r="AB32" s="3"/>
      <c r="AC32" s="62" t="str">
        <f t="shared" si="11"/>
        <v/>
      </c>
      <c r="AD32" s="62" t="str">
        <f t="shared" si="12"/>
        <v/>
      </c>
      <c r="AE32" s="62" t="str">
        <f t="shared" si="13"/>
        <v/>
      </c>
      <c r="AF32" s="62" t="str">
        <f t="shared" si="14"/>
        <v/>
      </c>
      <c r="AG32" s="192">
        <v>0</v>
      </c>
      <c r="AH32" s="62" t="str">
        <f t="shared" si="15"/>
        <v/>
      </c>
      <c r="AI32" s="62">
        <f t="shared" si="16"/>
        <v>0</v>
      </c>
      <c r="AJ32" s="62"/>
      <c r="AK32" s="62">
        <v>0</v>
      </c>
      <c r="AL32" s="256">
        <f t="shared" si="17"/>
        <v>0</v>
      </c>
      <c r="AM32" s="256">
        <f t="shared" si="18"/>
        <v>0</v>
      </c>
      <c r="AN32" s="256">
        <f t="shared" si="19"/>
        <v>0</v>
      </c>
    </row>
    <row r="33" spans="1:40" hidden="1" x14ac:dyDescent="0.2">
      <c r="A33" s="386" t="str">
        <f>IF('Employee Detail FY24'!A33="","",'Employee Detail FY24'!A33)</f>
        <v/>
      </c>
      <c r="B33" s="678">
        <f>IF('Employee Detail FY24'!B33="","",'Employee Detail FY24'!B33)</f>
        <v>100</v>
      </c>
      <c r="C33" s="678" t="str">
        <f>IF('Employee Detail FY24'!C33="","",'Employee Detail FY24'!C33)</f>
        <v>000</v>
      </c>
      <c r="D33" s="678"/>
      <c r="E33" s="678">
        <f>IF('Employee Detail FY24'!E33="","",'Employee Detail FY24'!E33)</f>
        <v>100</v>
      </c>
      <c r="F33" s="678" t="str">
        <f>IF('Employee Detail FY24'!F33="","",'Employee Detail FY24'!F33)</f>
        <v>2120</v>
      </c>
      <c r="G33" s="678" t="str">
        <f>IF('Employee Detail FY24'!G33="","",'Employee Detail FY24'!G33)</f>
        <v>0106</v>
      </c>
      <c r="H33" s="386"/>
      <c r="I33" s="359" t="str">
        <f>IF('Employee Detail FY24'!I33="","",'Employee Detail FY24'!I33)</f>
        <v>BATES (BOLTON)</v>
      </c>
      <c r="J33" s="359" t="str">
        <f>IF('Employee Detail FY24'!J33="","",'Employee Detail FY24'!J33)</f>
        <v>TOISHAUNA</v>
      </c>
      <c r="K33" s="359" t="str">
        <f>IF('Employee Detail FY24'!K33="","",'Employee Detail FY24'!K33)</f>
        <v>Licensed Support Staff</v>
      </c>
      <c r="L33" s="359" t="str">
        <f>IF('Employee Detail FY24'!L33="","",'Employee Detail FY24'!L33)</f>
        <v>ACADEMIC COUNSELOR</v>
      </c>
      <c r="M33" s="388">
        <v>1</v>
      </c>
      <c r="N33" s="386" t="str">
        <f>IF('Employee Detail FY24'!N33="","",'Employee Detail FY24'!N33)</f>
        <v>S</v>
      </c>
      <c r="O33" s="386">
        <f>IF('Employee Detail FY24'!O33="","",'Employee Detail FY24'!O33)</f>
        <v>1</v>
      </c>
      <c r="P33" s="386" t="str">
        <f>IF('Employee Detail FY24'!P33="","",'Employee Detail FY24'!P33)</f>
        <v>EE</v>
      </c>
      <c r="Q33" s="386" t="str">
        <f>IF('Employee Detail FY24'!Q33="","",'Employee Detail FY24'!Q33)</f>
        <v/>
      </c>
      <c r="R33" s="386">
        <f>IF('Employee Detail FY24'!R33="","",'Employee Detail FY24'!R33)</f>
        <v>261</v>
      </c>
      <c r="S33" s="386">
        <f>IF('Employee Detail FY24'!S33="","",'Employee Detail FY24'!S33)</f>
        <v>8</v>
      </c>
      <c r="T33" s="263">
        <f t="shared" si="6"/>
        <v>2088</v>
      </c>
      <c r="U33" s="269">
        <f>IF('Employee Detail FY24'!U33="","",'Employee Detail FY24'!U33)</f>
        <v>62320</v>
      </c>
      <c r="V33" s="270">
        <f t="shared" si="7"/>
        <v>67928.800000000003</v>
      </c>
      <c r="W33" s="270">
        <f t="shared" si="8"/>
        <v>78361.712676800002</v>
      </c>
      <c r="X33" s="270">
        <f t="shared" si="9"/>
        <v>78361.712676800002</v>
      </c>
      <c r="Y33" s="62">
        <v>0</v>
      </c>
      <c r="Z33" s="62">
        <v>0</v>
      </c>
      <c r="AA33" s="256">
        <f t="shared" si="10"/>
        <v>78361.712676800002</v>
      </c>
      <c r="AB33" s="3"/>
      <c r="AC33" s="62">
        <f t="shared" si="11"/>
        <v>7943.76</v>
      </c>
      <c r="AD33" s="62" t="str">
        <f t="shared" si="12"/>
        <v/>
      </c>
      <c r="AE33" s="62">
        <f t="shared" si="13"/>
        <v>11950.161183212</v>
      </c>
      <c r="AF33" s="62">
        <f t="shared" si="14"/>
        <v>1136.2448338136001</v>
      </c>
      <c r="AG33" s="192">
        <v>0</v>
      </c>
      <c r="AH33" s="62">
        <f t="shared" si="15"/>
        <v>713.27464669753726</v>
      </c>
      <c r="AI33" s="62">
        <f t="shared" si="16"/>
        <v>230.79081506284606</v>
      </c>
      <c r="AJ33" s="62"/>
      <c r="AK33" s="62">
        <v>0</v>
      </c>
      <c r="AL33" s="256">
        <f t="shared" si="17"/>
        <v>21974.231478785983</v>
      </c>
      <c r="AM33" s="256">
        <f t="shared" si="18"/>
        <v>78361.712676800002</v>
      </c>
      <c r="AN33" s="256">
        <f t="shared" si="19"/>
        <v>100335.94415558598</v>
      </c>
    </row>
    <row r="34" spans="1:40" hidden="1" x14ac:dyDescent="0.2">
      <c r="A34" s="386" t="str">
        <f>IF('Employee Detail FY24'!A34="","",'Employee Detail FY24'!A34)</f>
        <v>VACANT</v>
      </c>
      <c r="B34" s="678">
        <f>IF('Employee Detail FY24'!B34="","",'Employee Detail FY24'!B34)</f>
        <v>100</v>
      </c>
      <c r="C34" s="678" t="str">
        <f>IF('Employee Detail FY24'!C34="","",'Employee Detail FY24'!C34)</f>
        <v>000</v>
      </c>
      <c r="D34" s="678"/>
      <c r="E34" s="678">
        <f>IF('Employee Detail FY24'!E34="","",'Employee Detail FY24'!E34)</f>
        <v>100</v>
      </c>
      <c r="F34" s="678" t="str">
        <f>IF('Employee Detail FY24'!F34="","",'Employee Detail FY24'!F34)</f>
        <v>2120</v>
      </c>
      <c r="G34" s="678" t="str">
        <f>IF('Employee Detail FY24'!G34="","",'Employee Detail FY24'!G34)</f>
        <v>0106</v>
      </c>
      <c r="H34" s="386"/>
      <c r="I34" s="359" t="str">
        <f>IF('Employee Detail FY24'!I34="","",'Employee Detail FY24'!I34)</f>
        <v>VACANT</v>
      </c>
      <c r="J34" s="359" t="str">
        <f>IF('Employee Detail FY24'!J34="","",'Employee Detail FY24'!J34)</f>
        <v>FY23</v>
      </c>
      <c r="K34" s="359" t="str">
        <f>IF('Employee Detail FY24'!K34="","",'Employee Detail FY24'!K34)</f>
        <v>Licensed Support Staff</v>
      </c>
      <c r="L34" s="359" t="str">
        <f>IF('Employee Detail FY24'!L34="","",'Employee Detail FY24'!L34)</f>
        <v>ACADEMIC COUNSELOR</v>
      </c>
      <c r="M34" s="388">
        <v>1</v>
      </c>
      <c r="N34" s="386" t="str">
        <f>IF('Employee Detail FY24'!N34="","",'Employee Detail FY24'!N34)</f>
        <v>S</v>
      </c>
      <c r="O34" s="386">
        <f>IF('Employee Detail FY24'!O34="","",'Employee Detail FY24'!O34)</f>
        <v>1</v>
      </c>
      <c r="P34" s="386" t="str">
        <f>IF('Employee Detail FY24'!P34="","",'Employee Detail FY24'!P34)</f>
        <v>EE</v>
      </c>
      <c r="Q34" s="386" t="str">
        <f>IF('Employee Detail FY24'!Q34="","",'Employee Detail FY24'!Q34)</f>
        <v/>
      </c>
      <c r="R34" s="386">
        <f>IF('Employee Detail FY24'!R34="","",'Employee Detail FY24'!R34)</f>
        <v>261</v>
      </c>
      <c r="S34" s="386">
        <f>IF('Employee Detail FY24'!S34="","",'Employee Detail FY24'!S34)</f>
        <v>8</v>
      </c>
      <c r="T34" s="263">
        <f t="shared" si="6"/>
        <v>2088</v>
      </c>
      <c r="U34" s="269">
        <f>IF('Employee Detail FY24'!U34="","",'Employee Detail FY24'!U34)</f>
        <v>62320</v>
      </c>
      <c r="V34" s="270">
        <f t="shared" si="7"/>
        <v>67928.800000000003</v>
      </c>
      <c r="W34" s="270">
        <f t="shared" si="8"/>
        <v>78361.712676800002</v>
      </c>
      <c r="X34" s="270">
        <f t="shared" si="9"/>
        <v>78361.712676800002</v>
      </c>
      <c r="Y34" s="62">
        <v>0</v>
      </c>
      <c r="Z34" s="62">
        <v>0</v>
      </c>
      <c r="AA34" s="256">
        <f t="shared" si="10"/>
        <v>78361.712676800002</v>
      </c>
      <c r="AB34" s="3"/>
      <c r="AC34" s="62">
        <f t="shared" si="11"/>
        <v>7943.76</v>
      </c>
      <c r="AD34" s="62" t="str">
        <f t="shared" si="12"/>
        <v/>
      </c>
      <c r="AE34" s="62">
        <f t="shared" si="13"/>
        <v>11950.161183212</v>
      </c>
      <c r="AF34" s="62">
        <f t="shared" si="14"/>
        <v>1136.2448338136001</v>
      </c>
      <c r="AG34" s="192">
        <v>0</v>
      </c>
      <c r="AH34" s="62">
        <f t="shared" si="15"/>
        <v>713.27464669753726</v>
      </c>
      <c r="AI34" s="62">
        <f t="shared" si="16"/>
        <v>230.79081506284606</v>
      </c>
      <c r="AJ34" s="62"/>
      <c r="AK34" s="62">
        <v>0</v>
      </c>
      <c r="AL34" s="256">
        <f t="shared" si="17"/>
        <v>21974.231478785983</v>
      </c>
      <c r="AM34" s="256">
        <f t="shared" si="18"/>
        <v>78361.712676800002</v>
      </c>
      <c r="AN34" s="256">
        <f t="shared" si="19"/>
        <v>100335.94415558598</v>
      </c>
    </row>
    <row r="35" spans="1:40" hidden="1" x14ac:dyDescent="0.2">
      <c r="A35" s="386" t="str">
        <f>IF('Employee Detail FY24'!A35="","",'Employee Detail FY24'!A35)</f>
        <v/>
      </c>
      <c r="B35" s="678" t="str">
        <f>IF('Employee Detail FY24'!B35="","",'Employee Detail FY24'!B35)</f>
        <v/>
      </c>
      <c r="C35" s="678" t="str">
        <f>IF('Employee Detail FY24'!C35="","",'Employee Detail FY24'!C35)</f>
        <v/>
      </c>
      <c r="D35" s="678"/>
      <c r="E35" s="678" t="str">
        <f>IF('Employee Detail FY24'!E35="","",'Employee Detail FY24'!E35)</f>
        <v/>
      </c>
      <c r="F35" s="678" t="str">
        <f>IF('Employee Detail FY24'!F35="","",'Employee Detail FY24'!F35)</f>
        <v/>
      </c>
      <c r="G35" s="678" t="str">
        <f>IF('Employee Detail FY24'!G35="","",'Employee Detail FY24'!G35)</f>
        <v/>
      </c>
      <c r="H35" s="386"/>
      <c r="I35" s="359" t="str">
        <f>IF('Employee Detail FY24'!I35="","",'Employee Detail FY24'!I35)</f>
        <v/>
      </c>
      <c r="J35" s="359" t="str">
        <f>IF('Employee Detail FY24'!J35="","",'Employee Detail FY24'!J35)</f>
        <v/>
      </c>
      <c r="K35" s="359" t="str">
        <f>IF('Employee Detail FY24'!K35="","",'Employee Detail FY24'!K35)</f>
        <v/>
      </c>
      <c r="L35" s="359" t="str">
        <f>IF('Employee Detail FY24'!L35="","",'Employee Detail FY24'!L35)</f>
        <v/>
      </c>
      <c r="M35" s="388" t="s">
        <v>386</v>
      </c>
      <c r="N35" s="386" t="str">
        <f>IF('Employee Detail FY24'!N35="","",'Employee Detail FY24'!N35)</f>
        <v/>
      </c>
      <c r="O35" s="386" t="str">
        <f>IF('Employee Detail FY24'!O35="","",'Employee Detail FY24'!O35)</f>
        <v/>
      </c>
      <c r="P35" s="386" t="str">
        <f>IF('Employee Detail FY24'!P35="","",'Employee Detail FY24'!P35)</f>
        <v/>
      </c>
      <c r="Q35" s="386" t="str">
        <f>IF('Employee Detail FY24'!Q35="","",'Employee Detail FY24'!Q35)</f>
        <v/>
      </c>
      <c r="R35" s="386" t="str">
        <f>IF('Employee Detail FY24'!R35="","",'Employee Detail FY24'!R35)</f>
        <v/>
      </c>
      <c r="S35" s="386" t="str">
        <f>IF('Employee Detail FY24'!S35="","",'Employee Detail FY24'!S35)</f>
        <v/>
      </c>
      <c r="T35" s="263" t="str">
        <f t="shared" si="6"/>
        <v/>
      </c>
      <c r="U35" s="269" t="str">
        <f>IF('Employee Detail FY24'!U35="","",'Employee Detail FY24'!U35)</f>
        <v/>
      </c>
      <c r="V35" s="270" t="str">
        <f t="shared" si="7"/>
        <v/>
      </c>
      <c r="W35" s="270" t="str">
        <f t="shared" si="8"/>
        <v/>
      </c>
      <c r="X35" s="270" t="str">
        <f t="shared" si="9"/>
        <v/>
      </c>
      <c r="Y35" s="62">
        <v>0</v>
      </c>
      <c r="Z35" s="62">
        <v>0</v>
      </c>
      <c r="AA35" s="256">
        <f t="shared" si="10"/>
        <v>0</v>
      </c>
      <c r="AB35" s="3"/>
      <c r="AC35" s="62" t="str">
        <f t="shared" si="11"/>
        <v/>
      </c>
      <c r="AD35" s="62" t="str">
        <f t="shared" si="12"/>
        <v/>
      </c>
      <c r="AE35" s="62" t="str">
        <f t="shared" si="13"/>
        <v/>
      </c>
      <c r="AF35" s="62" t="str">
        <f t="shared" si="14"/>
        <v/>
      </c>
      <c r="AG35" s="192">
        <v>0</v>
      </c>
      <c r="AH35" s="62" t="str">
        <f t="shared" si="15"/>
        <v/>
      </c>
      <c r="AI35" s="62">
        <f t="shared" si="16"/>
        <v>0</v>
      </c>
      <c r="AJ35" s="62"/>
      <c r="AK35" s="62">
        <v>0</v>
      </c>
      <c r="AL35" s="256">
        <f t="shared" si="17"/>
        <v>0</v>
      </c>
      <c r="AM35" s="256">
        <f t="shared" si="18"/>
        <v>0</v>
      </c>
      <c r="AN35" s="256">
        <f t="shared" si="19"/>
        <v>0</v>
      </c>
    </row>
    <row r="36" spans="1:40" hidden="1" x14ac:dyDescent="0.2">
      <c r="A36" s="386" t="str">
        <f>IF('Employee Detail FY24'!A36="","",'Employee Detail FY24'!A36)</f>
        <v>CSP</v>
      </c>
      <c r="B36" s="678" t="str">
        <f>IF('Employee Detail FY24'!B36="","",'Employee Detail FY24'!B36)</f>
        <v>100</v>
      </c>
      <c r="C36" s="678" t="str">
        <f>IF('Employee Detail FY24'!C36="","",'Employee Detail FY24'!C36)</f>
        <v>000</v>
      </c>
      <c r="D36" s="678"/>
      <c r="E36" s="678">
        <f>IF('Employee Detail FY24'!E36="","",'Employee Detail FY24'!E36)</f>
        <v>100</v>
      </c>
      <c r="F36" s="678" t="str">
        <f>IF('Employee Detail FY24'!F36="","",'Employee Detail FY24'!F36)</f>
        <v>2110</v>
      </c>
      <c r="G36" s="678" t="str">
        <f>IF('Employee Detail FY24'!G36="","",'Employee Detail FY24'!G36)</f>
        <v>0106</v>
      </c>
      <c r="H36" s="386"/>
      <c r="I36" s="359" t="str">
        <f>IF('Employee Detail FY24'!I36="","",'Employee Detail FY24'!I36)</f>
        <v>GARCIA</v>
      </c>
      <c r="J36" s="359" t="str">
        <f>IF('Employee Detail FY24'!J36="","",'Employee Detail FY24'!J36)</f>
        <v>VANESSA</v>
      </c>
      <c r="K36" s="359" t="str">
        <f>IF('Employee Detail FY24'!K36="","",'Employee Detail FY24'!K36)</f>
        <v>Licensed Support Staff</v>
      </c>
      <c r="L36" s="312" t="str">
        <f>IF('Employee Detail FY24'!L36="","",'Employee Detail FY24'!L36)</f>
        <v>STUDENT PERSISTENCE FACILITATOR</v>
      </c>
      <c r="M36" s="388">
        <v>1</v>
      </c>
      <c r="N36" s="386" t="str">
        <f>IF('Employee Detail FY24'!N36="","",'Employee Detail FY24'!N36)</f>
        <v/>
      </c>
      <c r="O36" s="386">
        <f>IF('Employee Detail FY24'!O36="","",'Employee Detail FY24'!O36)</f>
        <v>26</v>
      </c>
      <c r="P36" s="386" t="str">
        <f>IF('Employee Detail FY24'!P36="","",'Employee Detail FY24'!P36)</f>
        <v>EE</v>
      </c>
      <c r="Q36" s="386" t="str">
        <f>IF('Employee Detail FY24'!Q36="","",'Employee Detail FY24'!Q36)</f>
        <v/>
      </c>
      <c r="R36" s="386">
        <f>IF('Employee Detail FY24'!R36="","",'Employee Detail FY24'!R36)</f>
        <v>261</v>
      </c>
      <c r="S36" s="386">
        <f>IF('Employee Detail FY24'!S36="","",'Employee Detail FY24'!S36)</f>
        <v>8</v>
      </c>
      <c r="T36" s="263">
        <f t="shared" si="6"/>
        <v>2088</v>
      </c>
      <c r="U36" s="269">
        <f>IF('Employee Detail FY24'!U36="","",'Employee Detail FY24'!U36)</f>
        <v>57704</v>
      </c>
      <c r="V36" s="270">
        <f t="shared" si="7"/>
        <v>62897.360000000008</v>
      </c>
      <c r="W36" s="270">
        <f t="shared" si="8"/>
        <v>72557.513932960006</v>
      </c>
      <c r="X36" s="270">
        <f t="shared" si="9"/>
        <v>72557.513932960006</v>
      </c>
      <c r="Y36" s="62">
        <v>0</v>
      </c>
      <c r="Z36" s="62">
        <v>0</v>
      </c>
      <c r="AA36" s="256">
        <f t="shared" si="10"/>
        <v>72557.513932960006</v>
      </c>
      <c r="AB36" s="3"/>
      <c r="AC36" s="62">
        <f t="shared" si="11"/>
        <v>7943.76</v>
      </c>
      <c r="AD36" s="62" t="str">
        <f t="shared" si="12"/>
        <v/>
      </c>
      <c r="AE36" s="62">
        <f t="shared" si="13"/>
        <v>11065.020874776401</v>
      </c>
      <c r="AF36" s="62">
        <f t="shared" si="14"/>
        <v>1052.0839520279201</v>
      </c>
      <c r="AG36" s="192">
        <v>0</v>
      </c>
      <c r="AH36" s="62">
        <f t="shared" si="15"/>
        <v>660.44287889978648</v>
      </c>
      <c r="AI36" s="62">
        <f t="shared" si="16"/>
        <v>213.69629641184966</v>
      </c>
      <c r="AJ36" s="62"/>
      <c r="AK36" s="62">
        <v>0</v>
      </c>
      <c r="AL36" s="256">
        <f t="shared" si="17"/>
        <v>20935.004002115955</v>
      </c>
      <c r="AM36" s="256">
        <f t="shared" si="18"/>
        <v>72557.513932960006</v>
      </c>
      <c r="AN36" s="256">
        <f t="shared" si="19"/>
        <v>93492.517935075957</v>
      </c>
    </row>
    <row r="37" spans="1:40" hidden="1" x14ac:dyDescent="0.2">
      <c r="A37" s="386" t="str">
        <f>IF('Employee Detail FY24'!A37="","",'Employee Detail FY24'!A37)</f>
        <v>VACANT</v>
      </c>
      <c r="B37" s="678">
        <f>IF('Employee Detail FY24'!B37="","",'Employee Detail FY24'!B37)</f>
        <v>100</v>
      </c>
      <c r="C37" s="678" t="str">
        <f>IF('Employee Detail FY24'!C37="","",'Employee Detail FY24'!C37)</f>
        <v>000</v>
      </c>
      <c r="D37" s="678"/>
      <c r="E37" s="678">
        <f>IF('Employee Detail FY24'!E37="","",'Employee Detail FY24'!E37)</f>
        <v>100</v>
      </c>
      <c r="F37" s="678">
        <f>IF('Employee Detail FY24'!F37="","",'Employee Detail FY24'!F37)</f>
        <v>2110</v>
      </c>
      <c r="G37" s="678" t="str">
        <f>IF('Employee Detail FY24'!G37="","",'Employee Detail FY24'!G37)</f>
        <v>0106</v>
      </c>
      <c r="H37" s="386"/>
      <c r="I37" s="359" t="str">
        <f>IF('Employee Detail FY24'!I37="","",'Employee Detail FY24'!I37)</f>
        <v>VACANT</v>
      </c>
      <c r="J37" s="359" t="str">
        <f>IF('Employee Detail FY24'!J37="","",'Employee Detail FY24'!J37)</f>
        <v>FY23</v>
      </c>
      <c r="K37" s="359" t="str">
        <f>IF('Employee Detail FY24'!K37="","",'Employee Detail FY24'!K37)</f>
        <v>Licensed Staff</v>
      </c>
      <c r="L37" s="312" t="str">
        <f>IF('Employee Detail FY24'!L37="","",'Employee Detail FY24'!L37)</f>
        <v>Dropout Prevention Facilitator</v>
      </c>
      <c r="M37" s="388">
        <v>0</v>
      </c>
      <c r="N37" s="386" t="str">
        <f>IF('Employee Detail FY24'!N37="","",'Employee Detail FY24'!N37)</f>
        <v/>
      </c>
      <c r="O37" s="386">
        <f>IF('Employee Detail FY24'!O37="","",'Employee Detail FY24'!O37)</f>
        <v>26</v>
      </c>
      <c r="P37" s="386" t="str">
        <f>IF('Employee Detail FY24'!P37="","",'Employee Detail FY24'!P37)</f>
        <v/>
      </c>
      <c r="Q37" s="386" t="str">
        <f>IF('Employee Detail FY24'!Q37="","",'Employee Detail FY24'!Q37)</f>
        <v/>
      </c>
      <c r="R37" s="386" t="str">
        <f>IF('Employee Detail FY24'!R37="","",'Employee Detail FY24'!R37)</f>
        <v/>
      </c>
      <c r="S37" s="386" t="str">
        <f>IF('Employee Detail FY24'!S37="","",'Employee Detail FY24'!S37)</f>
        <v/>
      </c>
      <c r="T37" s="263" t="str">
        <f>+IF(R37="","",R37*S37)</f>
        <v/>
      </c>
      <c r="U37" s="269">
        <f>IF('Employee Detail FY24'!U37="","",'Employee Detail FY24'!U37)</f>
        <v>45000</v>
      </c>
      <c r="V37" s="270">
        <f>IF($U37="","",$U37*(1+$V$1))</f>
        <v>49050</v>
      </c>
      <c r="W37" s="270" t="str">
        <f>+IF(P37="EE",+V37*$W$1,"")</f>
        <v/>
      </c>
      <c r="X37" s="270" t="str">
        <f>_xlfn.IFS(P37="ER",V37,P37="EE",W37,P37="N",V37,P37="","")</f>
        <v/>
      </c>
      <c r="Y37" s="62">
        <v>0</v>
      </c>
      <c r="Z37" s="62">
        <v>0</v>
      </c>
      <c r="AA37" s="256">
        <f>SUM(X37:Z37)</f>
        <v>0</v>
      </c>
      <c r="AB37" s="3"/>
      <c r="AC37" s="62" t="str">
        <f>IF(AND(M37=1,P37&lt;&gt;"N"),$AC$1,"")</f>
        <v/>
      </c>
      <c r="AD37" s="62" t="str">
        <f>_xlfn.IFS(P37="N",$AD$1*AA37,P37="EE","",P37="ER","",P37="","")</f>
        <v/>
      </c>
      <c r="AE37" s="62" t="str">
        <f>_xlfn.IFS(P37="EE",X37*$AE$1,P37="ER",X37*$AE$2,P37="N","",P37="","")</f>
        <v/>
      </c>
      <c r="AF37" s="62" t="str">
        <f>+IF(AA37&gt;1,AA37*$AF$1,"")</f>
        <v/>
      </c>
      <c r="AG37" s="192">
        <v>0</v>
      </c>
      <c r="AH37" s="62" t="str">
        <f>+IF(AA37&gt;1,AA37*$AH$1,"")</f>
        <v/>
      </c>
      <c r="AI37" s="62">
        <f>+_xlfn.IFS(F37&lt;2300,(AA37*$AI$1),F37&gt;=2300,(AA37*$AI$2),F37="","")</f>
        <v>0</v>
      </c>
      <c r="AJ37" s="62"/>
      <c r="AK37" s="62">
        <v>0</v>
      </c>
      <c r="AL37" s="256">
        <f>SUM(AC37:AK37)</f>
        <v>0</v>
      </c>
      <c r="AM37" s="256">
        <f>AA37</f>
        <v>0</v>
      </c>
      <c r="AN37" s="256">
        <f>SUM(AL37:AM37)</f>
        <v>0</v>
      </c>
    </row>
    <row r="38" spans="1:40" hidden="1" x14ac:dyDescent="0.2">
      <c r="A38" s="386" t="str">
        <f>IF('Employee Detail FY24'!A38="","",'Employee Detail FY24'!A38)</f>
        <v>TITLE I 1003a</v>
      </c>
      <c r="B38" s="678" t="str">
        <f>IF('Employee Detail FY24'!B38="","",'Employee Detail FY24'!B38)</f>
        <v>280</v>
      </c>
      <c r="C38" s="678" t="str">
        <f>IF('Employee Detail FY24'!C38="","",'Employee Detail FY24'!C38)</f>
        <v>624</v>
      </c>
      <c r="D38" s="678"/>
      <c r="E38" s="678" t="str">
        <f>IF('Employee Detail FY24'!E38="","",'Employee Detail FY24'!E38)</f>
        <v>430</v>
      </c>
      <c r="F38" s="678" t="str">
        <f>IF('Employee Detail FY24'!F38="","",'Employee Detail FY24'!F38)</f>
        <v>2210</v>
      </c>
      <c r="G38" s="678" t="str">
        <f>IF('Employee Detail FY24'!G38="","",'Employee Detail FY24'!G38)</f>
        <v>0101</v>
      </c>
      <c r="H38" s="386"/>
      <c r="I38" s="359" t="str">
        <f>IF('Employee Detail FY24'!I38="","",'Employee Detail FY24'!I38)</f>
        <v>HUNT</v>
      </c>
      <c r="J38" s="359" t="str">
        <f>IF('Employee Detail FY24'!J38="","",'Employee Detail FY24'!J38)</f>
        <v>KATHRYN</v>
      </c>
      <c r="K38" s="359" t="str">
        <f>IF('Employee Detail FY24'!K38="","",'Employee Detail FY24'!K38)</f>
        <v>Licensed Support Staff</v>
      </c>
      <c r="L38" s="359" t="str">
        <f>IF('Employee Detail FY24'!L38="","",'Employee Detail FY24'!L38)</f>
        <v xml:space="preserve">LITERACY &amp; DATA FACILITATOR, INSTRUCTIONAL FACILITATOR </v>
      </c>
      <c r="M38" s="388">
        <v>1</v>
      </c>
      <c r="N38" s="386" t="str">
        <f>IF('Employee Detail FY24'!N38="","",'Employee Detail FY24'!N38)</f>
        <v>S</v>
      </c>
      <c r="O38" s="386">
        <f>IF('Employee Detail FY24'!O38="","",'Employee Detail FY24'!O38)</f>
        <v>26</v>
      </c>
      <c r="P38" s="386" t="str">
        <f>IF('Employee Detail FY24'!P38="","",'Employee Detail FY24'!P38)</f>
        <v>ER</v>
      </c>
      <c r="Q38" s="386" t="str">
        <f>IF('Employee Detail FY24'!Q38="","",'Employee Detail FY24'!Q38)</f>
        <v/>
      </c>
      <c r="R38" s="386">
        <f>IF('Employee Detail FY24'!R38="","",'Employee Detail FY24'!R38)</f>
        <v>200</v>
      </c>
      <c r="S38" s="386">
        <f>IF('Employee Detail FY24'!S38="","",'Employee Detail FY24'!S38)</f>
        <v>8</v>
      </c>
      <c r="T38" s="263">
        <f t="shared" si="6"/>
        <v>1600</v>
      </c>
      <c r="U38" s="269">
        <f>IF('Employee Detail FY24'!U38="","",'Employee Detail FY24'!U38)</f>
        <v>63148</v>
      </c>
      <c r="V38" s="270">
        <f t="shared" si="7"/>
        <v>68831.320000000007</v>
      </c>
      <c r="W38" s="270" t="str">
        <f t="shared" si="8"/>
        <v/>
      </c>
      <c r="X38" s="270">
        <f t="shared" si="9"/>
        <v>68831.320000000007</v>
      </c>
      <c r="Y38" s="62">
        <v>0</v>
      </c>
      <c r="Z38" s="62">
        <v>0</v>
      </c>
      <c r="AA38" s="256">
        <f t="shared" si="10"/>
        <v>68831.320000000007</v>
      </c>
      <c r="AB38" s="3"/>
      <c r="AC38" s="62">
        <f t="shared" si="11"/>
        <v>7943.76</v>
      </c>
      <c r="AD38" s="62" t="str">
        <f t="shared" si="12"/>
        <v/>
      </c>
      <c r="AE38" s="62">
        <f t="shared" si="13"/>
        <v>20133.161100000001</v>
      </c>
      <c r="AF38" s="62">
        <f t="shared" si="14"/>
        <v>998.05414000000019</v>
      </c>
      <c r="AG38" s="192">
        <v>0</v>
      </c>
      <c r="AH38" s="62">
        <f t="shared" si="15"/>
        <v>626.52580932244643</v>
      </c>
      <c r="AI38" s="62">
        <f t="shared" si="16"/>
        <v>202.72191484853454</v>
      </c>
      <c r="AJ38" s="62"/>
      <c r="AK38" s="62">
        <v>0</v>
      </c>
      <c r="AL38" s="256">
        <f t="shared" si="17"/>
        <v>29904.222964170982</v>
      </c>
      <c r="AM38" s="256">
        <f t="shared" si="18"/>
        <v>68831.320000000007</v>
      </c>
      <c r="AN38" s="256">
        <f t="shared" si="19"/>
        <v>98735.542964170992</v>
      </c>
    </row>
    <row r="39" spans="1:40" x14ac:dyDescent="0.2">
      <c r="A39" s="386" t="str">
        <f>IF('Employee Detail FY24'!A39="","",'Employee Detail FY24'!A39)</f>
        <v>CSP</v>
      </c>
      <c r="B39" s="678" t="str">
        <f>IF('Employee Detail FY24'!B39="","",'Employee Detail FY24'!B39)</f>
        <v>100</v>
      </c>
      <c r="C39" s="678" t="str">
        <f>IF('Employee Detail FY24'!C39="","",'Employee Detail FY24'!C39)</f>
        <v>000</v>
      </c>
      <c r="D39" s="678"/>
      <c r="E39" s="678">
        <f>IF('Employee Detail FY24'!E39="","",'Employee Detail FY24'!E39)</f>
        <v>100</v>
      </c>
      <c r="F39" s="678" t="str">
        <f>IF('Employee Detail FY24'!F39="","",'Employee Detail FY24'!F39)</f>
        <v>1000</v>
      </c>
      <c r="G39" s="678" t="str">
        <f>IF('Employee Detail FY24'!G39="","",'Employee Detail FY24'!G39)</f>
        <v>0101</v>
      </c>
      <c r="H39" s="386"/>
      <c r="I39" s="359" t="str">
        <f>IF('Employee Detail FY24'!I39="","",'Employee Detail FY24'!I39)</f>
        <v>RODILOSSO</v>
      </c>
      <c r="J39" s="359" t="str">
        <f>IF('Employee Detail FY24'!J39="","",'Employee Detail FY24'!J39)</f>
        <v>KRISTINA</v>
      </c>
      <c r="K39" s="359" t="str">
        <f>IF('Employee Detail FY24'!K39="","",'Employee Detail FY24'!K39)</f>
        <v>Licensed Staff</v>
      </c>
      <c r="L39" s="359" t="str">
        <f>IF('Employee Detail FY24'!L39="","",'Employee Detail FY24'!L39)</f>
        <v>BLENDED LEARNING FACILITATOR</v>
      </c>
      <c r="M39" s="388">
        <v>1</v>
      </c>
      <c r="N39" s="386" t="str">
        <f>IF('Employee Detail FY24'!N39="","",'Employee Detail FY24'!N39)</f>
        <v/>
      </c>
      <c r="O39" s="386">
        <f>IF('Employee Detail FY24'!O39="","",'Employee Detail FY24'!O39)</f>
        <v>26</v>
      </c>
      <c r="P39" s="386" t="str">
        <f>IF('Employee Detail FY24'!P39="","",'Employee Detail FY24'!P39)</f>
        <v>EE</v>
      </c>
      <c r="Q39" s="386" t="str">
        <f>IF('Employee Detail FY24'!Q39="","",'Employee Detail FY24'!Q39)</f>
        <v/>
      </c>
      <c r="R39" s="386">
        <f>IF('Employee Detail FY24'!R39="","",'Employee Detail FY24'!R39)</f>
        <v>200</v>
      </c>
      <c r="S39" s="386">
        <f>IF('Employee Detail FY24'!S39="","",'Employee Detail FY24'!S39)</f>
        <v>8</v>
      </c>
      <c r="T39" s="263">
        <f t="shared" si="6"/>
        <v>1600</v>
      </c>
      <c r="U39" s="269">
        <f>IF('Employee Detail FY24'!U39="","",'Employee Detail FY24'!U39)</f>
        <v>57896</v>
      </c>
      <c r="V39" s="270">
        <f t="shared" si="7"/>
        <v>63106.640000000007</v>
      </c>
      <c r="W39" s="270">
        <f t="shared" si="8"/>
        <v>72798.936411040006</v>
      </c>
      <c r="X39" s="270">
        <f t="shared" si="9"/>
        <v>72798.936411040006</v>
      </c>
      <c r="Y39" s="62">
        <v>0</v>
      </c>
      <c r="Z39" s="62">
        <v>0</v>
      </c>
      <c r="AA39" s="256">
        <f t="shared" si="10"/>
        <v>72798.936411040006</v>
      </c>
      <c r="AB39" s="3"/>
      <c r="AC39" s="62">
        <f t="shared" si="11"/>
        <v>7943.76</v>
      </c>
      <c r="AD39" s="62" t="str">
        <f t="shared" si="12"/>
        <v/>
      </c>
      <c r="AE39" s="62">
        <f t="shared" si="13"/>
        <v>11101.8378026836</v>
      </c>
      <c r="AF39" s="62">
        <f t="shared" si="14"/>
        <v>1055.5845779600802</v>
      </c>
      <c r="AG39" s="192">
        <v>0</v>
      </c>
      <c r="AH39" s="62">
        <f t="shared" si="15"/>
        <v>662.64038743903427</v>
      </c>
      <c r="AI39" s="62">
        <f t="shared" si="16"/>
        <v>214.40733358277498</v>
      </c>
      <c r="AJ39" s="62"/>
      <c r="AK39" s="62">
        <v>0</v>
      </c>
      <c r="AL39" s="256">
        <f t="shared" si="17"/>
        <v>20978.230101665489</v>
      </c>
      <c r="AM39" s="256">
        <f t="shared" si="18"/>
        <v>72798.936411040006</v>
      </c>
      <c r="AN39" s="256">
        <f t="shared" si="19"/>
        <v>93777.166512705502</v>
      </c>
    </row>
    <row r="40" spans="1:40" hidden="1" x14ac:dyDescent="0.2">
      <c r="A40" s="386" t="str">
        <f>IF('Employee Detail FY24'!A40="","",'Employee Detail FY24'!A40)</f>
        <v>TITLE Ia</v>
      </c>
      <c r="B40" s="678">
        <f>IF('Employee Detail FY24'!B40="","",'Employee Detail FY24'!B40)</f>
        <v>280</v>
      </c>
      <c r="C40" s="678">
        <f>IF('Employee Detail FY24'!C40="","",'Employee Detail FY24'!C40)</f>
        <v>633</v>
      </c>
      <c r="D40" s="678"/>
      <c r="E40" s="678">
        <f>IF('Employee Detail FY24'!E40="","",'Employee Detail FY24'!E40)</f>
        <v>430</v>
      </c>
      <c r="F40" s="678">
        <f>IF('Employee Detail FY24'!F40="","",'Employee Detail FY24'!F40)</f>
        <v>2210</v>
      </c>
      <c r="G40" s="678" t="str">
        <f>IF('Employee Detail FY24'!G40="","",'Employee Detail FY24'!G40)</f>
        <v>0101</v>
      </c>
      <c r="H40" s="386"/>
      <c r="I40" s="359" t="str">
        <f>IF('Employee Detail FY24'!I40="","",'Employee Detail FY24'!I40)</f>
        <v>WILNEWIC</v>
      </c>
      <c r="J40" s="359" t="str">
        <f>IF('Employee Detail FY24'!J40="","",'Employee Detail FY24'!J40)</f>
        <v>Jennifer</v>
      </c>
      <c r="K40" s="359" t="str">
        <f>IF('Employee Detail FY24'!K40="","",'Employee Detail FY24'!K40)</f>
        <v>Licensed Staff</v>
      </c>
      <c r="L40" s="359" t="str">
        <f>IF('Employee Detail FY24'!L40="","",'Employee Detail FY24'!L40)</f>
        <v>MATH FACILITATOR</v>
      </c>
      <c r="M40" s="388">
        <v>1</v>
      </c>
      <c r="N40" s="386" t="str">
        <f>IF('Employee Detail FY24'!N40="","",'Employee Detail FY24'!N40)</f>
        <v/>
      </c>
      <c r="O40" s="386">
        <f>IF('Employee Detail FY24'!O40="","",'Employee Detail FY24'!O40)</f>
        <v>26</v>
      </c>
      <c r="P40" s="386" t="str">
        <f>IF('Employee Detail FY24'!P40="","",'Employee Detail FY24'!P40)</f>
        <v>EE</v>
      </c>
      <c r="Q40" s="386" t="str">
        <f>IF('Employee Detail FY24'!Q40="","",'Employee Detail FY24'!Q40)</f>
        <v/>
      </c>
      <c r="R40" s="386">
        <f>IF('Employee Detail FY24'!R40="","",'Employee Detail FY24'!R40)</f>
        <v>200</v>
      </c>
      <c r="S40" s="386">
        <f>IF('Employee Detail FY24'!S40="","",'Employee Detail FY24'!S40)</f>
        <v>8</v>
      </c>
      <c r="T40" s="263">
        <f t="shared" si="6"/>
        <v>1600</v>
      </c>
      <c r="U40" s="269">
        <f>IF('Employee Detail FY24'!U40="","",'Employee Detail FY24'!U40)</f>
        <v>64411</v>
      </c>
      <c r="V40" s="270">
        <f t="shared" si="7"/>
        <v>70207.990000000005</v>
      </c>
      <c r="W40" s="270">
        <f t="shared" si="8"/>
        <v>80990.954352140005</v>
      </c>
      <c r="X40" s="270">
        <f t="shared" si="9"/>
        <v>80990.954352140005</v>
      </c>
      <c r="Y40" s="62">
        <v>0</v>
      </c>
      <c r="Z40" s="62">
        <v>0</v>
      </c>
      <c r="AA40" s="256">
        <f t="shared" si="10"/>
        <v>80990.954352140005</v>
      </c>
      <c r="AB40" s="3"/>
      <c r="AC40" s="62">
        <f t="shared" si="11"/>
        <v>7943.76</v>
      </c>
      <c r="AD40" s="62" t="str">
        <f t="shared" si="12"/>
        <v/>
      </c>
      <c r="AE40" s="62">
        <f t="shared" si="13"/>
        <v>12351.120538701351</v>
      </c>
      <c r="AF40" s="62">
        <f t="shared" si="14"/>
        <v>1174.3688381060301</v>
      </c>
      <c r="AG40" s="192">
        <v>0</v>
      </c>
      <c r="AH40" s="62">
        <f t="shared" si="15"/>
        <v>737.20688813278355</v>
      </c>
      <c r="AI40" s="62">
        <f t="shared" si="16"/>
        <v>238.53445425245474</v>
      </c>
      <c r="AJ40" s="62"/>
      <c r="AK40" s="62">
        <v>0</v>
      </c>
      <c r="AL40" s="256">
        <f t="shared" si="17"/>
        <v>22444.990719192618</v>
      </c>
      <c r="AM40" s="256">
        <f t="shared" si="18"/>
        <v>80990.954352140005</v>
      </c>
      <c r="AN40" s="256">
        <f t="shared" si="19"/>
        <v>103435.94507133262</v>
      </c>
    </row>
    <row r="41" spans="1:40" hidden="1" x14ac:dyDescent="0.2">
      <c r="A41" s="386" t="str">
        <f>IF('Employee Detail FY24'!A41="","",'Employee Detail FY24'!A41)</f>
        <v/>
      </c>
      <c r="B41" s="678" t="str">
        <f>IF('Employee Detail FY24'!B41="","",'Employee Detail FY24'!B41)</f>
        <v/>
      </c>
      <c r="C41" s="678" t="str">
        <f>IF('Employee Detail FY24'!C41="","",'Employee Detail FY24'!C41)</f>
        <v/>
      </c>
      <c r="D41" s="678"/>
      <c r="E41" s="678" t="str">
        <f>IF('Employee Detail FY24'!E41="","",'Employee Detail FY24'!E41)</f>
        <v/>
      </c>
      <c r="F41" s="678" t="str">
        <f>IF('Employee Detail FY24'!F41="","",'Employee Detail FY24'!F41)</f>
        <v/>
      </c>
      <c r="G41" s="678" t="str">
        <f>IF('Employee Detail FY24'!G41="","",'Employee Detail FY24'!G41)</f>
        <v/>
      </c>
      <c r="H41" s="386"/>
      <c r="I41" s="359" t="str">
        <f>IF('Employee Detail FY24'!I41="","",'Employee Detail FY24'!I41)</f>
        <v/>
      </c>
      <c r="J41" s="359" t="str">
        <f>IF('Employee Detail FY24'!J41="","",'Employee Detail FY24'!J41)</f>
        <v/>
      </c>
      <c r="K41" s="359" t="str">
        <f>IF('Employee Detail FY24'!K41="","",'Employee Detail FY24'!K41)</f>
        <v/>
      </c>
      <c r="L41" s="359"/>
      <c r="M41" s="388" t="s">
        <v>386</v>
      </c>
      <c r="N41" s="386" t="str">
        <f>IF('Employee Detail FY24'!N41="","",'Employee Detail FY24'!N41)</f>
        <v/>
      </c>
      <c r="O41" s="386" t="str">
        <f>IF('Employee Detail FY24'!O41="","",'Employee Detail FY24'!O41)</f>
        <v/>
      </c>
      <c r="P41" s="386" t="str">
        <f>IF('Employee Detail FY24'!P41="","",'Employee Detail FY24'!P41)</f>
        <v/>
      </c>
      <c r="Q41" s="386" t="str">
        <f>IF('Employee Detail FY24'!Q41="","",'Employee Detail FY24'!Q41)</f>
        <v/>
      </c>
      <c r="R41" s="386" t="str">
        <f>IF('Employee Detail FY24'!R41="","",'Employee Detail FY24'!R41)</f>
        <v/>
      </c>
      <c r="S41" s="386" t="str">
        <f>IF('Employee Detail FY24'!S41="","",'Employee Detail FY24'!S41)</f>
        <v/>
      </c>
      <c r="T41" s="263" t="str">
        <f t="shared" si="6"/>
        <v/>
      </c>
      <c r="U41" s="269" t="str">
        <f>IF('Employee Detail FY24'!U41="","",'Employee Detail FY24'!U41)</f>
        <v/>
      </c>
      <c r="V41" s="270" t="str">
        <f t="shared" si="7"/>
        <v/>
      </c>
      <c r="W41" s="270" t="str">
        <f t="shared" si="8"/>
        <v/>
      </c>
      <c r="X41" s="270" t="str">
        <f t="shared" si="9"/>
        <v/>
      </c>
      <c r="Y41" s="62">
        <v>0</v>
      </c>
      <c r="Z41" s="62">
        <v>0</v>
      </c>
      <c r="AA41" s="256">
        <f t="shared" si="10"/>
        <v>0</v>
      </c>
      <c r="AB41" s="3"/>
      <c r="AC41" s="62" t="str">
        <f t="shared" si="11"/>
        <v/>
      </c>
      <c r="AD41" s="62" t="str">
        <f t="shared" si="12"/>
        <v/>
      </c>
      <c r="AE41" s="62" t="str">
        <f t="shared" si="13"/>
        <v/>
      </c>
      <c r="AF41" s="62" t="str">
        <f t="shared" si="14"/>
        <v/>
      </c>
      <c r="AG41" s="192">
        <v>0</v>
      </c>
      <c r="AH41" s="62" t="str">
        <f t="shared" si="15"/>
        <v/>
      </c>
      <c r="AI41" s="62">
        <f t="shared" si="16"/>
        <v>0</v>
      </c>
      <c r="AJ41" s="62"/>
      <c r="AK41" s="62">
        <v>0</v>
      </c>
      <c r="AL41" s="256">
        <f t="shared" si="17"/>
        <v>0</v>
      </c>
      <c r="AM41" s="256">
        <f t="shared" si="18"/>
        <v>0</v>
      </c>
      <c r="AN41" s="256">
        <f t="shared" si="19"/>
        <v>0</v>
      </c>
    </row>
    <row r="42" spans="1:40" x14ac:dyDescent="0.2">
      <c r="A42" s="386" t="str">
        <f>IF('Employee Detail FY24'!A42="","",'Employee Detail FY24'!A42)</f>
        <v/>
      </c>
      <c r="B42" s="678" t="str">
        <f>IF('Employee Detail FY24'!B42="","",'Employee Detail FY24'!B42)</f>
        <v>250</v>
      </c>
      <c r="C42" s="678" t="str">
        <f>IF('Employee Detail FY24'!C42="","",'Employee Detail FY24'!C42)</f>
        <v>000</v>
      </c>
      <c r="D42" s="678"/>
      <c r="E42" s="678" t="str">
        <f>IF('Employee Detail FY24'!E42="","",'Employee Detail FY24'!E42)</f>
        <v>200</v>
      </c>
      <c r="F42" s="678" t="str">
        <f>IF('Employee Detail FY24'!F42="","",'Employee Detail FY24'!F42)</f>
        <v>1000</v>
      </c>
      <c r="G42" s="678" t="str">
        <f>IF('Employee Detail FY24'!G42="","",'Employee Detail FY24'!G42)</f>
        <v>0101</v>
      </c>
      <c r="H42" s="386"/>
      <c r="I42" s="359" t="str">
        <f>IF('Employee Detail FY24'!I42="","",'Employee Detail FY24'!I42)</f>
        <v>SIMAO</v>
      </c>
      <c r="J42" s="359" t="str">
        <f>IF('Employee Detail FY24'!J42="","",'Employee Detail FY24'!J42)</f>
        <v>MICHAEL</v>
      </c>
      <c r="K42" s="359" t="str">
        <f>IF('Employee Detail FY24'!K42="","",'Employee Detail FY24'!K42)</f>
        <v>Licensed Staff</v>
      </c>
      <c r="L42" s="359" t="str">
        <f>IF('Employee Detail FY24'!L42="","",'Employee Detail FY24'!L42)</f>
        <v>SPED FACILITATOR</v>
      </c>
      <c r="M42" s="388">
        <v>1</v>
      </c>
      <c r="N42" s="386" t="str">
        <f>IF('Employee Detail FY24'!N42="","",'Employee Detail FY24'!N42)</f>
        <v/>
      </c>
      <c r="O42" s="386">
        <f>IF('Employee Detail FY24'!O42="","",'Employee Detail FY24'!O42)</f>
        <v>26</v>
      </c>
      <c r="P42" s="386" t="str">
        <f>IF('Employee Detail FY24'!P42="","",'Employee Detail FY24'!P42)</f>
        <v>ER</v>
      </c>
      <c r="Q42" s="386" t="str">
        <f>IF('Employee Detail FY24'!Q42="","",'Employee Detail FY24'!Q42)</f>
        <v/>
      </c>
      <c r="R42" s="386">
        <f>IF('Employee Detail FY24'!R42="","",'Employee Detail FY24'!R42)</f>
        <v>261</v>
      </c>
      <c r="S42" s="386">
        <f>IF('Employee Detail FY24'!S42="","",'Employee Detail FY24'!S42)</f>
        <v>8</v>
      </c>
      <c r="T42" s="263">
        <f t="shared" si="6"/>
        <v>2088</v>
      </c>
      <c r="U42" s="269">
        <f>IF('Employee Detail FY24'!U42="","",'Employee Detail FY24'!U42)</f>
        <v>65000</v>
      </c>
      <c r="V42" s="270">
        <f t="shared" si="7"/>
        <v>70850</v>
      </c>
      <c r="W42" s="270" t="str">
        <f t="shared" si="8"/>
        <v/>
      </c>
      <c r="X42" s="270">
        <f t="shared" si="9"/>
        <v>70850</v>
      </c>
      <c r="Y42" s="62">
        <v>0</v>
      </c>
      <c r="Z42" s="62">
        <v>0</v>
      </c>
      <c r="AA42" s="256">
        <f t="shared" si="10"/>
        <v>70850</v>
      </c>
      <c r="AB42" s="3"/>
      <c r="AC42" s="62">
        <f t="shared" si="11"/>
        <v>7943.76</v>
      </c>
      <c r="AD42" s="62" t="str">
        <f t="shared" si="12"/>
        <v/>
      </c>
      <c r="AE42" s="62">
        <f t="shared" si="13"/>
        <v>20723.625</v>
      </c>
      <c r="AF42" s="62">
        <f t="shared" si="14"/>
        <v>1027.325</v>
      </c>
      <c r="AG42" s="192">
        <v>0</v>
      </c>
      <c r="AH42" s="62">
        <f t="shared" si="15"/>
        <v>644.90051317474843</v>
      </c>
      <c r="AI42" s="62">
        <f t="shared" si="16"/>
        <v>208.66732857976095</v>
      </c>
      <c r="AJ42" s="62"/>
      <c r="AK42" s="62">
        <v>0</v>
      </c>
      <c r="AL42" s="256">
        <f t="shared" si="17"/>
        <v>30548.277841754512</v>
      </c>
      <c r="AM42" s="256">
        <f t="shared" si="18"/>
        <v>70850</v>
      </c>
      <c r="AN42" s="256">
        <f t="shared" si="19"/>
        <v>101398.27784175452</v>
      </c>
    </row>
    <row r="43" spans="1:40" hidden="1" x14ac:dyDescent="0.2">
      <c r="A43" s="386" t="str">
        <f>IF('Employee Detail FY24'!A43="","",'Employee Detail FY24'!A43)</f>
        <v/>
      </c>
      <c r="B43" s="678" t="str">
        <f>IF('Employee Detail FY24'!B43="","",'Employee Detail FY24'!B43)</f>
        <v/>
      </c>
      <c r="C43" s="678" t="str">
        <f>IF('Employee Detail FY24'!C43="","",'Employee Detail FY24'!C43)</f>
        <v/>
      </c>
      <c r="D43" s="678"/>
      <c r="E43" s="678" t="str">
        <f>IF('Employee Detail FY24'!E43="","",'Employee Detail FY24'!E43)</f>
        <v/>
      </c>
      <c r="F43" s="678" t="str">
        <f>IF('Employee Detail FY24'!F43="","",'Employee Detail FY24'!F43)</f>
        <v/>
      </c>
      <c r="G43" s="678" t="str">
        <f>IF('Employee Detail FY24'!G43="","",'Employee Detail FY24'!G43)</f>
        <v/>
      </c>
      <c r="H43" s="386"/>
      <c r="I43" s="359" t="str">
        <f>IF('Employee Detail FY24'!I43="","",'Employee Detail FY24'!I43)</f>
        <v/>
      </c>
      <c r="J43" s="359" t="str">
        <f>IF('Employee Detail FY24'!J43="","",'Employee Detail FY24'!J43)</f>
        <v/>
      </c>
      <c r="K43" s="359" t="str">
        <f>IF('Employee Detail FY24'!K43="","",'Employee Detail FY24'!K43)</f>
        <v/>
      </c>
      <c r="L43" s="359" t="str">
        <f>IF('Employee Detail FY24'!L43="","",'Employee Detail FY24'!L43)</f>
        <v/>
      </c>
      <c r="M43" s="388" t="s">
        <v>386</v>
      </c>
      <c r="N43" s="386" t="str">
        <f>IF('Employee Detail FY24'!N43="","",'Employee Detail FY24'!N43)</f>
        <v/>
      </c>
      <c r="O43" s="386" t="str">
        <f>IF('Employee Detail FY24'!O43="","",'Employee Detail FY24'!O43)</f>
        <v/>
      </c>
      <c r="P43" s="386" t="str">
        <f>IF('Employee Detail FY24'!P43="","",'Employee Detail FY24'!P43)</f>
        <v/>
      </c>
      <c r="Q43" s="386" t="str">
        <f>IF('Employee Detail FY24'!Q43="","",'Employee Detail FY24'!Q43)</f>
        <v/>
      </c>
      <c r="R43" s="386" t="str">
        <f>IF('Employee Detail FY24'!R43="","",'Employee Detail FY24'!R43)</f>
        <v/>
      </c>
      <c r="S43" s="386" t="str">
        <f>IF('Employee Detail FY24'!S43="","",'Employee Detail FY24'!S43)</f>
        <v/>
      </c>
      <c r="T43" s="263" t="str">
        <f t="shared" si="6"/>
        <v/>
      </c>
      <c r="U43" s="269" t="str">
        <f>IF('Employee Detail FY24'!U43="","",'Employee Detail FY24'!U43)</f>
        <v/>
      </c>
      <c r="V43" s="270" t="str">
        <f t="shared" si="7"/>
        <v/>
      </c>
      <c r="W43" s="270" t="str">
        <f t="shared" si="8"/>
        <v/>
      </c>
      <c r="X43" s="270" t="str">
        <f t="shared" si="9"/>
        <v/>
      </c>
      <c r="Y43" s="62">
        <v>0</v>
      </c>
      <c r="Z43" s="62">
        <v>0</v>
      </c>
      <c r="AA43" s="256">
        <f t="shared" si="10"/>
        <v>0</v>
      </c>
      <c r="AB43" s="3"/>
      <c r="AC43" s="62" t="str">
        <f t="shared" si="11"/>
        <v/>
      </c>
      <c r="AD43" s="62" t="str">
        <f t="shared" si="12"/>
        <v/>
      </c>
      <c r="AE43" s="62" t="str">
        <f t="shared" si="13"/>
        <v/>
      </c>
      <c r="AF43" s="62" t="str">
        <f t="shared" si="14"/>
        <v/>
      </c>
      <c r="AG43" s="192">
        <v>0</v>
      </c>
      <c r="AH43" s="62" t="str">
        <f t="shared" si="15"/>
        <v/>
      </c>
      <c r="AI43" s="62">
        <f t="shared" si="16"/>
        <v>0</v>
      </c>
      <c r="AJ43" s="62"/>
      <c r="AK43" s="62">
        <v>0</v>
      </c>
      <c r="AL43" s="256">
        <f t="shared" si="17"/>
        <v>0</v>
      </c>
      <c r="AM43" s="256">
        <f t="shared" si="18"/>
        <v>0</v>
      </c>
      <c r="AN43" s="256">
        <f t="shared" si="19"/>
        <v>0</v>
      </c>
    </row>
    <row r="44" spans="1:40" hidden="1" x14ac:dyDescent="0.2">
      <c r="A44" s="386" t="str">
        <f>IF('Employee Detail FY24'!A44="","",'Employee Detail FY24'!A44)</f>
        <v/>
      </c>
      <c r="B44" s="678">
        <f>IF('Employee Detail FY24'!B44="","",'Employee Detail FY24'!B44)</f>
        <v>250</v>
      </c>
      <c r="C44" s="678" t="str">
        <f>IF('Employee Detail FY24'!C44="","",'Employee Detail FY24'!C44)</f>
        <v>205</v>
      </c>
      <c r="D44" s="678"/>
      <c r="E44" s="678">
        <f>IF('Employee Detail FY24'!E44="","",'Employee Detail FY24'!E44)</f>
        <v>200</v>
      </c>
      <c r="F44" s="678">
        <f>IF('Employee Detail FY24'!F44="","",'Employee Detail FY24'!F44)</f>
        <v>2140</v>
      </c>
      <c r="G44" s="678" t="str">
        <f>IF('Employee Detail FY24'!G44="","",'Employee Detail FY24'!G44)</f>
        <v>0106</v>
      </c>
      <c r="H44" s="386"/>
      <c r="I44" s="359" t="str">
        <f>IF('Employee Detail FY24'!I44="","",'Employee Detail FY24'!I44)</f>
        <v>NASH</v>
      </c>
      <c r="J44" s="359" t="str">
        <f>IF('Employee Detail FY24'!J44="","",'Employee Detail FY24'!J44)</f>
        <v>Mala</v>
      </c>
      <c r="K44" s="359" t="str">
        <f>IF('Employee Detail FY24'!K44="","",'Employee Detail FY24'!K44)</f>
        <v>Licensed Support Staff</v>
      </c>
      <c r="L44" s="359" t="str">
        <f>IF('Employee Detail FY24'!L44="","",'Employee Detail FY24'!L44)</f>
        <v>PSYCHOLOGIST</v>
      </c>
      <c r="M44" s="388">
        <v>1</v>
      </c>
      <c r="N44" s="386" t="str">
        <f>IF('Employee Detail FY24'!N44="","",'Employee Detail FY24'!N44)</f>
        <v/>
      </c>
      <c r="O44" s="386">
        <f>IF('Employee Detail FY24'!O44="","",'Employee Detail FY24'!O44)</f>
        <v>26</v>
      </c>
      <c r="P44" s="386" t="str">
        <f>IF('Employee Detail FY24'!P44="","",'Employee Detail FY24'!P44)</f>
        <v>EE</v>
      </c>
      <c r="Q44" s="386" t="str">
        <f>IF('Employee Detail FY24'!Q44="","",'Employee Detail FY24'!Q44)</f>
        <v/>
      </c>
      <c r="R44" s="386">
        <f>IF('Employee Detail FY24'!R44="","",'Employee Detail FY24'!R44)</f>
        <v>200</v>
      </c>
      <c r="S44" s="386">
        <f>IF('Employee Detail FY24'!S44="","",'Employee Detail FY24'!S44)</f>
        <v>8</v>
      </c>
      <c r="T44" s="263">
        <f t="shared" si="6"/>
        <v>1600</v>
      </c>
      <c r="U44" s="269">
        <f>IF('Employee Detail FY24'!U44="","",'Employee Detail FY24'!U44)</f>
        <v>72768.800000000003</v>
      </c>
      <c r="V44" s="270">
        <f t="shared" si="7"/>
        <v>79317.992000000013</v>
      </c>
      <c r="W44" s="270">
        <f t="shared" si="8"/>
        <v>91500.125119312012</v>
      </c>
      <c r="X44" s="270">
        <f t="shared" si="9"/>
        <v>91500.125119312012</v>
      </c>
      <c r="Y44" s="62">
        <v>0</v>
      </c>
      <c r="Z44" s="62">
        <v>0</v>
      </c>
      <c r="AA44" s="256">
        <f t="shared" si="10"/>
        <v>91500.125119312012</v>
      </c>
      <c r="AB44" s="3"/>
      <c r="AC44" s="62">
        <f t="shared" si="11"/>
        <v>7943.76</v>
      </c>
      <c r="AD44" s="62" t="str">
        <f t="shared" si="12"/>
        <v/>
      </c>
      <c r="AE44" s="62">
        <f t="shared" si="13"/>
        <v>13953.769080695081</v>
      </c>
      <c r="AF44" s="62">
        <f t="shared" si="14"/>
        <v>1326.7518142300241</v>
      </c>
      <c r="AG44" s="192">
        <v>0</v>
      </c>
      <c r="AH44" s="62">
        <f t="shared" si="15"/>
        <v>832.86489266052229</v>
      </c>
      <c r="AI44" s="62">
        <f t="shared" si="16"/>
        <v>269.48605043557825</v>
      </c>
      <c r="AJ44" s="62"/>
      <c r="AK44" s="62">
        <v>0</v>
      </c>
      <c r="AL44" s="256">
        <f t="shared" si="17"/>
        <v>24326.631838021207</v>
      </c>
      <c r="AM44" s="256">
        <f t="shared" si="18"/>
        <v>91500.125119312012</v>
      </c>
      <c r="AN44" s="256">
        <f t="shared" si="19"/>
        <v>115826.75695733321</v>
      </c>
    </row>
    <row r="45" spans="1:40" hidden="1" x14ac:dyDescent="0.2">
      <c r="A45" s="386" t="str">
        <f>IF('Employee Detail FY24'!A45="","",'Employee Detail FY24'!A45)</f>
        <v/>
      </c>
      <c r="B45" s="678" t="str">
        <f>IF('Employee Detail FY24'!B45="","",'Employee Detail FY24'!B45)</f>
        <v/>
      </c>
      <c r="C45" s="678" t="str">
        <f>IF('Employee Detail FY24'!C45="","",'Employee Detail FY24'!C45)</f>
        <v/>
      </c>
      <c r="D45" s="678"/>
      <c r="E45" s="678" t="str">
        <f>IF('Employee Detail FY24'!E45="","",'Employee Detail FY24'!E45)</f>
        <v/>
      </c>
      <c r="F45" s="678" t="str">
        <f>IF('Employee Detail FY24'!F45="","",'Employee Detail FY24'!F45)</f>
        <v/>
      </c>
      <c r="G45" s="678" t="str">
        <f>IF('Employee Detail FY24'!G45="","",'Employee Detail FY24'!G45)</f>
        <v/>
      </c>
      <c r="H45" s="386"/>
      <c r="I45" s="359" t="str">
        <f>IF('Employee Detail FY24'!I45="","",'Employee Detail FY24'!I45)</f>
        <v/>
      </c>
      <c r="J45" s="359" t="str">
        <f>IF('Employee Detail FY24'!J45="","",'Employee Detail FY24'!J45)</f>
        <v/>
      </c>
      <c r="K45" s="359" t="str">
        <f>IF('Employee Detail FY24'!K45="","",'Employee Detail FY24'!K45)</f>
        <v/>
      </c>
      <c r="L45" s="359" t="str">
        <f>IF('Employee Detail FY24'!L45="","",'Employee Detail FY24'!L45)</f>
        <v/>
      </c>
      <c r="M45" s="388" t="s">
        <v>386</v>
      </c>
      <c r="N45" s="386" t="str">
        <f>IF('Employee Detail FY24'!N45="","",'Employee Detail FY24'!N45)</f>
        <v/>
      </c>
      <c r="O45" s="386" t="str">
        <f>IF('Employee Detail FY24'!O45="","",'Employee Detail FY24'!O45)</f>
        <v/>
      </c>
      <c r="P45" s="386" t="str">
        <f>IF('Employee Detail FY24'!P45="","",'Employee Detail FY24'!P45)</f>
        <v/>
      </c>
      <c r="Q45" s="386" t="str">
        <f>IF('Employee Detail FY24'!Q45="","",'Employee Detail FY24'!Q45)</f>
        <v/>
      </c>
      <c r="R45" s="386" t="str">
        <f>IF('Employee Detail FY24'!R45="","",'Employee Detail FY24'!R45)</f>
        <v/>
      </c>
      <c r="S45" s="386" t="str">
        <f>IF('Employee Detail FY24'!S45="","",'Employee Detail FY24'!S45)</f>
        <v/>
      </c>
      <c r="T45" s="263" t="str">
        <f t="shared" si="6"/>
        <v/>
      </c>
      <c r="U45" s="269" t="str">
        <f>IF('Employee Detail FY24'!U45="","",'Employee Detail FY24'!U45)</f>
        <v/>
      </c>
      <c r="V45" s="270" t="str">
        <f t="shared" si="7"/>
        <v/>
      </c>
      <c r="W45" s="270" t="str">
        <f t="shared" si="8"/>
        <v/>
      </c>
      <c r="X45" s="270" t="str">
        <f t="shared" si="9"/>
        <v/>
      </c>
      <c r="Y45" s="62">
        <v>0</v>
      </c>
      <c r="Z45" s="62">
        <v>0</v>
      </c>
      <c r="AA45" s="256">
        <f t="shared" si="10"/>
        <v>0</v>
      </c>
      <c r="AB45" s="3"/>
      <c r="AC45" s="62" t="str">
        <f t="shared" si="11"/>
        <v/>
      </c>
      <c r="AD45" s="62" t="str">
        <f t="shared" si="12"/>
        <v/>
      </c>
      <c r="AE45" s="62" t="str">
        <f t="shared" si="13"/>
        <v/>
      </c>
      <c r="AF45" s="62" t="str">
        <f t="shared" si="14"/>
        <v/>
      </c>
      <c r="AG45" s="192">
        <v>0</v>
      </c>
      <c r="AH45" s="62" t="str">
        <f t="shared" si="15"/>
        <v/>
      </c>
      <c r="AI45" s="62">
        <f t="shared" si="16"/>
        <v>0</v>
      </c>
      <c r="AJ45" s="62"/>
      <c r="AK45" s="62">
        <v>0</v>
      </c>
      <c r="AL45" s="256">
        <f t="shared" si="17"/>
        <v>0</v>
      </c>
      <c r="AM45" s="256">
        <f t="shared" si="18"/>
        <v>0</v>
      </c>
      <c r="AN45" s="256">
        <f t="shared" si="19"/>
        <v>0</v>
      </c>
    </row>
    <row r="46" spans="1:40" hidden="1" x14ac:dyDescent="0.2">
      <c r="A46" s="386" t="str">
        <f>IF('Employee Detail FY24'!A46="","",'Employee Detail FY24'!A46)</f>
        <v/>
      </c>
      <c r="B46" s="678">
        <f>IF('Employee Detail FY24'!B46="","",'Employee Detail FY24'!B46)</f>
        <v>250</v>
      </c>
      <c r="C46" s="678" t="str">
        <f>IF('Employee Detail FY24'!C46="","",'Employee Detail FY24'!C46)</f>
        <v>205</v>
      </c>
      <c r="D46" s="678"/>
      <c r="E46" s="678" t="str">
        <f>IF('Employee Detail FY24'!E46="","",'Employee Detail FY24'!E46)</f>
        <v>200</v>
      </c>
      <c r="F46" s="678">
        <f>IF('Employee Detail FY24'!F46="","",'Employee Detail FY24'!F46)</f>
        <v>2130</v>
      </c>
      <c r="G46" s="678" t="str">
        <f>IF('Employee Detail FY24'!G46="","",'Employee Detail FY24'!G46)</f>
        <v>0106</v>
      </c>
      <c r="H46" s="386"/>
      <c r="I46" s="359" t="str">
        <f>IF('Employee Detail FY24'!I46="","",'Employee Detail FY24'!I46)</f>
        <v>LAGRUTTA</v>
      </c>
      <c r="J46" s="359" t="str">
        <f>IF('Employee Detail FY24'!J46="","",'Employee Detail FY24'!J46)</f>
        <v>JUDY</v>
      </c>
      <c r="K46" s="359" t="str">
        <f>IF('Employee Detail FY24'!K46="","",'Employee Detail FY24'!K46)</f>
        <v>Licensed Support Staff</v>
      </c>
      <c r="L46" s="359" t="str">
        <f>IF('Employee Detail FY24'!L46="","",'Employee Detail FY24'!L46)</f>
        <v>NURSE</v>
      </c>
      <c r="M46" s="388">
        <v>0.3</v>
      </c>
      <c r="N46" s="386">
        <f>IF('Employee Detail FY24'!N46="","",'Employee Detail FY24'!N46)</f>
        <v>45</v>
      </c>
      <c r="O46" s="386">
        <f>IF('Employee Detail FY24'!O46="","",'Employee Detail FY24'!O46)</f>
        <v>26</v>
      </c>
      <c r="P46" s="386" t="str">
        <f>IF('Employee Detail FY24'!P46="","",'Employee Detail FY24'!P46)</f>
        <v>N</v>
      </c>
      <c r="Q46" s="386">
        <f>IF('Employee Detail FY24'!Q46="","",'Employee Detail FY24'!Q46)</f>
        <v>45</v>
      </c>
      <c r="R46" s="386">
        <f>IF('Employee Detail FY24'!R46="","",'Employee Detail FY24'!R46)</f>
        <v>1</v>
      </c>
      <c r="S46" s="386">
        <f>IF('Employee Detail FY24'!S46="","",'Employee Detail FY24'!S46)</f>
        <v>524</v>
      </c>
      <c r="T46" s="263">
        <f t="shared" si="6"/>
        <v>524</v>
      </c>
      <c r="U46" s="269">
        <f>IF('Employee Detail FY24'!U46="","",'Employee Detail FY24'!U46)</f>
        <v>23580</v>
      </c>
      <c r="V46" s="270">
        <f t="shared" si="7"/>
        <v>25702.2</v>
      </c>
      <c r="W46" s="270" t="str">
        <f t="shared" si="8"/>
        <v/>
      </c>
      <c r="X46" s="270">
        <f t="shared" si="9"/>
        <v>25702.2</v>
      </c>
      <c r="Y46" s="62">
        <v>0</v>
      </c>
      <c r="Z46" s="62">
        <v>0</v>
      </c>
      <c r="AA46" s="256">
        <f t="shared" si="10"/>
        <v>25702.2</v>
      </c>
      <c r="AB46" s="3"/>
      <c r="AC46" s="62" t="str">
        <f t="shared" si="11"/>
        <v/>
      </c>
      <c r="AD46" s="62">
        <f t="shared" si="12"/>
        <v>1593.5364</v>
      </c>
      <c r="AE46" s="62" t="str">
        <f t="shared" si="13"/>
        <v/>
      </c>
      <c r="AF46" s="62">
        <f t="shared" si="14"/>
        <v>372.68190000000004</v>
      </c>
      <c r="AG46" s="192">
        <v>0</v>
      </c>
      <c r="AH46" s="62">
        <f t="shared" si="15"/>
        <v>233.95006308708568</v>
      </c>
      <c r="AI46" s="62">
        <f t="shared" si="16"/>
        <v>75.69808627555021</v>
      </c>
      <c r="AJ46" s="62"/>
      <c r="AK46" s="62">
        <v>0</v>
      </c>
      <c r="AL46" s="256">
        <f t="shared" si="17"/>
        <v>2275.8664493626361</v>
      </c>
      <c r="AM46" s="256">
        <f t="shared" si="18"/>
        <v>25702.2</v>
      </c>
      <c r="AN46" s="256">
        <f t="shared" si="19"/>
        <v>27978.066449362635</v>
      </c>
    </row>
    <row r="47" spans="1:40" hidden="1" x14ac:dyDescent="0.2">
      <c r="A47" s="386" t="str">
        <f>IF('Employee Detail FY24'!A47="","",'Employee Detail FY24'!A47)</f>
        <v>TITLE IV</v>
      </c>
      <c r="B47" s="678">
        <f>IF('Employee Detail FY24'!B47="","",'Employee Detail FY24'!B47)</f>
        <v>280</v>
      </c>
      <c r="C47" s="678">
        <f>IF('Employee Detail FY24'!C47="","",'Employee Detail FY24'!C47)</f>
        <v>715</v>
      </c>
      <c r="D47" s="678"/>
      <c r="E47" s="678">
        <f>IF('Employee Detail FY24'!E47="","",'Employee Detail FY24'!E47)</f>
        <v>430</v>
      </c>
      <c r="F47" s="678">
        <f>IF('Employee Detail FY24'!F47="","",'Employee Detail FY24'!F47)</f>
        <v>2130</v>
      </c>
      <c r="G47" s="678" t="str">
        <f>IF('Employee Detail FY24'!G47="","",'Employee Detail FY24'!G47)</f>
        <v>0106</v>
      </c>
      <c r="H47" s="386"/>
      <c r="I47" s="359" t="str">
        <f>IF('Employee Detail FY24'!I47="","",'Employee Detail FY24'!I47)</f>
        <v>LAGRUTTA</v>
      </c>
      <c r="J47" s="359" t="str">
        <f>IF('Employee Detail FY24'!J47="","",'Employee Detail FY24'!J47)</f>
        <v>JUDY</v>
      </c>
      <c r="K47" s="359" t="str">
        <f>IF('Employee Detail FY24'!K47="","",'Employee Detail FY24'!K47)</f>
        <v>Licensed Support Staff</v>
      </c>
      <c r="L47" s="359" t="str">
        <f>IF('Employee Detail FY24'!L47="","",'Employee Detail FY24'!L47)</f>
        <v>NURSE</v>
      </c>
      <c r="M47" s="388">
        <v>0.2</v>
      </c>
      <c r="N47" s="386">
        <f>IF('Employee Detail FY24'!N47="","",'Employee Detail FY24'!N47)</f>
        <v>45</v>
      </c>
      <c r="O47" s="386">
        <f>IF('Employee Detail FY24'!O47="","",'Employee Detail FY24'!O47)</f>
        <v>26</v>
      </c>
      <c r="P47" s="386" t="str">
        <f>IF('Employee Detail FY24'!P47="","",'Employee Detail FY24'!P47)</f>
        <v>N</v>
      </c>
      <c r="Q47" s="386">
        <f>IF('Employee Detail FY24'!Q47="","",'Employee Detail FY24'!Q47)</f>
        <v>45</v>
      </c>
      <c r="R47" s="386">
        <f>IF('Employee Detail FY24'!R47="","",'Employee Detail FY24'!R47)</f>
        <v>1</v>
      </c>
      <c r="S47" s="386">
        <f>IF('Employee Detail FY24'!S47="","",'Employee Detail FY24'!S47)</f>
        <v>258.75555555555553</v>
      </c>
      <c r="T47" s="263">
        <f t="shared" si="6"/>
        <v>258.75555555555553</v>
      </c>
      <c r="U47" s="269">
        <f>IF('Employee Detail FY24'!U47="","",'Employee Detail FY24'!U47)</f>
        <v>11643.999999999998</v>
      </c>
      <c r="V47" s="270">
        <f t="shared" si="7"/>
        <v>12691.96</v>
      </c>
      <c r="W47" s="270" t="str">
        <f t="shared" si="8"/>
        <v/>
      </c>
      <c r="X47" s="270">
        <f t="shared" si="9"/>
        <v>12691.96</v>
      </c>
      <c r="Y47" s="62">
        <v>0</v>
      </c>
      <c r="Z47" s="62">
        <v>0</v>
      </c>
      <c r="AA47" s="256">
        <f t="shared" si="10"/>
        <v>12691.96</v>
      </c>
      <c r="AB47" s="3"/>
      <c r="AC47" s="62" t="str">
        <f t="shared" si="11"/>
        <v/>
      </c>
      <c r="AD47" s="62">
        <f t="shared" si="12"/>
        <v>786.90151999999989</v>
      </c>
      <c r="AE47" s="62" t="str">
        <f t="shared" si="13"/>
        <v/>
      </c>
      <c r="AF47" s="62">
        <f t="shared" si="14"/>
        <v>184.03342000000001</v>
      </c>
      <c r="AG47" s="192">
        <v>0</v>
      </c>
      <c r="AH47" s="62">
        <f t="shared" si="15"/>
        <v>115.52648577548878</v>
      </c>
      <c r="AI47" s="62">
        <f t="shared" si="16"/>
        <v>37.380344215119017</v>
      </c>
      <c r="AJ47" s="62"/>
      <c r="AK47" s="62">
        <v>0</v>
      </c>
      <c r="AL47" s="256">
        <f t="shared" si="17"/>
        <v>1123.8417699906076</v>
      </c>
      <c r="AM47" s="256">
        <f t="shared" si="18"/>
        <v>12691.96</v>
      </c>
      <c r="AN47" s="256">
        <f t="shared" si="19"/>
        <v>13815.801769990607</v>
      </c>
    </row>
    <row r="48" spans="1:40" hidden="1" x14ac:dyDescent="0.2">
      <c r="A48" s="386" t="str">
        <f>IF('Employee Detail FY24'!A48="","",'Employee Detail FY24'!A48)</f>
        <v/>
      </c>
      <c r="B48" s="678" t="str">
        <f>IF('Employee Detail FY24'!B48="","",'Employee Detail FY24'!B48)</f>
        <v/>
      </c>
      <c r="C48" s="678" t="str">
        <f>IF('Employee Detail FY24'!C48="","",'Employee Detail FY24'!C48)</f>
        <v/>
      </c>
      <c r="D48" s="678"/>
      <c r="E48" s="678" t="str">
        <f>IF('Employee Detail FY24'!E48="","",'Employee Detail FY24'!E48)</f>
        <v/>
      </c>
      <c r="F48" s="678" t="str">
        <f>IF('Employee Detail FY24'!F48="","",'Employee Detail FY24'!F48)</f>
        <v/>
      </c>
      <c r="G48" s="678" t="str">
        <f>IF('Employee Detail FY24'!G48="","",'Employee Detail FY24'!G48)</f>
        <v/>
      </c>
      <c r="H48" s="386"/>
      <c r="I48" s="359" t="str">
        <f>IF('Employee Detail FY24'!I48="","",'Employee Detail FY24'!I48)</f>
        <v/>
      </c>
      <c r="J48" s="359" t="str">
        <f>IF('Employee Detail FY24'!J48="","",'Employee Detail FY24'!J48)</f>
        <v/>
      </c>
      <c r="K48" s="359" t="str">
        <f>IF('Employee Detail FY24'!K48="","",'Employee Detail FY24'!K48)</f>
        <v/>
      </c>
      <c r="L48" s="359" t="str">
        <f>IF('Employee Detail FY24'!L48="","",'Employee Detail FY24'!L48)</f>
        <v/>
      </c>
      <c r="M48" s="388" t="s">
        <v>386</v>
      </c>
      <c r="N48" s="386" t="str">
        <f>IF('Employee Detail FY24'!N48="","",'Employee Detail FY24'!N48)</f>
        <v/>
      </c>
      <c r="O48" s="386" t="str">
        <f>IF('Employee Detail FY24'!O48="","",'Employee Detail FY24'!O48)</f>
        <v/>
      </c>
      <c r="P48" s="386" t="str">
        <f>IF('Employee Detail FY24'!P48="","",'Employee Detail FY24'!P48)</f>
        <v/>
      </c>
      <c r="Q48" s="386" t="str">
        <f>IF('Employee Detail FY24'!Q48="","",'Employee Detail FY24'!Q48)</f>
        <v/>
      </c>
      <c r="R48" s="386" t="str">
        <f>IF('Employee Detail FY24'!R48="","",'Employee Detail FY24'!R48)</f>
        <v/>
      </c>
      <c r="S48" s="386" t="str">
        <f>IF('Employee Detail FY24'!S48="","",'Employee Detail FY24'!S48)</f>
        <v/>
      </c>
      <c r="T48" s="263" t="str">
        <f t="shared" si="6"/>
        <v/>
      </c>
      <c r="U48" s="269" t="str">
        <f>IF('Employee Detail FY24'!U48="","",'Employee Detail FY24'!U48)</f>
        <v/>
      </c>
      <c r="V48" s="270" t="str">
        <f t="shared" si="7"/>
        <v/>
      </c>
      <c r="W48" s="270" t="str">
        <f t="shared" si="8"/>
        <v/>
      </c>
      <c r="X48" s="270" t="str">
        <f t="shared" si="9"/>
        <v/>
      </c>
      <c r="Y48" s="62">
        <v>0</v>
      </c>
      <c r="Z48" s="62">
        <v>0</v>
      </c>
      <c r="AA48" s="256">
        <f t="shared" si="10"/>
        <v>0</v>
      </c>
      <c r="AB48" s="3"/>
      <c r="AC48" s="62" t="str">
        <f t="shared" si="11"/>
        <v/>
      </c>
      <c r="AD48" s="62" t="str">
        <f t="shared" si="12"/>
        <v/>
      </c>
      <c r="AE48" s="62" t="str">
        <f t="shared" si="13"/>
        <v/>
      </c>
      <c r="AF48" s="62" t="str">
        <f t="shared" si="14"/>
        <v/>
      </c>
      <c r="AG48" s="192">
        <v>0</v>
      </c>
      <c r="AH48" s="62" t="str">
        <f t="shared" si="15"/>
        <v/>
      </c>
      <c r="AI48" s="62">
        <f t="shared" si="16"/>
        <v>0</v>
      </c>
      <c r="AJ48" s="62"/>
      <c r="AK48" s="62">
        <v>0</v>
      </c>
      <c r="AL48" s="256">
        <f t="shared" si="17"/>
        <v>0</v>
      </c>
      <c r="AM48" s="256">
        <f t="shared" si="18"/>
        <v>0</v>
      </c>
      <c r="AN48" s="256">
        <f t="shared" si="19"/>
        <v>0</v>
      </c>
    </row>
    <row r="49" spans="1:40" x14ac:dyDescent="0.2">
      <c r="A49" s="386" t="str">
        <f>IF('Employee Detail FY24'!A49="","",'Employee Detail FY24'!A49)</f>
        <v/>
      </c>
      <c r="B49" s="678">
        <f>IF('Employee Detail FY24'!B49="","",'Employee Detail FY24'!B49)</f>
        <v>100</v>
      </c>
      <c r="C49" s="678" t="str">
        <f>IF('Employee Detail FY24'!C49="","",'Employee Detail FY24'!C49)</f>
        <v>000</v>
      </c>
      <c r="D49" s="678"/>
      <c r="E49" s="678">
        <f>IF('Employee Detail FY24'!E49="","",'Employee Detail FY24'!E49)</f>
        <v>100</v>
      </c>
      <c r="F49" s="678">
        <f>IF('Employee Detail FY24'!F49="","",'Employee Detail FY24'!F49)</f>
        <v>1000</v>
      </c>
      <c r="G49" s="799" t="str">
        <f>IF('Employee Detail FY24'!G49="","",'Employee Detail FY24'!G49)</f>
        <v>0102</v>
      </c>
      <c r="H49" s="386"/>
      <c r="I49" s="359" t="str">
        <f>IF('Employee Detail FY24'!I49="","",'Employee Detail FY24'!I49)</f>
        <v>CASUSO</v>
      </c>
      <c r="J49" s="359" t="str">
        <f>IF('Employee Detail FY24'!J49="","",'Employee Detail FY24'!J49)</f>
        <v>MONICA</v>
      </c>
      <c r="K49" s="359" t="str">
        <f>IF('Employee Detail FY24'!K49="","",'Employee Detail FY24'!K49)</f>
        <v>Support Staff</v>
      </c>
      <c r="L49" s="359" t="str">
        <f>IF('Employee Detail FY24'!L49="","",'Employee Detail FY24'!L49)</f>
        <v>BLENDED LEARNING TEACHER ASSISTANT</v>
      </c>
      <c r="M49" s="388">
        <v>1</v>
      </c>
      <c r="N49" s="386" t="str">
        <f>IF('Employee Detail FY24'!N49="","",'Employee Detail FY24'!N49)</f>
        <v>10</v>
      </c>
      <c r="O49" s="386">
        <f>IF('Employee Detail FY24'!O49="","",'Employee Detail FY24'!O49)</f>
        <v>22</v>
      </c>
      <c r="P49" s="386" t="str">
        <f>IF('Employee Detail FY24'!P49="","",'Employee Detail FY24'!P49)</f>
        <v>EE</v>
      </c>
      <c r="Q49" s="386">
        <f>IF('Employee Detail FY24'!Q49="","",'Employee Detail FY24'!Q49)</f>
        <v>25</v>
      </c>
      <c r="R49" s="386">
        <f>IF('Employee Detail FY24'!R49="","",'Employee Detail FY24'!R49)</f>
        <v>180</v>
      </c>
      <c r="S49" s="386">
        <f>IF('Employee Detail FY24'!S49="","",'Employee Detail FY24'!S49)</f>
        <v>7</v>
      </c>
      <c r="T49" s="263">
        <f t="shared" si="6"/>
        <v>1260</v>
      </c>
      <c r="U49" s="269">
        <f>IF('Employee Detail FY24'!U49="","",'Employee Detail FY24'!U49)</f>
        <v>31500</v>
      </c>
      <c r="V49" s="270">
        <f t="shared" si="7"/>
        <v>34335</v>
      </c>
      <c r="W49" s="270">
        <f t="shared" si="8"/>
        <v>39608.375310000003</v>
      </c>
      <c r="X49" s="270">
        <f t="shared" si="9"/>
        <v>39608.375310000003</v>
      </c>
      <c r="Y49" s="62">
        <v>0</v>
      </c>
      <c r="Z49" s="62">
        <v>0</v>
      </c>
      <c r="AA49" s="256">
        <f t="shared" si="10"/>
        <v>39608.375310000003</v>
      </c>
      <c r="AB49" s="3"/>
      <c r="AC49" s="62">
        <f t="shared" si="11"/>
        <v>7943.76</v>
      </c>
      <c r="AD49" s="62" t="str">
        <f t="shared" si="12"/>
        <v/>
      </c>
      <c r="AE49" s="62">
        <f t="shared" si="13"/>
        <v>6040.2772347750006</v>
      </c>
      <c r="AF49" s="62">
        <f t="shared" si="14"/>
        <v>574.3214419950001</v>
      </c>
      <c r="AG49" s="192">
        <v>0</v>
      </c>
      <c r="AH49" s="62">
        <f t="shared" si="15"/>
        <v>360.52874472035342</v>
      </c>
      <c r="AI49" s="62">
        <f t="shared" si="16"/>
        <v>116.65453585493664</v>
      </c>
      <c r="AJ49" s="62"/>
      <c r="AK49" s="62">
        <v>0</v>
      </c>
      <c r="AL49" s="256">
        <f t="shared" si="17"/>
        <v>15035.541957345293</v>
      </c>
      <c r="AM49" s="256">
        <f t="shared" si="18"/>
        <v>39608.375310000003</v>
      </c>
      <c r="AN49" s="256">
        <f t="shared" si="19"/>
        <v>54643.917267345299</v>
      </c>
    </row>
    <row r="50" spans="1:40" x14ac:dyDescent="0.2">
      <c r="A50" s="386" t="str">
        <f>IF('Employee Detail FY24'!A50="","",'Employee Detail FY24'!A50)</f>
        <v/>
      </c>
      <c r="B50" s="678">
        <f>IF('Employee Detail FY24'!B50="","",'Employee Detail FY24'!B50)</f>
        <v>100</v>
      </c>
      <c r="C50" s="678" t="str">
        <f>IF('Employee Detail FY24'!C50="","",'Employee Detail FY24'!C50)</f>
        <v>000</v>
      </c>
      <c r="D50" s="678"/>
      <c r="E50" s="678">
        <f>IF('Employee Detail FY24'!E50="","",'Employee Detail FY24'!E50)</f>
        <v>100</v>
      </c>
      <c r="F50" s="678">
        <f>IF('Employee Detail FY24'!F50="","",'Employee Detail FY24'!F50)</f>
        <v>1000</v>
      </c>
      <c r="G50" s="678" t="str">
        <f>IF('Employee Detail FY24'!G50="","",'Employee Detail FY24'!G50)</f>
        <v>0102</v>
      </c>
      <c r="H50" s="386"/>
      <c r="I50" s="359" t="str">
        <f>IF('Employee Detail FY24'!I50="","",'Employee Detail FY24'!I50)</f>
        <v>DEL TORO CONTRARES</v>
      </c>
      <c r="J50" s="359" t="str">
        <f>IF('Employee Detail FY24'!J50="","",'Employee Detail FY24'!J50)</f>
        <v>CLARISA</v>
      </c>
      <c r="K50" s="359" t="str">
        <f>IF('Employee Detail FY24'!K50="","",'Employee Detail FY24'!K50)</f>
        <v>Support Staff</v>
      </c>
      <c r="L50" s="359" t="str">
        <f>IF('Employee Detail FY24'!L50="","",'Employee Detail FY24'!L50)</f>
        <v>BLENDED LEARNING TEACHER ASSISTANT</v>
      </c>
      <c r="M50" s="388">
        <v>1</v>
      </c>
      <c r="N50" s="386">
        <f>IF('Employee Detail FY24'!N50="","",'Employee Detail FY24'!N50)</f>
        <v>10</v>
      </c>
      <c r="O50" s="386">
        <f>IF('Employee Detail FY24'!O50="","",'Employee Detail FY24'!O50)</f>
        <v>22</v>
      </c>
      <c r="P50" s="386" t="str">
        <f>IF('Employee Detail FY24'!P50="","",'Employee Detail FY24'!P50)</f>
        <v>ER</v>
      </c>
      <c r="Q50" s="386">
        <f>IF('Employee Detail FY24'!Q50="","",'Employee Detail FY24'!Q50)</f>
        <v>15</v>
      </c>
      <c r="R50" s="386">
        <f>IF('Employee Detail FY24'!R50="","",'Employee Detail FY24'!R50)</f>
        <v>180</v>
      </c>
      <c r="S50" s="386">
        <f>IF('Employee Detail FY24'!S50="","",'Employee Detail FY24'!S50)</f>
        <v>7</v>
      </c>
      <c r="T50" s="263">
        <f t="shared" si="6"/>
        <v>1260</v>
      </c>
      <c r="U50" s="269">
        <f>IF('Employee Detail FY24'!U50="","",'Employee Detail FY24'!U50)</f>
        <v>18900</v>
      </c>
      <c r="V50" s="270">
        <f t="shared" si="7"/>
        <v>20601</v>
      </c>
      <c r="W50" s="270" t="str">
        <f t="shared" si="8"/>
        <v/>
      </c>
      <c r="X50" s="270">
        <f t="shared" si="9"/>
        <v>20601</v>
      </c>
      <c r="Y50" s="62">
        <v>0</v>
      </c>
      <c r="Z50" s="62">
        <v>0</v>
      </c>
      <c r="AA50" s="256">
        <f t="shared" si="10"/>
        <v>20601</v>
      </c>
      <c r="AB50" s="3"/>
      <c r="AC50" s="62">
        <f t="shared" si="11"/>
        <v>7943.76</v>
      </c>
      <c r="AD50" s="62" t="str">
        <f t="shared" si="12"/>
        <v/>
      </c>
      <c r="AE50" s="62">
        <f t="shared" si="13"/>
        <v>6025.7924999999996</v>
      </c>
      <c r="AF50" s="62">
        <f t="shared" si="14"/>
        <v>298.71449999999999</v>
      </c>
      <c r="AG50" s="192">
        <v>0</v>
      </c>
      <c r="AH50" s="62">
        <f t="shared" si="15"/>
        <v>187.51722613850379</v>
      </c>
      <c r="AI50" s="62">
        <f t="shared" si="16"/>
        <v>60.674038617807412</v>
      </c>
      <c r="AJ50" s="62"/>
      <c r="AK50" s="62">
        <v>0</v>
      </c>
      <c r="AL50" s="256">
        <f t="shared" si="17"/>
        <v>14516.458264756311</v>
      </c>
      <c r="AM50" s="256">
        <f t="shared" si="18"/>
        <v>20601</v>
      </c>
      <c r="AN50" s="256">
        <f t="shared" si="19"/>
        <v>35117.458264756307</v>
      </c>
    </row>
    <row r="51" spans="1:40" x14ac:dyDescent="0.2">
      <c r="A51" s="386" t="str">
        <f>IF('Employee Detail FY24'!A51="","",'Employee Detail FY24'!A51)</f>
        <v/>
      </c>
      <c r="B51" s="678">
        <f>IF('Employee Detail FY24'!B51="","",'Employee Detail FY24'!B51)</f>
        <v>100</v>
      </c>
      <c r="C51" s="678" t="str">
        <f>IF('Employee Detail FY24'!C51="","",'Employee Detail FY24'!C51)</f>
        <v>000</v>
      </c>
      <c r="D51" s="678"/>
      <c r="E51" s="678">
        <f>IF('Employee Detail FY24'!E51="","",'Employee Detail FY24'!E51)</f>
        <v>100</v>
      </c>
      <c r="F51" s="678">
        <f>IF('Employee Detail FY24'!F51="","",'Employee Detail FY24'!F51)</f>
        <v>1000</v>
      </c>
      <c r="G51" s="678" t="str">
        <f>IF('Employee Detail FY24'!G51="","",'Employee Detail FY24'!G51)</f>
        <v>0102</v>
      </c>
      <c r="H51" s="386"/>
      <c r="I51" s="359" t="str">
        <f>IF('Employee Detail FY24'!I51="","",'Employee Detail FY24'!I51)</f>
        <v>NEGRETE</v>
      </c>
      <c r="J51" s="359" t="str">
        <f>IF('Employee Detail FY24'!J51="","",'Employee Detail FY24'!J51)</f>
        <v>ANJELICA</v>
      </c>
      <c r="K51" s="359" t="str">
        <f>IF('Employee Detail FY24'!K51="","",'Employee Detail FY24'!K51)</f>
        <v>Support Staff</v>
      </c>
      <c r="L51" s="359" t="str">
        <f>IF('Employee Detail FY24'!L51="","",'Employee Detail FY24'!L51)</f>
        <v>BLENDED LEARNING TEACHER ASSISTANT</v>
      </c>
      <c r="M51" s="388">
        <v>1</v>
      </c>
      <c r="N51" s="386" t="str">
        <f>IF('Employee Detail FY24'!N51="","",'Employee Detail FY24'!N51)</f>
        <v>10</v>
      </c>
      <c r="O51" s="386">
        <f>IF('Employee Detail FY24'!O51="","",'Employee Detail FY24'!O51)</f>
        <v>22</v>
      </c>
      <c r="P51" s="386" t="str">
        <f>IF('Employee Detail FY24'!P51="","",'Employee Detail FY24'!P51)</f>
        <v>EE</v>
      </c>
      <c r="Q51" s="386">
        <f>IF('Employee Detail FY24'!Q51="","",'Employee Detail FY24'!Q51)</f>
        <v>25</v>
      </c>
      <c r="R51" s="386">
        <f>IF('Employee Detail FY24'!R51="","",'Employee Detail FY24'!R51)</f>
        <v>180</v>
      </c>
      <c r="S51" s="386">
        <f>IF('Employee Detail FY24'!S51="","",'Employee Detail FY24'!S51)</f>
        <v>7</v>
      </c>
      <c r="T51" s="263">
        <f t="shared" si="6"/>
        <v>1260</v>
      </c>
      <c r="U51" s="269">
        <f>IF('Employee Detail FY24'!U51="","",'Employee Detail FY24'!U51)</f>
        <v>31500</v>
      </c>
      <c r="V51" s="270">
        <f t="shared" si="7"/>
        <v>34335</v>
      </c>
      <c r="W51" s="270">
        <f t="shared" si="8"/>
        <v>39608.375310000003</v>
      </c>
      <c r="X51" s="270">
        <f t="shared" si="9"/>
        <v>39608.375310000003</v>
      </c>
      <c r="Y51" s="62">
        <v>0</v>
      </c>
      <c r="Z51" s="62">
        <v>0</v>
      </c>
      <c r="AA51" s="256">
        <f t="shared" si="10"/>
        <v>39608.375310000003</v>
      </c>
      <c r="AB51" s="3"/>
      <c r="AC51" s="62">
        <f t="shared" si="11"/>
        <v>7943.76</v>
      </c>
      <c r="AD51" s="62" t="str">
        <f t="shared" si="12"/>
        <v/>
      </c>
      <c r="AE51" s="62">
        <f t="shared" si="13"/>
        <v>6040.2772347750006</v>
      </c>
      <c r="AF51" s="62">
        <f t="shared" si="14"/>
        <v>574.3214419950001</v>
      </c>
      <c r="AG51" s="192">
        <v>0</v>
      </c>
      <c r="AH51" s="62">
        <f t="shared" si="15"/>
        <v>360.52874472035342</v>
      </c>
      <c r="AI51" s="62">
        <f t="shared" si="16"/>
        <v>116.65453585493664</v>
      </c>
      <c r="AJ51" s="62"/>
      <c r="AK51" s="62">
        <v>0</v>
      </c>
      <c r="AL51" s="256">
        <f t="shared" si="17"/>
        <v>15035.541957345293</v>
      </c>
      <c r="AM51" s="256">
        <f t="shared" si="18"/>
        <v>39608.375310000003</v>
      </c>
      <c r="AN51" s="256">
        <f t="shared" si="19"/>
        <v>54643.917267345299</v>
      </c>
    </row>
    <row r="52" spans="1:40" x14ac:dyDescent="0.2">
      <c r="A52" s="386" t="str">
        <f>IF('Employee Detail FY24'!A52="","",'Employee Detail FY24'!A52)</f>
        <v/>
      </c>
      <c r="B52" s="678">
        <f>IF('Employee Detail FY24'!B52="","",'Employee Detail FY24'!B52)</f>
        <v>100</v>
      </c>
      <c r="C52" s="678" t="str">
        <f>IF('Employee Detail FY24'!C52="","",'Employee Detail FY24'!C52)</f>
        <v>000</v>
      </c>
      <c r="D52" s="678"/>
      <c r="E52" s="678">
        <f>IF('Employee Detail FY24'!E52="","",'Employee Detail FY24'!E52)</f>
        <v>100</v>
      </c>
      <c r="F52" s="678">
        <f>IF('Employee Detail FY24'!F52="","",'Employee Detail FY24'!F52)</f>
        <v>1000</v>
      </c>
      <c r="G52" s="678" t="str">
        <f>IF('Employee Detail FY24'!G52="","",'Employee Detail FY24'!G52)</f>
        <v>0102</v>
      </c>
      <c r="H52" s="386"/>
      <c r="I52" s="359" t="str">
        <f>IF('Employee Detail FY24'!I52="","",'Employee Detail FY24'!I52)</f>
        <v>REDZIC</v>
      </c>
      <c r="J52" s="359" t="str">
        <f>IF('Employee Detail FY24'!J52="","",'Employee Detail FY24'!J52)</f>
        <v>LAMIYA</v>
      </c>
      <c r="K52" s="359" t="str">
        <f>IF('Employee Detail FY24'!K52="","",'Employee Detail FY24'!K52)</f>
        <v>Support Staff</v>
      </c>
      <c r="L52" s="359" t="str">
        <f>IF('Employee Detail FY24'!L52="","",'Employee Detail FY24'!L52)</f>
        <v>BLENDED LEARNING TEACHER ASSISTANT</v>
      </c>
      <c r="M52" s="388">
        <v>1</v>
      </c>
      <c r="N52" s="386" t="str">
        <f>IF('Employee Detail FY24'!N52="","",'Employee Detail FY24'!N52)</f>
        <v>10</v>
      </c>
      <c r="O52" s="386">
        <f>IF('Employee Detail FY24'!O52="","",'Employee Detail FY24'!O52)</f>
        <v>22</v>
      </c>
      <c r="P52" s="386" t="str">
        <f>IF('Employee Detail FY24'!P52="","",'Employee Detail FY24'!P52)</f>
        <v>EE</v>
      </c>
      <c r="Q52" s="386">
        <f>IF('Employee Detail FY24'!Q52="","",'Employee Detail FY24'!Q52)</f>
        <v>25</v>
      </c>
      <c r="R52" s="386">
        <f>IF('Employee Detail FY24'!R52="","",'Employee Detail FY24'!R52)</f>
        <v>180</v>
      </c>
      <c r="S52" s="386">
        <f>IF('Employee Detail FY24'!S52="","",'Employee Detail FY24'!S52)</f>
        <v>7</v>
      </c>
      <c r="T52" s="263">
        <f t="shared" si="6"/>
        <v>1260</v>
      </c>
      <c r="U52" s="269">
        <f>IF('Employee Detail FY24'!U52="","",'Employee Detail FY24'!U52)</f>
        <v>31500</v>
      </c>
      <c r="V52" s="270">
        <f t="shared" si="7"/>
        <v>34335</v>
      </c>
      <c r="W52" s="270">
        <f t="shared" si="8"/>
        <v>39608.375310000003</v>
      </c>
      <c r="X52" s="270">
        <f t="shared" si="9"/>
        <v>39608.375310000003</v>
      </c>
      <c r="Y52" s="62">
        <v>0</v>
      </c>
      <c r="Z52" s="62">
        <v>0</v>
      </c>
      <c r="AA52" s="256">
        <f t="shared" si="10"/>
        <v>39608.375310000003</v>
      </c>
      <c r="AB52" s="3"/>
      <c r="AC52" s="62">
        <f t="shared" si="11"/>
        <v>7943.76</v>
      </c>
      <c r="AD52" s="62" t="str">
        <f t="shared" si="12"/>
        <v/>
      </c>
      <c r="AE52" s="62">
        <f t="shared" si="13"/>
        <v>6040.2772347750006</v>
      </c>
      <c r="AF52" s="62">
        <f t="shared" si="14"/>
        <v>574.3214419950001</v>
      </c>
      <c r="AG52" s="192">
        <v>0</v>
      </c>
      <c r="AH52" s="62">
        <f t="shared" si="15"/>
        <v>360.52874472035342</v>
      </c>
      <c r="AI52" s="62">
        <f t="shared" si="16"/>
        <v>116.65453585493664</v>
      </c>
      <c r="AJ52" s="62"/>
      <c r="AK52" s="62">
        <v>0</v>
      </c>
      <c r="AL52" s="256">
        <f t="shared" si="17"/>
        <v>15035.541957345293</v>
      </c>
      <c r="AM52" s="256">
        <f t="shared" si="18"/>
        <v>39608.375310000003</v>
      </c>
      <c r="AN52" s="256">
        <f t="shared" si="19"/>
        <v>54643.917267345299</v>
      </c>
    </row>
    <row r="53" spans="1:40" x14ac:dyDescent="0.2">
      <c r="A53" s="386" t="str">
        <f>IF('Employee Detail FY24'!A53="","",'Employee Detail FY24'!A53)</f>
        <v>TITLE Ia</v>
      </c>
      <c r="B53" s="678">
        <f>IF('Employee Detail FY24'!B53="","",'Employee Detail FY24'!B53)</f>
        <v>280</v>
      </c>
      <c r="C53" s="678">
        <f>IF('Employee Detail FY24'!C53="","",'Employee Detail FY24'!C53)</f>
        <v>633</v>
      </c>
      <c r="D53" s="678"/>
      <c r="E53" s="678">
        <f>IF('Employee Detail FY24'!E53="","",'Employee Detail FY24'!E53)</f>
        <v>430</v>
      </c>
      <c r="F53" s="678">
        <f>IF('Employee Detail FY24'!F53="","",'Employee Detail FY24'!F53)</f>
        <v>1000</v>
      </c>
      <c r="G53" s="678" t="str">
        <f>IF('Employee Detail FY24'!G53="","",'Employee Detail FY24'!G53)</f>
        <v>0102</v>
      </c>
      <c r="H53" s="386"/>
      <c r="I53" s="359" t="str">
        <f>IF('Employee Detail FY24'!I53="","",'Employee Detail FY24'!I53)</f>
        <v>SALVANI</v>
      </c>
      <c r="J53" s="359" t="str">
        <f>IF('Employee Detail FY24'!J53="","",'Employee Detail FY24'!J53)</f>
        <v>CRISELDA</v>
      </c>
      <c r="K53" s="359" t="str">
        <f>IF('Employee Detail FY24'!K53="","",'Employee Detail FY24'!K53)</f>
        <v>Support Staff</v>
      </c>
      <c r="L53" s="359" t="str">
        <f>IF('Employee Detail FY24'!L53="","",'Employee Detail FY24'!L53)</f>
        <v>BLENDED LEARNING TEACHER ASSISTANT</v>
      </c>
      <c r="M53" s="388">
        <v>1</v>
      </c>
      <c r="N53" s="386" t="str">
        <f>IF('Employee Detail FY24'!N53="","",'Employee Detail FY24'!N53)</f>
        <v>10</v>
      </c>
      <c r="O53" s="386">
        <f>IF('Employee Detail FY24'!O53="","",'Employee Detail FY24'!O53)</f>
        <v>22</v>
      </c>
      <c r="P53" s="386" t="str">
        <f>IF('Employee Detail FY24'!P53="","",'Employee Detail FY24'!P53)</f>
        <v>EE</v>
      </c>
      <c r="Q53" s="386">
        <f>IF('Employee Detail FY24'!Q53="","",'Employee Detail FY24'!Q53)</f>
        <v>25</v>
      </c>
      <c r="R53" s="386">
        <f>IF('Employee Detail FY24'!R53="","",'Employee Detail FY24'!R53)</f>
        <v>180</v>
      </c>
      <c r="S53" s="386">
        <f>IF('Employee Detail FY24'!S53="","",'Employee Detail FY24'!S53)</f>
        <v>7</v>
      </c>
      <c r="T53" s="263">
        <f t="shared" si="6"/>
        <v>1260</v>
      </c>
      <c r="U53" s="269">
        <f>IF('Employee Detail FY24'!U53="","",'Employee Detail FY24'!U53)</f>
        <v>31500</v>
      </c>
      <c r="V53" s="270">
        <f t="shared" si="7"/>
        <v>34335</v>
      </c>
      <c r="W53" s="270">
        <f t="shared" si="8"/>
        <v>39608.375310000003</v>
      </c>
      <c r="X53" s="270">
        <f t="shared" si="9"/>
        <v>39608.375310000003</v>
      </c>
      <c r="Y53" s="62">
        <v>0</v>
      </c>
      <c r="Z53" s="62">
        <v>0</v>
      </c>
      <c r="AA53" s="256">
        <f t="shared" si="10"/>
        <v>39608.375310000003</v>
      </c>
      <c r="AB53" s="3"/>
      <c r="AC53" s="62">
        <f t="shared" si="11"/>
        <v>7943.76</v>
      </c>
      <c r="AD53" s="62" t="str">
        <f t="shared" si="12"/>
        <v/>
      </c>
      <c r="AE53" s="62">
        <f t="shared" si="13"/>
        <v>6040.2772347750006</v>
      </c>
      <c r="AF53" s="62">
        <f t="shared" si="14"/>
        <v>574.3214419950001</v>
      </c>
      <c r="AG53" s="192">
        <v>0</v>
      </c>
      <c r="AH53" s="62">
        <f t="shared" si="15"/>
        <v>360.52874472035342</v>
      </c>
      <c r="AI53" s="62">
        <f t="shared" si="16"/>
        <v>116.65453585493664</v>
      </c>
      <c r="AJ53" s="62"/>
      <c r="AK53" s="62">
        <v>0</v>
      </c>
      <c r="AL53" s="256">
        <f t="shared" si="17"/>
        <v>15035.541957345293</v>
      </c>
      <c r="AM53" s="256">
        <f t="shared" si="18"/>
        <v>39608.375310000003</v>
      </c>
      <c r="AN53" s="256">
        <f t="shared" si="19"/>
        <v>54643.917267345299</v>
      </c>
    </row>
    <row r="54" spans="1:40" x14ac:dyDescent="0.2">
      <c r="A54" s="386" t="str">
        <f>IF('Employee Detail FY24'!A54="","",'Employee Detail FY24'!A54)</f>
        <v>VACANT</v>
      </c>
      <c r="B54" s="678">
        <f>IF('Employee Detail FY24'!B54="","",'Employee Detail FY24'!B54)</f>
        <v>100</v>
      </c>
      <c r="C54" s="678" t="str">
        <f>IF('Employee Detail FY24'!C54="","",'Employee Detail FY24'!C54)</f>
        <v>000</v>
      </c>
      <c r="D54" s="678"/>
      <c r="E54" s="678">
        <f>IF('Employee Detail FY24'!E54="","",'Employee Detail FY24'!E54)</f>
        <v>100</v>
      </c>
      <c r="F54" s="678">
        <f>IF('Employee Detail FY24'!F54="","",'Employee Detail FY24'!F54)</f>
        <v>1000</v>
      </c>
      <c r="G54" s="678" t="str">
        <f>IF('Employee Detail FY24'!G54="","",'Employee Detail FY24'!G54)</f>
        <v>0102</v>
      </c>
      <c r="H54" s="386"/>
      <c r="I54" s="359" t="str">
        <f>IF('Employee Detail FY24'!I54="","",'Employee Detail FY24'!I54)</f>
        <v>VACANT</v>
      </c>
      <c r="J54" s="359" t="str">
        <f>IF('Employee Detail FY24'!J54="","",'Employee Detail FY24'!J54)</f>
        <v>FY23</v>
      </c>
      <c r="K54" s="359" t="str">
        <f>IF('Employee Detail FY24'!K54="","",'Employee Detail FY24'!K54)</f>
        <v>Support Staff</v>
      </c>
      <c r="L54" s="359" t="str">
        <f>IF('Employee Detail FY24'!L54="","",'Employee Detail FY24'!L54)</f>
        <v>BLENDED LEARNING TEACHER ASSISTANT</v>
      </c>
      <c r="M54" s="388">
        <v>1</v>
      </c>
      <c r="N54" s="386" t="str">
        <f>IF('Employee Detail FY24'!N54="","",'Employee Detail FY24'!N54)</f>
        <v>10</v>
      </c>
      <c r="O54" s="386">
        <f>IF('Employee Detail FY24'!O54="","",'Employee Detail FY24'!O54)</f>
        <v>22</v>
      </c>
      <c r="P54" s="386" t="str">
        <f>IF('Employee Detail FY24'!P54="","",'Employee Detail FY24'!P54)</f>
        <v>EE</v>
      </c>
      <c r="Q54" s="386">
        <f>IF('Employee Detail FY24'!Q54="","",'Employee Detail FY24'!Q54)</f>
        <v>25</v>
      </c>
      <c r="R54" s="386">
        <f>IF('Employee Detail FY24'!R54="","",'Employee Detail FY24'!R54)</f>
        <v>180</v>
      </c>
      <c r="S54" s="386">
        <f>IF('Employee Detail FY24'!S54="","",'Employee Detail FY24'!S54)</f>
        <v>7</v>
      </c>
      <c r="T54" s="263">
        <f t="shared" si="6"/>
        <v>1260</v>
      </c>
      <c r="U54" s="269">
        <f>IF('Employee Detail FY24'!U54="","",'Employee Detail FY24'!U54)</f>
        <v>31500</v>
      </c>
      <c r="V54" s="270">
        <f t="shared" si="7"/>
        <v>34335</v>
      </c>
      <c r="W54" s="270">
        <f t="shared" si="8"/>
        <v>39608.375310000003</v>
      </c>
      <c r="X54" s="270">
        <f t="shared" si="9"/>
        <v>39608.375310000003</v>
      </c>
      <c r="Y54" s="62">
        <v>0</v>
      </c>
      <c r="Z54" s="62">
        <v>0</v>
      </c>
      <c r="AA54" s="256">
        <f t="shared" si="10"/>
        <v>39608.375310000003</v>
      </c>
      <c r="AB54" s="3"/>
      <c r="AC54" s="62">
        <f t="shared" si="11"/>
        <v>7943.76</v>
      </c>
      <c r="AD54" s="62" t="str">
        <f t="shared" si="12"/>
        <v/>
      </c>
      <c r="AE54" s="62">
        <f t="shared" si="13"/>
        <v>6040.2772347750006</v>
      </c>
      <c r="AF54" s="62">
        <f t="shared" si="14"/>
        <v>574.3214419950001</v>
      </c>
      <c r="AG54" s="192">
        <v>0</v>
      </c>
      <c r="AH54" s="62">
        <f t="shared" si="15"/>
        <v>360.52874472035342</v>
      </c>
      <c r="AI54" s="62">
        <f t="shared" si="16"/>
        <v>116.65453585493664</v>
      </c>
      <c r="AJ54" s="62"/>
      <c r="AK54" s="62">
        <v>0</v>
      </c>
      <c r="AL54" s="256">
        <f t="shared" si="17"/>
        <v>15035.541957345293</v>
      </c>
      <c r="AM54" s="256">
        <f t="shared" si="18"/>
        <v>39608.375310000003</v>
      </c>
      <c r="AN54" s="256">
        <f t="shared" si="19"/>
        <v>54643.917267345299</v>
      </c>
    </row>
    <row r="55" spans="1:40" x14ac:dyDescent="0.2">
      <c r="A55" s="386" t="str">
        <f>IF('Employee Detail FY24'!A55="","",'Employee Detail FY24'!A55)</f>
        <v>VACANT</v>
      </c>
      <c r="B55" s="678">
        <f>IF('Employee Detail FY24'!B55="","",'Employee Detail FY24'!B55)</f>
        <v>100</v>
      </c>
      <c r="C55" s="678" t="str">
        <f>IF('Employee Detail FY24'!C55="","",'Employee Detail FY24'!C55)</f>
        <v>000</v>
      </c>
      <c r="D55" s="678"/>
      <c r="E55" s="678">
        <f>IF('Employee Detail FY24'!E55="","",'Employee Detail FY24'!E55)</f>
        <v>100</v>
      </c>
      <c r="F55" s="678">
        <f>IF('Employee Detail FY24'!F55="","",'Employee Detail FY24'!F55)</f>
        <v>1000</v>
      </c>
      <c r="G55" s="678" t="str">
        <f>IF('Employee Detail FY24'!G55="","",'Employee Detail FY24'!G55)</f>
        <v>0102</v>
      </c>
      <c r="H55" s="386"/>
      <c r="I55" s="359" t="str">
        <f>IF('Employee Detail FY24'!I55="","",'Employee Detail FY24'!I55)</f>
        <v>VACANT</v>
      </c>
      <c r="J55" s="359" t="str">
        <f>IF('Employee Detail FY24'!J55="","",'Employee Detail FY24'!J55)</f>
        <v>FY23</v>
      </c>
      <c r="K55" s="359" t="str">
        <f>IF('Employee Detail FY24'!K55="","",'Employee Detail FY24'!K55)</f>
        <v>Support Staff</v>
      </c>
      <c r="L55" s="359" t="str">
        <f>IF('Employee Detail FY24'!L55="","",'Employee Detail FY24'!L55)</f>
        <v>BLENDED LEARNING TEACHER ASSISTANT</v>
      </c>
      <c r="M55" s="388"/>
      <c r="N55" s="386" t="str">
        <f>IF('Employee Detail FY24'!N55="","",'Employee Detail FY24'!N55)</f>
        <v/>
      </c>
      <c r="O55" s="386" t="str">
        <f>IF('Employee Detail FY24'!O55="","",'Employee Detail FY24'!O55)</f>
        <v/>
      </c>
      <c r="P55" s="386" t="str">
        <f>IF('Employee Detail FY24'!P55="","",'Employee Detail FY24'!P55)</f>
        <v/>
      </c>
      <c r="Q55" s="386" t="str">
        <f>IF('Employee Detail FY24'!Q55="","",'Employee Detail FY24'!Q55)</f>
        <v/>
      </c>
      <c r="R55" s="386" t="str">
        <f>IF('Employee Detail FY24'!R55="","",'Employee Detail FY24'!R55)</f>
        <v/>
      </c>
      <c r="S55" s="386" t="str">
        <f>IF('Employee Detail FY24'!S55="","",'Employee Detail FY24'!S55)</f>
        <v/>
      </c>
      <c r="T55" s="263" t="str">
        <f t="shared" si="6"/>
        <v/>
      </c>
      <c r="U55" s="269">
        <f>IF('Employee Detail FY24'!U55="","",'Employee Detail FY24'!U55)</f>
        <v>31500</v>
      </c>
      <c r="V55" s="270">
        <f t="shared" si="7"/>
        <v>34335</v>
      </c>
      <c r="W55" s="270" t="str">
        <f t="shared" si="8"/>
        <v/>
      </c>
      <c r="X55" s="270" t="str">
        <f t="shared" si="9"/>
        <v/>
      </c>
      <c r="Y55" s="62">
        <v>0</v>
      </c>
      <c r="Z55" s="62">
        <v>0</v>
      </c>
      <c r="AA55" s="256">
        <f t="shared" si="10"/>
        <v>0</v>
      </c>
      <c r="AB55" s="3"/>
      <c r="AC55" s="62" t="str">
        <f t="shared" si="11"/>
        <v/>
      </c>
      <c r="AD55" s="62" t="str">
        <f t="shared" si="12"/>
        <v/>
      </c>
      <c r="AE55" s="62" t="str">
        <f t="shared" si="13"/>
        <v/>
      </c>
      <c r="AF55" s="62" t="str">
        <f t="shared" si="14"/>
        <v/>
      </c>
      <c r="AG55" s="192">
        <v>0</v>
      </c>
      <c r="AH55" s="62" t="str">
        <f t="shared" si="15"/>
        <v/>
      </c>
      <c r="AI55" s="62">
        <f t="shared" si="16"/>
        <v>0</v>
      </c>
      <c r="AJ55" s="62"/>
      <c r="AK55" s="62">
        <v>0</v>
      </c>
      <c r="AL55" s="256">
        <f t="shared" si="17"/>
        <v>0</v>
      </c>
      <c r="AM55" s="256">
        <f t="shared" si="18"/>
        <v>0</v>
      </c>
      <c r="AN55" s="256">
        <f t="shared" si="19"/>
        <v>0</v>
      </c>
    </row>
    <row r="56" spans="1:40" hidden="1" x14ac:dyDescent="0.2">
      <c r="A56" s="386" t="str">
        <f>IF('Employee Detail FY24'!A56="","",'Employee Detail FY24'!A56)</f>
        <v/>
      </c>
      <c r="B56" s="678" t="str">
        <f>IF('Employee Detail FY24'!B56="","",'Employee Detail FY24'!B56)</f>
        <v/>
      </c>
      <c r="C56" s="678" t="str">
        <f>IF('Employee Detail FY24'!C56="","",'Employee Detail FY24'!C56)</f>
        <v/>
      </c>
      <c r="D56" s="678"/>
      <c r="E56" s="678" t="str">
        <f>IF('Employee Detail FY24'!E56="","",'Employee Detail FY24'!E56)</f>
        <v/>
      </c>
      <c r="F56" s="678" t="str">
        <f>IF('Employee Detail FY24'!F56="","",'Employee Detail FY24'!F56)</f>
        <v/>
      </c>
      <c r="G56" s="678" t="str">
        <f>IF('Employee Detail FY24'!G56="","",'Employee Detail FY24'!G56)</f>
        <v/>
      </c>
      <c r="H56" s="386"/>
      <c r="I56" s="359" t="str">
        <f>IF('Employee Detail FY24'!I56="","",'Employee Detail FY24'!I56)</f>
        <v/>
      </c>
      <c r="J56" s="359" t="str">
        <f>IF('Employee Detail FY24'!J56="","",'Employee Detail FY24'!J56)</f>
        <v/>
      </c>
      <c r="K56" s="359" t="str">
        <f>IF('Employee Detail FY24'!K56="","",'Employee Detail FY24'!K56)</f>
        <v/>
      </c>
      <c r="L56" s="359" t="str">
        <f>IF('Employee Detail FY24'!L56="","",'Employee Detail FY24'!L56)</f>
        <v/>
      </c>
      <c r="M56" s="388" t="s">
        <v>386</v>
      </c>
      <c r="N56" s="386" t="str">
        <f>IF('Employee Detail FY24'!N56="","",'Employee Detail FY24'!N56)</f>
        <v/>
      </c>
      <c r="O56" s="386" t="str">
        <f>IF('Employee Detail FY24'!O56="","",'Employee Detail FY24'!O56)</f>
        <v/>
      </c>
      <c r="P56" s="386" t="str">
        <f>IF('Employee Detail FY24'!P56="","",'Employee Detail FY24'!P56)</f>
        <v/>
      </c>
      <c r="Q56" s="386" t="str">
        <f>IF('Employee Detail FY24'!Q56="","",'Employee Detail FY24'!Q56)</f>
        <v/>
      </c>
      <c r="R56" s="386" t="str">
        <f>IF('Employee Detail FY24'!R56="","",'Employee Detail FY24'!R56)</f>
        <v/>
      </c>
      <c r="S56" s="386" t="str">
        <f>IF('Employee Detail FY24'!S56="","",'Employee Detail FY24'!S56)</f>
        <v/>
      </c>
      <c r="T56" s="263" t="str">
        <f t="shared" si="6"/>
        <v/>
      </c>
      <c r="U56" s="269" t="str">
        <f>IF('Employee Detail FY24'!U56="","",'Employee Detail FY24'!U56)</f>
        <v/>
      </c>
      <c r="V56" s="270" t="str">
        <f t="shared" si="7"/>
        <v/>
      </c>
      <c r="W56" s="270" t="str">
        <f t="shared" si="8"/>
        <v/>
      </c>
      <c r="X56" s="270" t="str">
        <f t="shared" si="9"/>
        <v/>
      </c>
      <c r="Y56" s="62">
        <v>0</v>
      </c>
      <c r="Z56" s="62">
        <v>0</v>
      </c>
      <c r="AA56" s="256">
        <f t="shared" si="10"/>
        <v>0</v>
      </c>
      <c r="AB56" s="3"/>
      <c r="AC56" s="62" t="str">
        <f t="shared" si="11"/>
        <v/>
      </c>
      <c r="AD56" s="62" t="str">
        <f t="shared" si="12"/>
        <v/>
      </c>
      <c r="AE56" s="62" t="str">
        <f t="shared" si="13"/>
        <v/>
      </c>
      <c r="AF56" s="62" t="str">
        <f t="shared" si="14"/>
        <v/>
      </c>
      <c r="AG56" s="192">
        <v>0</v>
      </c>
      <c r="AH56" s="62" t="str">
        <f t="shared" si="15"/>
        <v/>
      </c>
      <c r="AI56" s="62">
        <f t="shared" si="16"/>
        <v>0</v>
      </c>
      <c r="AJ56" s="62"/>
      <c r="AK56" s="62">
        <v>0</v>
      </c>
      <c r="AL56" s="256">
        <f t="shared" si="17"/>
        <v>0</v>
      </c>
      <c r="AM56" s="256">
        <f t="shared" si="18"/>
        <v>0</v>
      </c>
      <c r="AN56" s="256">
        <f t="shared" si="19"/>
        <v>0</v>
      </c>
    </row>
    <row r="57" spans="1:40" hidden="1" x14ac:dyDescent="0.2">
      <c r="A57" s="386" t="str">
        <f>IF('Employee Detail FY24'!A57="","",'Employee Detail FY24'!A57)</f>
        <v/>
      </c>
      <c r="B57" s="678">
        <f>IF('Employee Detail FY24'!B57="","",'Employee Detail FY24'!B57)</f>
        <v>100</v>
      </c>
      <c r="C57" s="678" t="str">
        <f>IF('Employee Detail FY24'!C57="","",'Employee Detail FY24'!C57)</f>
        <v>000</v>
      </c>
      <c r="D57" s="678"/>
      <c r="E57" s="678">
        <f>IF('Employee Detail FY24'!E57="","",'Employee Detail FY24'!E57)</f>
        <v>100</v>
      </c>
      <c r="F57" s="678" t="str">
        <f>IF('Employee Detail FY24'!F57="","",'Employee Detail FY24'!F57)</f>
        <v>2582</v>
      </c>
      <c r="G57" s="678" t="str">
        <f>IF('Employee Detail FY24'!G57="","",'Employee Detail FY24'!G57)</f>
        <v>0107</v>
      </c>
      <c r="H57" s="386"/>
      <c r="I57" s="359" t="str">
        <f>IF('Employee Detail FY24'!I57="","",'Employee Detail FY24'!I57)</f>
        <v>BROOKS</v>
      </c>
      <c r="J57" s="359" t="str">
        <f>IF('Employee Detail FY24'!J57="","",'Employee Detail FY24'!J57)</f>
        <v>LOLA</v>
      </c>
      <c r="K57" s="359" t="str">
        <f>IF('Employee Detail FY24'!K57="","",'Employee Detail FY24'!K57)</f>
        <v>Administration</v>
      </c>
      <c r="L57" s="359" t="str">
        <f>IF('Employee Detail FY24'!L57="","",'Employee Detail FY24'!L57)</f>
        <v>ASSESSMENT &amp; DATA COORDINATOR</v>
      </c>
      <c r="M57" s="388">
        <v>1</v>
      </c>
      <c r="N57" s="386" t="str">
        <f>IF('Employee Detail FY24'!N57="","",'Employee Detail FY24'!N57)</f>
        <v>S</v>
      </c>
      <c r="O57" s="386">
        <f>IF('Employee Detail FY24'!O57="","",'Employee Detail FY24'!O57)</f>
        <v>1</v>
      </c>
      <c r="P57" s="386" t="str">
        <f>IF('Employee Detail FY24'!P57="","",'Employee Detail FY24'!P57)</f>
        <v>EE</v>
      </c>
      <c r="Q57" s="386" t="str">
        <f>IF('Employee Detail FY24'!Q57="","",'Employee Detail FY24'!Q57)</f>
        <v/>
      </c>
      <c r="R57" s="386">
        <f>IF('Employee Detail FY24'!R57="","",'Employee Detail FY24'!R57)</f>
        <v>261</v>
      </c>
      <c r="S57" s="386">
        <f>IF('Employee Detail FY24'!S57="","",'Employee Detail FY24'!S57)</f>
        <v>8</v>
      </c>
      <c r="T57" s="263">
        <f t="shared" si="6"/>
        <v>2088</v>
      </c>
      <c r="U57" s="269">
        <f>IF('Employee Detail FY24'!U57="","",'Employee Detail FY24'!U57)</f>
        <v>68500</v>
      </c>
      <c r="V57" s="270">
        <f t="shared" si="7"/>
        <v>74665</v>
      </c>
      <c r="W57" s="270">
        <f t="shared" si="8"/>
        <v>86132.498689999993</v>
      </c>
      <c r="X57" s="270">
        <f t="shared" si="9"/>
        <v>86132.498689999993</v>
      </c>
      <c r="Y57" s="62">
        <v>0</v>
      </c>
      <c r="Z57" s="62">
        <v>0</v>
      </c>
      <c r="AA57" s="256">
        <f t="shared" si="10"/>
        <v>86132.498689999993</v>
      </c>
      <c r="AB57" s="3"/>
      <c r="AC57" s="62">
        <f t="shared" si="11"/>
        <v>7943.76</v>
      </c>
      <c r="AD57" s="62" t="str">
        <f t="shared" si="12"/>
        <v/>
      </c>
      <c r="AE57" s="62">
        <f t="shared" si="13"/>
        <v>13135.206050224999</v>
      </c>
      <c r="AF57" s="62">
        <f t="shared" si="14"/>
        <v>1248.921231005</v>
      </c>
      <c r="AG57" s="192">
        <v>0</v>
      </c>
      <c r="AH57" s="62">
        <f t="shared" si="15"/>
        <v>784.00695280457785</v>
      </c>
      <c r="AI57" s="62">
        <f t="shared" si="16"/>
        <v>253.67732400200504</v>
      </c>
      <c r="AJ57" s="62"/>
      <c r="AK57" s="62">
        <v>0</v>
      </c>
      <c r="AL57" s="256">
        <f t="shared" si="17"/>
        <v>23365.57155803658</v>
      </c>
      <c r="AM57" s="256">
        <f t="shared" si="18"/>
        <v>86132.498689999993</v>
      </c>
      <c r="AN57" s="256">
        <f t="shared" si="19"/>
        <v>109498.07024803657</v>
      </c>
    </row>
    <row r="58" spans="1:40" hidden="1" x14ac:dyDescent="0.2">
      <c r="A58" s="386" t="str">
        <f>IF('Employee Detail FY24'!A58="","",'Employee Detail FY24'!A58)</f>
        <v/>
      </c>
      <c r="B58" s="678">
        <f>IF('Employee Detail FY24'!B58="","",'Employee Detail FY24'!B58)</f>
        <v>100</v>
      </c>
      <c r="C58" s="678" t="str">
        <f>IF('Employee Detail FY24'!C58="","",'Employee Detail FY24'!C58)</f>
        <v>000</v>
      </c>
      <c r="D58" s="678"/>
      <c r="E58" s="678">
        <f>IF('Employee Detail FY24'!E58="","",'Employee Detail FY24'!E58)</f>
        <v>100</v>
      </c>
      <c r="F58" s="678">
        <f>IF('Employee Detail FY24'!F58="","",'Employee Detail FY24'!F58)</f>
        <v>2580</v>
      </c>
      <c r="G58" s="678" t="str">
        <f>IF('Employee Detail FY24'!G58="","",'Employee Detail FY24'!G58)</f>
        <v>0107</v>
      </c>
      <c r="H58" s="386"/>
      <c r="I58" s="359" t="str">
        <f>IF('Employee Detail FY24'!I58="","",'Employee Detail FY24'!I58)</f>
        <v>BABJI</v>
      </c>
      <c r="J58" s="359" t="str">
        <f>IF('Employee Detail FY24'!J58="","",'Employee Detail FY24'!J58)</f>
        <v>NIKOLAS</v>
      </c>
      <c r="K58" s="359" t="str">
        <f>IF('Employee Detail FY24'!K58="","",'Employee Detail FY24'!K58)</f>
        <v>Support Staff</v>
      </c>
      <c r="L58" s="359" t="str">
        <f>IF('Employee Detail FY24'!L58="","",'Employee Detail FY24'!L58)</f>
        <v>IT SPECIALIST</v>
      </c>
      <c r="M58" s="388">
        <v>1</v>
      </c>
      <c r="N58" s="386" t="str">
        <f>IF('Employee Detail FY24'!N58="","",'Employee Detail FY24'!N58)</f>
        <v/>
      </c>
      <c r="O58" s="386">
        <f>IF('Employee Detail FY24'!O58="","",'Employee Detail FY24'!O58)</f>
        <v>26</v>
      </c>
      <c r="P58" s="386" t="str">
        <f>IF('Employee Detail FY24'!P58="","",'Employee Detail FY24'!P58)</f>
        <v>ER</v>
      </c>
      <c r="Q58" s="386" t="str">
        <f>IF('Employee Detail FY24'!Q58="","",'Employee Detail FY24'!Q58)</f>
        <v/>
      </c>
      <c r="R58" s="386">
        <f>IF('Employee Detail FY24'!R58="","",'Employee Detail FY24'!R58)</f>
        <v>261</v>
      </c>
      <c r="S58" s="386">
        <f>IF('Employee Detail FY24'!S58="","",'Employee Detail FY24'!S58)</f>
        <v>8</v>
      </c>
      <c r="T58" s="263">
        <f t="shared" si="6"/>
        <v>2088</v>
      </c>
      <c r="U58" s="269">
        <f>IF('Employee Detail FY24'!U58="","",'Employee Detail FY24'!U58)</f>
        <v>49000</v>
      </c>
      <c r="V58" s="270">
        <f t="shared" si="7"/>
        <v>53410.000000000007</v>
      </c>
      <c r="W58" s="270" t="str">
        <f t="shared" si="8"/>
        <v/>
      </c>
      <c r="X58" s="270">
        <f t="shared" si="9"/>
        <v>53410.000000000007</v>
      </c>
      <c r="Y58" s="62">
        <v>0</v>
      </c>
      <c r="Z58" s="62">
        <v>0</v>
      </c>
      <c r="AA58" s="256">
        <f t="shared" si="10"/>
        <v>53410.000000000007</v>
      </c>
      <c r="AB58" s="3"/>
      <c r="AC58" s="62">
        <f t="shared" si="11"/>
        <v>7943.76</v>
      </c>
      <c r="AD58" s="62" t="str">
        <f t="shared" si="12"/>
        <v/>
      </c>
      <c r="AE58" s="62">
        <f t="shared" si="13"/>
        <v>15622.425000000001</v>
      </c>
      <c r="AF58" s="62">
        <f t="shared" si="14"/>
        <v>774.44500000000016</v>
      </c>
      <c r="AG58" s="192">
        <v>0</v>
      </c>
      <c r="AH58" s="62">
        <f t="shared" si="15"/>
        <v>486.15577147019508</v>
      </c>
      <c r="AI58" s="62">
        <f t="shared" si="16"/>
        <v>157.30306308320442</v>
      </c>
      <c r="AJ58" s="62"/>
      <c r="AK58" s="62">
        <v>0</v>
      </c>
      <c r="AL58" s="256">
        <f t="shared" si="17"/>
        <v>24984.0888345534</v>
      </c>
      <c r="AM58" s="256">
        <f t="shared" si="18"/>
        <v>53410.000000000007</v>
      </c>
      <c r="AN58" s="256">
        <f t="shared" si="19"/>
        <v>78394.088834553404</v>
      </c>
    </row>
    <row r="59" spans="1:40" hidden="1" x14ac:dyDescent="0.2">
      <c r="A59" s="386" t="str">
        <f>IF('Employee Detail FY24'!A59="","",'Employee Detail FY24'!A59)</f>
        <v/>
      </c>
      <c r="B59" s="678">
        <f>IF('Employee Detail FY24'!B59="","",'Employee Detail FY24'!B59)</f>
        <v>100</v>
      </c>
      <c r="C59" s="678" t="str">
        <f>IF('Employee Detail FY24'!C59="","",'Employee Detail FY24'!C59)</f>
        <v>000</v>
      </c>
      <c r="D59" s="678"/>
      <c r="E59" s="678">
        <f>IF('Employee Detail FY24'!E59="","",'Employee Detail FY24'!E59)</f>
        <v>100</v>
      </c>
      <c r="F59" s="678" t="str">
        <f>IF('Employee Detail FY24'!F59="","",'Employee Detail FY24'!F59)</f>
        <v>2510</v>
      </c>
      <c r="G59" s="678" t="str">
        <f>IF('Employee Detail FY24'!G59="","",'Employee Detail FY24'!G59)</f>
        <v>0105</v>
      </c>
      <c r="H59" s="386"/>
      <c r="I59" s="359" t="str">
        <f>IF('Employee Detail FY24'!I59="","",'Employee Detail FY24'!I59)</f>
        <v>BELLINGER</v>
      </c>
      <c r="J59" s="359" t="str">
        <f>IF('Employee Detail FY24'!J59="","",'Employee Detail FY24'!J59)</f>
        <v>MARY KAY</v>
      </c>
      <c r="K59" s="359" t="str">
        <f>IF('Employee Detail FY24'!K59="","",'Employee Detail FY24'!K59)</f>
        <v>Support Staff</v>
      </c>
      <c r="L59" s="359" t="str">
        <f>IF('Employee Detail FY24'!L59="","",'Employee Detail FY24'!L59)</f>
        <v>OPERATIONS COORDINATOR</v>
      </c>
      <c r="M59" s="388">
        <v>1</v>
      </c>
      <c r="N59" s="386" t="str">
        <f>IF('Employee Detail FY24'!N59="","",'Employee Detail FY24'!N59)</f>
        <v>H</v>
      </c>
      <c r="O59" s="386">
        <f>IF('Employee Detail FY24'!O59="","",'Employee Detail FY24'!O59)</f>
        <v>1</v>
      </c>
      <c r="P59" s="386" t="str">
        <f>IF('Employee Detail FY24'!P59="","",'Employee Detail FY24'!P59)</f>
        <v>ER</v>
      </c>
      <c r="Q59" s="386" t="str">
        <f>IF('Employee Detail FY24'!Q59="","",'Employee Detail FY24'!Q59)</f>
        <v/>
      </c>
      <c r="R59" s="386">
        <f>IF('Employee Detail FY24'!R59="","",'Employee Detail FY24'!R59)</f>
        <v>261</v>
      </c>
      <c r="S59" s="386">
        <f>IF('Employee Detail FY24'!S59="","",'Employee Detail FY24'!S59)</f>
        <v>8</v>
      </c>
      <c r="T59" s="263">
        <f t="shared" si="6"/>
        <v>2088</v>
      </c>
      <c r="U59" s="269">
        <f>IF('Employee Detail FY24'!U59="","",'Employee Detail FY24'!U59)</f>
        <v>62000</v>
      </c>
      <c r="V59" s="270">
        <f t="shared" si="7"/>
        <v>67580</v>
      </c>
      <c r="W59" s="270" t="str">
        <f t="shared" si="8"/>
        <v/>
      </c>
      <c r="X59" s="270">
        <f t="shared" si="9"/>
        <v>67580</v>
      </c>
      <c r="Y59" s="62">
        <v>0</v>
      </c>
      <c r="Z59" s="62">
        <v>0</v>
      </c>
      <c r="AA59" s="256">
        <f t="shared" si="10"/>
        <v>67580</v>
      </c>
      <c r="AB59" s="3"/>
      <c r="AC59" s="62">
        <f t="shared" si="11"/>
        <v>7943.76</v>
      </c>
      <c r="AD59" s="62" t="str">
        <f t="shared" si="12"/>
        <v/>
      </c>
      <c r="AE59" s="62">
        <f t="shared" si="13"/>
        <v>19767.149999999998</v>
      </c>
      <c r="AF59" s="62">
        <f t="shared" si="14"/>
        <v>979.91000000000008</v>
      </c>
      <c r="AG59" s="192">
        <v>0</v>
      </c>
      <c r="AH59" s="62">
        <f t="shared" si="15"/>
        <v>615.13587410514469</v>
      </c>
      <c r="AI59" s="62">
        <f t="shared" si="16"/>
        <v>199.0365287991566</v>
      </c>
      <c r="AJ59" s="62"/>
      <c r="AK59" s="62">
        <v>0</v>
      </c>
      <c r="AL59" s="256">
        <f t="shared" si="17"/>
        <v>29504.992402904296</v>
      </c>
      <c r="AM59" s="256">
        <f t="shared" si="18"/>
        <v>67580</v>
      </c>
      <c r="AN59" s="256">
        <f t="shared" si="19"/>
        <v>97084.992402904289</v>
      </c>
    </row>
    <row r="60" spans="1:40" hidden="1" x14ac:dyDescent="0.2">
      <c r="A60" s="386" t="str">
        <f>IF('Employee Detail FY24'!A60="","",'Employee Detail FY24'!A60)</f>
        <v/>
      </c>
      <c r="B60" s="678" t="str">
        <f>IF('Employee Detail FY24'!B60="","",'Employee Detail FY24'!B60)</f>
        <v/>
      </c>
      <c r="C60" s="678" t="str">
        <f>IF('Employee Detail FY24'!C60="","",'Employee Detail FY24'!C60)</f>
        <v/>
      </c>
      <c r="D60" s="678"/>
      <c r="E60" s="678" t="str">
        <f>IF('Employee Detail FY24'!E60="","",'Employee Detail FY24'!E60)</f>
        <v/>
      </c>
      <c r="F60" s="678" t="str">
        <f>IF('Employee Detail FY24'!F60="","",'Employee Detail FY24'!F60)</f>
        <v/>
      </c>
      <c r="G60" s="678" t="str">
        <f>IF('Employee Detail FY24'!G60="","",'Employee Detail FY24'!G60)</f>
        <v/>
      </c>
      <c r="H60" s="386"/>
      <c r="I60" s="359" t="str">
        <f>IF('Employee Detail FY24'!I60="","",'Employee Detail FY24'!I60)</f>
        <v/>
      </c>
      <c r="J60" s="359" t="str">
        <f>IF('Employee Detail FY24'!J60="","",'Employee Detail FY24'!J60)</f>
        <v/>
      </c>
      <c r="K60" s="359" t="str">
        <f>IF('Employee Detail FY24'!K60="","",'Employee Detail FY24'!K60)</f>
        <v/>
      </c>
      <c r="L60" s="359" t="str">
        <f>IF('Employee Detail FY24'!L60="","",'Employee Detail FY24'!L60)</f>
        <v/>
      </c>
      <c r="M60" s="388" t="s">
        <v>386</v>
      </c>
      <c r="N60" s="386" t="str">
        <f>IF('Employee Detail FY24'!N60="","",'Employee Detail FY24'!N60)</f>
        <v/>
      </c>
      <c r="O60" s="386" t="str">
        <f>IF('Employee Detail FY24'!O60="","",'Employee Detail FY24'!O60)</f>
        <v/>
      </c>
      <c r="P60" s="386" t="str">
        <f>IF('Employee Detail FY24'!P60="","",'Employee Detail FY24'!P60)</f>
        <v/>
      </c>
      <c r="Q60" s="386" t="str">
        <f>IF('Employee Detail FY24'!Q60="","",'Employee Detail FY24'!Q60)</f>
        <v/>
      </c>
      <c r="R60" s="386" t="str">
        <f>IF('Employee Detail FY24'!R60="","",'Employee Detail FY24'!R60)</f>
        <v/>
      </c>
      <c r="S60" s="386" t="str">
        <f>IF('Employee Detail FY24'!S60="","",'Employee Detail FY24'!S60)</f>
        <v/>
      </c>
      <c r="T60" s="263" t="str">
        <f t="shared" si="6"/>
        <v/>
      </c>
      <c r="U60" s="269" t="str">
        <f>IF('Employee Detail FY24'!U60="","",'Employee Detail FY24'!U60)</f>
        <v/>
      </c>
      <c r="V60" s="270" t="str">
        <f t="shared" si="7"/>
        <v/>
      </c>
      <c r="W60" s="270" t="str">
        <f t="shared" si="8"/>
        <v/>
      </c>
      <c r="X60" s="270" t="str">
        <f t="shared" si="9"/>
        <v/>
      </c>
      <c r="Y60" s="62">
        <v>0</v>
      </c>
      <c r="Z60" s="62">
        <v>0</v>
      </c>
      <c r="AA60" s="256">
        <f t="shared" si="10"/>
        <v>0</v>
      </c>
      <c r="AB60" s="3"/>
      <c r="AC60" s="62" t="str">
        <f t="shared" si="11"/>
        <v/>
      </c>
      <c r="AD60" s="62" t="str">
        <f t="shared" si="12"/>
        <v/>
      </c>
      <c r="AE60" s="62" t="str">
        <f t="shared" si="13"/>
        <v/>
      </c>
      <c r="AF60" s="62" t="str">
        <f t="shared" si="14"/>
        <v/>
      </c>
      <c r="AG60" s="192">
        <v>0</v>
      </c>
      <c r="AH60" s="62" t="str">
        <f t="shared" si="15"/>
        <v/>
      </c>
      <c r="AI60" s="62">
        <f t="shared" si="16"/>
        <v>0</v>
      </c>
      <c r="AJ60" s="62"/>
      <c r="AK60" s="62">
        <v>0</v>
      </c>
      <c r="AL60" s="256">
        <f t="shared" si="17"/>
        <v>0</v>
      </c>
      <c r="AM60" s="256">
        <f t="shared" si="18"/>
        <v>0</v>
      </c>
      <c r="AN60" s="256">
        <f t="shared" si="19"/>
        <v>0</v>
      </c>
    </row>
    <row r="61" spans="1:40" hidden="1" x14ac:dyDescent="0.2">
      <c r="A61" s="386" t="str">
        <f>IF('Employee Detail FY24'!A61="","",'Employee Detail FY24'!A61)</f>
        <v>CSP</v>
      </c>
      <c r="B61" s="678" t="str">
        <f>IF('Employee Detail FY24'!B61="","",'Employee Detail FY24'!B61)</f>
        <v>100</v>
      </c>
      <c r="C61" s="678" t="str">
        <f>IF('Employee Detail FY24'!C61="","",'Employee Detail FY24'!C61)</f>
        <v>000</v>
      </c>
      <c r="D61" s="678"/>
      <c r="E61" s="678">
        <f>IF('Employee Detail FY24'!E61="","",'Employee Detail FY24'!E61)</f>
        <v>100</v>
      </c>
      <c r="F61" s="678">
        <f>IF('Employee Detail FY24'!F61="","",'Employee Detail FY24'!F61)</f>
        <v>2110</v>
      </c>
      <c r="G61" s="678" t="str">
        <f>IF('Employee Detail FY24'!G61="","",'Employee Detail FY24'!G61)</f>
        <v>0107</v>
      </c>
      <c r="H61" s="386"/>
      <c r="I61" s="359" t="str">
        <f>IF('Employee Detail FY24'!I61="","",'Employee Detail FY24'!I61)</f>
        <v>CAMARILLO</v>
      </c>
      <c r="J61" s="359" t="str">
        <f>IF('Employee Detail FY24'!J61="","",'Employee Detail FY24'!J61)</f>
        <v>GLENDI</v>
      </c>
      <c r="K61" s="359" t="str">
        <f>IF('Employee Detail FY24'!K61="","",'Employee Detail FY24'!K61)</f>
        <v>Support Staff</v>
      </c>
      <c r="L61" s="359" t="str">
        <f>IF('Employee Detail FY24'!L61="","",'Employee Detail FY24'!L61)</f>
        <v>STUDENT PERSISTENCE ASSISTANT</v>
      </c>
      <c r="M61" s="388">
        <v>1</v>
      </c>
      <c r="N61" s="386">
        <f>IF('Employee Detail FY24'!N61="","",'Employee Detail FY24'!N61)</f>
        <v>12</v>
      </c>
      <c r="O61" s="386">
        <f>IF('Employee Detail FY24'!O61="","",'Employee Detail FY24'!O61)</f>
        <v>24</v>
      </c>
      <c r="P61" s="386" t="str">
        <f>IF('Employee Detail FY24'!P61="","",'Employee Detail FY24'!P61)</f>
        <v>ER</v>
      </c>
      <c r="Q61" s="386">
        <f>IF('Employee Detail FY24'!Q61="","",'Employee Detail FY24'!Q61)</f>
        <v>19.88</v>
      </c>
      <c r="R61" s="386">
        <f>IF('Employee Detail FY24'!R61="","",'Employee Detail FY24'!R61)</f>
        <v>260</v>
      </c>
      <c r="S61" s="386">
        <f>IF('Employee Detail FY24'!S61="","",'Employee Detail FY24'!S61)</f>
        <v>8</v>
      </c>
      <c r="T61" s="263">
        <f>+IF(R61="","",R61*S61)</f>
        <v>2080</v>
      </c>
      <c r="U61" s="269">
        <f>IF('Employee Detail FY24'!U61="","",'Employee Detail FY24'!U61)</f>
        <v>41350.400000000001</v>
      </c>
      <c r="V61" s="270">
        <f>IF($U61="","",$U61*(1+$V$1))</f>
        <v>45071.936000000002</v>
      </c>
      <c r="W61" s="270" t="str">
        <f>+IF(P61="EE",+V61*$W$1,"")</f>
        <v/>
      </c>
      <c r="X61" s="270">
        <f>_xlfn.IFS(P61="ER",V61,P61="EE",W61,P61="N",V61,P61="","")</f>
        <v>45071.936000000002</v>
      </c>
      <c r="Y61" s="62">
        <v>0</v>
      </c>
      <c r="Z61" s="62">
        <v>0</v>
      </c>
      <c r="AA61" s="256">
        <f>SUM(X61:Z61)</f>
        <v>45071.936000000002</v>
      </c>
      <c r="AB61" s="3"/>
      <c r="AC61" s="62">
        <f>IF(AND(M61=1,P61&lt;&gt;"N"),$AC$1,"")</f>
        <v>7943.76</v>
      </c>
      <c r="AD61" s="62" t="str">
        <f>_xlfn.IFS(P61="N",$AD$1*AA61,P61="EE","",P61="ER","",P61="","")</f>
        <v/>
      </c>
      <c r="AE61" s="62">
        <f>_xlfn.IFS(P61="EE",X61*$AE$1,P61="ER",X61*$AE$2,P61="N","",P61="","")</f>
        <v>13183.541279999999</v>
      </c>
      <c r="AF61" s="62">
        <f>+IF(AA61&gt;1,AA61*$AF$1,"")</f>
        <v>653.54307200000005</v>
      </c>
      <c r="AG61" s="192">
        <v>0</v>
      </c>
      <c r="AH61" s="62">
        <f>+IF(AA61&gt;1,AA61*$AH$1,"")</f>
        <v>410.25991046124801</v>
      </c>
      <c r="AI61" s="62">
        <f>+_xlfn.IFS(F61&lt;2300,(AA61*$AI$1),F61&gt;=2300,(AA61*$AI$2),F61="","")</f>
        <v>132.74580774930072</v>
      </c>
      <c r="AJ61" s="62"/>
      <c r="AK61" s="62">
        <v>0</v>
      </c>
      <c r="AL61" s="256">
        <f>SUM(AC61:AK61)</f>
        <v>22323.850070210548</v>
      </c>
      <c r="AM61" s="256">
        <f>AA61</f>
        <v>45071.936000000002</v>
      </c>
      <c r="AN61" s="256">
        <f>SUM(AL61:AM61)</f>
        <v>67395.786070210554</v>
      </c>
    </row>
    <row r="62" spans="1:40" hidden="1" x14ac:dyDescent="0.2">
      <c r="A62" s="3" t="str">
        <f>IF('Employee Detail FY24'!A62="","",'Employee Detail FY24'!A62)</f>
        <v/>
      </c>
      <c r="B62" s="647" t="str">
        <f>IF('Employee Detail FY24'!B62="","",'Employee Detail FY24'!B62)</f>
        <v/>
      </c>
      <c r="C62" s="647" t="str">
        <f>IF('Employee Detail FY24'!C62="","",'Employee Detail FY24'!C62)</f>
        <v/>
      </c>
      <c r="D62" s="647"/>
      <c r="E62" s="647" t="str">
        <f>IF('Employee Detail FY24'!E62="","",'Employee Detail FY24'!E62)</f>
        <v/>
      </c>
      <c r="F62" s="647" t="str">
        <f>IF('Employee Detail FY24'!F62="","",'Employee Detail FY24'!F62)</f>
        <v/>
      </c>
      <c r="G62" s="647" t="str">
        <f>IF('Employee Detail FY24'!G62="","",'Employee Detail FY24'!G62)</f>
        <v/>
      </c>
      <c r="H62" s="3"/>
      <c r="I62" s="255" t="str">
        <f>IF('Employee Detail FY24'!I62="","",'Employee Detail FY24'!I62)</f>
        <v/>
      </c>
      <c r="J62" s="255" t="str">
        <f>IF('Employee Detail FY24'!J62="","",'Employee Detail FY24'!J62)</f>
        <v/>
      </c>
      <c r="K62" s="255" t="str">
        <f>IF('Employee Detail FY24'!K62="","",'Employee Detail FY24'!K62)</f>
        <v/>
      </c>
      <c r="L62" s="255" t="str">
        <f>IF('Employee Detail FY24'!L62="","",'Employee Detail FY24'!L62)</f>
        <v/>
      </c>
      <c r="M62" s="92" t="s">
        <v>386</v>
      </c>
      <c r="N62" s="3" t="str">
        <f>IF('Employee Detail FY24'!N62="","",'Employee Detail FY24'!N62)</f>
        <v/>
      </c>
      <c r="O62" s="3" t="str">
        <f>IF('Employee Detail FY24'!O62="","",'Employee Detail FY24'!O62)</f>
        <v/>
      </c>
      <c r="P62" s="3" t="str">
        <f>IF('Employee Detail FY24'!P62="","",'Employee Detail FY24'!P62)</f>
        <v/>
      </c>
      <c r="Q62" s="3" t="str">
        <f>IF('Employee Detail FY24'!Q62="","",'Employee Detail FY24'!Q62)</f>
        <v/>
      </c>
      <c r="R62" s="3" t="str">
        <f>IF('Employee Detail FY24'!R62="","",'Employee Detail FY24'!R62)</f>
        <v/>
      </c>
      <c r="S62" s="3" t="str">
        <f>IF('Employee Detail FY24'!S62="","",'Employee Detail FY24'!S62)</f>
        <v/>
      </c>
      <c r="T62" s="263" t="str">
        <f>+IF(R62="","",R62*S62)</f>
        <v/>
      </c>
      <c r="U62" s="269">
        <f>IF('Employee Detail FY24'!U62="","",'Employee Detail FY24'!U62)</f>
        <v>0</v>
      </c>
      <c r="V62" s="270">
        <f>IF($U62="","",$U62*(1+$V$1))</f>
        <v>0</v>
      </c>
      <c r="W62" s="270" t="str">
        <f>+IF(P62="EE",+V62*$W$1,"")</f>
        <v/>
      </c>
      <c r="X62" s="270" t="str">
        <f>_xlfn.IFS(P62="ER",V62,P62="EE",W62,P62="N",V62,P62="","")</f>
        <v/>
      </c>
      <c r="Y62" s="62">
        <v>0</v>
      </c>
      <c r="Z62" s="62">
        <v>0</v>
      </c>
      <c r="AA62" s="256">
        <f>SUM(X62:Z62)</f>
        <v>0</v>
      </c>
      <c r="AB62" s="3"/>
      <c r="AC62" s="62" t="str">
        <f>IF(AND(M62=1,P62&lt;&gt;"N"),$AC$1,"")</f>
        <v/>
      </c>
      <c r="AD62" s="62" t="str">
        <f>_xlfn.IFS(P62="N",$AD$1*AA62,P62="EE","",P62="ER","",P62="","")</f>
        <v/>
      </c>
      <c r="AE62" s="62" t="str">
        <f>_xlfn.IFS(P62="EE",X62*$AE$1,P62="ER",X62*$AE$2,P62="N","",P62="","")</f>
        <v/>
      </c>
      <c r="AF62" s="62" t="str">
        <f>+IF(AA62&gt;1,AA62*$AF$1,"")</f>
        <v/>
      </c>
      <c r="AG62" s="192">
        <v>0</v>
      </c>
      <c r="AH62" s="62" t="str">
        <f>+IF(AA62&gt;1,AA62*$AH$1,"")</f>
        <v/>
      </c>
      <c r="AI62" s="62">
        <f>+_xlfn.IFS(F62&lt;2300,(AA62*$AI$1),F62&gt;=2300,(AA62*$AI$2),F62="","")</f>
        <v>0</v>
      </c>
      <c r="AJ62" s="62"/>
      <c r="AK62" s="62">
        <v>0</v>
      </c>
      <c r="AL62" s="256">
        <f>SUM(AC62:AK62)</f>
        <v>0</v>
      </c>
      <c r="AM62" s="256">
        <f>AA62</f>
        <v>0</v>
      </c>
      <c r="AN62" s="256">
        <f>SUM(AL62:AM62)</f>
        <v>0</v>
      </c>
    </row>
    <row r="63" spans="1:40" hidden="1" x14ac:dyDescent="0.2">
      <c r="A63" s="386" t="str">
        <f>IF('Employee Detail FY24'!A63="","",'Employee Detail FY24'!A63)</f>
        <v/>
      </c>
      <c r="B63" s="678">
        <f>IF('Employee Detail FY24'!B63="","",'Employee Detail FY24'!B63)</f>
        <v>100</v>
      </c>
      <c r="C63" s="678" t="str">
        <f>IF('Employee Detail FY24'!C63="","",'Employee Detail FY24'!C63)</f>
        <v>000</v>
      </c>
      <c r="D63" s="678"/>
      <c r="E63" s="678">
        <f>IF('Employee Detail FY24'!E63="","",'Employee Detail FY24'!E63)</f>
        <v>100</v>
      </c>
      <c r="F63" s="678">
        <f>IF('Employee Detail FY24'!F63="","",'Employee Detail FY24'!F63)</f>
        <v>2212</v>
      </c>
      <c r="G63" s="678" t="str">
        <f>IF('Employee Detail FY24'!G63="","",'Employee Detail FY24'!G63)</f>
        <v>0107</v>
      </c>
      <c r="H63" s="386"/>
      <c r="I63" s="359" t="str">
        <f>IF('Employee Detail FY24'!I63="","",'Employee Detail FY24'!I63)</f>
        <v>HERNANDEZ</v>
      </c>
      <c r="J63" s="359" t="str">
        <f>IF('Employee Detail FY24'!J63="","",'Employee Detail FY24'!J63)</f>
        <v>BRISSELLE</v>
      </c>
      <c r="K63" s="359" t="str">
        <f>IF('Employee Detail FY24'!K63="","",'Employee Detail FY24'!K63)</f>
        <v>Support Staff</v>
      </c>
      <c r="L63" s="359" t="str">
        <f>IF('Employee Detail FY24'!L63="","",'Employee Detail FY24'!L63)</f>
        <v>INSTRUCTIONAL DESIGNER</v>
      </c>
      <c r="M63" s="388">
        <v>1</v>
      </c>
      <c r="N63" s="386" t="str">
        <f>IF('Employee Detail FY24'!N63="","",'Employee Detail FY24'!N63)</f>
        <v/>
      </c>
      <c r="O63" s="386">
        <f>IF('Employee Detail FY24'!O63="","",'Employee Detail FY24'!O63)</f>
        <v>26</v>
      </c>
      <c r="P63" s="386" t="str">
        <f>IF('Employee Detail FY24'!P63="","",'Employee Detail FY24'!P63)</f>
        <v>EE</v>
      </c>
      <c r="Q63" s="386">
        <f>IF('Employee Detail FY24'!Q63="","",'Employee Detail FY24'!Q63)</f>
        <v>20</v>
      </c>
      <c r="R63" s="386">
        <f>IF('Employee Detail FY24'!R63="","",'Employee Detail FY24'!R63)</f>
        <v>261</v>
      </c>
      <c r="S63" s="386">
        <f>IF('Employee Detail FY24'!S63="","",'Employee Detail FY24'!S63)</f>
        <v>8</v>
      </c>
      <c r="T63" s="263">
        <f t="shared" si="6"/>
        <v>2088</v>
      </c>
      <c r="U63" s="269">
        <f>IF('Employee Detail FY24'!U63="","",'Employee Detail FY24'!U63)</f>
        <v>42600</v>
      </c>
      <c r="V63" s="270">
        <f t="shared" si="7"/>
        <v>46434</v>
      </c>
      <c r="W63" s="270">
        <f t="shared" si="8"/>
        <v>53565.612324000002</v>
      </c>
      <c r="X63" s="270">
        <f t="shared" si="9"/>
        <v>53565.612324000002</v>
      </c>
      <c r="Y63" s="62">
        <v>0</v>
      </c>
      <c r="Z63" s="62">
        <v>0</v>
      </c>
      <c r="AA63" s="256">
        <f t="shared" si="10"/>
        <v>53565.612324000002</v>
      </c>
      <c r="AB63" s="3"/>
      <c r="AC63" s="62">
        <f t="shared" si="11"/>
        <v>7943.76</v>
      </c>
      <c r="AD63" s="62" t="str">
        <f t="shared" si="12"/>
        <v/>
      </c>
      <c r="AE63" s="62">
        <f t="shared" si="13"/>
        <v>8168.7558794100005</v>
      </c>
      <c r="AF63" s="62">
        <f t="shared" si="14"/>
        <v>776.7013786980001</v>
      </c>
      <c r="AG63" s="192">
        <v>0</v>
      </c>
      <c r="AH63" s="62">
        <f t="shared" si="15"/>
        <v>487.57220714562078</v>
      </c>
      <c r="AI63" s="62">
        <f t="shared" si="16"/>
        <v>157.76137229905717</v>
      </c>
      <c r="AJ63" s="62"/>
      <c r="AK63" s="62">
        <v>0</v>
      </c>
      <c r="AL63" s="256">
        <f t="shared" si="17"/>
        <v>17534.550837552681</v>
      </c>
      <c r="AM63" s="256">
        <f t="shared" si="18"/>
        <v>53565.612324000002</v>
      </c>
      <c r="AN63" s="256">
        <f t="shared" si="19"/>
        <v>71100.163161552686</v>
      </c>
    </row>
    <row r="64" spans="1:40" hidden="1" x14ac:dyDescent="0.2">
      <c r="A64" s="386" t="str">
        <f>IF('Employee Detail FY24'!A64="","",'Employee Detail FY24'!A64)</f>
        <v/>
      </c>
      <c r="B64" s="678">
        <f>IF('Employee Detail FY24'!B64="","",'Employee Detail FY24'!B64)</f>
        <v>100</v>
      </c>
      <c r="C64" s="678" t="str">
        <f>IF('Employee Detail FY24'!C64="","",'Employee Detail FY24'!C64)</f>
        <v>000</v>
      </c>
      <c r="D64" s="678"/>
      <c r="E64" s="678">
        <f>IF('Employee Detail FY24'!E64="","",'Employee Detail FY24'!E64)</f>
        <v>100</v>
      </c>
      <c r="F64" s="678" t="str">
        <f>IF('Employee Detail FY24'!F64="","",'Employee Detail FY24'!F64)</f>
        <v>2410</v>
      </c>
      <c r="G64" s="678" t="str">
        <f>IF('Employee Detail FY24'!G64="","",'Employee Detail FY24'!G64)</f>
        <v>0107</v>
      </c>
      <c r="H64" s="386"/>
      <c r="I64" s="359" t="str">
        <f>IF('Employee Detail FY24'!I64="","",'Employee Detail FY24'!I64)</f>
        <v>RUIZ</v>
      </c>
      <c r="J64" s="359" t="str">
        <f>IF('Employee Detail FY24'!J64="","",'Employee Detail FY24'!J64)</f>
        <v>ANNETTE</v>
      </c>
      <c r="K64" s="359" t="str">
        <f>IF('Employee Detail FY24'!K64="","",'Employee Detail FY24'!K64)</f>
        <v>Support Staff</v>
      </c>
      <c r="L64" s="359" t="str">
        <f>IF('Employee Detail FY24'!L64="","",'Employee Detail FY24'!L64)</f>
        <v>REGISTRAR</v>
      </c>
      <c r="M64" s="388">
        <v>1</v>
      </c>
      <c r="N64" s="386" t="str">
        <f>IF('Employee Detail FY24'!N64="","",'Employee Detail FY24'!N64)</f>
        <v>H</v>
      </c>
      <c r="O64" s="386">
        <f>IF('Employee Detail FY24'!O64="","",'Employee Detail FY24'!O64)</f>
        <v>1</v>
      </c>
      <c r="P64" s="386" t="str">
        <f>IF('Employee Detail FY24'!P64="","",'Employee Detail FY24'!P64)</f>
        <v>EE</v>
      </c>
      <c r="Q64" s="386" t="str">
        <f>IF('Employee Detail FY24'!Q64="","",'Employee Detail FY24'!Q64)</f>
        <v/>
      </c>
      <c r="R64" s="386">
        <f>IF('Employee Detail FY24'!R64="","",'Employee Detail FY24'!R64)</f>
        <v>261</v>
      </c>
      <c r="S64" s="386">
        <f>IF('Employee Detail FY24'!S64="","",'Employee Detail FY24'!S64)</f>
        <v>8</v>
      </c>
      <c r="T64" s="263">
        <f t="shared" si="6"/>
        <v>2088</v>
      </c>
      <c r="U64" s="269">
        <f>IF('Employee Detail FY24'!U64="","",'Employee Detail FY24'!U64)</f>
        <v>43000</v>
      </c>
      <c r="V64" s="270">
        <f t="shared" si="7"/>
        <v>46870</v>
      </c>
      <c r="W64" s="270">
        <f t="shared" si="8"/>
        <v>54068.575819999998</v>
      </c>
      <c r="X64" s="270">
        <f t="shared" si="9"/>
        <v>54068.575819999998</v>
      </c>
      <c r="Y64" s="62">
        <v>0</v>
      </c>
      <c r="Z64" s="62">
        <v>0</v>
      </c>
      <c r="AA64" s="256">
        <f t="shared" si="10"/>
        <v>54068.575819999998</v>
      </c>
      <c r="AB64" s="3"/>
      <c r="AC64" s="62">
        <f t="shared" si="11"/>
        <v>7943.76</v>
      </c>
      <c r="AD64" s="62" t="str">
        <f t="shared" si="12"/>
        <v/>
      </c>
      <c r="AE64" s="62">
        <f t="shared" si="13"/>
        <v>8245.4578125499993</v>
      </c>
      <c r="AF64" s="62">
        <f t="shared" si="14"/>
        <v>783.99434939000002</v>
      </c>
      <c r="AG64" s="192">
        <v>0</v>
      </c>
      <c r="AH64" s="62">
        <f t="shared" si="15"/>
        <v>492.15034993572044</v>
      </c>
      <c r="AI64" s="62">
        <f t="shared" si="16"/>
        <v>159.24269973848493</v>
      </c>
      <c r="AJ64" s="62"/>
      <c r="AK64" s="62">
        <v>0</v>
      </c>
      <c r="AL64" s="256">
        <f t="shared" si="17"/>
        <v>17624.605211614205</v>
      </c>
      <c r="AM64" s="256">
        <f t="shared" si="18"/>
        <v>54068.575819999998</v>
      </c>
      <c r="AN64" s="256">
        <f t="shared" si="19"/>
        <v>71693.181031614207</v>
      </c>
    </row>
    <row r="65" spans="1:40" hidden="1" x14ac:dyDescent="0.2">
      <c r="A65" s="386" t="str">
        <f>IF('Employee Detail FY24'!A65="","",'Employee Detail FY24'!A65)</f>
        <v>CSP</v>
      </c>
      <c r="B65" s="678" t="str">
        <f>IF('Employee Detail FY24'!B65="","",'Employee Detail FY24'!B65)</f>
        <v>100</v>
      </c>
      <c r="C65" s="678" t="str">
        <f>IF('Employee Detail FY24'!C65="","",'Employee Detail FY24'!C65)</f>
        <v>000</v>
      </c>
      <c r="D65" s="678"/>
      <c r="E65" s="678">
        <f>IF('Employee Detail FY24'!E65="","",'Employee Detail FY24'!E65)</f>
        <v>100</v>
      </c>
      <c r="F65" s="678">
        <f>IF('Employee Detail FY24'!F65="","",'Employee Detail FY24'!F65)</f>
        <v>2410</v>
      </c>
      <c r="G65" s="678" t="str">
        <f>IF('Employee Detail FY24'!G65="","",'Employee Detail FY24'!G65)</f>
        <v>0107</v>
      </c>
      <c r="H65" s="386"/>
      <c r="I65" s="359" t="str">
        <f>IF('Employee Detail FY24'!I65="","",'Employee Detail FY24'!I65)</f>
        <v>ZEIDLER</v>
      </c>
      <c r="J65" s="359" t="str">
        <f>IF('Employee Detail FY24'!J65="","",'Employee Detail FY24'!J65)</f>
        <v>LINDA</v>
      </c>
      <c r="K65" s="359" t="str">
        <f>IF('Employee Detail FY24'!K65="","",'Employee Detail FY24'!K65)</f>
        <v>Support Staff</v>
      </c>
      <c r="L65" s="359" t="str">
        <f>IF('Employee Detail FY24'!L65="","",'Employee Detail FY24'!L65)</f>
        <v>RECORDS &amp; ENROLLMENT COORDINATOR</v>
      </c>
      <c r="M65" s="388">
        <v>1</v>
      </c>
      <c r="N65" s="386" t="str">
        <f>IF('Employee Detail FY24'!N65="","",'Employee Detail FY24'!N65)</f>
        <v/>
      </c>
      <c r="O65" s="386">
        <f>IF('Employee Detail FY24'!O65="","",'Employee Detail FY24'!O65)</f>
        <v>26</v>
      </c>
      <c r="P65" s="386" t="str">
        <f>IF('Employee Detail FY24'!P65="","",'Employee Detail FY24'!P65)</f>
        <v>ER</v>
      </c>
      <c r="Q65" s="386" t="str">
        <f>IF('Employee Detail FY24'!Q65="","",'Employee Detail FY24'!Q65)</f>
        <v/>
      </c>
      <c r="R65" s="386">
        <f>IF('Employee Detail FY24'!R65="","",'Employee Detail FY24'!R65)</f>
        <v>200</v>
      </c>
      <c r="S65" s="386">
        <f>IF('Employee Detail FY24'!S65="","",'Employee Detail FY24'!S65)</f>
        <v>8</v>
      </c>
      <c r="T65" s="263">
        <f t="shared" si="6"/>
        <v>1600</v>
      </c>
      <c r="U65" s="269">
        <f>IF('Employee Detail FY24'!U65="","",'Employee Detail FY24'!U65)</f>
        <v>70000</v>
      </c>
      <c r="V65" s="270">
        <f t="shared" si="7"/>
        <v>76300</v>
      </c>
      <c r="W65" s="270" t="str">
        <f t="shared" si="8"/>
        <v/>
      </c>
      <c r="X65" s="270">
        <f t="shared" si="9"/>
        <v>76300</v>
      </c>
      <c r="Y65" s="62">
        <v>0</v>
      </c>
      <c r="Z65" s="62">
        <v>0</v>
      </c>
      <c r="AA65" s="256">
        <f t="shared" si="10"/>
        <v>76300</v>
      </c>
      <c r="AB65" s="3"/>
      <c r="AC65" s="62">
        <f t="shared" si="11"/>
        <v>7943.76</v>
      </c>
      <c r="AD65" s="62" t="str">
        <f t="shared" si="12"/>
        <v/>
      </c>
      <c r="AE65" s="62">
        <f t="shared" si="13"/>
        <v>22317.75</v>
      </c>
      <c r="AF65" s="62">
        <f t="shared" si="14"/>
        <v>1106.3500000000001</v>
      </c>
      <c r="AG65" s="192">
        <v>0</v>
      </c>
      <c r="AH65" s="62">
        <f t="shared" si="15"/>
        <v>694.50824495742143</v>
      </c>
      <c r="AI65" s="62">
        <f t="shared" si="16"/>
        <v>224.71866154743486</v>
      </c>
      <c r="AJ65" s="62"/>
      <c r="AK65" s="62">
        <v>0</v>
      </c>
      <c r="AL65" s="256">
        <f t="shared" si="17"/>
        <v>32287.086906504857</v>
      </c>
      <c r="AM65" s="256">
        <f t="shared" si="18"/>
        <v>76300</v>
      </c>
      <c r="AN65" s="256">
        <f t="shared" si="19"/>
        <v>108587.08690650486</v>
      </c>
    </row>
    <row r="66" spans="1:40" hidden="1" x14ac:dyDescent="0.2">
      <c r="A66" s="386" t="str">
        <f>IF('Employee Detail FY24'!A66="","",'Employee Detail FY24'!A66)</f>
        <v/>
      </c>
      <c r="B66" s="678">
        <f>IF('Employee Detail FY24'!B66="","",'Employee Detail FY24'!B66)</f>
        <v>100</v>
      </c>
      <c r="C66" s="678" t="str">
        <f>IF('Employee Detail FY24'!C66="","",'Employee Detail FY24'!C66)</f>
        <v>000</v>
      </c>
      <c r="D66" s="678"/>
      <c r="E66" s="678">
        <f>IF('Employee Detail FY24'!E66="","",'Employee Detail FY24'!E66)</f>
        <v>100</v>
      </c>
      <c r="F66" s="678" t="str">
        <f>IF('Employee Detail FY24'!F66="","",'Employee Detail FY24'!F66)</f>
        <v>2410</v>
      </c>
      <c r="G66" s="678" t="str">
        <f>IF('Employee Detail FY24'!G66="","",'Employee Detail FY24'!G66)</f>
        <v>0107</v>
      </c>
      <c r="H66" s="386"/>
      <c r="I66" s="359" t="str">
        <f>IF('Employee Detail FY24'!I66="","",'Employee Detail FY24'!I66)</f>
        <v>GARCIA</v>
      </c>
      <c r="J66" s="359" t="str">
        <f>IF('Employee Detail FY24'!J66="","",'Employee Detail FY24'!J66)</f>
        <v>BELINDA</v>
      </c>
      <c r="K66" s="359" t="str">
        <f>IF('Employee Detail FY24'!K66="","",'Employee Detail FY24'!K66)</f>
        <v>Support Staff</v>
      </c>
      <c r="L66" s="359" t="str">
        <f>IF('Employee Detail FY24'!L66="","",'Employee Detail FY24'!L66)</f>
        <v>RECEPTIONIST</v>
      </c>
      <c r="M66" s="388">
        <v>1</v>
      </c>
      <c r="N66" s="386" t="str">
        <f>IF('Employee Detail FY24'!N66="","",'Employee Detail FY24'!N66)</f>
        <v>12</v>
      </c>
      <c r="O66" s="386">
        <f>IF('Employee Detail FY24'!O66="","",'Employee Detail FY24'!O66)</f>
        <v>22.5</v>
      </c>
      <c r="P66" s="386" t="str">
        <f>IF('Employee Detail FY24'!P66="","",'Employee Detail FY24'!P66)</f>
        <v>ER</v>
      </c>
      <c r="Q66" s="386">
        <f>IF('Employee Detail FY24'!Q66="","",'Employee Detail FY24'!Q66)</f>
        <v>15.95</v>
      </c>
      <c r="R66" s="386">
        <f>IF('Employee Detail FY24'!R66="","",'Employee Detail FY24'!R66)</f>
        <v>260</v>
      </c>
      <c r="S66" s="386">
        <f>IF('Employee Detail FY24'!S66="","",'Employee Detail FY24'!S66)</f>
        <v>8</v>
      </c>
      <c r="T66" s="263">
        <f t="shared" si="6"/>
        <v>2080</v>
      </c>
      <c r="U66" s="269">
        <f>IF('Employee Detail FY24'!U66="","",'Employee Detail FY24'!U66)</f>
        <v>33176</v>
      </c>
      <c r="V66" s="270">
        <f t="shared" si="7"/>
        <v>36161.840000000004</v>
      </c>
      <c r="W66" s="270" t="str">
        <f t="shared" si="8"/>
        <v/>
      </c>
      <c r="X66" s="270">
        <f t="shared" si="9"/>
        <v>36161.840000000004</v>
      </c>
      <c r="Y66" s="62">
        <v>0</v>
      </c>
      <c r="Z66" s="62">
        <v>0</v>
      </c>
      <c r="AA66" s="256">
        <f t="shared" si="10"/>
        <v>36161.840000000004</v>
      </c>
      <c r="AB66" s="3"/>
      <c r="AC66" s="62">
        <f t="shared" si="11"/>
        <v>7943.76</v>
      </c>
      <c r="AD66" s="62" t="str">
        <f t="shared" si="12"/>
        <v/>
      </c>
      <c r="AE66" s="62">
        <f t="shared" si="13"/>
        <v>10577.3382</v>
      </c>
      <c r="AF66" s="62">
        <f t="shared" si="14"/>
        <v>524.34668000000011</v>
      </c>
      <c r="AG66" s="192">
        <v>0</v>
      </c>
      <c r="AH66" s="62">
        <f t="shared" si="15"/>
        <v>329.15722192439165</v>
      </c>
      <c r="AI66" s="62">
        <f t="shared" si="16"/>
        <v>106.50380450710999</v>
      </c>
      <c r="AJ66" s="62"/>
      <c r="AK66" s="62">
        <v>0</v>
      </c>
      <c r="AL66" s="256">
        <f t="shared" si="17"/>
        <v>19481.105906431498</v>
      </c>
      <c r="AM66" s="256">
        <f t="shared" si="18"/>
        <v>36161.840000000004</v>
      </c>
      <c r="AN66" s="256">
        <f t="shared" si="19"/>
        <v>55642.945906431501</v>
      </c>
    </row>
    <row r="67" spans="1:40" hidden="1" x14ac:dyDescent="0.2">
      <c r="A67" s="386" t="str">
        <f>IF('Employee Detail FY24'!A67="","",'Employee Detail FY24'!A67)</f>
        <v/>
      </c>
      <c r="B67" s="678">
        <f>IF('Employee Detail FY24'!B67="","",'Employee Detail FY24'!B67)</f>
        <v>250</v>
      </c>
      <c r="C67" s="678">
        <f>IF('Employee Detail FY24'!C67="","",'Employee Detail FY24'!C67)</f>
        <v>205</v>
      </c>
      <c r="D67" s="678"/>
      <c r="E67" s="678">
        <f>IF('Employee Detail FY24'!E67="","",'Employee Detail FY24'!E67)</f>
        <v>200</v>
      </c>
      <c r="F67" s="678">
        <f>IF('Employee Detail FY24'!F67="","",'Employee Detail FY24'!F67)</f>
        <v>2410</v>
      </c>
      <c r="G67" s="678" t="str">
        <f>IF('Employee Detail FY24'!G67="","",'Employee Detail FY24'!G67)</f>
        <v>0107</v>
      </c>
      <c r="H67" s="386"/>
      <c r="I67" s="359" t="str">
        <f>IF('Employee Detail FY24'!I67="","",'Employee Detail FY24'!I67)</f>
        <v>CLADERA RABELO</v>
      </c>
      <c r="J67" s="359" t="str">
        <f>IF('Employee Detail FY24'!J67="","",'Employee Detail FY24'!J67)</f>
        <v>REDYANE</v>
      </c>
      <c r="K67" s="359" t="str">
        <f>IF('Employee Detail FY24'!K67="","",'Employee Detail FY24'!K67)</f>
        <v>Support Staff</v>
      </c>
      <c r="L67" s="359" t="str">
        <f>IF('Employee Detail FY24'!L67="","",'Employee Detail FY24'!L67)</f>
        <v>SPED ADMIN ASSISTANT</v>
      </c>
      <c r="M67" s="388">
        <v>1</v>
      </c>
      <c r="N67" s="386" t="str">
        <f>IF('Employee Detail FY24'!N67="","",'Employee Detail FY24'!N67)</f>
        <v>12</v>
      </c>
      <c r="O67" s="386">
        <f>IF('Employee Detail FY24'!O67="","",'Employee Detail FY24'!O67)</f>
        <v>24</v>
      </c>
      <c r="P67" s="386" t="str">
        <f>IF('Employee Detail FY24'!P67="","",'Employee Detail FY24'!P67)</f>
        <v>EE</v>
      </c>
      <c r="Q67" s="386">
        <f>IF('Employee Detail FY24'!Q67="","",'Employee Detail FY24'!Q67)</f>
        <v>19.350000000000001</v>
      </c>
      <c r="R67" s="386">
        <f>IF('Employee Detail FY24'!R67="","",'Employee Detail FY24'!R67)</f>
        <v>260</v>
      </c>
      <c r="S67" s="386">
        <f>IF('Employee Detail FY24'!S67="","",'Employee Detail FY24'!S67)</f>
        <v>8</v>
      </c>
      <c r="T67" s="263">
        <f t="shared" si="6"/>
        <v>2080</v>
      </c>
      <c r="U67" s="269">
        <f>IF('Employee Detail FY24'!U67="","",'Employee Detail FY24'!U67)</f>
        <v>40248</v>
      </c>
      <c r="V67" s="270">
        <f t="shared" si="7"/>
        <v>43870.32</v>
      </c>
      <c r="W67" s="270">
        <f t="shared" si="8"/>
        <v>50608.18696752</v>
      </c>
      <c r="X67" s="270">
        <f t="shared" si="9"/>
        <v>50608.18696752</v>
      </c>
      <c r="Y67" s="62">
        <v>0</v>
      </c>
      <c r="Z67" s="62">
        <v>0</v>
      </c>
      <c r="AA67" s="256">
        <f t="shared" si="10"/>
        <v>50608.18696752</v>
      </c>
      <c r="AB67" s="3"/>
      <c r="AC67" s="62">
        <f t="shared" si="11"/>
        <v>7943.76</v>
      </c>
      <c r="AD67" s="62" t="str">
        <f t="shared" si="12"/>
        <v/>
      </c>
      <c r="AE67" s="62">
        <f t="shared" si="13"/>
        <v>7717.7485125468002</v>
      </c>
      <c r="AF67" s="62">
        <f t="shared" si="14"/>
        <v>733.81871102904006</v>
      </c>
      <c r="AG67" s="192">
        <v>0</v>
      </c>
      <c r="AH67" s="62">
        <f t="shared" si="15"/>
        <v>460.65272753983436</v>
      </c>
      <c r="AI67" s="62">
        <f t="shared" si="16"/>
        <v>149.0511669552219</v>
      </c>
      <c r="AJ67" s="62"/>
      <c r="AK67" s="62">
        <v>0</v>
      </c>
      <c r="AL67" s="256">
        <f t="shared" si="17"/>
        <v>17005.031118070896</v>
      </c>
      <c r="AM67" s="256">
        <f t="shared" si="18"/>
        <v>50608.18696752</v>
      </c>
      <c r="AN67" s="256">
        <f t="shared" si="19"/>
        <v>67613.218085590895</v>
      </c>
    </row>
    <row r="68" spans="1:40" hidden="1" x14ac:dyDescent="0.2">
      <c r="A68" s="386" t="str">
        <f>IF('Employee Detail FY24'!A68="","",'Employee Detail FY24'!A68)</f>
        <v/>
      </c>
      <c r="B68" s="678">
        <f>IF('Employee Detail FY24'!B68="","",'Employee Detail FY24'!B68)</f>
        <v>100</v>
      </c>
      <c r="C68" s="678" t="str">
        <f>IF('Employee Detail FY24'!C68="","",'Employee Detail FY24'!C68)</f>
        <v>000</v>
      </c>
      <c r="D68" s="678"/>
      <c r="E68" s="678">
        <f>IF('Employee Detail FY24'!E68="","",'Employee Detail FY24'!E68)</f>
        <v>100</v>
      </c>
      <c r="F68" s="678">
        <f>IF('Employee Detail FY24'!F68="","",'Employee Detail FY24'!F68)</f>
        <v>2410</v>
      </c>
      <c r="G68" s="678" t="str">
        <f>IF('Employee Detail FY24'!G68="","",'Employee Detail FY24'!G68)</f>
        <v>0107</v>
      </c>
      <c r="H68" s="386"/>
      <c r="I68" s="359" t="str">
        <f>IF('Employee Detail FY24'!I68="","",'Employee Detail FY24'!I68)</f>
        <v>PINEDO</v>
      </c>
      <c r="J68" s="359" t="str">
        <f>IF('Employee Detail FY24'!J68="","",'Employee Detail FY24'!J68)</f>
        <v>Adylene</v>
      </c>
      <c r="K68" s="359" t="str">
        <f>IF('Employee Detail FY24'!K68="","",'Employee Detail FY24'!K68)</f>
        <v>Support Staff</v>
      </c>
      <c r="L68" s="359" t="str">
        <f>IF('Employee Detail FY24'!L68="","",'Employee Detail FY24'!L68)</f>
        <v>Enrollment Specialist</v>
      </c>
      <c r="M68" s="388">
        <v>1</v>
      </c>
      <c r="N68" s="386" t="str">
        <f>IF('Employee Detail FY24'!N68="","",'Employee Detail FY24'!N68)</f>
        <v/>
      </c>
      <c r="O68" s="386">
        <f>IF('Employee Detail FY24'!O68="","",'Employee Detail FY24'!O68)</f>
        <v>26</v>
      </c>
      <c r="P68" s="386" t="str">
        <f>IF('Employee Detail FY24'!P68="","",'Employee Detail FY24'!P68)</f>
        <v>EE</v>
      </c>
      <c r="Q68" s="386">
        <f>IF('Employee Detail FY24'!Q68="","",'Employee Detail FY24'!Q68)</f>
        <v>14.5</v>
      </c>
      <c r="R68" s="386">
        <f>IF('Employee Detail FY24'!R68="","",'Employee Detail FY24'!R68)</f>
        <v>261</v>
      </c>
      <c r="S68" s="386">
        <f>IF('Employee Detail FY24'!S68="","",'Employee Detail FY24'!S68)</f>
        <v>8</v>
      </c>
      <c r="T68" s="263">
        <f t="shared" si="6"/>
        <v>2088</v>
      </c>
      <c r="U68" s="269">
        <f>IF('Employee Detail FY24'!U68="","",'Employee Detail FY24'!U68)</f>
        <v>45000</v>
      </c>
      <c r="V68" s="270">
        <f t="shared" si="7"/>
        <v>49050</v>
      </c>
      <c r="W68" s="270">
        <f t="shared" si="8"/>
        <v>56583.393300000003</v>
      </c>
      <c r="X68" s="270">
        <f t="shared" si="9"/>
        <v>56583.393300000003</v>
      </c>
      <c r="Y68" s="62">
        <v>0</v>
      </c>
      <c r="Z68" s="62">
        <v>0</v>
      </c>
      <c r="AA68" s="256">
        <f t="shared" si="10"/>
        <v>56583.393300000003</v>
      </c>
      <c r="AB68" s="3"/>
      <c r="AC68" s="62">
        <f t="shared" si="11"/>
        <v>7943.76</v>
      </c>
      <c r="AD68" s="62" t="str">
        <f t="shared" si="12"/>
        <v/>
      </c>
      <c r="AE68" s="62">
        <f t="shared" si="13"/>
        <v>8628.9674782500006</v>
      </c>
      <c r="AF68" s="62">
        <f t="shared" si="14"/>
        <v>820.45920285000011</v>
      </c>
      <c r="AG68" s="192">
        <v>0</v>
      </c>
      <c r="AH68" s="62">
        <f t="shared" si="15"/>
        <v>515.04106388621915</v>
      </c>
      <c r="AI68" s="62">
        <f t="shared" si="16"/>
        <v>166.64933693562378</v>
      </c>
      <c r="AJ68" s="62"/>
      <c r="AK68" s="62">
        <v>0</v>
      </c>
      <c r="AL68" s="256">
        <f t="shared" si="17"/>
        <v>18074.877081921848</v>
      </c>
      <c r="AM68" s="256">
        <f t="shared" si="18"/>
        <v>56583.393300000003</v>
      </c>
      <c r="AN68" s="256">
        <f t="shared" si="19"/>
        <v>74658.270381921844</v>
      </c>
    </row>
    <row r="69" spans="1:40" hidden="1" x14ac:dyDescent="0.2">
      <c r="A69" s="386" t="str">
        <f>IF('Employee Detail FY24'!A69="","",'Employee Detail FY24'!A69)</f>
        <v>VACANT</v>
      </c>
      <c r="B69" s="678">
        <f>IF('Employee Detail FY24'!B69="","",'Employee Detail FY24'!B69)</f>
        <v>100</v>
      </c>
      <c r="C69" s="678" t="str">
        <f>IF('Employee Detail FY24'!C69="","",'Employee Detail FY24'!C69)</f>
        <v>000</v>
      </c>
      <c r="D69" s="678"/>
      <c r="E69" s="678">
        <f>IF('Employee Detail FY24'!E69="","",'Employee Detail FY24'!E69)</f>
        <v>100</v>
      </c>
      <c r="F69" s="678" t="str">
        <f>IF('Employee Detail FY24'!F69="","",'Employee Detail FY24'!F69)</f>
        <v>2410</v>
      </c>
      <c r="G69" s="678" t="str">
        <f>IF('Employee Detail FY24'!G69="","",'Employee Detail FY24'!G69)</f>
        <v>0107</v>
      </c>
      <c r="H69" s="386"/>
      <c r="I69" s="359" t="str">
        <f>IF('Employee Detail FY24'!I69="","",'Employee Detail FY24'!I69)</f>
        <v>VACANT</v>
      </c>
      <c r="J69" s="359" t="str">
        <f>IF('Employee Detail FY24'!J69="","",'Employee Detail FY24'!J69)</f>
        <v>FY23</v>
      </c>
      <c r="K69" s="359" t="str">
        <f>IF('Employee Detail FY24'!K69="","",'Employee Detail FY24'!K69)</f>
        <v>Support Staff</v>
      </c>
      <c r="L69" s="359" t="str">
        <f>IF('Employee Detail FY24'!L69="","",'Employee Detail FY24'!L69)</f>
        <v>ENROLLMENT SPECIALIST</v>
      </c>
      <c r="M69" s="388">
        <v>1</v>
      </c>
      <c r="N69" s="386" t="str">
        <f>IF('Employee Detail FY24'!N69="","",'Employee Detail FY24'!N69)</f>
        <v/>
      </c>
      <c r="O69" s="386" t="str">
        <f>IF('Employee Detail FY24'!O69="","",'Employee Detail FY24'!O69)</f>
        <v/>
      </c>
      <c r="P69" s="386" t="str">
        <f>IF('Employee Detail FY24'!P69="","",'Employee Detail FY24'!P69)</f>
        <v>ER</v>
      </c>
      <c r="Q69" s="386" t="str">
        <f>IF('Employee Detail FY24'!Q69="","",'Employee Detail FY24'!Q69)</f>
        <v/>
      </c>
      <c r="R69" s="386" t="str">
        <f>IF('Employee Detail FY24'!R69="","",'Employee Detail FY24'!R69)</f>
        <v/>
      </c>
      <c r="S69" s="386" t="str">
        <f>IF('Employee Detail FY24'!S69="","",'Employee Detail FY24'!S69)</f>
        <v/>
      </c>
      <c r="T69" s="263" t="str">
        <f t="shared" ref="T69:T95" si="20">+IF(R69="","",R69*S69)</f>
        <v/>
      </c>
      <c r="U69" s="269">
        <f>IF('Employee Detail FY24'!U69="","",'Employee Detail FY24'!U69)</f>
        <v>40000</v>
      </c>
      <c r="V69" s="270">
        <f t="shared" ref="V69:V105" si="21">IF($U69="","",$U69*(1+$V$1))</f>
        <v>43600</v>
      </c>
      <c r="W69" s="270" t="str">
        <f t="shared" ref="W69:W95" si="22">+IF(P69="EE",+V69*$W$1,"")</f>
        <v/>
      </c>
      <c r="X69" s="270">
        <f t="shared" ref="X69:X95" si="23">_xlfn.IFS(P69="ER",V69,P69="EE",W69,P69="N",V69,P69="","")</f>
        <v>43600</v>
      </c>
      <c r="Y69" s="62">
        <v>0</v>
      </c>
      <c r="Z69" s="62">
        <v>0</v>
      </c>
      <c r="AA69" s="256">
        <f t="shared" ref="AA69:AA95" si="24">SUM(X69:Z69)</f>
        <v>43600</v>
      </c>
      <c r="AB69" s="3"/>
      <c r="AC69" s="62">
        <f t="shared" ref="AC69:AC95" si="25">IF(AND(M69=1,P69&lt;&gt;"N"),$AC$1,"")</f>
        <v>7943.76</v>
      </c>
      <c r="AD69" s="62" t="str">
        <f t="shared" ref="AD69:AD95" si="26">_xlfn.IFS(P69="N",$AD$1*AA69,P69="EE","",P69="ER","",P69="","")</f>
        <v/>
      </c>
      <c r="AE69" s="62">
        <f t="shared" ref="AE69:AE95" si="27">_xlfn.IFS(P69="EE",X69*$AE$1,P69="ER",X69*$AE$2,P69="N","",P69="","")</f>
        <v>12753</v>
      </c>
      <c r="AF69" s="62">
        <f t="shared" ref="AF69:AF95" si="28">+IF(AA69&gt;1,AA69*$AF$1,"")</f>
        <v>632.20000000000005</v>
      </c>
      <c r="AG69" s="192">
        <v>0</v>
      </c>
      <c r="AH69" s="62">
        <f t="shared" ref="AH69:AH95" si="29">+IF(AA69&gt;1,AA69*$AH$1,"")</f>
        <v>396.86185426138366</v>
      </c>
      <c r="AI69" s="62">
        <f t="shared" ref="AI69:AI95" si="30">+_xlfn.IFS(F69&lt;2300,(AA69*$AI$1),F69&gt;=2300,(AA69*$AI$2),F69="","")</f>
        <v>128.41066374139135</v>
      </c>
      <c r="AJ69" s="62"/>
      <c r="AK69" s="62">
        <v>0</v>
      </c>
      <c r="AL69" s="256">
        <f t="shared" ref="AL69:AL95" si="31">SUM(AC69:AK69)</f>
        <v>21854.232518002776</v>
      </c>
      <c r="AM69" s="256">
        <f t="shared" ref="AM69:AM95" si="32">AA69</f>
        <v>43600</v>
      </c>
      <c r="AN69" s="256">
        <f t="shared" ref="AN69:AN95" si="33">SUM(AL69:AM69)</f>
        <v>65454.232518002776</v>
      </c>
    </row>
    <row r="70" spans="1:40" hidden="1" x14ac:dyDescent="0.2">
      <c r="A70" s="386" t="str">
        <f>IF('Employee Detail FY24'!A70="","",'Employee Detail FY24'!A70)</f>
        <v>VACANT</v>
      </c>
      <c r="B70" s="678">
        <f>IF('Employee Detail FY24'!B70="","",'Employee Detail FY24'!B70)</f>
        <v>100</v>
      </c>
      <c r="C70" s="678" t="str">
        <f>IF('Employee Detail FY24'!C70="","",'Employee Detail FY24'!C70)</f>
        <v>000</v>
      </c>
      <c r="D70" s="678"/>
      <c r="E70" s="678">
        <f>IF('Employee Detail FY24'!E70="","",'Employee Detail FY24'!E70)</f>
        <v>100</v>
      </c>
      <c r="F70" s="678">
        <f>IF('Employee Detail FY24'!F70="","",'Employee Detail FY24'!F70)</f>
        <v>2410</v>
      </c>
      <c r="G70" s="678" t="str">
        <f>IF('Employee Detail FY24'!G70="","",'Employee Detail FY24'!G70)</f>
        <v>0107</v>
      </c>
      <c r="H70" s="386"/>
      <c r="I70" s="359" t="str">
        <f>IF('Employee Detail FY24'!I70="","",'Employee Detail FY24'!I70)</f>
        <v>VACANT</v>
      </c>
      <c r="J70" s="359" t="str">
        <f>IF('Employee Detail FY24'!J70="","",'Employee Detail FY24'!J70)</f>
        <v>FY23</v>
      </c>
      <c r="K70" s="359" t="str">
        <f>IF('Employee Detail FY24'!K70="","",'Employee Detail FY24'!K70)</f>
        <v>Support Staff</v>
      </c>
      <c r="L70" s="359" t="str">
        <f>IF('Employee Detail FY24'!L70="","",'Employee Detail FY24'!L70)</f>
        <v>School Operations Support Staff</v>
      </c>
      <c r="M70" s="388">
        <v>1</v>
      </c>
      <c r="N70" s="386" t="str">
        <f>IF('Employee Detail FY24'!N70="","",'Employee Detail FY24'!N70)</f>
        <v/>
      </c>
      <c r="O70" s="386" t="str">
        <f>IF('Employee Detail FY24'!O70="","",'Employee Detail FY24'!O70)</f>
        <v/>
      </c>
      <c r="P70" s="386" t="str">
        <f>IF('Employee Detail FY24'!P70="","",'Employee Detail FY24'!P70)</f>
        <v>ER</v>
      </c>
      <c r="Q70" s="386" t="str">
        <f>IF('Employee Detail FY24'!Q70="","",'Employee Detail FY24'!Q70)</f>
        <v/>
      </c>
      <c r="R70" s="386" t="str">
        <f>IF('Employee Detail FY24'!R70="","",'Employee Detail FY24'!R70)</f>
        <v/>
      </c>
      <c r="S70" s="386" t="str">
        <f>IF('Employee Detail FY24'!S70="","",'Employee Detail FY24'!S70)</f>
        <v/>
      </c>
      <c r="T70" s="263" t="str">
        <f>+IF(R70="","",R70*S70)</f>
        <v/>
      </c>
      <c r="U70" s="269">
        <f>IF('Employee Detail FY24'!U70="","",'Employee Detail FY24'!U70)</f>
        <v>45000</v>
      </c>
      <c r="V70" s="270">
        <f>IF($U70="","",$U70*(1+$V$1))</f>
        <v>49050</v>
      </c>
      <c r="W70" s="270" t="str">
        <f>+IF(P70="EE",+V70*$W$1,"")</f>
        <v/>
      </c>
      <c r="X70" s="270">
        <f>_xlfn.IFS(P70="ER",V70,P70="EE",W70,P70="N",V70,P70="","")</f>
        <v>49050</v>
      </c>
      <c r="Y70" s="62">
        <v>0</v>
      </c>
      <c r="Z70" s="62">
        <v>0</v>
      </c>
      <c r="AA70" s="256">
        <f>SUM(X70:Z70)</f>
        <v>49050</v>
      </c>
      <c r="AB70" s="3"/>
      <c r="AC70" s="62">
        <f>IF(AND(M70=1,P70&lt;&gt;"N"),$AC$1,"")</f>
        <v>7943.76</v>
      </c>
      <c r="AD70" s="62" t="str">
        <f>_xlfn.IFS(P70="N",$AD$1*AA70,P70="EE","",P70="ER","",P70="","")</f>
        <v/>
      </c>
      <c r="AE70" s="62">
        <f>_xlfn.IFS(P70="EE",X70*$AE$1,P70="ER",X70*$AE$2,P70="N","",P70="","")</f>
        <v>14347.125</v>
      </c>
      <c r="AF70" s="62">
        <f>+IF(AA70&gt;1,AA70*$AF$1,"")</f>
        <v>711.22500000000002</v>
      </c>
      <c r="AG70" s="192">
        <v>0</v>
      </c>
      <c r="AH70" s="62">
        <f>+IF(AA70&gt;1,AA70*$AH$1,"")</f>
        <v>446.4695860440566</v>
      </c>
      <c r="AI70" s="62">
        <f>+_xlfn.IFS(F70&lt;2300,(AA70*$AI$1),F70&gt;=2300,(AA70*$AI$2),F70="","")</f>
        <v>144.46199670906526</v>
      </c>
      <c r="AJ70" s="62"/>
      <c r="AK70" s="62">
        <v>0</v>
      </c>
      <c r="AL70" s="256">
        <f>SUM(AC70:AK70)</f>
        <v>23593.041582753121</v>
      </c>
      <c r="AM70" s="256">
        <f>AA70</f>
        <v>49050</v>
      </c>
      <c r="AN70" s="256">
        <f>SUM(AL70:AM70)</f>
        <v>72643.041582753125</v>
      </c>
    </row>
    <row r="71" spans="1:40" hidden="1" x14ac:dyDescent="0.2">
      <c r="A71" s="386" t="str">
        <f>IF('Employee Detail FY24'!A72="","",'Employee Detail FY24'!A72)</f>
        <v/>
      </c>
      <c r="B71" s="678" t="str">
        <f>IF('Employee Detail FY24'!B72="","",'Employee Detail FY24'!B72)</f>
        <v/>
      </c>
      <c r="C71" s="678" t="str">
        <f>IF('Employee Detail FY24'!C72="","",'Employee Detail FY24'!C72)</f>
        <v/>
      </c>
      <c r="D71" s="678"/>
      <c r="E71" s="678" t="str">
        <f>IF('Employee Detail FY24'!E72="","",'Employee Detail FY24'!E72)</f>
        <v/>
      </c>
      <c r="F71" s="678" t="str">
        <f>IF('Employee Detail FY24'!F72="","",'Employee Detail FY24'!F72)</f>
        <v/>
      </c>
      <c r="G71" s="678" t="str">
        <f>IF('Employee Detail FY24'!G72="","",'Employee Detail FY24'!G72)</f>
        <v/>
      </c>
      <c r="H71" s="386"/>
      <c r="I71" s="359" t="str">
        <f>IF('Employee Detail FY24'!I72="","",'Employee Detail FY24'!I72)</f>
        <v/>
      </c>
      <c r="J71" s="359" t="str">
        <f>IF('Employee Detail FY24'!J72="","",'Employee Detail FY24'!J72)</f>
        <v/>
      </c>
      <c r="K71" s="359" t="str">
        <f>IF('Employee Detail FY24'!K72="","",'Employee Detail FY24'!K72)</f>
        <v/>
      </c>
      <c r="L71" s="359" t="str">
        <f>IF('Employee Detail FY24'!L72="","",'Employee Detail FY24'!L72)</f>
        <v/>
      </c>
      <c r="M71" s="388">
        <v>1</v>
      </c>
      <c r="N71" s="386" t="str">
        <f>IF('Employee Detail FY24'!N72="","",'Employee Detail FY24'!N72)</f>
        <v/>
      </c>
      <c r="O71" s="386" t="str">
        <f>IF('Employee Detail FY24'!O72="","",'Employee Detail FY24'!O72)</f>
        <v/>
      </c>
      <c r="P71" s="386" t="str">
        <f>IF('Employee Detail FY24'!P72="","",'Employee Detail FY24'!P72)</f>
        <v/>
      </c>
      <c r="Q71" s="386" t="str">
        <f>IF('Employee Detail FY24'!Q72="","",'Employee Detail FY24'!Q72)</f>
        <v/>
      </c>
      <c r="R71" s="386" t="str">
        <f>IF('Employee Detail FY24'!R72="","",'Employee Detail FY24'!R72)</f>
        <v/>
      </c>
      <c r="S71" s="386" t="str">
        <f>IF('Employee Detail FY24'!S72="","",'Employee Detail FY24'!S72)</f>
        <v/>
      </c>
      <c r="T71" s="263" t="str">
        <f>+IF(R71="","",R71*S71)</f>
        <v/>
      </c>
      <c r="U71" s="269" t="str">
        <f>IF('Employee Detail FY24'!U72="","",'Employee Detail FY24'!U72)</f>
        <v/>
      </c>
      <c r="V71" s="270" t="str">
        <f>IF($U71="","",$U71*(1+$V$1))</f>
        <v/>
      </c>
      <c r="W71" s="270" t="str">
        <f>+IF(P71="EE",+V71*$W$1,"")</f>
        <v/>
      </c>
      <c r="X71" s="270" t="str">
        <f>_xlfn.IFS(P71="ER",V71,P71="EE",W71,P71="N",V71,P71="","")</f>
        <v/>
      </c>
      <c r="Y71" s="62">
        <v>0</v>
      </c>
      <c r="Z71" s="62">
        <v>0</v>
      </c>
      <c r="AA71" s="256">
        <f>SUM(X71:Z71)</f>
        <v>0</v>
      </c>
      <c r="AB71" s="3"/>
      <c r="AC71" s="62">
        <f>IF(AND(M71=1,P71&lt;&gt;"N"),$AC$1,"")</f>
        <v>7943.76</v>
      </c>
      <c r="AD71" s="62" t="str">
        <f>_xlfn.IFS(P71="N",$AD$1*AA71,P71="EE","",P71="ER","",P71="","")</f>
        <v/>
      </c>
      <c r="AE71" s="62" t="str">
        <f>_xlfn.IFS(P71="EE",X71*$AE$1,P71="ER",X71*$AE$2,P71="N","",P71="","")</f>
        <v/>
      </c>
      <c r="AF71" s="62" t="str">
        <f>+IF(AA71&gt;1,AA71*$AF$1,"")</f>
        <v/>
      </c>
      <c r="AG71" s="192">
        <v>0</v>
      </c>
      <c r="AH71" s="62" t="str">
        <f>+IF(AA71&gt;1,AA71*$AH$1,"")</f>
        <v/>
      </c>
      <c r="AI71" s="62">
        <f>+_xlfn.IFS(F71&lt;2300,(AA71*$AI$1),F71&gt;=2300,(AA71*$AI$2),F71="","")</f>
        <v>0</v>
      </c>
      <c r="AJ71" s="62"/>
      <c r="AK71" s="62">
        <v>0</v>
      </c>
      <c r="AL71" s="256">
        <f>SUM(AC71:AK71)</f>
        <v>7943.76</v>
      </c>
      <c r="AM71" s="256">
        <f>AA71</f>
        <v>0</v>
      </c>
      <c r="AN71" s="256">
        <f>SUM(AL71:AM71)</f>
        <v>7943.76</v>
      </c>
    </row>
    <row r="72" spans="1:40" hidden="1" x14ac:dyDescent="0.2">
      <c r="A72" s="3" t="str">
        <f>IF('Employee Detail FY24'!A72="","",'Employee Detail FY24'!A72)</f>
        <v/>
      </c>
      <c r="B72" s="647" t="str">
        <f>IF('Employee Detail FY24'!B72="","",'Employee Detail FY24'!B72)</f>
        <v/>
      </c>
      <c r="C72" s="647" t="str">
        <f>IF('Employee Detail FY24'!C72="","",'Employee Detail FY24'!C72)</f>
        <v/>
      </c>
      <c r="D72" s="647"/>
      <c r="E72" s="647" t="str">
        <f>IF('Employee Detail FY24'!E72="","",'Employee Detail FY24'!E72)</f>
        <v/>
      </c>
      <c r="F72" s="647" t="str">
        <f>IF('Employee Detail FY24'!F72="","",'Employee Detail FY24'!F72)</f>
        <v/>
      </c>
      <c r="G72" s="647" t="str">
        <f>IF('Employee Detail FY24'!G72="","",'Employee Detail FY24'!G72)</f>
        <v/>
      </c>
      <c r="H72" s="3"/>
      <c r="I72" s="255" t="str">
        <f>IF('Employee Detail FY24'!I72="","",'Employee Detail FY24'!I72)</f>
        <v/>
      </c>
      <c r="J72" s="255" t="str">
        <f>IF('Employee Detail FY24'!J72="","",'Employee Detail FY24'!J72)</f>
        <v/>
      </c>
      <c r="K72" s="255" t="str">
        <f>IF('Employee Detail FY24'!K72="","",'Employee Detail FY24'!K72)</f>
        <v/>
      </c>
      <c r="L72" s="255" t="str">
        <f>IF('Employee Detail FY24'!L72="","",'Employee Detail FY24'!L72)</f>
        <v/>
      </c>
      <c r="M72" s="92" t="s">
        <v>386</v>
      </c>
      <c r="N72" s="3" t="str">
        <f>IF('Employee Detail FY24'!N72="","",'Employee Detail FY24'!N72)</f>
        <v/>
      </c>
      <c r="O72" s="3" t="str">
        <f>IF('Employee Detail FY24'!O72="","",'Employee Detail FY24'!O72)</f>
        <v/>
      </c>
      <c r="P72" s="3" t="str">
        <f>IF('Employee Detail FY24'!P72="","",'Employee Detail FY24'!P72)</f>
        <v/>
      </c>
      <c r="Q72" s="3" t="str">
        <f>IF('Employee Detail FY24'!Q72="","",'Employee Detail FY24'!Q72)</f>
        <v/>
      </c>
      <c r="R72" s="3" t="str">
        <f>IF('Employee Detail FY24'!R72="","",'Employee Detail FY24'!R72)</f>
        <v/>
      </c>
      <c r="S72" s="3" t="str">
        <f>IF('Employee Detail FY24'!S72="","",'Employee Detail FY24'!S72)</f>
        <v/>
      </c>
      <c r="T72" s="263" t="str">
        <f t="shared" si="20"/>
        <v/>
      </c>
      <c r="U72" s="269" t="str">
        <f>IF('Employee Detail FY24'!U72="","",'Employee Detail FY24'!U72)</f>
        <v/>
      </c>
      <c r="V72" s="270" t="str">
        <f t="shared" si="21"/>
        <v/>
      </c>
      <c r="W72" s="270" t="str">
        <f t="shared" si="22"/>
        <v/>
      </c>
      <c r="X72" s="270" t="str">
        <f t="shared" si="23"/>
        <v/>
      </c>
      <c r="Y72" s="62">
        <v>0</v>
      </c>
      <c r="Z72" s="62">
        <v>0</v>
      </c>
      <c r="AA72" s="256">
        <f t="shared" si="24"/>
        <v>0</v>
      </c>
      <c r="AB72" s="3"/>
      <c r="AC72" s="62" t="str">
        <f t="shared" si="25"/>
        <v/>
      </c>
      <c r="AD72" s="62" t="str">
        <f t="shared" si="26"/>
        <v/>
      </c>
      <c r="AE72" s="62" t="str">
        <f t="shared" si="27"/>
        <v/>
      </c>
      <c r="AF72" s="62" t="str">
        <f t="shared" si="28"/>
        <v/>
      </c>
      <c r="AG72" s="192">
        <v>0</v>
      </c>
      <c r="AH72" s="62" t="str">
        <f t="shared" si="29"/>
        <v/>
      </c>
      <c r="AI72" s="62">
        <f t="shared" si="30"/>
        <v>0</v>
      </c>
      <c r="AJ72" s="62"/>
      <c r="AK72" s="62">
        <v>0</v>
      </c>
      <c r="AL72" s="256">
        <f t="shared" si="31"/>
        <v>0</v>
      </c>
      <c r="AM72" s="256">
        <f t="shared" si="32"/>
        <v>0</v>
      </c>
      <c r="AN72" s="256">
        <f t="shared" si="33"/>
        <v>0</v>
      </c>
    </row>
    <row r="73" spans="1:40" hidden="1" x14ac:dyDescent="0.2">
      <c r="A73" s="3" t="str">
        <f>IF('Employee Detail FY24'!A73="","",'Employee Detail FY24'!A73)</f>
        <v/>
      </c>
      <c r="B73" s="647">
        <f>IF('Employee Detail FY24'!B73="","",'Employee Detail FY24'!B73)</f>
        <v>280</v>
      </c>
      <c r="C73" s="647">
        <f>IF('Employee Detail FY24'!C73="","",'Employee Detail FY24'!C73)</f>
        <v>658</v>
      </c>
      <c r="D73" s="647"/>
      <c r="E73" s="647">
        <f>IF('Employee Detail FY24'!E73="","",'Employee Detail FY24'!E73)</f>
        <v>420</v>
      </c>
      <c r="F73" s="647">
        <f>IF('Employee Detail FY24'!F73="","",'Employee Detail FY24'!F73)</f>
        <v>2120</v>
      </c>
      <c r="G73" s="647" t="str">
        <f>IF('Employee Detail FY24'!G73="","",'Employee Detail FY24'!G73)</f>
        <v>0107</v>
      </c>
      <c r="H73" s="3"/>
      <c r="I73" s="255" t="str">
        <f>IF('Employee Detail FY24'!I73="","",'Employee Detail FY24'!I73)</f>
        <v>GRIMM</v>
      </c>
      <c r="J73" s="255" t="str">
        <f>IF('Employee Detail FY24'!J73="","",'Employee Detail FY24'!J73)</f>
        <v>KELLI</v>
      </c>
      <c r="K73" s="255" t="str">
        <f>IF('Employee Detail FY24'!K73="","",'Employee Detail FY24'!K73)</f>
        <v>Support Staff</v>
      </c>
      <c r="L73" s="255" t="str">
        <f>IF('Employee Detail FY24'!L73="","",'Employee Detail FY24'!L73)</f>
        <v>STUDENT SUPPORT TITLE III ELL</v>
      </c>
      <c r="M73" s="92" t="s">
        <v>386</v>
      </c>
      <c r="N73" s="3" t="str">
        <f>IF('Employee Detail FY24'!N73="","",'Employee Detail FY24'!N73)</f>
        <v/>
      </c>
      <c r="O73" s="3" t="str">
        <f>IF('Employee Detail FY24'!O73="","",'Employee Detail FY24'!O73)</f>
        <v/>
      </c>
      <c r="P73" s="3" t="str">
        <f>IF('Employee Detail FY24'!P73="","",'Employee Detail FY24'!P73)</f>
        <v>N</v>
      </c>
      <c r="Q73" s="3" t="str">
        <f>IF('Employee Detail FY24'!Q73="","",'Employee Detail FY24'!Q73)</f>
        <v/>
      </c>
      <c r="R73" s="3" t="str">
        <f>IF('Employee Detail FY24'!R73="","",'Employee Detail FY24'!R73)</f>
        <v/>
      </c>
      <c r="S73" s="3" t="str">
        <f>IF('Employee Detail FY24'!S73="","",'Employee Detail FY24'!S73)</f>
        <v/>
      </c>
      <c r="T73" s="263" t="str">
        <f t="shared" si="20"/>
        <v/>
      </c>
      <c r="U73" s="269">
        <f>IF('Employee Detail FY24'!U73="","",'Employee Detail FY24'!U73)</f>
        <v>6683</v>
      </c>
      <c r="V73" s="270">
        <f t="shared" si="21"/>
        <v>7284.47</v>
      </c>
      <c r="W73" s="270" t="str">
        <f t="shared" si="22"/>
        <v/>
      </c>
      <c r="X73" s="270">
        <f t="shared" si="23"/>
        <v>7284.47</v>
      </c>
      <c r="Y73" s="62">
        <v>0</v>
      </c>
      <c r="Z73" s="62">
        <v>0</v>
      </c>
      <c r="AA73" s="256">
        <f t="shared" si="24"/>
        <v>7284.47</v>
      </c>
      <c r="AB73" s="3"/>
      <c r="AC73" s="62" t="str">
        <f t="shared" si="25"/>
        <v/>
      </c>
      <c r="AD73" s="62">
        <f t="shared" si="26"/>
        <v>451.63713999999999</v>
      </c>
      <c r="AE73" s="62" t="str">
        <f t="shared" si="27"/>
        <v/>
      </c>
      <c r="AF73" s="62">
        <f t="shared" si="28"/>
        <v>105.62481500000001</v>
      </c>
      <c r="AG73" s="192">
        <v>0</v>
      </c>
      <c r="AH73" s="62">
        <f t="shared" si="29"/>
        <v>66.305694300720674</v>
      </c>
      <c r="AI73" s="62">
        <f t="shared" si="30"/>
        <v>21.454211644592959</v>
      </c>
      <c r="AJ73" s="62"/>
      <c r="AK73" s="62">
        <v>0</v>
      </c>
      <c r="AL73" s="256">
        <f t="shared" si="31"/>
        <v>645.02186094531362</v>
      </c>
      <c r="AM73" s="256">
        <f t="shared" si="32"/>
        <v>7284.47</v>
      </c>
      <c r="AN73" s="256">
        <f t="shared" si="33"/>
        <v>7929.4918609453143</v>
      </c>
    </row>
    <row r="74" spans="1:40" hidden="1" x14ac:dyDescent="0.2">
      <c r="A74" s="3" t="str">
        <f>IF('Employee Detail FY24'!A74="","",'Employee Detail FY24'!A74)</f>
        <v/>
      </c>
      <c r="B74" s="647" t="str">
        <f>IF('Employee Detail FY24'!B74="","",'Employee Detail FY24'!B74)</f>
        <v/>
      </c>
      <c r="C74" s="647" t="str">
        <f>IF('Employee Detail FY24'!C74="","",'Employee Detail FY24'!C74)</f>
        <v/>
      </c>
      <c r="D74" s="647"/>
      <c r="E74" s="647" t="str">
        <f>IF('Employee Detail FY24'!E74="","",'Employee Detail FY24'!E74)</f>
        <v/>
      </c>
      <c r="F74" s="647" t="str">
        <f>IF('Employee Detail FY24'!F74="","",'Employee Detail FY24'!F74)</f>
        <v/>
      </c>
      <c r="G74" s="647" t="str">
        <f>IF('Employee Detail FY24'!G74="","",'Employee Detail FY24'!G74)</f>
        <v/>
      </c>
      <c r="H74" s="3"/>
      <c r="I74" s="255" t="str">
        <f>IF('Employee Detail FY24'!I74="","",'Employee Detail FY24'!I74)</f>
        <v/>
      </c>
      <c r="J74" s="255" t="str">
        <f>IF('Employee Detail FY24'!J74="","",'Employee Detail FY24'!J74)</f>
        <v/>
      </c>
      <c r="K74" s="255" t="str">
        <f>IF('Employee Detail FY24'!K74="","",'Employee Detail FY24'!K74)</f>
        <v/>
      </c>
      <c r="L74" s="255" t="str">
        <f>IF('Employee Detail FY24'!L74="","",'Employee Detail FY24'!L74)</f>
        <v/>
      </c>
      <c r="M74" s="92" t="s">
        <v>386</v>
      </c>
      <c r="N74" s="3" t="str">
        <f>IF('Employee Detail FY24'!N74="","",'Employee Detail FY24'!N74)</f>
        <v/>
      </c>
      <c r="O74" s="3" t="str">
        <f>IF('Employee Detail FY24'!O74="","",'Employee Detail FY24'!O74)</f>
        <v/>
      </c>
      <c r="P74" s="3" t="str">
        <f>IF('Employee Detail FY24'!P74="","",'Employee Detail FY24'!P74)</f>
        <v/>
      </c>
      <c r="Q74" s="3" t="str">
        <f>IF('Employee Detail FY24'!Q74="","",'Employee Detail FY24'!Q74)</f>
        <v/>
      </c>
      <c r="R74" s="3" t="str">
        <f>IF('Employee Detail FY24'!R74="","",'Employee Detail FY24'!R74)</f>
        <v/>
      </c>
      <c r="S74" s="3" t="str">
        <f>IF('Employee Detail FY24'!S74="","",'Employee Detail FY24'!S74)</f>
        <v/>
      </c>
      <c r="T74" s="263" t="str">
        <f t="shared" si="20"/>
        <v/>
      </c>
      <c r="U74" s="269" t="str">
        <f>IF('Employee Detail FY24'!U74="","",'Employee Detail FY24'!U74)</f>
        <v/>
      </c>
      <c r="V74" s="270" t="str">
        <f t="shared" si="21"/>
        <v/>
      </c>
      <c r="W74" s="270" t="str">
        <f t="shared" si="22"/>
        <v/>
      </c>
      <c r="X74" s="270" t="str">
        <f t="shared" si="23"/>
        <v/>
      </c>
      <c r="Y74" s="62">
        <v>0</v>
      </c>
      <c r="Z74" s="62">
        <v>0</v>
      </c>
      <c r="AA74" s="256">
        <f t="shared" si="24"/>
        <v>0</v>
      </c>
      <c r="AB74" s="3"/>
      <c r="AC74" s="62" t="str">
        <f t="shared" si="25"/>
        <v/>
      </c>
      <c r="AD74" s="62" t="str">
        <f t="shared" si="26"/>
        <v/>
      </c>
      <c r="AE74" s="62" t="str">
        <f t="shared" si="27"/>
        <v/>
      </c>
      <c r="AF74" s="62" t="str">
        <f t="shared" si="28"/>
        <v/>
      </c>
      <c r="AG74" s="192">
        <v>0</v>
      </c>
      <c r="AH74" s="62" t="str">
        <f t="shared" si="29"/>
        <v/>
      </c>
      <c r="AI74" s="62">
        <f t="shared" si="30"/>
        <v>0</v>
      </c>
      <c r="AJ74" s="62"/>
      <c r="AK74" s="62">
        <v>0</v>
      </c>
      <c r="AL74" s="256">
        <f t="shared" si="31"/>
        <v>0</v>
      </c>
      <c r="AM74" s="256">
        <f t="shared" si="32"/>
        <v>0</v>
      </c>
      <c r="AN74" s="256">
        <f t="shared" si="33"/>
        <v>0</v>
      </c>
    </row>
    <row r="75" spans="1:40" x14ac:dyDescent="0.2">
      <c r="A75" s="3" t="str">
        <f>IF('Employee Detail FY24'!A75="","",'Employee Detail FY24'!A75)</f>
        <v/>
      </c>
      <c r="B75" s="647" t="str">
        <f>IF('Employee Detail FY24'!B75="","",'Employee Detail FY24'!B75)</f>
        <v>100</v>
      </c>
      <c r="C75" s="647" t="str">
        <f>IF('Employee Detail FY24'!C75="","",'Employee Detail FY24'!C75)</f>
        <v>000</v>
      </c>
      <c r="D75" s="647"/>
      <c r="E75" s="647" t="str">
        <f>IF('Employee Detail FY24'!E75="","",'Employee Detail FY24'!E75)</f>
        <v>140</v>
      </c>
      <c r="F75" s="647" t="str">
        <f>IF('Employee Detail FY24'!F75="","",'Employee Detail FY24'!F75)</f>
        <v>1000</v>
      </c>
      <c r="G75" s="647" t="str">
        <f>IF('Employee Detail FY24'!G75="","",'Employee Detail FY24'!G75)</f>
        <v>0101</v>
      </c>
      <c r="H75" s="3"/>
      <c r="I75" s="255" t="str">
        <f>IF('Employee Detail FY24'!I75="","",'Employee Detail FY24'!I75)</f>
        <v>SUMMER SCHOOL</v>
      </c>
      <c r="J75" s="255" t="str">
        <f>IF('Employee Detail FY24'!J75="","",'Employee Detail FY24'!J75)</f>
        <v>SUMMER SCHOOL</v>
      </c>
      <c r="K75" s="255" t="str">
        <f>IF('Employee Detail FY24'!K75="","",'Employee Detail FY24'!K75)</f>
        <v>Licensed Staff</v>
      </c>
      <c r="L75" s="255" t="str">
        <f>IF('Employee Detail FY24'!L75="","",'Employee Detail FY24'!L75)</f>
        <v>SUMMER SCHOOL</v>
      </c>
      <c r="M75" s="92">
        <v>0</v>
      </c>
      <c r="N75" s="3" t="str">
        <f>IF('Employee Detail FY24'!N75="","",'Employee Detail FY24'!N75)</f>
        <v/>
      </c>
      <c r="O75" s="3" t="str">
        <f>IF('Employee Detail FY24'!O75="","",'Employee Detail FY24'!O75)</f>
        <v/>
      </c>
      <c r="P75" s="3" t="str">
        <f>IF('Employee Detail FY24'!P75="","",'Employee Detail FY24'!P75)</f>
        <v>N</v>
      </c>
      <c r="Q75" s="3" t="str">
        <f>IF('Employee Detail FY24'!Q75="","",'Employee Detail FY24'!Q75)</f>
        <v/>
      </c>
      <c r="R75" s="3" t="str">
        <f>IF('Employee Detail FY24'!R75="","",'Employee Detail FY24'!R75)</f>
        <v/>
      </c>
      <c r="S75" s="3" t="str">
        <f>IF('Employee Detail FY24'!S75="","",'Employee Detail FY24'!S75)</f>
        <v/>
      </c>
      <c r="T75" s="263" t="str">
        <f t="shared" si="20"/>
        <v/>
      </c>
      <c r="U75" s="269">
        <f>IF('Employee Detail FY24'!U75="","",'Employee Detail FY24'!U75)</f>
        <v>0</v>
      </c>
      <c r="V75" s="270">
        <f t="shared" si="21"/>
        <v>0</v>
      </c>
      <c r="W75" s="270" t="str">
        <f t="shared" si="22"/>
        <v/>
      </c>
      <c r="X75" s="270">
        <f t="shared" si="23"/>
        <v>0</v>
      </c>
      <c r="Y75" s="62">
        <v>0</v>
      </c>
      <c r="Z75" s="62">
        <v>0</v>
      </c>
      <c r="AA75" s="256">
        <f t="shared" si="24"/>
        <v>0</v>
      </c>
      <c r="AB75" s="3"/>
      <c r="AC75" s="62" t="str">
        <f t="shared" si="25"/>
        <v/>
      </c>
      <c r="AD75" s="62">
        <f t="shared" si="26"/>
        <v>0</v>
      </c>
      <c r="AE75" s="62" t="str">
        <f t="shared" si="27"/>
        <v/>
      </c>
      <c r="AF75" s="62" t="str">
        <f t="shared" si="28"/>
        <v/>
      </c>
      <c r="AG75" s="192">
        <v>0</v>
      </c>
      <c r="AH75" s="62" t="str">
        <f t="shared" si="29"/>
        <v/>
      </c>
      <c r="AI75" s="62">
        <f t="shared" si="30"/>
        <v>0</v>
      </c>
      <c r="AJ75" s="62"/>
      <c r="AK75" s="62">
        <v>0</v>
      </c>
      <c r="AL75" s="256">
        <f t="shared" si="31"/>
        <v>0</v>
      </c>
      <c r="AM75" s="256">
        <f t="shared" si="32"/>
        <v>0</v>
      </c>
      <c r="AN75" s="256">
        <f t="shared" si="33"/>
        <v>0</v>
      </c>
    </row>
    <row r="76" spans="1:40" x14ac:dyDescent="0.2">
      <c r="A76" s="3" t="str">
        <f>IF('Employee Detail FY24'!A76="","",'Employee Detail FY24'!A76)</f>
        <v/>
      </c>
      <c r="B76" s="647" t="str">
        <f>IF('Employee Detail FY24'!B76="","",'Employee Detail FY24'!B76)</f>
        <v>280</v>
      </c>
      <c r="C76" s="647" t="str">
        <f>IF('Employee Detail FY24'!C76="","",'Employee Detail FY24'!C76)</f>
        <v>639</v>
      </c>
      <c r="D76" s="647"/>
      <c r="E76" s="647" t="str">
        <f>IF('Employee Detail FY24'!E76="","",'Employee Detail FY24'!E76)</f>
        <v>240</v>
      </c>
      <c r="F76" s="647" t="str">
        <f>IF('Employee Detail FY24'!F76="","",'Employee Detail FY24'!F76)</f>
        <v>1000</v>
      </c>
      <c r="G76" s="647" t="str">
        <f>IF('Employee Detail FY24'!G76="","",'Employee Detail FY24'!G76)</f>
        <v>0101</v>
      </c>
      <c r="H76" s="3"/>
      <c r="I76" s="255" t="str">
        <f>IF('Employee Detail FY24'!I76="","",'Employee Detail FY24'!I76)</f>
        <v>SUMMER SCHOOL</v>
      </c>
      <c r="J76" s="255" t="str">
        <f>IF('Employee Detail FY24'!J76="","",'Employee Detail FY24'!J76)</f>
        <v>EXTENDED SCHOOL YEAR</v>
      </c>
      <c r="K76" s="255" t="str">
        <f>IF('Employee Detail FY24'!K76="","",'Employee Detail FY24'!K76)</f>
        <v>Licensed Staff</v>
      </c>
      <c r="L76" s="255" t="str">
        <f>IF('Employee Detail FY24'!L76="","",'Employee Detail FY24'!L76)</f>
        <v>SUMMER SCHOOL EXTENDED SCHOOL YEAR</v>
      </c>
      <c r="M76" s="92">
        <v>0</v>
      </c>
      <c r="N76" s="3" t="str">
        <f>IF('Employee Detail FY24'!N76="","",'Employee Detail FY24'!N76)</f>
        <v/>
      </c>
      <c r="O76" s="3" t="str">
        <f>IF('Employee Detail FY24'!O76="","",'Employee Detail FY24'!O76)</f>
        <v/>
      </c>
      <c r="P76" s="3" t="str">
        <f>IF('Employee Detail FY24'!P76="","",'Employee Detail FY24'!P76)</f>
        <v>N</v>
      </c>
      <c r="Q76" s="3" t="str">
        <f>IF('Employee Detail FY24'!Q76="","",'Employee Detail FY24'!Q76)</f>
        <v/>
      </c>
      <c r="R76" s="3" t="str">
        <f>IF('Employee Detail FY24'!R76="","",'Employee Detail FY24'!R76)</f>
        <v/>
      </c>
      <c r="S76" s="3" t="str">
        <f>IF('Employee Detail FY24'!S76="","",'Employee Detail FY24'!S76)</f>
        <v/>
      </c>
      <c r="T76" s="263" t="str">
        <f t="shared" si="20"/>
        <v/>
      </c>
      <c r="U76" s="269">
        <f>IF('Employee Detail FY24'!U76="","",'Employee Detail FY24'!U76)</f>
        <v>0</v>
      </c>
      <c r="V76" s="270">
        <f t="shared" si="21"/>
        <v>0</v>
      </c>
      <c r="W76" s="270" t="str">
        <f t="shared" si="22"/>
        <v/>
      </c>
      <c r="X76" s="270">
        <f t="shared" si="23"/>
        <v>0</v>
      </c>
      <c r="Y76" s="62">
        <v>0</v>
      </c>
      <c r="Z76" s="62">
        <v>0</v>
      </c>
      <c r="AA76" s="256">
        <f t="shared" si="24"/>
        <v>0</v>
      </c>
      <c r="AB76" s="3"/>
      <c r="AC76" s="62" t="str">
        <f t="shared" si="25"/>
        <v/>
      </c>
      <c r="AD76" s="62">
        <f t="shared" si="26"/>
        <v>0</v>
      </c>
      <c r="AE76" s="62" t="str">
        <f t="shared" si="27"/>
        <v/>
      </c>
      <c r="AF76" s="62" t="str">
        <f t="shared" si="28"/>
        <v/>
      </c>
      <c r="AG76" s="192">
        <v>0</v>
      </c>
      <c r="AH76" s="62" t="str">
        <f t="shared" si="29"/>
        <v/>
      </c>
      <c r="AI76" s="62">
        <f t="shared" si="30"/>
        <v>0</v>
      </c>
      <c r="AJ76" s="62"/>
      <c r="AK76" s="62">
        <v>0</v>
      </c>
      <c r="AL76" s="256">
        <f t="shared" si="31"/>
        <v>0</v>
      </c>
      <c r="AM76" s="256">
        <f t="shared" si="32"/>
        <v>0</v>
      </c>
      <c r="AN76" s="256">
        <f t="shared" si="33"/>
        <v>0</v>
      </c>
    </row>
    <row r="77" spans="1:40" x14ac:dyDescent="0.2">
      <c r="A77" s="3" t="str">
        <f>IF('Employee Detail FY24'!A77="","",'Employee Detail FY24'!A77)</f>
        <v/>
      </c>
      <c r="B77" s="647" t="str">
        <f>IF('Employee Detail FY24'!B77="","",'Employee Detail FY24'!B77)</f>
        <v>100</v>
      </c>
      <c r="C77" s="647" t="str">
        <f>IF('Employee Detail FY24'!C77="","",'Employee Detail FY24'!C77)</f>
        <v>000</v>
      </c>
      <c r="D77" s="647"/>
      <c r="E77" s="647" t="str">
        <f>IF('Employee Detail FY24'!E77="","",'Employee Detail FY24'!E77)</f>
        <v>100</v>
      </c>
      <c r="F77" s="647" t="str">
        <f>IF('Employee Detail FY24'!F77="","",'Employee Detail FY24'!F77)</f>
        <v>1000</v>
      </c>
      <c r="G77" s="647" t="str">
        <f>IF('Employee Detail FY24'!G77="","",'Employee Detail FY24'!G77)</f>
        <v>0103</v>
      </c>
      <c r="H77" s="3"/>
      <c r="I77" s="255" t="str">
        <f>IF('Employee Detail FY24'!I77="","",'Employee Detail FY24'!I77)</f>
        <v>SUBSTITUTE</v>
      </c>
      <c r="J77" s="255" t="str">
        <f>IF('Employee Detail FY24'!J77="","",'Employee Detail FY24'!J77)</f>
        <v>SUBSTITUTE</v>
      </c>
      <c r="K77" s="255" t="str">
        <f>IF('Employee Detail FY24'!K77="","",'Employee Detail FY24'!K77)</f>
        <v>Licensed Staff</v>
      </c>
      <c r="L77" s="255" t="str">
        <f>IF('Employee Detail FY24'!L77="","",'Employee Detail FY24'!L77)</f>
        <v>SUBSTITUTE</v>
      </c>
      <c r="M77" s="92">
        <v>0</v>
      </c>
      <c r="N77" s="3" t="str">
        <f>IF('Employee Detail FY24'!N77="","",'Employee Detail FY24'!N77)</f>
        <v/>
      </c>
      <c r="O77" s="3" t="str">
        <f>IF('Employee Detail FY24'!O77="","",'Employee Detail FY24'!O77)</f>
        <v/>
      </c>
      <c r="P77" s="3" t="str">
        <f>IF('Employee Detail FY24'!P77="","",'Employee Detail FY24'!P77)</f>
        <v>N</v>
      </c>
      <c r="Q77" s="3" t="str">
        <f>IF('Employee Detail FY24'!Q77="","",'Employee Detail FY24'!Q77)</f>
        <v/>
      </c>
      <c r="R77" s="3" t="str">
        <f>IF('Employee Detail FY24'!R77="","",'Employee Detail FY24'!R77)</f>
        <v/>
      </c>
      <c r="S77" s="3" t="str">
        <f>IF('Employee Detail FY24'!S77="","",'Employee Detail FY24'!S77)</f>
        <v/>
      </c>
      <c r="T77" s="263" t="str">
        <f t="shared" si="20"/>
        <v/>
      </c>
      <c r="U77" s="269">
        <f>IF('Employee Detail FY24'!U77="","",'Employee Detail FY24'!U77)</f>
        <v>0</v>
      </c>
      <c r="V77" s="270">
        <f t="shared" si="21"/>
        <v>0</v>
      </c>
      <c r="W77" s="270" t="str">
        <f t="shared" si="22"/>
        <v/>
      </c>
      <c r="X77" s="270">
        <f t="shared" si="23"/>
        <v>0</v>
      </c>
      <c r="Y77" s="62">
        <v>0</v>
      </c>
      <c r="Z77" s="62">
        <v>0</v>
      </c>
      <c r="AA77" s="256">
        <f t="shared" si="24"/>
        <v>0</v>
      </c>
      <c r="AB77" s="3"/>
      <c r="AC77" s="62" t="str">
        <f t="shared" si="25"/>
        <v/>
      </c>
      <c r="AD77" s="62">
        <f t="shared" si="26"/>
        <v>0</v>
      </c>
      <c r="AE77" s="62" t="str">
        <f t="shared" si="27"/>
        <v/>
      </c>
      <c r="AF77" s="62" t="str">
        <f t="shared" si="28"/>
        <v/>
      </c>
      <c r="AG77" s="192">
        <v>0</v>
      </c>
      <c r="AH77" s="62" t="str">
        <f t="shared" si="29"/>
        <v/>
      </c>
      <c r="AI77" s="62">
        <f t="shared" si="30"/>
        <v>0</v>
      </c>
      <c r="AJ77" s="62"/>
      <c r="AK77" s="62">
        <v>0</v>
      </c>
      <c r="AL77" s="256">
        <f t="shared" si="31"/>
        <v>0</v>
      </c>
      <c r="AM77" s="256">
        <f t="shared" si="32"/>
        <v>0</v>
      </c>
      <c r="AN77" s="256">
        <f t="shared" si="33"/>
        <v>0</v>
      </c>
    </row>
    <row r="78" spans="1:40" hidden="1" x14ac:dyDescent="0.2">
      <c r="A78" s="3" t="str">
        <f>IF('Employee Detail FY24'!A78="","",'Employee Detail FY24'!A78)</f>
        <v/>
      </c>
      <c r="B78" s="647" t="str">
        <f>IF('Employee Detail FY24'!B78="","",'Employee Detail FY24'!B78)</f>
        <v/>
      </c>
      <c r="C78" s="647" t="str">
        <f>IF('Employee Detail FY24'!C78="","",'Employee Detail FY24'!C78)</f>
        <v/>
      </c>
      <c r="D78" s="647"/>
      <c r="E78" s="647" t="str">
        <f>IF('Employee Detail FY24'!E78="","",'Employee Detail FY24'!E78)</f>
        <v/>
      </c>
      <c r="F78" s="647" t="str">
        <f>IF('Employee Detail FY24'!F78="","",'Employee Detail FY24'!F78)</f>
        <v/>
      </c>
      <c r="G78" s="647" t="str">
        <f>IF('Employee Detail FY24'!G78="","",'Employee Detail FY24'!G78)</f>
        <v/>
      </c>
      <c r="H78" s="3"/>
      <c r="I78" s="255" t="str">
        <f>IF('Employee Detail FY24'!I78="","",'Employee Detail FY24'!I78)</f>
        <v/>
      </c>
      <c r="J78" s="255" t="str">
        <f>IF('Employee Detail FY24'!J78="","",'Employee Detail FY24'!J78)</f>
        <v/>
      </c>
      <c r="K78" s="255" t="str">
        <f>IF('Employee Detail FY24'!K78="","",'Employee Detail FY24'!K78)</f>
        <v/>
      </c>
      <c r="L78" s="255" t="str">
        <f>IF('Employee Detail FY24'!L78="","",'Employee Detail FY24'!L78)</f>
        <v/>
      </c>
      <c r="M78" s="92" t="s">
        <v>386</v>
      </c>
      <c r="N78" s="3" t="str">
        <f>IF('Employee Detail FY24'!N78="","",'Employee Detail FY24'!N78)</f>
        <v/>
      </c>
      <c r="O78" s="3" t="str">
        <f>IF('Employee Detail FY24'!O78="","",'Employee Detail FY24'!O78)</f>
        <v/>
      </c>
      <c r="P78" s="3" t="str">
        <f>IF('Employee Detail FY24'!P78="","",'Employee Detail FY24'!P78)</f>
        <v/>
      </c>
      <c r="Q78" s="3" t="str">
        <f>IF('Employee Detail FY24'!Q78="","",'Employee Detail FY24'!Q78)</f>
        <v/>
      </c>
      <c r="R78" s="3" t="str">
        <f>IF('Employee Detail FY24'!R78="","",'Employee Detail FY24'!R78)</f>
        <v/>
      </c>
      <c r="S78" s="3" t="str">
        <f>IF('Employee Detail FY24'!S78="","",'Employee Detail FY24'!S78)</f>
        <v/>
      </c>
      <c r="T78" s="263" t="str">
        <f t="shared" si="20"/>
        <v/>
      </c>
      <c r="U78" s="269">
        <f>IF('Employee Detail FY24'!U78="","",'Employee Detail FY24'!U78)</f>
        <v>0</v>
      </c>
      <c r="V78" s="270">
        <f t="shared" si="21"/>
        <v>0</v>
      </c>
      <c r="W78" s="270" t="str">
        <f t="shared" si="22"/>
        <v/>
      </c>
      <c r="X78" s="270" t="str">
        <f t="shared" si="23"/>
        <v/>
      </c>
      <c r="Y78" s="62">
        <v>0</v>
      </c>
      <c r="Z78" s="62">
        <v>0</v>
      </c>
      <c r="AA78" s="256">
        <f t="shared" si="24"/>
        <v>0</v>
      </c>
      <c r="AB78" s="3"/>
      <c r="AC78" s="62" t="str">
        <f t="shared" si="25"/>
        <v/>
      </c>
      <c r="AD78" s="62" t="str">
        <f t="shared" si="26"/>
        <v/>
      </c>
      <c r="AE78" s="62" t="str">
        <f t="shared" si="27"/>
        <v/>
      </c>
      <c r="AF78" s="62" t="str">
        <f t="shared" si="28"/>
        <v/>
      </c>
      <c r="AG78" s="192">
        <v>0</v>
      </c>
      <c r="AH78" s="62" t="str">
        <f t="shared" si="29"/>
        <v/>
      </c>
      <c r="AI78" s="62">
        <f t="shared" si="30"/>
        <v>0</v>
      </c>
      <c r="AJ78" s="62"/>
      <c r="AK78" s="62">
        <v>0</v>
      </c>
      <c r="AL78" s="256">
        <f t="shared" si="31"/>
        <v>0</v>
      </c>
      <c r="AM78" s="256">
        <f t="shared" si="32"/>
        <v>0</v>
      </c>
      <c r="AN78" s="256">
        <f t="shared" si="33"/>
        <v>0</v>
      </c>
    </row>
    <row r="79" spans="1:40" x14ac:dyDescent="0.2">
      <c r="A79" s="3" t="str">
        <f>IF('Employee Detail FY24'!A79="","",'Employee Detail FY24'!A79)</f>
        <v/>
      </c>
      <c r="B79" s="647" t="str">
        <f>IF('Employee Detail FY24'!B79="","",'Employee Detail FY24'!B79)</f>
        <v>280</v>
      </c>
      <c r="C79" s="647" t="str">
        <f>IF('Employee Detail FY24'!C79="","",'Employee Detail FY24'!C79)</f>
        <v>709</v>
      </c>
      <c r="D79" s="647"/>
      <c r="E79" s="647" t="str">
        <f>IF('Employee Detail FY24'!E79="","",'Employee Detail FY24'!E79)</f>
        <v>100</v>
      </c>
      <c r="F79" s="647" t="str">
        <f>IF('Employee Detail FY24'!F79="","",'Employee Detail FY24'!F79)</f>
        <v>1000</v>
      </c>
      <c r="G79" s="647" t="str">
        <f>IF('Employee Detail FY24'!G79="","",'Employee Detail FY24'!G79)</f>
        <v>0151</v>
      </c>
      <c r="H79" s="3"/>
      <c r="I79" s="255" t="str">
        <f>IF('Employee Detail FY24'!I79="","",'Employee Detail FY24'!I79)</f>
        <v>TITLE IIA</v>
      </c>
      <c r="J79" s="255" t="str">
        <f>IF('Employee Detail FY24'!J79="","",'Employee Detail FY24'!J79)</f>
        <v/>
      </c>
      <c r="K79" s="255" t="str">
        <f>IF('Employee Detail FY24'!K79="","",'Employee Detail FY24'!K79)</f>
        <v/>
      </c>
      <c r="L79" s="255" t="str">
        <f>IF('Employee Detail FY24'!L79="","",'Employee Detail FY24'!L79)</f>
        <v>TITLE IIA</v>
      </c>
      <c r="M79" s="92">
        <v>0</v>
      </c>
      <c r="N79" s="3" t="str">
        <f>IF('Employee Detail FY24'!N79="","",'Employee Detail FY24'!N79)</f>
        <v/>
      </c>
      <c r="O79" s="3" t="str">
        <f>IF('Employee Detail FY24'!O79="","",'Employee Detail FY24'!O79)</f>
        <v/>
      </c>
      <c r="P79" s="3" t="str">
        <f>IF('Employee Detail FY24'!P79="","",'Employee Detail FY24'!P79)</f>
        <v>N</v>
      </c>
      <c r="Q79" s="3" t="str">
        <f>IF('Employee Detail FY24'!Q79="","",'Employee Detail FY24'!Q79)</f>
        <v/>
      </c>
      <c r="R79" s="3" t="str">
        <f>IF('Employee Detail FY24'!R79="","",'Employee Detail FY24'!R79)</f>
        <v/>
      </c>
      <c r="S79" s="3" t="str">
        <f>IF('Employee Detail FY24'!S79="","",'Employee Detail FY24'!S79)</f>
        <v/>
      </c>
      <c r="T79" s="263" t="str">
        <f t="shared" si="20"/>
        <v/>
      </c>
      <c r="U79" s="269">
        <f>IF('Employee Detail FY24'!U79="","",'Employee Detail FY24'!U79)</f>
        <v>0</v>
      </c>
      <c r="V79" s="270">
        <f t="shared" si="21"/>
        <v>0</v>
      </c>
      <c r="W79" s="270" t="str">
        <f t="shared" si="22"/>
        <v/>
      </c>
      <c r="X79" s="270">
        <f t="shared" si="23"/>
        <v>0</v>
      </c>
      <c r="Y79" s="62">
        <v>0</v>
      </c>
      <c r="Z79" s="62">
        <v>0</v>
      </c>
      <c r="AA79" s="256">
        <f t="shared" si="24"/>
        <v>0</v>
      </c>
      <c r="AB79" s="3"/>
      <c r="AC79" s="62" t="str">
        <f t="shared" si="25"/>
        <v/>
      </c>
      <c r="AD79" s="62">
        <f t="shared" si="26"/>
        <v>0</v>
      </c>
      <c r="AE79" s="62" t="str">
        <f t="shared" si="27"/>
        <v/>
      </c>
      <c r="AF79" s="62" t="str">
        <f t="shared" si="28"/>
        <v/>
      </c>
      <c r="AG79" s="192">
        <v>0</v>
      </c>
      <c r="AH79" s="62" t="str">
        <f t="shared" si="29"/>
        <v/>
      </c>
      <c r="AI79" s="62">
        <f t="shared" si="30"/>
        <v>0</v>
      </c>
      <c r="AJ79" s="62"/>
      <c r="AK79" s="62">
        <v>0</v>
      </c>
      <c r="AL79" s="256">
        <f t="shared" si="31"/>
        <v>0</v>
      </c>
      <c r="AM79" s="256">
        <f t="shared" si="32"/>
        <v>0</v>
      </c>
      <c r="AN79" s="256">
        <f t="shared" si="33"/>
        <v>0</v>
      </c>
    </row>
    <row r="80" spans="1:40" hidden="1" x14ac:dyDescent="0.2">
      <c r="A80" s="3" t="str">
        <f>IF('Employee Detail FY24'!A80="","",'Employee Detail FY24'!A80)</f>
        <v/>
      </c>
      <c r="B80" s="647" t="str">
        <f>IF('Employee Detail FY24'!B80="","",'Employee Detail FY24'!B80)</f>
        <v/>
      </c>
      <c r="C80" s="647" t="str">
        <f>IF('Employee Detail FY24'!C80="","",'Employee Detail FY24'!C80)</f>
        <v/>
      </c>
      <c r="D80" s="647"/>
      <c r="E80" s="647" t="str">
        <f>IF('Employee Detail FY24'!E80="","",'Employee Detail FY24'!E80)</f>
        <v/>
      </c>
      <c r="F80" s="647" t="str">
        <f>IF('Employee Detail FY24'!F80="","",'Employee Detail FY24'!F80)</f>
        <v/>
      </c>
      <c r="G80" s="647" t="str">
        <f>IF('Employee Detail FY24'!G80="","",'Employee Detail FY24'!G80)</f>
        <v/>
      </c>
      <c r="H80" s="3"/>
      <c r="I80" s="255" t="str">
        <f>IF('Employee Detail FY24'!I80="","",'Employee Detail FY24'!I80)</f>
        <v/>
      </c>
      <c r="J80" s="255" t="str">
        <f>IF('Employee Detail FY24'!J80="","",'Employee Detail FY24'!J80)</f>
        <v/>
      </c>
      <c r="K80" s="255" t="str">
        <f>IF('Employee Detail FY24'!K80="","",'Employee Detail FY24'!K80)</f>
        <v/>
      </c>
      <c r="L80" s="255" t="str">
        <f>IF('Employee Detail FY24'!L80="","",'Employee Detail FY24'!L80)</f>
        <v/>
      </c>
      <c r="M80" s="92" t="s">
        <v>386</v>
      </c>
      <c r="N80" s="3" t="str">
        <f>IF('Employee Detail FY24'!N80="","",'Employee Detail FY24'!N80)</f>
        <v/>
      </c>
      <c r="O80" s="3" t="str">
        <f>IF('Employee Detail FY24'!O80="","",'Employee Detail FY24'!O80)</f>
        <v/>
      </c>
      <c r="P80" s="3" t="str">
        <f>IF('Employee Detail FY24'!P80="","",'Employee Detail FY24'!P80)</f>
        <v/>
      </c>
      <c r="Q80" s="3" t="str">
        <f>IF('Employee Detail FY24'!Q80="","",'Employee Detail FY24'!Q80)</f>
        <v/>
      </c>
      <c r="R80" s="3" t="str">
        <f>IF('Employee Detail FY24'!R80="","",'Employee Detail FY24'!R80)</f>
        <v/>
      </c>
      <c r="S80" s="3" t="str">
        <f>IF('Employee Detail FY24'!S80="","",'Employee Detail FY24'!S80)</f>
        <v/>
      </c>
      <c r="T80" s="263" t="str">
        <f t="shared" si="20"/>
        <v/>
      </c>
      <c r="U80" s="269" t="str">
        <f>IF('Employee Detail FY24'!U80="","",'Employee Detail FY24'!U80)</f>
        <v/>
      </c>
      <c r="V80" s="270" t="str">
        <f t="shared" si="21"/>
        <v/>
      </c>
      <c r="W80" s="270" t="str">
        <f t="shared" si="22"/>
        <v/>
      </c>
      <c r="X80" s="270" t="str">
        <f t="shared" si="23"/>
        <v/>
      </c>
      <c r="Y80" s="62">
        <v>0</v>
      </c>
      <c r="Z80" s="62">
        <v>0</v>
      </c>
      <c r="AA80" s="256">
        <f t="shared" si="24"/>
        <v>0</v>
      </c>
      <c r="AB80" s="3"/>
      <c r="AC80" s="62" t="str">
        <f t="shared" si="25"/>
        <v/>
      </c>
      <c r="AD80" s="62" t="str">
        <f t="shared" si="26"/>
        <v/>
      </c>
      <c r="AE80" s="62" t="str">
        <f t="shared" si="27"/>
        <v/>
      </c>
      <c r="AF80" s="62" t="str">
        <f t="shared" si="28"/>
        <v/>
      </c>
      <c r="AG80" s="192">
        <v>0</v>
      </c>
      <c r="AH80" s="62" t="str">
        <f t="shared" si="29"/>
        <v/>
      </c>
      <c r="AI80" s="62">
        <f t="shared" si="30"/>
        <v>0</v>
      </c>
      <c r="AJ80" s="62"/>
      <c r="AK80" s="62">
        <v>0</v>
      </c>
      <c r="AL80" s="256">
        <f t="shared" si="31"/>
        <v>0</v>
      </c>
      <c r="AM80" s="256">
        <f t="shared" si="32"/>
        <v>0</v>
      </c>
      <c r="AN80" s="256">
        <f t="shared" si="33"/>
        <v>0</v>
      </c>
    </row>
    <row r="81" spans="1:40" hidden="1" x14ac:dyDescent="0.2">
      <c r="A81" s="3" t="str">
        <f>IF('Employee Detail FY24'!A81="","",'Employee Detail FY24'!A81)</f>
        <v/>
      </c>
      <c r="B81" s="647" t="str">
        <f>IF('Employee Detail FY24'!B81="","",'Employee Detail FY24'!B81)</f>
        <v>280</v>
      </c>
      <c r="C81" s="647" t="str">
        <f>IF('Employee Detail FY24'!C81="","",'Employee Detail FY24'!C81)</f>
        <v>658</v>
      </c>
      <c r="D81" s="647"/>
      <c r="E81" s="647" t="str">
        <f>IF('Employee Detail FY24'!E81="","",'Employee Detail FY24'!E81)</f>
        <v>420</v>
      </c>
      <c r="F81" s="647" t="str">
        <f>IF('Employee Detail FY24'!F81="","",'Employee Detail FY24'!F81)</f>
        <v>2212</v>
      </c>
      <c r="G81" s="647" t="str">
        <f>IF('Employee Detail FY24'!G81="","",'Employee Detail FY24'!G81)</f>
        <v>0157</v>
      </c>
      <c r="H81" s="3"/>
      <c r="I81" s="255" t="str">
        <f>IF('Employee Detail FY24'!I81="","",'Employee Detail FY24'!I81)</f>
        <v>TITLE III</v>
      </c>
      <c r="J81" s="255" t="str">
        <f>IF('Employee Detail FY24'!J81="","",'Employee Detail FY24'!J81)</f>
        <v/>
      </c>
      <c r="K81" s="255" t="str">
        <f>IF('Employee Detail FY24'!K81="","",'Employee Detail FY24'!K81)</f>
        <v/>
      </c>
      <c r="L81" s="255" t="str">
        <f>IF('Employee Detail FY24'!L81="","",'Employee Detail FY24'!L81)</f>
        <v>TITLE III</v>
      </c>
      <c r="M81" s="92">
        <v>0</v>
      </c>
      <c r="N81" s="3" t="str">
        <f>IF('Employee Detail FY24'!N81="","",'Employee Detail FY24'!N81)</f>
        <v/>
      </c>
      <c r="O81" s="3" t="str">
        <f>IF('Employee Detail FY24'!O81="","",'Employee Detail FY24'!O81)</f>
        <v/>
      </c>
      <c r="P81" s="3" t="str">
        <f>IF('Employee Detail FY24'!P81="","",'Employee Detail FY24'!P81)</f>
        <v>N</v>
      </c>
      <c r="Q81" s="3" t="str">
        <f>IF('Employee Detail FY24'!Q81="","",'Employee Detail FY24'!Q81)</f>
        <v/>
      </c>
      <c r="R81" s="3" t="str">
        <f>IF('Employee Detail FY24'!R81="","",'Employee Detail FY24'!R81)</f>
        <v/>
      </c>
      <c r="S81" s="3" t="str">
        <f>IF('Employee Detail FY24'!S81="","",'Employee Detail FY24'!S81)</f>
        <v/>
      </c>
      <c r="T81" s="263" t="str">
        <f t="shared" si="20"/>
        <v/>
      </c>
      <c r="U81" s="269">
        <f>IF('Employee Detail FY24'!U81="","",'Employee Detail FY24'!U81)</f>
        <v>0</v>
      </c>
      <c r="V81" s="270">
        <f t="shared" si="21"/>
        <v>0</v>
      </c>
      <c r="W81" s="270" t="str">
        <f t="shared" si="22"/>
        <v/>
      </c>
      <c r="X81" s="270">
        <f t="shared" si="23"/>
        <v>0</v>
      </c>
      <c r="Y81" s="62">
        <v>0</v>
      </c>
      <c r="Z81" s="62">
        <v>0</v>
      </c>
      <c r="AA81" s="256">
        <f t="shared" si="24"/>
        <v>0</v>
      </c>
      <c r="AB81" s="3"/>
      <c r="AC81" s="62" t="str">
        <f t="shared" si="25"/>
        <v/>
      </c>
      <c r="AD81" s="62">
        <f t="shared" si="26"/>
        <v>0</v>
      </c>
      <c r="AE81" s="62" t="str">
        <f t="shared" si="27"/>
        <v/>
      </c>
      <c r="AF81" s="62" t="str">
        <f t="shared" si="28"/>
        <v/>
      </c>
      <c r="AG81" s="192">
        <v>0</v>
      </c>
      <c r="AH81" s="62" t="str">
        <f t="shared" si="29"/>
        <v/>
      </c>
      <c r="AI81" s="62">
        <f t="shared" si="30"/>
        <v>0</v>
      </c>
      <c r="AJ81" s="62"/>
      <c r="AK81" s="62">
        <v>0</v>
      </c>
      <c r="AL81" s="256">
        <f t="shared" si="31"/>
        <v>0</v>
      </c>
      <c r="AM81" s="256">
        <f t="shared" si="32"/>
        <v>0</v>
      </c>
      <c r="AN81" s="256">
        <f t="shared" si="33"/>
        <v>0</v>
      </c>
    </row>
    <row r="82" spans="1:40" hidden="1" x14ac:dyDescent="0.2">
      <c r="A82" s="3" t="str">
        <f>IF('Employee Detail FY24'!A82="","",'Employee Detail FY24'!A82)</f>
        <v/>
      </c>
      <c r="B82" s="647" t="str">
        <f>IF('Employee Detail FY24'!B82="","",'Employee Detail FY24'!B82)</f>
        <v>280</v>
      </c>
      <c r="C82" s="647" t="str">
        <f>IF('Employee Detail FY24'!C82="","",'Employee Detail FY24'!C82)</f>
        <v>658</v>
      </c>
      <c r="D82" s="647"/>
      <c r="E82" s="647" t="str">
        <f>IF('Employee Detail FY24'!E82="","",'Employee Detail FY24'!E82)</f>
        <v>420</v>
      </c>
      <c r="F82" s="647" t="str">
        <f>IF('Employee Detail FY24'!F82="","",'Employee Detail FY24'!F82)</f>
        <v>2110</v>
      </c>
      <c r="G82" s="647" t="str">
        <f>IF('Employee Detail FY24'!G82="","",'Employee Detail FY24'!G82)</f>
        <v>0157</v>
      </c>
      <c r="H82" s="3"/>
      <c r="I82" s="255" t="str">
        <f>IF('Employee Detail FY24'!I82="","",'Employee Detail FY24'!I82)</f>
        <v>TITLE III</v>
      </c>
      <c r="J82" s="255" t="str">
        <f>IF('Employee Detail FY24'!J82="","",'Employee Detail FY24'!J82)</f>
        <v/>
      </c>
      <c r="K82" s="255" t="str">
        <f>IF('Employee Detail FY24'!K82="","",'Employee Detail FY24'!K82)</f>
        <v/>
      </c>
      <c r="L82" s="255" t="str">
        <f>IF('Employee Detail FY24'!L82="","",'Employee Detail FY24'!L82)</f>
        <v>TITLE III</v>
      </c>
      <c r="M82" s="92">
        <v>0</v>
      </c>
      <c r="N82" s="3" t="str">
        <f>IF('Employee Detail FY24'!N82="","",'Employee Detail FY24'!N82)</f>
        <v/>
      </c>
      <c r="O82" s="3" t="str">
        <f>IF('Employee Detail FY24'!O82="","",'Employee Detail FY24'!O82)</f>
        <v/>
      </c>
      <c r="P82" s="3" t="str">
        <f>IF('Employee Detail FY24'!P82="","",'Employee Detail FY24'!P82)</f>
        <v>N</v>
      </c>
      <c r="Q82" s="3" t="str">
        <f>IF('Employee Detail FY24'!Q82="","",'Employee Detail FY24'!Q82)</f>
        <v/>
      </c>
      <c r="R82" s="3" t="str">
        <f>IF('Employee Detail FY24'!R82="","",'Employee Detail FY24'!R82)</f>
        <v/>
      </c>
      <c r="S82" s="3" t="str">
        <f>IF('Employee Detail FY24'!S82="","",'Employee Detail FY24'!S82)</f>
        <v/>
      </c>
      <c r="T82" s="263" t="str">
        <f t="shared" si="20"/>
        <v/>
      </c>
      <c r="U82" s="269">
        <f>IF('Employee Detail FY24'!U82="","",'Employee Detail FY24'!U82)</f>
        <v>0</v>
      </c>
      <c r="V82" s="270">
        <f t="shared" si="21"/>
        <v>0</v>
      </c>
      <c r="W82" s="270" t="str">
        <f t="shared" si="22"/>
        <v/>
      </c>
      <c r="X82" s="270">
        <f t="shared" si="23"/>
        <v>0</v>
      </c>
      <c r="Y82" s="62">
        <v>0</v>
      </c>
      <c r="Z82" s="62">
        <v>0</v>
      </c>
      <c r="AA82" s="256">
        <f t="shared" si="24"/>
        <v>0</v>
      </c>
      <c r="AB82" s="3"/>
      <c r="AC82" s="62" t="str">
        <f t="shared" si="25"/>
        <v/>
      </c>
      <c r="AD82" s="62">
        <f t="shared" si="26"/>
        <v>0</v>
      </c>
      <c r="AE82" s="62" t="str">
        <f t="shared" si="27"/>
        <v/>
      </c>
      <c r="AF82" s="62" t="str">
        <f t="shared" si="28"/>
        <v/>
      </c>
      <c r="AG82" s="192">
        <v>0</v>
      </c>
      <c r="AH82" s="62" t="str">
        <f t="shared" si="29"/>
        <v/>
      </c>
      <c r="AI82" s="62">
        <f t="shared" si="30"/>
        <v>0</v>
      </c>
      <c r="AJ82" s="62"/>
      <c r="AK82" s="62">
        <v>0</v>
      </c>
      <c r="AL82" s="256">
        <f t="shared" si="31"/>
        <v>0</v>
      </c>
      <c r="AM82" s="256">
        <f t="shared" si="32"/>
        <v>0</v>
      </c>
      <c r="AN82" s="256">
        <f t="shared" si="33"/>
        <v>0</v>
      </c>
    </row>
    <row r="83" spans="1:40" hidden="1" x14ac:dyDescent="0.2">
      <c r="A83" s="3" t="str">
        <f>IF('Employee Detail FY24'!A83="","",'Employee Detail FY24'!A83)</f>
        <v/>
      </c>
      <c r="B83" s="647" t="str">
        <f>IF('Employee Detail FY24'!B83="","",'Employee Detail FY24'!B83)</f>
        <v/>
      </c>
      <c r="C83" s="647" t="str">
        <f>IF('Employee Detail FY24'!C83="","",'Employee Detail FY24'!C83)</f>
        <v/>
      </c>
      <c r="D83" s="647"/>
      <c r="E83" s="647" t="str">
        <f>IF('Employee Detail FY24'!E83="","",'Employee Detail FY24'!E83)</f>
        <v/>
      </c>
      <c r="F83" s="647" t="str">
        <f>IF('Employee Detail FY24'!F83="","",'Employee Detail FY24'!F83)</f>
        <v/>
      </c>
      <c r="G83" s="647" t="str">
        <f>IF('Employee Detail FY24'!G83="","",'Employee Detail FY24'!G83)</f>
        <v/>
      </c>
      <c r="H83" s="3"/>
      <c r="I83" s="255" t="str">
        <f>IF('Employee Detail FY24'!I83="","",'Employee Detail FY24'!I83)</f>
        <v/>
      </c>
      <c r="J83" s="255" t="str">
        <f>IF('Employee Detail FY24'!J83="","",'Employee Detail FY24'!J83)</f>
        <v/>
      </c>
      <c r="K83" s="255" t="str">
        <f>IF('Employee Detail FY24'!K83="","",'Employee Detail FY24'!K83)</f>
        <v/>
      </c>
      <c r="L83" s="255" t="str">
        <f>IF('Employee Detail FY24'!L83="","",'Employee Detail FY24'!L83)</f>
        <v/>
      </c>
      <c r="M83" s="92" t="s">
        <v>386</v>
      </c>
      <c r="N83" s="3" t="str">
        <f>IF('Employee Detail FY24'!N83="","",'Employee Detail FY24'!N83)</f>
        <v/>
      </c>
      <c r="O83" s="3" t="str">
        <f>IF('Employee Detail FY24'!O83="","",'Employee Detail FY24'!O83)</f>
        <v/>
      </c>
      <c r="P83" s="3" t="str">
        <f>IF('Employee Detail FY24'!P83="","",'Employee Detail FY24'!P83)</f>
        <v/>
      </c>
      <c r="Q83" s="3" t="str">
        <f>IF('Employee Detail FY24'!Q83="","",'Employee Detail FY24'!Q83)</f>
        <v/>
      </c>
      <c r="R83" s="3" t="str">
        <f>IF('Employee Detail FY24'!R83="","",'Employee Detail FY24'!R83)</f>
        <v/>
      </c>
      <c r="S83" s="3" t="str">
        <f>IF('Employee Detail FY24'!S83="","",'Employee Detail FY24'!S83)</f>
        <v/>
      </c>
      <c r="T83" s="263" t="str">
        <f t="shared" si="20"/>
        <v/>
      </c>
      <c r="U83" s="269">
        <f>IF('Employee Detail FY24'!U83="","",'Employee Detail FY24'!U83)</f>
        <v>0</v>
      </c>
      <c r="V83" s="270">
        <f t="shared" si="21"/>
        <v>0</v>
      </c>
      <c r="W83" s="270" t="str">
        <f t="shared" si="22"/>
        <v/>
      </c>
      <c r="X83" s="270" t="str">
        <f t="shared" si="23"/>
        <v/>
      </c>
      <c r="Y83" s="62">
        <v>0</v>
      </c>
      <c r="Z83" s="62">
        <v>0</v>
      </c>
      <c r="AA83" s="256">
        <f t="shared" si="24"/>
        <v>0</v>
      </c>
      <c r="AB83" s="3"/>
      <c r="AC83" s="62" t="str">
        <f t="shared" si="25"/>
        <v/>
      </c>
      <c r="AD83" s="62" t="str">
        <f t="shared" si="26"/>
        <v/>
      </c>
      <c r="AE83" s="62" t="str">
        <f t="shared" si="27"/>
        <v/>
      </c>
      <c r="AF83" s="62" t="str">
        <f t="shared" si="28"/>
        <v/>
      </c>
      <c r="AG83" s="192">
        <v>0</v>
      </c>
      <c r="AH83" s="62" t="str">
        <f t="shared" si="29"/>
        <v/>
      </c>
      <c r="AI83" s="62">
        <f t="shared" si="30"/>
        <v>0</v>
      </c>
      <c r="AJ83" s="62"/>
      <c r="AK83" s="62">
        <v>0</v>
      </c>
      <c r="AL83" s="256">
        <f t="shared" si="31"/>
        <v>0</v>
      </c>
      <c r="AM83" s="256">
        <f t="shared" si="32"/>
        <v>0</v>
      </c>
      <c r="AN83" s="256">
        <f t="shared" si="33"/>
        <v>0</v>
      </c>
    </row>
    <row r="84" spans="1:40" x14ac:dyDescent="0.2">
      <c r="A84" s="3" t="str">
        <f>IF('Employee Detail FY24'!A84="","",'Employee Detail FY24'!A84)</f>
        <v/>
      </c>
      <c r="B84" s="647" t="str">
        <f>IF('Employee Detail FY24'!B84="","",'Employee Detail FY24'!B84)</f>
        <v>280</v>
      </c>
      <c r="C84" s="647" t="str">
        <f>IF('Employee Detail FY24'!C84="","",'Employee Detail FY24'!C84)</f>
        <v>624</v>
      </c>
      <c r="D84" s="647"/>
      <c r="E84" s="647" t="str">
        <f>IF('Employee Detail FY24'!E84="","",'Employee Detail FY24'!E84)</f>
        <v>430</v>
      </c>
      <c r="F84" s="647" t="str">
        <f>IF('Employee Detail FY24'!F84="","",'Employee Detail FY24'!F84)</f>
        <v>1000</v>
      </c>
      <c r="G84" s="647" t="str">
        <f>IF('Employee Detail FY24'!G84="","",'Employee Detail FY24'!G84)</f>
        <v>0151</v>
      </c>
      <c r="H84" s="3"/>
      <c r="I84" s="255" t="str">
        <f>IF('Employee Detail FY24'!I84="","",'Employee Detail FY24'!I84)</f>
        <v>TITLE I 1003A</v>
      </c>
      <c r="J84" s="255" t="str">
        <f>IF('Employee Detail FY24'!J84="","",'Employee Detail FY24'!J84)</f>
        <v>PD</v>
      </c>
      <c r="K84" s="255" t="str">
        <f>IF('Employee Detail FY24'!K84="","",'Employee Detail FY24'!K84)</f>
        <v/>
      </c>
      <c r="L84" s="255" t="str">
        <f>IF('Employee Detail FY24'!L84="","",'Employee Detail FY24'!L84)</f>
        <v>TITLE I 1003A PD</v>
      </c>
      <c r="M84" s="92">
        <v>0</v>
      </c>
      <c r="N84" s="3" t="str">
        <f>IF('Employee Detail FY24'!N84="","",'Employee Detail FY24'!N84)</f>
        <v/>
      </c>
      <c r="O84" s="3" t="str">
        <f>IF('Employee Detail FY24'!O84="","",'Employee Detail FY24'!O84)</f>
        <v/>
      </c>
      <c r="P84" s="3" t="str">
        <f>IF('Employee Detail FY24'!P84="","",'Employee Detail FY24'!P84)</f>
        <v>N</v>
      </c>
      <c r="Q84" s="3" t="str">
        <f>IF('Employee Detail FY24'!Q84="","",'Employee Detail FY24'!Q84)</f>
        <v/>
      </c>
      <c r="R84" s="3" t="str">
        <f>IF('Employee Detail FY24'!R84="","",'Employee Detail FY24'!R84)</f>
        <v/>
      </c>
      <c r="S84" s="3" t="str">
        <f>IF('Employee Detail FY24'!S84="","",'Employee Detail FY24'!S84)</f>
        <v/>
      </c>
      <c r="T84" s="263" t="str">
        <f t="shared" si="20"/>
        <v/>
      </c>
      <c r="U84" s="269">
        <f>IF('Employee Detail FY24'!U84="","",'Employee Detail FY24'!U84)</f>
        <v>0</v>
      </c>
      <c r="V84" s="270">
        <f t="shared" si="21"/>
        <v>0</v>
      </c>
      <c r="W84" s="270" t="str">
        <f t="shared" si="22"/>
        <v/>
      </c>
      <c r="X84" s="270">
        <f t="shared" si="23"/>
        <v>0</v>
      </c>
      <c r="Y84" s="62">
        <v>0</v>
      </c>
      <c r="Z84" s="62">
        <v>0</v>
      </c>
      <c r="AA84" s="256">
        <f t="shared" si="24"/>
        <v>0</v>
      </c>
      <c r="AB84" s="3"/>
      <c r="AC84" s="62" t="str">
        <f t="shared" si="25"/>
        <v/>
      </c>
      <c r="AD84" s="62">
        <f t="shared" si="26"/>
        <v>0</v>
      </c>
      <c r="AE84" s="62" t="str">
        <f t="shared" si="27"/>
        <v/>
      </c>
      <c r="AF84" s="62" t="str">
        <f t="shared" si="28"/>
        <v/>
      </c>
      <c r="AG84" s="192">
        <v>0</v>
      </c>
      <c r="AH84" s="62" t="str">
        <f t="shared" si="29"/>
        <v/>
      </c>
      <c r="AI84" s="62">
        <f t="shared" si="30"/>
        <v>0</v>
      </c>
      <c r="AJ84" s="62"/>
      <c r="AK84" s="62">
        <v>0</v>
      </c>
      <c r="AL84" s="256">
        <f t="shared" si="31"/>
        <v>0</v>
      </c>
      <c r="AM84" s="256">
        <f t="shared" si="32"/>
        <v>0</v>
      </c>
      <c r="AN84" s="256">
        <f t="shared" si="33"/>
        <v>0</v>
      </c>
    </row>
    <row r="85" spans="1:40" hidden="1" x14ac:dyDescent="0.2">
      <c r="A85" s="3" t="str">
        <f>IF('Employee Detail FY24'!A85="","",'Employee Detail FY24'!A85)</f>
        <v/>
      </c>
      <c r="B85" s="647" t="str">
        <f>IF('Employee Detail FY24'!B85="","",'Employee Detail FY24'!B85)</f>
        <v>280</v>
      </c>
      <c r="C85" s="647" t="str">
        <f>IF('Employee Detail FY24'!C85="","",'Employee Detail FY24'!C85)</f>
        <v>624</v>
      </c>
      <c r="D85" s="647"/>
      <c r="E85" s="647" t="str">
        <f>IF('Employee Detail FY24'!E85="","",'Employee Detail FY24'!E85)</f>
        <v>430</v>
      </c>
      <c r="F85" s="647" t="str">
        <f>IF('Employee Detail FY24'!F85="","",'Employee Detail FY24'!F85)</f>
        <v>2210</v>
      </c>
      <c r="G85" s="647" t="str">
        <f>IF('Employee Detail FY24'!G85="","",'Employee Detail FY24'!G85)</f>
        <v>0151</v>
      </c>
      <c r="H85" s="3"/>
      <c r="I85" s="255" t="str">
        <f>IF('Employee Detail FY24'!I85="","",'Employee Detail FY24'!I85)</f>
        <v>TITLE I 1003A</v>
      </c>
      <c r="J85" s="255" t="str">
        <f>IF('Employee Detail FY24'!J85="","",'Employee Detail FY24'!J85)</f>
        <v>PD</v>
      </c>
      <c r="K85" s="255" t="str">
        <f>IF('Employee Detail FY24'!K85="","",'Employee Detail FY24'!K85)</f>
        <v/>
      </c>
      <c r="L85" s="255" t="str">
        <f>IF('Employee Detail FY24'!L85="","",'Employee Detail FY24'!L85)</f>
        <v>TITLE I 1003A PD</v>
      </c>
      <c r="M85" s="92">
        <v>0</v>
      </c>
      <c r="N85" s="3" t="str">
        <f>IF('Employee Detail FY24'!N85="","",'Employee Detail FY24'!N85)</f>
        <v/>
      </c>
      <c r="O85" s="3" t="str">
        <f>IF('Employee Detail FY24'!O85="","",'Employee Detail FY24'!O85)</f>
        <v/>
      </c>
      <c r="P85" s="3" t="str">
        <f>IF('Employee Detail FY24'!P85="","",'Employee Detail FY24'!P85)</f>
        <v>N</v>
      </c>
      <c r="Q85" s="3" t="str">
        <f>IF('Employee Detail FY24'!Q85="","",'Employee Detail FY24'!Q85)</f>
        <v/>
      </c>
      <c r="R85" s="3" t="str">
        <f>IF('Employee Detail FY24'!R85="","",'Employee Detail FY24'!R85)</f>
        <v/>
      </c>
      <c r="S85" s="3" t="str">
        <f>IF('Employee Detail FY24'!S85="","",'Employee Detail FY24'!S85)</f>
        <v/>
      </c>
      <c r="T85" s="263" t="str">
        <f t="shared" si="20"/>
        <v/>
      </c>
      <c r="U85" s="269">
        <f>IF('Employee Detail FY24'!U85="","",'Employee Detail FY24'!U85)</f>
        <v>0</v>
      </c>
      <c r="V85" s="270">
        <f t="shared" si="21"/>
        <v>0</v>
      </c>
      <c r="W85" s="270" t="str">
        <f t="shared" si="22"/>
        <v/>
      </c>
      <c r="X85" s="270">
        <f t="shared" si="23"/>
        <v>0</v>
      </c>
      <c r="Y85" s="62">
        <v>0</v>
      </c>
      <c r="Z85" s="62">
        <v>0</v>
      </c>
      <c r="AA85" s="256">
        <f t="shared" si="24"/>
        <v>0</v>
      </c>
      <c r="AB85" s="3"/>
      <c r="AC85" s="62" t="str">
        <f t="shared" si="25"/>
        <v/>
      </c>
      <c r="AD85" s="62">
        <f t="shared" si="26"/>
        <v>0</v>
      </c>
      <c r="AE85" s="62" t="str">
        <f t="shared" si="27"/>
        <v/>
      </c>
      <c r="AF85" s="62" t="str">
        <f t="shared" si="28"/>
        <v/>
      </c>
      <c r="AG85" s="192">
        <v>0</v>
      </c>
      <c r="AH85" s="62" t="str">
        <f t="shared" si="29"/>
        <v/>
      </c>
      <c r="AI85" s="62">
        <f t="shared" si="30"/>
        <v>0</v>
      </c>
      <c r="AJ85" s="62"/>
      <c r="AK85" s="62">
        <v>0</v>
      </c>
      <c r="AL85" s="256">
        <f t="shared" si="31"/>
        <v>0</v>
      </c>
      <c r="AM85" s="256">
        <f t="shared" si="32"/>
        <v>0</v>
      </c>
      <c r="AN85" s="256">
        <f t="shared" si="33"/>
        <v>0</v>
      </c>
    </row>
    <row r="86" spans="1:40" x14ac:dyDescent="0.2">
      <c r="A86" s="3" t="str">
        <f>IF('Employee Detail FY24'!A86="","",'Employee Detail FY24'!A86)</f>
        <v/>
      </c>
      <c r="B86" s="647" t="str">
        <f>IF('Employee Detail FY24'!B86="","",'Employee Detail FY24'!B86)</f>
        <v>280</v>
      </c>
      <c r="C86" s="647" t="str">
        <f>IF('Employee Detail FY24'!C86="","",'Employee Detail FY24'!C86)</f>
        <v>624</v>
      </c>
      <c r="D86" s="647"/>
      <c r="E86" s="647" t="str">
        <f>IF('Employee Detail FY24'!E86="","",'Employee Detail FY24'!E86)</f>
        <v>430</v>
      </c>
      <c r="F86" s="647" t="str">
        <f>IF('Employee Detail FY24'!F86="","",'Employee Detail FY24'!F86)</f>
        <v>1000</v>
      </c>
      <c r="G86" s="647" t="str">
        <f>IF('Employee Detail FY24'!G86="","",'Employee Detail FY24'!G86)</f>
        <v>0152</v>
      </c>
      <c r="H86" s="3"/>
      <c r="I86" s="255" t="str">
        <f>IF('Employee Detail FY24'!I86="","",'Employee Detail FY24'!I86)</f>
        <v>TITLE I 1003A</v>
      </c>
      <c r="J86" s="255" t="str">
        <f>IF('Employee Detail FY24'!J86="","",'Employee Detail FY24'!J86)</f>
        <v>PD</v>
      </c>
      <c r="K86" s="255" t="str">
        <f>IF('Employee Detail FY24'!K86="","",'Employee Detail FY24'!K86)</f>
        <v/>
      </c>
      <c r="L86" s="255" t="str">
        <f>IF('Employee Detail FY24'!L86="","",'Employee Detail FY24'!L86)</f>
        <v>TITLE I 1003A PD</v>
      </c>
      <c r="M86" s="92">
        <v>0</v>
      </c>
      <c r="N86" s="3" t="str">
        <f>IF('Employee Detail FY24'!N86="","",'Employee Detail FY24'!N86)</f>
        <v/>
      </c>
      <c r="O86" s="3" t="str">
        <f>IF('Employee Detail FY24'!O86="","",'Employee Detail FY24'!O86)</f>
        <v/>
      </c>
      <c r="P86" s="3" t="str">
        <f>IF('Employee Detail FY24'!P86="","",'Employee Detail FY24'!P86)</f>
        <v>N</v>
      </c>
      <c r="Q86" s="3" t="str">
        <f>IF('Employee Detail FY24'!Q86="","",'Employee Detail FY24'!Q86)</f>
        <v/>
      </c>
      <c r="R86" s="3" t="str">
        <f>IF('Employee Detail FY24'!R86="","",'Employee Detail FY24'!R86)</f>
        <v/>
      </c>
      <c r="S86" s="3" t="str">
        <f>IF('Employee Detail FY24'!S86="","",'Employee Detail FY24'!S86)</f>
        <v/>
      </c>
      <c r="T86" s="263" t="str">
        <f t="shared" si="20"/>
        <v/>
      </c>
      <c r="U86" s="269">
        <f>IF('Employee Detail FY24'!U86="","",'Employee Detail FY24'!U86)</f>
        <v>0</v>
      </c>
      <c r="V86" s="270">
        <f t="shared" si="21"/>
        <v>0</v>
      </c>
      <c r="W86" s="270" t="str">
        <f t="shared" si="22"/>
        <v/>
      </c>
      <c r="X86" s="270">
        <f t="shared" si="23"/>
        <v>0</v>
      </c>
      <c r="Y86" s="62">
        <v>0</v>
      </c>
      <c r="Z86" s="62">
        <v>0</v>
      </c>
      <c r="AA86" s="256">
        <f t="shared" si="24"/>
        <v>0</v>
      </c>
      <c r="AB86" s="3"/>
      <c r="AC86" s="62" t="str">
        <f t="shared" si="25"/>
        <v/>
      </c>
      <c r="AD86" s="62">
        <f t="shared" si="26"/>
        <v>0</v>
      </c>
      <c r="AE86" s="62" t="str">
        <f t="shared" si="27"/>
        <v/>
      </c>
      <c r="AF86" s="62" t="str">
        <f t="shared" si="28"/>
        <v/>
      </c>
      <c r="AG86" s="192">
        <v>0</v>
      </c>
      <c r="AH86" s="62" t="str">
        <f t="shared" si="29"/>
        <v/>
      </c>
      <c r="AI86" s="62">
        <f t="shared" si="30"/>
        <v>0</v>
      </c>
      <c r="AJ86" s="62"/>
      <c r="AK86" s="62">
        <v>0</v>
      </c>
      <c r="AL86" s="256">
        <f t="shared" si="31"/>
        <v>0</v>
      </c>
      <c r="AM86" s="256">
        <f t="shared" si="32"/>
        <v>0</v>
      </c>
      <c r="AN86" s="256">
        <f t="shared" si="33"/>
        <v>0</v>
      </c>
    </row>
    <row r="87" spans="1:40" hidden="1" x14ac:dyDescent="0.2">
      <c r="A87" s="3" t="str">
        <f>IF('Employee Detail FY24'!A87="","",'Employee Detail FY24'!A87)</f>
        <v/>
      </c>
      <c r="B87" s="647" t="str">
        <f>IF('Employee Detail FY24'!B87="","",'Employee Detail FY24'!B87)</f>
        <v>280</v>
      </c>
      <c r="C87" s="647" t="str">
        <f>IF('Employee Detail FY24'!C87="","",'Employee Detail FY24'!C87)</f>
        <v>624</v>
      </c>
      <c r="D87" s="647"/>
      <c r="E87" s="647" t="str">
        <f>IF('Employee Detail FY24'!E87="","",'Employee Detail FY24'!E87)</f>
        <v>430</v>
      </c>
      <c r="F87" s="647">
        <f>IF('Employee Detail FY24'!F87="","",'Employee Detail FY24'!F87)</f>
        <v>2410</v>
      </c>
      <c r="G87" s="647" t="str">
        <f>IF('Employee Detail FY24'!G87="","",'Employee Detail FY24'!G87)</f>
        <v>0154</v>
      </c>
      <c r="H87" s="3"/>
      <c r="I87" s="255" t="str">
        <f>IF('Employee Detail FY24'!I87="","",'Employee Detail FY24'!I87)</f>
        <v>TITLE I 1003A</v>
      </c>
      <c r="J87" s="255" t="str">
        <f>IF('Employee Detail FY24'!J87="","",'Employee Detail FY24'!J87)</f>
        <v>PD</v>
      </c>
      <c r="K87" s="255" t="str">
        <f>IF('Employee Detail FY24'!K87="","",'Employee Detail FY24'!K87)</f>
        <v/>
      </c>
      <c r="L87" s="255" t="str">
        <f>IF('Employee Detail FY24'!L87="","",'Employee Detail FY24'!L87)</f>
        <v>TITLE I 1003A PD</v>
      </c>
      <c r="M87" s="92">
        <v>0</v>
      </c>
      <c r="N87" s="3" t="str">
        <f>IF('Employee Detail FY24'!N87="","",'Employee Detail FY24'!N87)</f>
        <v/>
      </c>
      <c r="O87" s="3" t="str">
        <f>IF('Employee Detail FY24'!O87="","",'Employee Detail FY24'!O87)</f>
        <v/>
      </c>
      <c r="P87" s="3" t="str">
        <f>IF('Employee Detail FY24'!P87="","",'Employee Detail FY24'!P87)</f>
        <v>N</v>
      </c>
      <c r="Q87" s="3" t="str">
        <f>IF('Employee Detail FY24'!Q87="","",'Employee Detail FY24'!Q87)</f>
        <v/>
      </c>
      <c r="R87" s="3" t="str">
        <f>IF('Employee Detail FY24'!R87="","",'Employee Detail FY24'!R87)</f>
        <v/>
      </c>
      <c r="S87" s="3" t="str">
        <f>IF('Employee Detail FY24'!S87="","",'Employee Detail FY24'!S87)</f>
        <v/>
      </c>
      <c r="T87" s="263" t="str">
        <f t="shared" si="20"/>
        <v/>
      </c>
      <c r="U87" s="269">
        <f>IF('Employee Detail FY24'!U87="","",'Employee Detail FY24'!U87)</f>
        <v>0</v>
      </c>
      <c r="V87" s="270">
        <f t="shared" si="21"/>
        <v>0</v>
      </c>
      <c r="W87" s="270" t="str">
        <f t="shared" si="22"/>
        <v/>
      </c>
      <c r="X87" s="270">
        <f t="shared" si="23"/>
        <v>0</v>
      </c>
      <c r="Y87" s="62">
        <v>0</v>
      </c>
      <c r="Z87" s="62">
        <v>0</v>
      </c>
      <c r="AA87" s="256">
        <f t="shared" si="24"/>
        <v>0</v>
      </c>
      <c r="AB87" s="3"/>
      <c r="AC87" s="62" t="str">
        <f t="shared" si="25"/>
        <v/>
      </c>
      <c r="AD87" s="62">
        <f t="shared" si="26"/>
        <v>0</v>
      </c>
      <c r="AE87" s="62" t="str">
        <f t="shared" si="27"/>
        <v/>
      </c>
      <c r="AF87" s="62" t="str">
        <f t="shared" si="28"/>
        <v/>
      </c>
      <c r="AG87" s="192">
        <v>0</v>
      </c>
      <c r="AH87" s="62" t="str">
        <f t="shared" si="29"/>
        <v/>
      </c>
      <c r="AI87" s="62">
        <f t="shared" si="30"/>
        <v>0</v>
      </c>
      <c r="AJ87" s="62"/>
      <c r="AK87" s="62">
        <v>0</v>
      </c>
      <c r="AL87" s="256">
        <f t="shared" si="31"/>
        <v>0</v>
      </c>
      <c r="AM87" s="256">
        <f t="shared" si="32"/>
        <v>0</v>
      </c>
      <c r="AN87" s="256">
        <f t="shared" si="33"/>
        <v>0</v>
      </c>
    </row>
    <row r="88" spans="1:40" hidden="1" x14ac:dyDescent="0.2">
      <c r="A88" s="3" t="str">
        <f>IF('Employee Detail FY24'!A88="","",'Employee Detail FY24'!A88)</f>
        <v/>
      </c>
      <c r="B88" s="647" t="str">
        <f>IF('Employee Detail FY24'!B88="","",'Employee Detail FY24'!B88)</f>
        <v>280</v>
      </c>
      <c r="C88" s="647" t="str">
        <f>IF('Employee Detail FY24'!C88="","",'Employee Detail FY24'!C88)</f>
        <v>624</v>
      </c>
      <c r="D88" s="647"/>
      <c r="E88" s="647" t="str">
        <f>IF('Employee Detail FY24'!E88="","",'Employee Detail FY24'!E88)</f>
        <v>430</v>
      </c>
      <c r="F88" s="647" t="str">
        <f>IF('Employee Detail FY24'!F88="","",'Employee Detail FY24'!F88)</f>
        <v>2120</v>
      </c>
      <c r="G88" s="647" t="str">
        <f>IF('Employee Detail FY24'!G88="","",'Employee Detail FY24'!G88)</f>
        <v>0156</v>
      </c>
      <c r="H88" s="3"/>
      <c r="I88" s="255" t="str">
        <f>IF('Employee Detail FY24'!I88="","",'Employee Detail FY24'!I88)</f>
        <v>TITLE I 1003A</v>
      </c>
      <c r="J88" s="255" t="str">
        <f>IF('Employee Detail FY24'!J88="","",'Employee Detail FY24'!J88)</f>
        <v>PD</v>
      </c>
      <c r="K88" s="255" t="str">
        <f>IF('Employee Detail FY24'!K88="","",'Employee Detail FY24'!K88)</f>
        <v/>
      </c>
      <c r="L88" s="255" t="str">
        <f>IF('Employee Detail FY24'!L88="","",'Employee Detail FY24'!L88)</f>
        <v>TITLE I 1003A PD</v>
      </c>
      <c r="M88" s="92">
        <v>0</v>
      </c>
      <c r="N88" s="3" t="str">
        <f>IF('Employee Detail FY24'!N88="","",'Employee Detail FY24'!N88)</f>
        <v/>
      </c>
      <c r="O88" s="3" t="str">
        <f>IF('Employee Detail FY24'!O88="","",'Employee Detail FY24'!O88)</f>
        <v/>
      </c>
      <c r="P88" s="3" t="str">
        <f>IF('Employee Detail FY24'!P88="","",'Employee Detail FY24'!P88)</f>
        <v>N</v>
      </c>
      <c r="Q88" s="3" t="str">
        <f>IF('Employee Detail FY24'!Q88="","",'Employee Detail FY24'!Q88)</f>
        <v/>
      </c>
      <c r="R88" s="3" t="str">
        <f>IF('Employee Detail FY24'!R88="","",'Employee Detail FY24'!R88)</f>
        <v/>
      </c>
      <c r="S88" s="3" t="str">
        <f>IF('Employee Detail FY24'!S88="","",'Employee Detail FY24'!S88)</f>
        <v/>
      </c>
      <c r="T88" s="263" t="str">
        <f t="shared" si="20"/>
        <v/>
      </c>
      <c r="U88" s="269">
        <f>IF('Employee Detail FY24'!U88="","",'Employee Detail FY24'!U88)</f>
        <v>0</v>
      </c>
      <c r="V88" s="270">
        <f t="shared" si="21"/>
        <v>0</v>
      </c>
      <c r="W88" s="270" t="str">
        <f t="shared" si="22"/>
        <v/>
      </c>
      <c r="X88" s="270">
        <f t="shared" si="23"/>
        <v>0</v>
      </c>
      <c r="Y88" s="62">
        <v>0</v>
      </c>
      <c r="Z88" s="62">
        <v>0</v>
      </c>
      <c r="AA88" s="256">
        <f t="shared" si="24"/>
        <v>0</v>
      </c>
      <c r="AB88" s="3"/>
      <c r="AC88" s="62" t="str">
        <f t="shared" si="25"/>
        <v/>
      </c>
      <c r="AD88" s="62">
        <f t="shared" si="26"/>
        <v>0</v>
      </c>
      <c r="AE88" s="62" t="str">
        <f t="shared" si="27"/>
        <v/>
      </c>
      <c r="AF88" s="62" t="str">
        <f t="shared" si="28"/>
        <v/>
      </c>
      <c r="AG88" s="192">
        <v>0</v>
      </c>
      <c r="AH88" s="62" t="str">
        <f t="shared" si="29"/>
        <v/>
      </c>
      <c r="AI88" s="62">
        <f t="shared" si="30"/>
        <v>0</v>
      </c>
      <c r="AJ88" s="62"/>
      <c r="AK88" s="62">
        <v>0</v>
      </c>
      <c r="AL88" s="256">
        <f t="shared" si="31"/>
        <v>0</v>
      </c>
      <c r="AM88" s="256">
        <f t="shared" si="32"/>
        <v>0</v>
      </c>
      <c r="AN88" s="256">
        <f t="shared" si="33"/>
        <v>0</v>
      </c>
    </row>
    <row r="89" spans="1:40" hidden="1" x14ac:dyDescent="0.2">
      <c r="A89" s="3" t="str">
        <f>IF('Employee Detail FY24'!A89="","",'Employee Detail FY24'!A89)</f>
        <v/>
      </c>
      <c r="B89" s="647" t="str">
        <f>IF('Employee Detail FY24'!B89="","",'Employee Detail FY24'!B89)</f>
        <v>280</v>
      </c>
      <c r="C89" s="647" t="str">
        <f>IF('Employee Detail FY24'!C89="","",'Employee Detail FY24'!C89)</f>
        <v>624</v>
      </c>
      <c r="D89" s="647"/>
      <c r="E89" s="647" t="str">
        <f>IF('Employee Detail FY24'!E89="","",'Employee Detail FY24'!E89)</f>
        <v>430</v>
      </c>
      <c r="F89" s="647" t="str">
        <f>IF('Employee Detail FY24'!F89="","",'Employee Detail FY24'!F89)</f>
        <v>2140</v>
      </c>
      <c r="G89" s="647" t="str">
        <f>IF('Employee Detail FY24'!G89="","",'Employee Detail FY24'!G89)</f>
        <v>0156</v>
      </c>
      <c r="H89" s="3"/>
      <c r="I89" s="255" t="str">
        <f>IF('Employee Detail FY24'!I89="","",'Employee Detail FY24'!I89)</f>
        <v>TITLE I 1003A</v>
      </c>
      <c r="J89" s="255" t="str">
        <f>IF('Employee Detail FY24'!J89="","",'Employee Detail FY24'!J89)</f>
        <v>PD</v>
      </c>
      <c r="K89" s="255" t="str">
        <f>IF('Employee Detail FY24'!K89="","",'Employee Detail FY24'!K89)</f>
        <v/>
      </c>
      <c r="L89" s="255" t="str">
        <f>IF('Employee Detail FY24'!L89="","",'Employee Detail FY24'!L89)</f>
        <v>TITLE I 1003A PD</v>
      </c>
      <c r="M89" s="92">
        <v>0</v>
      </c>
      <c r="N89" s="3" t="str">
        <f>IF('Employee Detail FY24'!N89="","",'Employee Detail FY24'!N89)</f>
        <v/>
      </c>
      <c r="O89" s="3" t="str">
        <f>IF('Employee Detail FY24'!O89="","",'Employee Detail FY24'!O89)</f>
        <v/>
      </c>
      <c r="P89" s="3" t="str">
        <f>IF('Employee Detail FY24'!P89="","",'Employee Detail FY24'!P89)</f>
        <v>N</v>
      </c>
      <c r="Q89" s="3" t="str">
        <f>IF('Employee Detail FY24'!Q89="","",'Employee Detail FY24'!Q89)</f>
        <v/>
      </c>
      <c r="R89" s="3" t="str">
        <f>IF('Employee Detail FY24'!R89="","",'Employee Detail FY24'!R89)</f>
        <v/>
      </c>
      <c r="S89" s="3" t="str">
        <f>IF('Employee Detail FY24'!S89="","",'Employee Detail FY24'!S89)</f>
        <v/>
      </c>
      <c r="T89" s="263" t="str">
        <f t="shared" si="20"/>
        <v/>
      </c>
      <c r="U89" s="269">
        <f>IF('Employee Detail FY24'!U89="","",'Employee Detail FY24'!U89)</f>
        <v>0</v>
      </c>
      <c r="V89" s="270">
        <f t="shared" si="21"/>
        <v>0</v>
      </c>
      <c r="W89" s="270" t="str">
        <f t="shared" si="22"/>
        <v/>
      </c>
      <c r="X89" s="270">
        <f t="shared" si="23"/>
        <v>0</v>
      </c>
      <c r="Y89" s="62">
        <v>0</v>
      </c>
      <c r="Z89" s="62">
        <v>0</v>
      </c>
      <c r="AA89" s="256">
        <f t="shared" si="24"/>
        <v>0</v>
      </c>
      <c r="AB89" s="3"/>
      <c r="AC89" s="62" t="str">
        <f t="shared" si="25"/>
        <v/>
      </c>
      <c r="AD89" s="62">
        <f t="shared" si="26"/>
        <v>0</v>
      </c>
      <c r="AE89" s="62" t="str">
        <f t="shared" si="27"/>
        <v/>
      </c>
      <c r="AF89" s="62" t="str">
        <f t="shared" si="28"/>
        <v/>
      </c>
      <c r="AG89" s="192">
        <v>0</v>
      </c>
      <c r="AH89" s="62" t="str">
        <f t="shared" si="29"/>
        <v/>
      </c>
      <c r="AI89" s="62">
        <f t="shared" si="30"/>
        <v>0</v>
      </c>
      <c r="AJ89" s="62"/>
      <c r="AK89" s="62">
        <v>0</v>
      </c>
      <c r="AL89" s="256">
        <f t="shared" si="31"/>
        <v>0</v>
      </c>
      <c r="AM89" s="256">
        <f t="shared" si="32"/>
        <v>0</v>
      </c>
      <c r="AN89" s="256">
        <f t="shared" si="33"/>
        <v>0</v>
      </c>
    </row>
    <row r="90" spans="1:40" hidden="1" x14ac:dyDescent="0.2">
      <c r="A90" s="3" t="str">
        <f>IF('Employee Detail FY24'!A90="","",'Employee Detail FY24'!A90)</f>
        <v/>
      </c>
      <c r="B90" s="647" t="str">
        <f>IF('Employee Detail FY24'!B90="","",'Employee Detail FY24'!B90)</f>
        <v>280</v>
      </c>
      <c r="C90" s="647" t="str">
        <f>IF('Employee Detail FY24'!C90="","",'Employee Detail FY24'!C90)</f>
        <v>624</v>
      </c>
      <c r="D90" s="647"/>
      <c r="E90" s="647" t="str">
        <f>IF('Employee Detail FY24'!E90="","",'Employee Detail FY24'!E90)</f>
        <v>430</v>
      </c>
      <c r="F90" s="647" t="str">
        <f>IF('Employee Detail FY24'!F90="","",'Employee Detail FY24'!F90)</f>
        <v>2110</v>
      </c>
      <c r="G90" s="647" t="str">
        <f>IF('Employee Detail FY24'!G90="","",'Employee Detail FY24'!G90)</f>
        <v>0157</v>
      </c>
      <c r="H90" s="3"/>
      <c r="I90" s="255" t="str">
        <f>IF('Employee Detail FY24'!I90="","",'Employee Detail FY24'!I90)</f>
        <v>TITLE I 1003A</v>
      </c>
      <c r="J90" s="255" t="str">
        <f>IF('Employee Detail FY24'!J90="","",'Employee Detail FY24'!J90)</f>
        <v>PD</v>
      </c>
      <c r="K90" s="255" t="str">
        <f>IF('Employee Detail FY24'!K90="","",'Employee Detail FY24'!K90)</f>
        <v/>
      </c>
      <c r="L90" s="255" t="str">
        <f>IF('Employee Detail FY24'!L90="","",'Employee Detail FY24'!L90)</f>
        <v>TITLE I 1003A PD</v>
      </c>
      <c r="M90" s="92">
        <v>0</v>
      </c>
      <c r="N90" s="3" t="str">
        <f>IF('Employee Detail FY24'!N90="","",'Employee Detail FY24'!N90)</f>
        <v/>
      </c>
      <c r="O90" s="3" t="str">
        <f>IF('Employee Detail FY24'!O90="","",'Employee Detail FY24'!O90)</f>
        <v/>
      </c>
      <c r="P90" s="3" t="str">
        <f>IF('Employee Detail FY24'!P90="","",'Employee Detail FY24'!P90)</f>
        <v>N</v>
      </c>
      <c r="Q90" s="3" t="str">
        <f>IF('Employee Detail FY24'!Q90="","",'Employee Detail FY24'!Q90)</f>
        <v/>
      </c>
      <c r="R90" s="3" t="str">
        <f>IF('Employee Detail FY24'!R90="","",'Employee Detail FY24'!R90)</f>
        <v/>
      </c>
      <c r="S90" s="3" t="str">
        <f>IF('Employee Detail FY24'!S90="","",'Employee Detail FY24'!S90)</f>
        <v/>
      </c>
      <c r="T90" s="263" t="str">
        <f t="shared" si="20"/>
        <v/>
      </c>
      <c r="U90" s="269">
        <f>IF('Employee Detail FY24'!U90="","",'Employee Detail FY24'!U90)</f>
        <v>0</v>
      </c>
      <c r="V90" s="270">
        <f t="shared" si="21"/>
        <v>0</v>
      </c>
      <c r="W90" s="270" t="str">
        <f t="shared" si="22"/>
        <v/>
      </c>
      <c r="X90" s="270">
        <f t="shared" si="23"/>
        <v>0</v>
      </c>
      <c r="Y90" s="62">
        <v>0</v>
      </c>
      <c r="Z90" s="62">
        <v>0</v>
      </c>
      <c r="AA90" s="256">
        <f t="shared" si="24"/>
        <v>0</v>
      </c>
      <c r="AB90" s="3"/>
      <c r="AC90" s="62" t="str">
        <f t="shared" si="25"/>
        <v/>
      </c>
      <c r="AD90" s="62">
        <f t="shared" si="26"/>
        <v>0</v>
      </c>
      <c r="AE90" s="62" t="str">
        <f t="shared" si="27"/>
        <v/>
      </c>
      <c r="AF90" s="62" t="str">
        <f t="shared" si="28"/>
        <v/>
      </c>
      <c r="AG90" s="192">
        <v>0</v>
      </c>
      <c r="AH90" s="62" t="str">
        <f t="shared" si="29"/>
        <v/>
      </c>
      <c r="AI90" s="62">
        <f t="shared" si="30"/>
        <v>0</v>
      </c>
      <c r="AJ90" s="62"/>
      <c r="AK90" s="62">
        <v>0</v>
      </c>
      <c r="AL90" s="256">
        <f t="shared" si="31"/>
        <v>0</v>
      </c>
      <c r="AM90" s="256">
        <f t="shared" si="32"/>
        <v>0</v>
      </c>
      <c r="AN90" s="256">
        <f t="shared" si="33"/>
        <v>0</v>
      </c>
    </row>
    <row r="91" spans="1:40" hidden="1" x14ac:dyDescent="0.2">
      <c r="A91" s="3" t="str">
        <f>IF('Employee Detail FY24'!A91="","",'Employee Detail FY24'!A91)</f>
        <v/>
      </c>
      <c r="B91" s="647" t="str">
        <f>IF('Employee Detail FY24'!B91="","",'Employee Detail FY24'!B91)</f>
        <v>280</v>
      </c>
      <c r="C91" s="647" t="str">
        <f>IF('Employee Detail FY24'!C91="","",'Employee Detail FY24'!C91)</f>
        <v>624</v>
      </c>
      <c r="D91" s="647"/>
      <c r="E91" s="647" t="str">
        <f>IF('Employee Detail FY24'!E91="","",'Employee Detail FY24'!E91)</f>
        <v>430</v>
      </c>
      <c r="F91" s="647" t="str">
        <f>IF('Employee Detail FY24'!F91="","",'Employee Detail FY24'!F91)</f>
        <v>2212</v>
      </c>
      <c r="G91" s="647" t="str">
        <f>IF('Employee Detail FY24'!G91="","",'Employee Detail FY24'!G91)</f>
        <v>0157</v>
      </c>
      <c r="H91" s="3"/>
      <c r="I91" s="255" t="str">
        <f>IF('Employee Detail FY24'!I91="","",'Employee Detail FY24'!I91)</f>
        <v>TITLE I 1003A</v>
      </c>
      <c r="J91" s="255" t="str">
        <f>IF('Employee Detail FY24'!J91="","",'Employee Detail FY24'!J91)</f>
        <v>PD</v>
      </c>
      <c r="K91" s="255" t="str">
        <f>IF('Employee Detail FY24'!K91="","",'Employee Detail FY24'!K91)</f>
        <v/>
      </c>
      <c r="L91" s="255" t="str">
        <f>IF('Employee Detail FY24'!L91="","",'Employee Detail FY24'!L91)</f>
        <v>TITLE I 1003A PD</v>
      </c>
      <c r="M91" s="92">
        <v>0</v>
      </c>
      <c r="N91" s="3" t="str">
        <f>IF('Employee Detail FY24'!N91="","",'Employee Detail FY24'!N91)</f>
        <v/>
      </c>
      <c r="O91" s="3" t="str">
        <f>IF('Employee Detail FY24'!O91="","",'Employee Detail FY24'!O91)</f>
        <v/>
      </c>
      <c r="P91" s="3" t="str">
        <f>IF('Employee Detail FY24'!P91="","",'Employee Detail FY24'!P91)</f>
        <v>N</v>
      </c>
      <c r="Q91" s="3" t="str">
        <f>IF('Employee Detail FY24'!Q91="","",'Employee Detail FY24'!Q91)</f>
        <v/>
      </c>
      <c r="R91" s="3" t="str">
        <f>IF('Employee Detail FY24'!R91="","",'Employee Detail FY24'!R91)</f>
        <v/>
      </c>
      <c r="S91" s="3" t="str">
        <f>IF('Employee Detail FY24'!S91="","",'Employee Detail FY24'!S91)</f>
        <v/>
      </c>
      <c r="T91" s="263" t="str">
        <f t="shared" si="20"/>
        <v/>
      </c>
      <c r="U91" s="269">
        <f>IF('Employee Detail FY24'!U91="","",'Employee Detail FY24'!U91)</f>
        <v>0</v>
      </c>
      <c r="V91" s="270">
        <f t="shared" si="21"/>
        <v>0</v>
      </c>
      <c r="W91" s="270" t="str">
        <f t="shared" si="22"/>
        <v/>
      </c>
      <c r="X91" s="270">
        <f t="shared" si="23"/>
        <v>0</v>
      </c>
      <c r="Y91" s="62">
        <v>0</v>
      </c>
      <c r="Z91" s="62">
        <v>0</v>
      </c>
      <c r="AA91" s="256">
        <f t="shared" si="24"/>
        <v>0</v>
      </c>
      <c r="AB91" s="3"/>
      <c r="AC91" s="62" t="str">
        <f t="shared" si="25"/>
        <v/>
      </c>
      <c r="AD91" s="62">
        <f t="shared" si="26"/>
        <v>0</v>
      </c>
      <c r="AE91" s="62" t="str">
        <f t="shared" si="27"/>
        <v/>
      </c>
      <c r="AF91" s="62" t="str">
        <f t="shared" si="28"/>
        <v/>
      </c>
      <c r="AG91" s="192">
        <v>0</v>
      </c>
      <c r="AH91" s="62" t="str">
        <f t="shared" si="29"/>
        <v/>
      </c>
      <c r="AI91" s="62">
        <f t="shared" si="30"/>
        <v>0</v>
      </c>
      <c r="AJ91" s="62"/>
      <c r="AK91" s="62">
        <v>0</v>
      </c>
      <c r="AL91" s="256">
        <f t="shared" si="31"/>
        <v>0</v>
      </c>
      <c r="AM91" s="256">
        <f t="shared" si="32"/>
        <v>0</v>
      </c>
      <c r="AN91" s="256">
        <f t="shared" si="33"/>
        <v>0</v>
      </c>
    </row>
    <row r="92" spans="1:40" hidden="1" x14ac:dyDescent="0.2">
      <c r="A92" s="3" t="str">
        <f>IF('Employee Detail FY24'!A92="","",'Employee Detail FY24'!A92)</f>
        <v/>
      </c>
      <c r="B92" s="647" t="str">
        <f>IF('Employee Detail FY24'!B92="","",'Employee Detail FY24'!B92)</f>
        <v/>
      </c>
      <c r="C92" s="647" t="str">
        <f>IF('Employee Detail FY24'!C92="","",'Employee Detail FY24'!C92)</f>
        <v/>
      </c>
      <c r="D92" s="647"/>
      <c r="E92" s="647" t="str">
        <f>IF('Employee Detail FY24'!E92="","",'Employee Detail FY24'!E92)</f>
        <v/>
      </c>
      <c r="F92" s="647" t="str">
        <f>IF('Employee Detail FY24'!F92="","",'Employee Detail FY24'!F92)</f>
        <v/>
      </c>
      <c r="G92" s="647" t="str">
        <f>IF('Employee Detail FY24'!G92="","",'Employee Detail FY24'!G92)</f>
        <v/>
      </c>
      <c r="H92" s="3"/>
      <c r="I92" s="255" t="str">
        <f>IF('Employee Detail FY24'!I92="","",'Employee Detail FY24'!I92)</f>
        <v/>
      </c>
      <c r="J92" s="255" t="str">
        <f>IF('Employee Detail FY24'!J92="","",'Employee Detail FY24'!J92)</f>
        <v/>
      </c>
      <c r="K92" s="255" t="str">
        <f>IF('Employee Detail FY24'!K92="","",'Employee Detail FY24'!K92)</f>
        <v/>
      </c>
      <c r="L92" s="255" t="str">
        <f>IF('Employee Detail FY24'!L92="","",'Employee Detail FY24'!L92)</f>
        <v/>
      </c>
      <c r="M92" s="92" t="s">
        <v>386</v>
      </c>
      <c r="N92" s="3" t="str">
        <f>IF('Employee Detail FY24'!N92="","",'Employee Detail FY24'!N92)</f>
        <v/>
      </c>
      <c r="O92" s="3" t="str">
        <f>IF('Employee Detail FY24'!O92="","",'Employee Detail FY24'!O92)</f>
        <v/>
      </c>
      <c r="P92" s="3" t="str">
        <f>IF('Employee Detail FY24'!P92="","",'Employee Detail FY24'!P92)</f>
        <v/>
      </c>
      <c r="Q92" s="3" t="str">
        <f>IF('Employee Detail FY24'!Q92="","",'Employee Detail FY24'!Q92)</f>
        <v/>
      </c>
      <c r="R92" s="3" t="str">
        <f>IF('Employee Detail FY24'!R92="","",'Employee Detail FY24'!R92)</f>
        <v/>
      </c>
      <c r="S92" s="3" t="str">
        <f>IF('Employee Detail FY24'!S92="","",'Employee Detail FY24'!S92)</f>
        <v/>
      </c>
      <c r="T92" s="263" t="str">
        <f t="shared" si="20"/>
        <v/>
      </c>
      <c r="U92" s="269">
        <f>IF('Employee Detail FY24'!U92="","",'Employee Detail FY24'!U92)</f>
        <v>0</v>
      </c>
      <c r="V92" s="270">
        <f t="shared" si="21"/>
        <v>0</v>
      </c>
      <c r="W92" s="270" t="str">
        <f t="shared" si="22"/>
        <v/>
      </c>
      <c r="X92" s="270" t="str">
        <f t="shared" si="23"/>
        <v/>
      </c>
      <c r="Y92" s="62">
        <v>0</v>
      </c>
      <c r="Z92" s="62">
        <v>0</v>
      </c>
      <c r="AA92" s="256">
        <f t="shared" si="24"/>
        <v>0</v>
      </c>
      <c r="AB92" s="3"/>
      <c r="AC92" s="62" t="str">
        <f t="shared" si="25"/>
        <v/>
      </c>
      <c r="AD92" s="62" t="str">
        <f t="shared" si="26"/>
        <v/>
      </c>
      <c r="AE92" s="62" t="str">
        <f t="shared" si="27"/>
        <v/>
      </c>
      <c r="AF92" s="62" t="str">
        <f t="shared" si="28"/>
        <v/>
      </c>
      <c r="AG92" s="192">
        <v>0</v>
      </c>
      <c r="AH92" s="62" t="str">
        <f t="shared" si="29"/>
        <v/>
      </c>
      <c r="AI92" s="62">
        <f t="shared" si="30"/>
        <v>0</v>
      </c>
      <c r="AJ92" s="62"/>
      <c r="AK92" s="62">
        <v>0</v>
      </c>
      <c r="AL92" s="256">
        <f t="shared" si="31"/>
        <v>0</v>
      </c>
      <c r="AM92" s="256">
        <f t="shared" si="32"/>
        <v>0</v>
      </c>
      <c r="AN92" s="256">
        <f t="shared" si="33"/>
        <v>0</v>
      </c>
    </row>
    <row r="93" spans="1:40" x14ac:dyDescent="0.2">
      <c r="A93" s="3" t="str">
        <f>IF('Employee Detail FY24'!A93="","",'Employee Detail FY24'!A93)</f>
        <v>CSP</v>
      </c>
      <c r="B93" s="647" t="str">
        <f>IF('Employee Detail FY24'!B93="","",'Employee Detail FY24'!B93)</f>
        <v>100</v>
      </c>
      <c r="C93" s="647" t="str">
        <f>IF('Employee Detail FY24'!C93="","",'Employee Detail FY24'!C93)</f>
        <v>000</v>
      </c>
      <c r="D93" s="647"/>
      <c r="E93" s="647">
        <f>IF('Employee Detail FY24'!E93="","",'Employee Detail FY24'!E93)</f>
        <v>100</v>
      </c>
      <c r="F93" s="647" t="str">
        <f>IF('Employee Detail FY24'!F93="","",'Employee Detail FY24'!F93)</f>
        <v>1000</v>
      </c>
      <c r="G93" s="647" t="str">
        <f>IF('Employee Detail FY24'!G93="","",'Employee Detail FY24'!G93)</f>
        <v>0151</v>
      </c>
      <c r="H93" s="3"/>
      <c r="I93" s="255" t="str">
        <f>IF('Employee Detail FY24'!I93="","",'Employee Detail FY24'!I93)</f>
        <v>CSP PROFESSIONAL DEVELOPMENT</v>
      </c>
      <c r="J93" s="255" t="str">
        <f>IF('Employee Detail FY24'!J93="","",'Employee Detail FY24'!J93)</f>
        <v/>
      </c>
      <c r="K93" s="255" t="str">
        <f>IF('Employee Detail FY24'!K93="","",'Employee Detail FY24'!K93)</f>
        <v/>
      </c>
      <c r="L93" s="255" t="str">
        <f>IF('Employee Detail FY24'!L93="","",'Employee Detail FY24'!L93)</f>
        <v>CSP PROFESSIONAL DEVELOPMENT</v>
      </c>
      <c r="M93" s="92">
        <v>0</v>
      </c>
      <c r="N93" s="3" t="str">
        <f>IF('Employee Detail FY24'!N93="","",'Employee Detail FY24'!N93)</f>
        <v/>
      </c>
      <c r="O93" s="3" t="str">
        <f>IF('Employee Detail FY24'!O93="","",'Employee Detail FY24'!O93)</f>
        <v/>
      </c>
      <c r="P93" s="3" t="str">
        <f>IF('Employee Detail FY24'!P93="","",'Employee Detail FY24'!P93)</f>
        <v>N</v>
      </c>
      <c r="Q93" s="3" t="str">
        <f>IF('Employee Detail FY24'!Q93="","",'Employee Detail FY24'!Q93)</f>
        <v/>
      </c>
      <c r="R93" s="3" t="str">
        <f>IF('Employee Detail FY24'!R93="","",'Employee Detail FY24'!R93)</f>
        <v/>
      </c>
      <c r="S93" s="3" t="str">
        <f>IF('Employee Detail FY24'!S93="","",'Employee Detail FY24'!S93)</f>
        <v/>
      </c>
      <c r="T93" s="263" t="str">
        <f t="shared" si="20"/>
        <v/>
      </c>
      <c r="U93" s="269">
        <f>IF('Employee Detail FY24'!U93="","",'Employee Detail FY24'!U93)</f>
        <v>0</v>
      </c>
      <c r="V93" s="270">
        <f t="shared" si="21"/>
        <v>0</v>
      </c>
      <c r="W93" s="270" t="str">
        <f t="shared" si="22"/>
        <v/>
      </c>
      <c r="X93" s="270">
        <f t="shared" si="23"/>
        <v>0</v>
      </c>
      <c r="Y93" s="62">
        <v>0</v>
      </c>
      <c r="Z93" s="62">
        <v>0</v>
      </c>
      <c r="AA93" s="256">
        <f t="shared" si="24"/>
        <v>0</v>
      </c>
      <c r="AB93" s="3"/>
      <c r="AC93" s="62" t="str">
        <f t="shared" si="25"/>
        <v/>
      </c>
      <c r="AD93" s="62">
        <f t="shared" si="26"/>
        <v>0</v>
      </c>
      <c r="AE93" s="62" t="str">
        <f t="shared" si="27"/>
        <v/>
      </c>
      <c r="AF93" s="62" t="str">
        <f t="shared" si="28"/>
        <v/>
      </c>
      <c r="AG93" s="192">
        <v>0</v>
      </c>
      <c r="AH93" s="62" t="str">
        <f t="shared" si="29"/>
        <v/>
      </c>
      <c r="AI93" s="62">
        <f t="shared" si="30"/>
        <v>0</v>
      </c>
      <c r="AJ93" s="62"/>
      <c r="AK93" s="62">
        <v>0</v>
      </c>
      <c r="AL93" s="256">
        <f t="shared" si="31"/>
        <v>0</v>
      </c>
      <c r="AM93" s="256">
        <f t="shared" si="32"/>
        <v>0</v>
      </c>
      <c r="AN93" s="256">
        <f t="shared" si="33"/>
        <v>0</v>
      </c>
    </row>
    <row r="94" spans="1:40" x14ac:dyDescent="0.2">
      <c r="A94" s="3" t="str">
        <f>IF('Employee Detail FY24'!A94="","",'Employee Detail FY24'!A94)</f>
        <v>CSP</v>
      </c>
      <c r="B94" s="647" t="str">
        <f>IF('Employee Detail FY24'!B94="","",'Employee Detail FY24'!B94)</f>
        <v>100</v>
      </c>
      <c r="C94" s="647" t="str">
        <f>IF('Employee Detail FY24'!C94="","",'Employee Detail FY24'!C94)</f>
        <v>000</v>
      </c>
      <c r="D94" s="647"/>
      <c r="E94" s="647">
        <f>IF('Employee Detail FY24'!E94="","",'Employee Detail FY24'!E94)</f>
        <v>100</v>
      </c>
      <c r="F94" s="647" t="str">
        <f>IF('Employee Detail FY24'!F94="","",'Employee Detail FY24'!F94)</f>
        <v>1000</v>
      </c>
      <c r="G94" s="647" t="str">
        <f>IF('Employee Detail FY24'!G94="","",'Employee Detail FY24'!G94)</f>
        <v>0151</v>
      </c>
      <c r="H94" s="3"/>
      <c r="I94" s="255" t="str">
        <f>IF('Employee Detail FY24'!I94="","",'Employee Detail FY24'!I94)</f>
        <v>CSP PROFESSIONAL DEVELOPMENT</v>
      </c>
      <c r="J94" s="255" t="str">
        <f>IF('Employee Detail FY24'!J94="","",'Employee Detail FY24'!J94)</f>
        <v/>
      </c>
      <c r="K94" s="255" t="str">
        <f>IF('Employee Detail FY24'!K94="","",'Employee Detail FY24'!K94)</f>
        <v/>
      </c>
      <c r="L94" s="255" t="str">
        <f>IF('Employee Detail FY24'!L94="","",'Employee Detail FY24'!L94)</f>
        <v>CSP PROFESSIONAL DEVELOPMENT</v>
      </c>
      <c r="M94" s="92">
        <v>0</v>
      </c>
      <c r="N94" s="3" t="str">
        <f>IF('Employee Detail FY24'!N94="","",'Employee Detail FY24'!N94)</f>
        <v/>
      </c>
      <c r="O94" s="3" t="str">
        <f>IF('Employee Detail FY24'!O94="","",'Employee Detail FY24'!O94)</f>
        <v/>
      </c>
      <c r="P94" s="3" t="str">
        <f>IF('Employee Detail FY24'!P94="","",'Employee Detail FY24'!P94)</f>
        <v>N</v>
      </c>
      <c r="Q94" s="3" t="str">
        <f>IF('Employee Detail FY24'!Q94="","",'Employee Detail FY24'!Q94)</f>
        <v/>
      </c>
      <c r="R94" s="3" t="str">
        <f>IF('Employee Detail FY24'!R94="","",'Employee Detail FY24'!R94)</f>
        <v/>
      </c>
      <c r="S94" s="3" t="str">
        <f>IF('Employee Detail FY24'!S94="","",'Employee Detail FY24'!S94)</f>
        <v/>
      </c>
      <c r="T94" s="263" t="str">
        <f t="shared" si="20"/>
        <v/>
      </c>
      <c r="U94" s="269">
        <f>IF('Employee Detail FY24'!U94="","",'Employee Detail FY24'!U94)</f>
        <v>0</v>
      </c>
      <c r="V94" s="270">
        <f t="shared" si="21"/>
        <v>0</v>
      </c>
      <c r="W94" s="270" t="str">
        <f t="shared" si="22"/>
        <v/>
      </c>
      <c r="X94" s="270">
        <f t="shared" si="23"/>
        <v>0</v>
      </c>
      <c r="Y94" s="62">
        <v>0</v>
      </c>
      <c r="Z94" s="62">
        <v>0</v>
      </c>
      <c r="AA94" s="256">
        <f t="shared" si="24"/>
        <v>0</v>
      </c>
      <c r="AB94" s="3"/>
      <c r="AC94" s="62" t="str">
        <f t="shared" si="25"/>
        <v/>
      </c>
      <c r="AD94" s="62">
        <f t="shared" si="26"/>
        <v>0</v>
      </c>
      <c r="AE94" s="62" t="str">
        <f t="shared" si="27"/>
        <v/>
      </c>
      <c r="AF94" s="62" t="str">
        <f t="shared" si="28"/>
        <v/>
      </c>
      <c r="AG94" s="192">
        <v>0</v>
      </c>
      <c r="AH94" s="62" t="str">
        <f t="shared" si="29"/>
        <v/>
      </c>
      <c r="AI94" s="62">
        <f t="shared" si="30"/>
        <v>0</v>
      </c>
      <c r="AJ94" s="62"/>
      <c r="AK94" s="62">
        <v>0</v>
      </c>
      <c r="AL94" s="256">
        <f t="shared" si="31"/>
        <v>0</v>
      </c>
      <c r="AM94" s="256">
        <f t="shared" si="32"/>
        <v>0</v>
      </c>
      <c r="AN94" s="256">
        <f t="shared" si="33"/>
        <v>0</v>
      </c>
    </row>
    <row r="95" spans="1:40" x14ac:dyDescent="0.2">
      <c r="A95" s="3" t="str">
        <f>IF('Employee Detail FY24'!A95="","",'Employee Detail FY24'!A95)</f>
        <v>CSP</v>
      </c>
      <c r="B95" s="647" t="str">
        <f>IF('Employee Detail FY24'!B95="","",'Employee Detail FY24'!B95)</f>
        <v>100</v>
      </c>
      <c r="C95" s="647" t="str">
        <f>IF('Employee Detail FY24'!C95="","",'Employee Detail FY24'!C95)</f>
        <v>000</v>
      </c>
      <c r="D95" s="647"/>
      <c r="E95" s="647">
        <f>IF('Employee Detail FY24'!E95="","",'Employee Detail FY24'!E95)</f>
        <v>100</v>
      </c>
      <c r="F95" s="647" t="str">
        <f>IF('Employee Detail FY24'!F95="","",'Employee Detail FY24'!F95)</f>
        <v>1000</v>
      </c>
      <c r="G95" s="647" t="str">
        <f>IF('Employee Detail FY24'!G95="","",'Employee Detail FY24'!G95)</f>
        <v>0151</v>
      </c>
      <c r="H95" s="3"/>
      <c r="I95" s="255" t="str">
        <f>IF('Employee Detail FY24'!I95="","",'Employee Detail FY24'!I95)</f>
        <v>CSP PROFESSIONAL DEVELOPMENT</v>
      </c>
      <c r="J95" s="255" t="str">
        <f>IF('Employee Detail FY24'!J95="","",'Employee Detail FY24'!J95)</f>
        <v/>
      </c>
      <c r="K95" s="255" t="str">
        <f>IF('Employee Detail FY24'!K95="","",'Employee Detail FY24'!K95)</f>
        <v/>
      </c>
      <c r="L95" s="255" t="str">
        <f>IF('Employee Detail FY24'!L95="","",'Employee Detail FY24'!L95)</f>
        <v>CSP PROFESSIONAL DEVELOPMENT</v>
      </c>
      <c r="M95" s="92">
        <v>0</v>
      </c>
      <c r="N95" s="3" t="str">
        <f>IF('Employee Detail FY24'!N95="","",'Employee Detail FY24'!N95)</f>
        <v/>
      </c>
      <c r="O95" s="3" t="str">
        <f>IF('Employee Detail FY24'!O95="","",'Employee Detail FY24'!O95)</f>
        <v/>
      </c>
      <c r="P95" s="3" t="str">
        <f>IF('Employee Detail FY24'!P95="","",'Employee Detail FY24'!P95)</f>
        <v>N</v>
      </c>
      <c r="Q95" s="3" t="str">
        <f>IF('Employee Detail FY24'!Q95="","",'Employee Detail FY24'!Q95)</f>
        <v/>
      </c>
      <c r="R95" s="3" t="str">
        <f>IF('Employee Detail FY24'!R95="","",'Employee Detail FY24'!R95)</f>
        <v/>
      </c>
      <c r="S95" s="3" t="str">
        <f>IF('Employee Detail FY24'!S95="","",'Employee Detail FY24'!S95)</f>
        <v/>
      </c>
      <c r="T95" s="263" t="str">
        <f t="shared" si="20"/>
        <v/>
      </c>
      <c r="U95" s="269">
        <f>IF('Employee Detail FY24'!U95="","",'Employee Detail FY24'!U95)</f>
        <v>0</v>
      </c>
      <c r="V95" s="270">
        <f t="shared" si="21"/>
        <v>0</v>
      </c>
      <c r="W95" s="270" t="str">
        <f t="shared" si="22"/>
        <v/>
      </c>
      <c r="X95" s="270">
        <f t="shared" si="23"/>
        <v>0</v>
      </c>
      <c r="Y95" s="62">
        <v>0</v>
      </c>
      <c r="Z95" s="62">
        <v>0</v>
      </c>
      <c r="AA95" s="256">
        <f t="shared" si="24"/>
        <v>0</v>
      </c>
      <c r="AB95" s="3"/>
      <c r="AC95" s="62" t="str">
        <f t="shared" si="25"/>
        <v/>
      </c>
      <c r="AD95" s="62">
        <f t="shared" si="26"/>
        <v>0</v>
      </c>
      <c r="AE95" s="62" t="str">
        <f t="shared" si="27"/>
        <v/>
      </c>
      <c r="AF95" s="62" t="str">
        <f t="shared" si="28"/>
        <v/>
      </c>
      <c r="AG95" s="192">
        <v>0</v>
      </c>
      <c r="AH95" s="62" t="str">
        <f t="shared" si="29"/>
        <v/>
      </c>
      <c r="AI95" s="62">
        <f t="shared" si="30"/>
        <v>0</v>
      </c>
      <c r="AJ95" s="62"/>
      <c r="AK95" s="62">
        <v>0</v>
      </c>
      <c r="AL95" s="256">
        <f t="shared" si="31"/>
        <v>0</v>
      </c>
      <c r="AM95" s="256">
        <f t="shared" si="32"/>
        <v>0</v>
      </c>
      <c r="AN95" s="256">
        <f t="shared" si="33"/>
        <v>0</v>
      </c>
    </row>
    <row r="96" spans="1:40" hidden="1" x14ac:dyDescent="0.2">
      <c r="A96" s="3" t="str">
        <f>IF('Employee Detail FY24'!A96="","",'Employee Detail FY24'!A96)</f>
        <v/>
      </c>
      <c r="B96" s="647" t="str">
        <f>IF('Employee Detail FY24'!B96="","",'Employee Detail FY24'!B96)</f>
        <v/>
      </c>
      <c r="C96" s="647" t="str">
        <f>IF('Employee Detail FY24'!C96="","",'Employee Detail FY24'!C96)</f>
        <v/>
      </c>
      <c r="D96" s="647"/>
      <c r="E96" s="647" t="str">
        <f>IF('Employee Detail FY24'!E96="","",'Employee Detail FY24'!E96)</f>
        <v/>
      </c>
      <c r="F96" s="647" t="str">
        <f>IF('Employee Detail FY24'!F96="","",'Employee Detail FY24'!F96)</f>
        <v/>
      </c>
      <c r="G96" s="647" t="str">
        <f>IF('Employee Detail FY24'!G96="","",'Employee Detail FY24'!G96)</f>
        <v/>
      </c>
      <c r="H96" s="3"/>
      <c r="I96" s="255" t="str">
        <f>IF('Employee Detail FY24'!I96="","",'Employee Detail FY24'!I96)</f>
        <v/>
      </c>
      <c r="J96" s="255" t="str">
        <f>IF('Employee Detail FY24'!J96="","",'Employee Detail FY24'!J96)</f>
        <v/>
      </c>
      <c r="K96" s="255" t="str">
        <f>IF('Employee Detail FY24'!K96="","",'Employee Detail FY24'!K96)</f>
        <v/>
      </c>
      <c r="L96" s="255" t="str">
        <f>IF('Employee Detail FY24'!L96="","",'Employee Detail FY24'!L96)</f>
        <v/>
      </c>
      <c r="M96" s="92" t="s">
        <v>386</v>
      </c>
      <c r="N96" s="3" t="str">
        <f>IF('Employee Detail FY24'!N96="","",'Employee Detail FY24'!N96)</f>
        <v/>
      </c>
      <c r="O96" s="3" t="str">
        <f>IF('Employee Detail FY24'!O96="","",'Employee Detail FY24'!O96)</f>
        <v/>
      </c>
      <c r="P96" s="3" t="str">
        <f>IF('Employee Detail FY24'!P96="","",'Employee Detail FY24'!P96)</f>
        <v/>
      </c>
      <c r="Q96" s="3" t="str">
        <f>IF('Employee Detail FY24'!Q96="","",'Employee Detail FY24'!Q96)</f>
        <v/>
      </c>
      <c r="R96" s="3" t="str">
        <f>IF('Employee Detail FY24'!R96="","",'Employee Detail FY24'!R96)</f>
        <v/>
      </c>
      <c r="S96" s="3" t="str">
        <f>IF('Employee Detail FY24'!S96="","",'Employee Detail FY24'!S96)</f>
        <v/>
      </c>
      <c r="T96" s="263" t="str">
        <f t="shared" ref="T96:T104" si="34">+IF(R96="","",R96*S96)</f>
        <v/>
      </c>
      <c r="U96" s="269">
        <f>IF('Employee Detail FY24'!U96="","",'Employee Detail FY24'!U96)</f>
        <v>0</v>
      </c>
      <c r="V96" s="270">
        <f t="shared" si="21"/>
        <v>0</v>
      </c>
      <c r="W96" s="270" t="str">
        <f t="shared" ref="W96:W104" si="35">+IF(P96="EE",+V96*$W$1,"")</f>
        <v/>
      </c>
      <c r="X96" s="270" t="str">
        <f t="shared" ref="X96:X104" si="36">_xlfn.IFS(P96="ER",V96,P96="EE",W96,P96="N",V96,P96="","")</f>
        <v/>
      </c>
      <c r="Y96" s="62">
        <v>0</v>
      </c>
      <c r="Z96" s="62">
        <v>0</v>
      </c>
      <c r="AA96" s="256">
        <f t="shared" ref="AA96:AA104" si="37">SUM(X96:Z96)</f>
        <v>0</v>
      </c>
      <c r="AB96" s="3"/>
      <c r="AC96" s="62" t="str">
        <f t="shared" ref="AC96:AC104" si="38">IF(AND(M96=1,P96&lt;&gt;"N"),$AC$1,"")</f>
        <v/>
      </c>
      <c r="AD96" s="62" t="str">
        <f t="shared" ref="AD96:AD104" si="39">_xlfn.IFS(P96="N",$AD$1*AA96,P96="EE","",P96="ER","",P96="","")</f>
        <v/>
      </c>
      <c r="AE96" s="62" t="str">
        <f t="shared" ref="AE96:AE104" si="40">_xlfn.IFS(P96="EE",X96*$AE$1,P96="ER",X96*$AE$2,P96="N","",P96="","")</f>
        <v/>
      </c>
      <c r="AF96" s="62" t="str">
        <f t="shared" ref="AF96:AF104" si="41">+IF(AA96&gt;1,AA96*$AF$1,"")</f>
        <v/>
      </c>
      <c r="AG96" s="192">
        <v>0</v>
      </c>
      <c r="AH96" s="62" t="str">
        <f t="shared" ref="AH96:AH104" si="42">+IF(AA96&gt;1,AA96*$AH$1,"")</f>
        <v/>
      </c>
      <c r="AI96" s="62">
        <f t="shared" ref="AI96:AI104" si="43">+_xlfn.IFS(F96&lt;2300,(AA96*$AI$1),F96&gt;=2300,(AA96*$AI$2),F96="","")</f>
        <v>0</v>
      </c>
      <c r="AJ96" s="62"/>
      <c r="AK96" s="62">
        <v>0</v>
      </c>
      <c r="AL96" s="256">
        <f t="shared" ref="AL96:AL104" si="44">SUM(AC96:AK96)</f>
        <v>0</v>
      </c>
      <c r="AM96" s="256">
        <f t="shared" ref="AM96:AM104" si="45">AA96</f>
        <v>0</v>
      </c>
      <c r="AN96" s="256">
        <f t="shared" ref="AN96:AN104" si="46">SUM(AL96:AM96)</f>
        <v>0</v>
      </c>
    </row>
    <row r="97" spans="1:40" hidden="1" x14ac:dyDescent="0.2">
      <c r="A97" s="3" t="str">
        <f>IF('Employee Detail FY24'!A97="","",'Employee Detail FY24'!A97)</f>
        <v/>
      </c>
      <c r="B97" s="647" t="str">
        <f>IF('Employee Detail FY24'!B97="","",'Employee Detail FY24'!B97)</f>
        <v/>
      </c>
      <c r="C97" s="647" t="str">
        <f>IF('Employee Detail FY24'!C97="","",'Employee Detail FY24'!C97)</f>
        <v/>
      </c>
      <c r="D97" s="647"/>
      <c r="E97" s="647" t="str">
        <f>IF('Employee Detail FY24'!E97="","",'Employee Detail FY24'!E97)</f>
        <v/>
      </c>
      <c r="F97" s="647" t="str">
        <f>IF('Employee Detail FY24'!F97="","",'Employee Detail FY24'!F97)</f>
        <v/>
      </c>
      <c r="G97" s="647" t="str">
        <f>IF('Employee Detail FY24'!G97="","",'Employee Detail FY24'!G97)</f>
        <v/>
      </c>
      <c r="H97" s="3"/>
      <c r="I97" s="255" t="str">
        <f>IF('Employee Detail FY24'!I97="","",'Employee Detail FY24'!I97)</f>
        <v/>
      </c>
      <c r="J97" s="255" t="str">
        <f>IF('Employee Detail FY24'!J97="","",'Employee Detail FY24'!J97)</f>
        <v/>
      </c>
      <c r="K97" s="255" t="str">
        <f>IF('Employee Detail FY24'!K97="","",'Employee Detail FY24'!K97)</f>
        <v/>
      </c>
      <c r="L97" s="255" t="str">
        <f>IF('Employee Detail FY24'!L97="","",'Employee Detail FY24'!L97)</f>
        <v/>
      </c>
      <c r="M97" s="92" t="s">
        <v>386</v>
      </c>
      <c r="N97" s="3" t="str">
        <f>IF('Employee Detail FY24'!N97="","",'Employee Detail FY24'!N97)</f>
        <v/>
      </c>
      <c r="O97" s="3" t="str">
        <f>IF('Employee Detail FY24'!O97="","",'Employee Detail FY24'!O97)</f>
        <v/>
      </c>
      <c r="P97" s="3" t="str">
        <f>IF('Employee Detail FY24'!P97="","",'Employee Detail FY24'!P97)</f>
        <v/>
      </c>
      <c r="Q97" s="3" t="str">
        <f>IF('Employee Detail FY24'!Q97="","",'Employee Detail FY24'!Q97)</f>
        <v/>
      </c>
      <c r="R97" s="3" t="str">
        <f>IF('Employee Detail FY24'!R97="","",'Employee Detail FY24'!R97)</f>
        <v/>
      </c>
      <c r="S97" s="3" t="str">
        <f>IF('Employee Detail FY24'!S97="","",'Employee Detail FY24'!S97)</f>
        <v/>
      </c>
      <c r="T97" s="263" t="str">
        <f t="shared" si="34"/>
        <v/>
      </c>
      <c r="U97" s="269">
        <f>IF('Employee Detail FY24'!U97="","",'Employee Detail FY24'!U97)</f>
        <v>0</v>
      </c>
      <c r="V97" s="270">
        <f t="shared" si="21"/>
        <v>0</v>
      </c>
      <c r="W97" s="270" t="str">
        <f t="shared" si="35"/>
        <v/>
      </c>
      <c r="X97" s="270" t="str">
        <f t="shared" si="36"/>
        <v/>
      </c>
      <c r="Y97" s="62">
        <v>0</v>
      </c>
      <c r="Z97" s="62">
        <v>0</v>
      </c>
      <c r="AA97" s="256">
        <f t="shared" si="37"/>
        <v>0</v>
      </c>
      <c r="AB97" s="3"/>
      <c r="AC97" s="62" t="str">
        <f t="shared" si="38"/>
        <v/>
      </c>
      <c r="AD97" s="62" t="str">
        <f t="shared" si="39"/>
        <v/>
      </c>
      <c r="AE97" s="62" t="str">
        <f t="shared" si="40"/>
        <v/>
      </c>
      <c r="AF97" s="62" t="str">
        <f t="shared" si="41"/>
        <v/>
      </c>
      <c r="AG97" s="192">
        <v>0</v>
      </c>
      <c r="AH97" s="62" t="str">
        <f t="shared" si="42"/>
        <v/>
      </c>
      <c r="AI97" s="62">
        <f t="shared" si="43"/>
        <v>0</v>
      </c>
      <c r="AJ97" s="62"/>
      <c r="AK97" s="62">
        <v>0</v>
      </c>
      <c r="AL97" s="256">
        <f t="shared" si="44"/>
        <v>0</v>
      </c>
      <c r="AM97" s="256">
        <f t="shared" si="45"/>
        <v>0</v>
      </c>
      <c r="AN97" s="256">
        <f t="shared" si="46"/>
        <v>0</v>
      </c>
    </row>
    <row r="98" spans="1:40" hidden="1" x14ac:dyDescent="0.2">
      <c r="A98" s="3" t="str">
        <f>IF('Employee Detail FY24'!A98="","",'Employee Detail FY24'!A98)</f>
        <v/>
      </c>
      <c r="B98" s="647" t="str">
        <f>IF('Employee Detail FY24'!B98="","",'Employee Detail FY24'!B98)</f>
        <v/>
      </c>
      <c r="C98" s="647" t="str">
        <f>IF('Employee Detail FY24'!C98="","",'Employee Detail FY24'!C98)</f>
        <v/>
      </c>
      <c r="D98" s="647"/>
      <c r="E98" s="647" t="str">
        <f>IF('Employee Detail FY24'!E98="","",'Employee Detail FY24'!E98)</f>
        <v/>
      </c>
      <c r="F98" s="647" t="str">
        <f>IF('Employee Detail FY24'!F98="","",'Employee Detail FY24'!F98)</f>
        <v/>
      </c>
      <c r="G98" s="647" t="str">
        <f>IF('Employee Detail FY24'!G98="","",'Employee Detail FY24'!G98)</f>
        <v/>
      </c>
      <c r="H98" s="3"/>
      <c r="I98" s="255" t="str">
        <f>IF('Employee Detail FY24'!I98="","",'Employee Detail FY24'!I98)</f>
        <v/>
      </c>
      <c r="J98" s="255" t="str">
        <f>IF('Employee Detail FY24'!J98="","",'Employee Detail FY24'!J98)</f>
        <v/>
      </c>
      <c r="K98" s="255" t="str">
        <f>IF('Employee Detail FY24'!K98="","",'Employee Detail FY24'!K98)</f>
        <v/>
      </c>
      <c r="L98" s="255" t="str">
        <f>IF('Employee Detail FY24'!L98="","",'Employee Detail FY24'!L98)</f>
        <v/>
      </c>
      <c r="M98" s="92" t="s">
        <v>386</v>
      </c>
      <c r="N98" s="3" t="str">
        <f>IF('Employee Detail FY24'!N98="","",'Employee Detail FY24'!N98)</f>
        <v/>
      </c>
      <c r="O98" s="3" t="str">
        <f>IF('Employee Detail FY24'!O98="","",'Employee Detail FY24'!O98)</f>
        <v/>
      </c>
      <c r="P98" s="3" t="str">
        <f>IF('Employee Detail FY24'!P98="","",'Employee Detail FY24'!P98)</f>
        <v/>
      </c>
      <c r="Q98" s="3" t="str">
        <f>IF('Employee Detail FY24'!Q98="","",'Employee Detail FY24'!Q98)</f>
        <v/>
      </c>
      <c r="R98" s="3" t="str">
        <f>IF('Employee Detail FY24'!R98="","",'Employee Detail FY24'!R98)</f>
        <v/>
      </c>
      <c r="S98" s="3" t="str">
        <f>IF('Employee Detail FY24'!S98="","",'Employee Detail FY24'!S98)</f>
        <v/>
      </c>
      <c r="T98" s="263" t="str">
        <f t="shared" si="34"/>
        <v/>
      </c>
      <c r="U98" s="269">
        <f>IF('Employee Detail FY24'!U98="","",'Employee Detail FY24'!U98)</f>
        <v>0</v>
      </c>
      <c r="V98" s="270">
        <f t="shared" si="21"/>
        <v>0</v>
      </c>
      <c r="W98" s="270" t="str">
        <f t="shared" si="35"/>
        <v/>
      </c>
      <c r="X98" s="270" t="str">
        <f t="shared" si="36"/>
        <v/>
      </c>
      <c r="Y98" s="62">
        <v>0</v>
      </c>
      <c r="Z98" s="62">
        <v>0</v>
      </c>
      <c r="AA98" s="256">
        <f t="shared" si="37"/>
        <v>0</v>
      </c>
      <c r="AB98" s="3"/>
      <c r="AC98" s="62" t="str">
        <f t="shared" si="38"/>
        <v/>
      </c>
      <c r="AD98" s="62" t="str">
        <f t="shared" si="39"/>
        <v/>
      </c>
      <c r="AE98" s="62" t="str">
        <f t="shared" si="40"/>
        <v/>
      </c>
      <c r="AF98" s="62" t="str">
        <f t="shared" si="41"/>
        <v/>
      </c>
      <c r="AG98" s="192">
        <v>0</v>
      </c>
      <c r="AH98" s="62" t="str">
        <f t="shared" si="42"/>
        <v/>
      </c>
      <c r="AI98" s="62">
        <f t="shared" si="43"/>
        <v>0</v>
      </c>
      <c r="AJ98" s="62"/>
      <c r="AK98" s="62">
        <v>0</v>
      </c>
      <c r="AL98" s="256">
        <f t="shared" si="44"/>
        <v>0</v>
      </c>
      <c r="AM98" s="256">
        <f t="shared" si="45"/>
        <v>0</v>
      </c>
      <c r="AN98" s="256">
        <f t="shared" si="46"/>
        <v>0</v>
      </c>
    </row>
    <row r="99" spans="1:40" hidden="1" x14ac:dyDescent="0.2">
      <c r="A99" s="3" t="str">
        <f>IF('Employee Detail FY24'!A99="","",'Employee Detail FY24'!A99)</f>
        <v/>
      </c>
      <c r="B99" s="647" t="str">
        <f>IF('Employee Detail FY24'!B99="","",'Employee Detail FY24'!B99)</f>
        <v/>
      </c>
      <c r="C99" s="647" t="str">
        <f>IF('Employee Detail FY24'!C99="","",'Employee Detail FY24'!C99)</f>
        <v/>
      </c>
      <c r="D99" s="647"/>
      <c r="E99" s="647" t="str">
        <f>IF('Employee Detail FY24'!E99="","",'Employee Detail FY24'!E99)</f>
        <v/>
      </c>
      <c r="F99" s="647" t="str">
        <f>IF('Employee Detail FY24'!F99="","",'Employee Detail FY24'!F99)</f>
        <v/>
      </c>
      <c r="G99" s="647" t="str">
        <f>IF('Employee Detail FY24'!G99="","",'Employee Detail FY24'!G99)</f>
        <v/>
      </c>
      <c r="H99" s="3"/>
      <c r="I99" s="255" t="str">
        <f>IF('Employee Detail FY24'!I99="","",'Employee Detail FY24'!I99)</f>
        <v/>
      </c>
      <c r="J99" s="255" t="str">
        <f>IF('Employee Detail FY24'!J99="","",'Employee Detail FY24'!J99)</f>
        <v/>
      </c>
      <c r="K99" s="255" t="str">
        <f>IF('Employee Detail FY24'!K99="","",'Employee Detail FY24'!K99)</f>
        <v/>
      </c>
      <c r="L99" s="255" t="str">
        <f>IF('Employee Detail FY24'!L99="","",'Employee Detail FY24'!L99)</f>
        <v/>
      </c>
      <c r="M99" s="92" t="s">
        <v>386</v>
      </c>
      <c r="N99" s="3" t="str">
        <f>IF('Employee Detail FY24'!N99="","",'Employee Detail FY24'!N99)</f>
        <v/>
      </c>
      <c r="O99" s="3" t="str">
        <f>IF('Employee Detail FY24'!O99="","",'Employee Detail FY24'!O99)</f>
        <v/>
      </c>
      <c r="P99" s="3" t="str">
        <f>IF('Employee Detail FY24'!P99="","",'Employee Detail FY24'!P99)</f>
        <v/>
      </c>
      <c r="Q99" s="3" t="str">
        <f>IF('Employee Detail FY24'!Q99="","",'Employee Detail FY24'!Q99)</f>
        <v/>
      </c>
      <c r="R99" s="3" t="str">
        <f>IF('Employee Detail FY24'!R99="","",'Employee Detail FY24'!R99)</f>
        <v/>
      </c>
      <c r="S99" s="3" t="str">
        <f>IF('Employee Detail FY24'!S99="","",'Employee Detail FY24'!S99)</f>
        <v/>
      </c>
      <c r="T99" s="263" t="str">
        <f t="shared" si="34"/>
        <v/>
      </c>
      <c r="U99" s="269">
        <f>IF('Employee Detail FY24'!U99="","",'Employee Detail FY24'!U99)</f>
        <v>0</v>
      </c>
      <c r="V99" s="270">
        <f t="shared" si="21"/>
        <v>0</v>
      </c>
      <c r="W99" s="270" t="str">
        <f t="shared" si="35"/>
        <v/>
      </c>
      <c r="X99" s="270" t="str">
        <f t="shared" si="36"/>
        <v/>
      </c>
      <c r="Y99" s="62">
        <v>0</v>
      </c>
      <c r="Z99" s="62">
        <v>0</v>
      </c>
      <c r="AA99" s="256">
        <f t="shared" si="37"/>
        <v>0</v>
      </c>
      <c r="AB99" s="3"/>
      <c r="AC99" s="62" t="str">
        <f t="shared" si="38"/>
        <v/>
      </c>
      <c r="AD99" s="62" t="str">
        <f t="shared" si="39"/>
        <v/>
      </c>
      <c r="AE99" s="62" t="str">
        <f t="shared" si="40"/>
        <v/>
      </c>
      <c r="AF99" s="62" t="str">
        <f t="shared" si="41"/>
        <v/>
      </c>
      <c r="AG99" s="192">
        <v>0</v>
      </c>
      <c r="AH99" s="62" t="str">
        <f t="shared" si="42"/>
        <v/>
      </c>
      <c r="AI99" s="62">
        <f t="shared" si="43"/>
        <v>0</v>
      </c>
      <c r="AJ99" s="62"/>
      <c r="AK99" s="62">
        <v>0</v>
      </c>
      <c r="AL99" s="256">
        <f t="shared" si="44"/>
        <v>0</v>
      </c>
      <c r="AM99" s="256">
        <f t="shared" si="45"/>
        <v>0</v>
      </c>
      <c r="AN99" s="256">
        <f t="shared" si="46"/>
        <v>0</v>
      </c>
    </row>
    <row r="100" spans="1:40" hidden="1" x14ac:dyDescent="0.2">
      <c r="A100" s="3" t="str">
        <f>IF('Employee Detail FY24'!A100="","",'Employee Detail FY24'!A100)</f>
        <v/>
      </c>
      <c r="B100" s="647" t="str">
        <f>IF('Employee Detail FY24'!B100="","",'Employee Detail FY24'!B100)</f>
        <v/>
      </c>
      <c r="C100" s="647" t="str">
        <f>IF('Employee Detail FY24'!C100="","",'Employee Detail FY24'!C100)</f>
        <v/>
      </c>
      <c r="D100" s="647"/>
      <c r="E100" s="647" t="str">
        <f>IF('Employee Detail FY24'!E100="","",'Employee Detail FY24'!E100)</f>
        <v/>
      </c>
      <c r="F100" s="647" t="str">
        <f>IF('Employee Detail FY24'!F100="","",'Employee Detail FY24'!F100)</f>
        <v/>
      </c>
      <c r="G100" s="647" t="str">
        <f>IF('Employee Detail FY24'!G100="","",'Employee Detail FY24'!G100)</f>
        <v/>
      </c>
      <c r="H100" s="3"/>
      <c r="I100" s="255" t="str">
        <f>IF('Employee Detail FY24'!I100="","",'Employee Detail FY24'!I100)</f>
        <v/>
      </c>
      <c r="J100" s="255" t="str">
        <f>IF('Employee Detail FY24'!J100="","",'Employee Detail FY24'!J100)</f>
        <v/>
      </c>
      <c r="K100" s="255" t="str">
        <f>IF('Employee Detail FY24'!K100="","",'Employee Detail FY24'!K100)</f>
        <v/>
      </c>
      <c r="L100" s="255" t="str">
        <f>IF('Employee Detail FY24'!L100="","",'Employee Detail FY24'!L100)</f>
        <v/>
      </c>
      <c r="M100" s="92" t="s">
        <v>386</v>
      </c>
      <c r="N100" s="3" t="str">
        <f>IF('Employee Detail FY24'!N100="","",'Employee Detail FY24'!N100)</f>
        <v/>
      </c>
      <c r="O100" s="3" t="str">
        <f>IF('Employee Detail FY24'!O100="","",'Employee Detail FY24'!O100)</f>
        <v/>
      </c>
      <c r="P100" s="3" t="str">
        <f>IF('Employee Detail FY24'!P100="","",'Employee Detail FY24'!P100)</f>
        <v/>
      </c>
      <c r="Q100" s="3" t="str">
        <f>IF('Employee Detail FY24'!Q100="","",'Employee Detail FY24'!Q100)</f>
        <v/>
      </c>
      <c r="R100" s="3" t="str">
        <f>IF('Employee Detail FY24'!R100="","",'Employee Detail FY24'!R100)</f>
        <v/>
      </c>
      <c r="S100" s="3" t="str">
        <f>IF('Employee Detail FY24'!S100="","",'Employee Detail FY24'!S100)</f>
        <v/>
      </c>
      <c r="T100" s="263" t="str">
        <f t="shared" si="34"/>
        <v/>
      </c>
      <c r="U100" s="269">
        <f>IF('Employee Detail FY24'!U100="","",'Employee Detail FY24'!U100)</f>
        <v>0</v>
      </c>
      <c r="V100" s="270">
        <f t="shared" si="21"/>
        <v>0</v>
      </c>
      <c r="W100" s="270" t="str">
        <f t="shared" si="35"/>
        <v/>
      </c>
      <c r="X100" s="270" t="str">
        <f t="shared" si="36"/>
        <v/>
      </c>
      <c r="Y100" s="62">
        <v>0</v>
      </c>
      <c r="Z100" s="62">
        <v>0</v>
      </c>
      <c r="AA100" s="256">
        <f t="shared" si="37"/>
        <v>0</v>
      </c>
      <c r="AB100" s="3"/>
      <c r="AC100" s="62" t="str">
        <f t="shared" si="38"/>
        <v/>
      </c>
      <c r="AD100" s="62" t="str">
        <f t="shared" si="39"/>
        <v/>
      </c>
      <c r="AE100" s="62" t="str">
        <f t="shared" si="40"/>
        <v/>
      </c>
      <c r="AF100" s="62" t="str">
        <f t="shared" si="41"/>
        <v/>
      </c>
      <c r="AG100" s="192">
        <v>0</v>
      </c>
      <c r="AH100" s="62" t="str">
        <f t="shared" si="42"/>
        <v/>
      </c>
      <c r="AI100" s="62">
        <f t="shared" si="43"/>
        <v>0</v>
      </c>
      <c r="AJ100" s="62"/>
      <c r="AK100" s="62">
        <v>0</v>
      </c>
      <c r="AL100" s="256">
        <f t="shared" si="44"/>
        <v>0</v>
      </c>
      <c r="AM100" s="256">
        <f t="shared" si="45"/>
        <v>0</v>
      </c>
      <c r="AN100" s="256">
        <f t="shared" si="46"/>
        <v>0</v>
      </c>
    </row>
    <row r="101" spans="1:40" hidden="1" x14ac:dyDescent="0.2">
      <c r="A101" s="3" t="str">
        <f>IF('Employee Detail FY24'!A101="","",'Employee Detail FY24'!A101)</f>
        <v/>
      </c>
      <c r="B101" s="647" t="str">
        <f>IF('Employee Detail FY24'!B101="","",'Employee Detail FY24'!B101)</f>
        <v/>
      </c>
      <c r="C101" s="647" t="str">
        <f>IF('Employee Detail FY24'!C101="","",'Employee Detail FY24'!C101)</f>
        <v/>
      </c>
      <c r="D101" s="647"/>
      <c r="E101" s="647" t="str">
        <f>IF('Employee Detail FY24'!E101="","",'Employee Detail FY24'!E101)</f>
        <v/>
      </c>
      <c r="F101" s="647" t="str">
        <f>IF('Employee Detail FY24'!F101="","",'Employee Detail FY24'!F101)</f>
        <v/>
      </c>
      <c r="G101" s="647" t="str">
        <f>IF('Employee Detail FY24'!G101="","",'Employee Detail FY24'!G101)</f>
        <v/>
      </c>
      <c r="H101" s="3"/>
      <c r="I101" s="255" t="str">
        <f>IF('Employee Detail FY24'!I101="","",'Employee Detail FY24'!I101)</f>
        <v/>
      </c>
      <c r="J101" s="255" t="str">
        <f>IF('Employee Detail FY24'!J101="","",'Employee Detail FY24'!J101)</f>
        <v/>
      </c>
      <c r="K101" s="255" t="str">
        <f>IF('Employee Detail FY24'!K101="","",'Employee Detail FY24'!K101)</f>
        <v/>
      </c>
      <c r="L101" s="255" t="str">
        <f>IF('Employee Detail FY24'!L101="","",'Employee Detail FY24'!L101)</f>
        <v/>
      </c>
      <c r="M101" s="92" t="s">
        <v>386</v>
      </c>
      <c r="N101" s="3" t="str">
        <f>IF('Employee Detail FY24'!N101="","",'Employee Detail FY24'!N101)</f>
        <v/>
      </c>
      <c r="O101" s="3" t="str">
        <f>IF('Employee Detail FY24'!O101="","",'Employee Detail FY24'!O101)</f>
        <v/>
      </c>
      <c r="P101" s="3" t="str">
        <f>IF('Employee Detail FY24'!P101="","",'Employee Detail FY24'!P101)</f>
        <v/>
      </c>
      <c r="Q101" s="3" t="str">
        <f>IF('Employee Detail FY24'!Q101="","",'Employee Detail FY24'!Q101)</f>
        <v/>
      </c>
      <c r="R101" s="3" t="str">
        <f>IF('Employee Detail FY24'!R101="","",'Employee Detail FY24'!R101)</f>
        <v/>
      </c>
      <c r="S101" s="3" t="str">
        <f>IF('Employee Detail FY24'!S101="","",'Employee Detail FY24'!S101)</f>
        <v/>
      </c>
      <c r="T101" s="263" t="str">
        <f t="shared" si="34"/>
        <v/>
      </c>
      <c r="U101" s="269">
        <f>IF('Employee Detail FY24'!U101="","",'Employee Detail FY24'!U101)</f>
        <v>0</v>
      </c>
      <c r="V101" s="270">
        <f t="shared" si="21"/>
        <v>0</v>
      </c>
      <c r="W101" s="270" t="str">
        <f t="shared" si="35"/>
        <v/>
      </c>
      <c r="X101" s="270" t="str">
        <f t="shared" si="36"/>
        <v/>
      </c>
      <c r="Y101" s="62">
        <v>0</v>
      </c>
      <c r="Z101" s="62">
        <v>0</v>
      </c>
      <c r="AA101" s="256">
        <f t="shared" si="37"/>
        <v>0</v>
      </c>
      <c r="AB101" s="3"/>
      <c r="AC101" s="62" t="str">
        <f t="shared" si="38"/>
        <v/>
      </c>
      <c r="AD101" s="62" t="str">
        <f t="shared" si="39"/>
        <v/>
      </c>
      <c r="AE101" s="62" t="str">
        <f t="shared" si="40"/>
        <v/>
      </c>
      <c r="AF101" s="62" t="str">
        <f t="shared" si="41"/>
        <v/>
      </c>
      <c r="AG101" s="192">
        <v>0</v>
      </c>
      <c r="AH101" s="62" t="str">
        <f t="shared" si="42"/>
        <v/>
      </c>
      <c r="AI101" s="62">
        <f t="shared" si="43"/>
        <v>0</v>
      </c>
      <c r="AJ101" s="62"/>
      <c r="AK101" s="62">
        <v>0</v>
      </c>
      <c r="AL101" s="256">
        <f t="shared" si="44"/>
        <v>0</v>
      </c>
      <c r="AM101" s="256">
        <f t="shared" si="45"/>
        <v>0</v>
      </c>
      <c r="AN101" s="256">
        <f t="shared" si="46"/>
        <v>0</v>
      </c>
    </row>
    <row r="102" spans="1:40" hidden="1" x14ac:dyDescent="0.2">
      <c r="A102" s="3" t="str">
        <f>IF('Employee Detail FY24'!A102="","",'Employee Detail FY24'!A102)</f>
        <v/>
      </c>
      <c r="B102" s="647" t="str">
        <f>IF('Employee Detail FY24'!B102="","",'Employee Detail FY24'!B102)</f>
        <v/>
      </c>
      <c r="C102" s="647" t="str">
        <f>IF('Employee Detail FY24'!C102="","",'Employee Detail FY24'!C102)</f>
        <v/>
      </c>
      <c r="D102" s="647"/>
      <c r="E102" s="647" t="str">
        <f>IF('Employee Detail FY24'!E102="","",'Employee Detail FY24'!E102)</f>
        <v/>
      </c>
      <c r="F102" s="647" t="str">
        <f>IF('Employee Detail FY24'!F102="","",'Employee Detail FY24'!F102)</f>
        <v/>
      </c>
      <c r="G102" s="647" t="str">
        <f>IF('Employee Detail FY24'!G102="","",'Employee Detail FY24'!G102)</f>
        <v/>
      </c>
      <c r="H102" s="3"/>
      <c r="I102" s="255" t="str">
        <f>IF('Employee Detail FY24'!I102="","",'Employee Detail FY24'!I102)</f>
        <v/>
      </c>
      <c r="J102" s="255" t="str">
        <f>IF('Employee Detail FY24'!J102="","",'Employee Detail FY24'!J102)</f>
        <v/>
      </c>
      <c r="K102" s="255" t="str">
        <f>IF('Employee Detail FY24'!K102="","",'Employee Detail FY24'!K102)</f>
        <v/>
      </c>
      <c r="L102" s="255" t="str">
        <f>IF('Employee Detail FY24'!L102="","",'Employee Detail FY24'!L102)</f>
        <v/>
      </c>
      <c r="M102" s="92" t="s">
        <v>386</v>
      </c>
      <c r="N102" s="3" t="str">
        <f>IF('Employee Detail FY24'!N102="","",'Employee Detail FY24'!N102)</f>
        <v/>
      </c>
      <c r="O102" s="3" t="str">
        <f>IF('Employee Detail FY24'!O102="","",'Employee Detail FY24'!O102)</f>
        <v/>
      </c>
      <c r="P102" s="3" t="str">
        <f>IF('Employee Detail FY24'!P102="","",'Employee Detail FY24'!P102)</f>
        <v/>
      </c>
      <c r="Q102" s="3" t="str">
        <f>IF('Employee Detail FY24'!Q102="","",'Employee Detail FY24'!Q102)</f>
        <v/>
      </c>
      <c r="R102" s="3" t="str">
        <f>IF('Employee Detail FY24'!R102="","",'Employee Detail FY24'!R102)</f>
        <v/>
      </c>
      <c r="S102" s="3" t="str">
        <f>IF('Employee Detail FY24'!S102="","",'Employee Detail FY24'!S102)</f>
        <v/>
      </c>
      <c r="T102" s="263" t="str">
        <f t="shared" si="34"/>
        <v/>
      </c>
      <c r="U102" s="269">
        <f>IF('Employee Detail FY24'!U102="","",'Employee Detail FY24'!U102)</f>
        <v>0</v>
      </c>
      <c r="V102" s="270">
        <f t="shared" si="21"/>
        <v>0</v>
      </c>
      <c r="W102" s="270" t="str">
        <f t="shared" si="35"/>
        <v/>
      </c>
      <c r="X102" s="270" t="str">
        <f t="shared" si="36"/>
        <v/>
      </c>
      <c r="Y102" s="62">
        <v>0</v>
      </c>
      <c r="Z102" s="62">
        <v>0</v>
      </c>
      <c r="AA102" s="256">
        <f t="shared" si="37"/>
        <v>0</v>
      </c>
      <c r="AB102" s="3"/>
      <c r="AC102" s="62" t="str">
        <f t="shared" si="38"/>
        <v/>
      </c>
      <c r="AD102" s="62" t="str">
        <f t="shared" si="39"/>
        <v/>
      </c>
      <c r="AE102" s="62" t="str">
        <f t="shared" si="40"/>
        <v/>
      </c>
      <c r="AF102" s="62" t="str">
        <f t="shared" si="41"/>
        <v/>
      </c>
      <c r="AG102" s="192">
        <v>0</v>
      </c>
      <c r="AH102" s="62" t="str">
        <f t="shared" si="42"/>
        <v/>
      </c>
      <c r="AI102" s="62">
        <f t="shared" si="43"/>
        <v>0</v>
      </c>
      <c r="AJ102" s="62"/>
      <c r="AK102" s="62">
        <v>0</v>
      </c>
      <c r="AL102" s="256">
        <f t="shared" si="44"/>
        <v>0</v>
      </c>
      <c r="AM102" s="256">
        <f t="shared" si="45"/>
        <v>0</v>
      </c>
      <c r="AN102" s="256">
        <f t="shared" si="46"/>
        <v>0</v>
      </c>
    </row>
    <row r="103" spans="1:40" hidden="1" x14ac:dyDescent="0.2">
      <c r="A103" s="3" t="str">
        <f>IF('Employee Detail FY24'!A103="","",'Employee Detail FY24'!A103)</f>
        <v/>
      </c>
      <c r="B103" s="647" t="str">
        <f>IF('Employee Detail FY24'!B103="","",'Employee Detail FY24'!B103)</f>
        <v/>
      </c>
      <c r="C103" s="647" t="str">
        <f>IF('Employee Detail FY24'!C103="","",'Employee Detail FY24'!C103)</f>
        <v/>
      </c>
      <c r="D103" s="647"/>
      <c r="E103" s="647" t="str">
        <f>IF('Employee Detail FY24'!E103="","",'Employee Detail FY24'!E103)</f>
        <v/>
      </c>
      <c r="F103" s="647" t="str">
        <f>IF('Employee Detail FY24'!F103="","",'Employee Detail FY24'!F103)</f>
        <v/>
      </c>
      <c r="G103" s="647" t="str">
        <f>IF('Employee Detail FY24'!G103="","",'Employee Detail FY24'!G103)</f>
        <v/>
      </c>
      <c r="H103" s="3"/>
      <c r="I103" s="255" t="str">
        <f>IF('Employee Detail FY24'!I103="","",'Employee Detail FY24'!I103)</f>
        <v/>
      </c>
      <c r="J103" s="255" t="str">
        <f>IF('Employee Detail FY24'!J103="","",'Employee Detail FY24'!J103)</f>
        <v/>
      </c>
      <c r="K103" s="255" t="str">
        <f>IF('Employee Detail FY24'!K103="","",'Employee Detail FY24'!K103)</f>
        <v/>
      </c>
      <c r="L103" s="255" t="str">
        <f>IF('Employee Detail FY24'!L103="","",'Employee Detail FY24'!L103)</f>
        <v/>
      </c>
      <c r="M103" s="92" t="s">
        <v>386</v>
      </c>
      <c r="N103" s="3" t="str">
        <f>IF('Employee Detail FY24'!N103="","",'Employee Detail FY24'!N103)</f>
        <v/>
      </c>
      <c r="O103" s="3" t="str">
        <f>IF('Employee Detail FY24'!O103="","",'Employee Detail FY24'!O103)</f>
        <v/>
      </c>
      <c r="P103" s="3" t="str">
        <f>IF('Employee Detail FY24'!P103="","",'Employee Detail FY24'!P103)</f>
        <v/>
      </c>
      <c r="Q103" s="3" t="str">
        <f>IF('Employee Detail FY24'!Q103="","",'Employee Detail FY24'!Q103)</f>
        <v/>
      </c>
      <c r="R103" s="3" t="str">
        <f>IF('Employee Detail FY24'!R103="","",'Employee Detail FY24'!R103)</f>
        <v/>
      </c>
      <c r="S103" s="3" t="str">
        <f>IF('Employee Detail FY24'!S103="","",'Employee Detail FY24'!S103)</f>
        <v/>
      </c>
      <c r="T103" s="263" t="str">
        <f t="shared" si="34"/>
        <v/>
      </c>
      <c r="U103" s="269">
        <f>IF('Employee Detail FY24'!U103="","",'Employee Detail FY24'!U103)</f>
        <v>0</v>
      </c>
      <c r="V103" s="270">
        <f t="shared" si="21"/>
        <v>0</v>
      </c>
      <c r="W103" s="270" t="str">
        <f t="shared" si="35"/>
        <v/>
      </c>
      <c r="X103" s="270" t="str">
        <f t="shared" si="36"/>
        <v/>
      </c>
      <c r="Y103" s="62">
        <v>0</v>
      </c>
      <c r="Z103" s="62">
        <v>0</v>
      </c>
      <c r="AA103" s="256">
        <f t="shared" si="37"/>
        <v>0</v>
      </c>
      <c r="AB103" s="3"/>
      <c r="AC103" s="62" t="str">
        <f t="shared" si="38"/>
        <v/>
      </c>
      <c r="AD103" s="62" t="str">
        <f t="shared" si="39"/>
        <v/>
      </c>
      <c r="AE103" s="62" t="str">
        <f t="shared" si="40"/>
        <v/>
      </c>
      <c r="AF103" s="62" t="str">
        <f t="shared" si="41"/>
        <v/>
      </c>
      <c r="AG103" s="192">
        <v>0</v>
      </c>
      <c r="AH103" s="62" t="str">
        <f t="shared" si="42"/>
        <v/>
      </c>
      <c r="AI103" s="62">
        <f t="shared" si="43"/>
        <v>0</v>
      </c>
      <c r="AJ103" s="62"/>
      <c r="AK103" s="62">
        <v>0</v>
      </c>
      <c r="AL103" s="256">
        <f t="shared" si="44"/>
        <v>0</v>
      </c>
      <c r="AM103" s="256">
        <f t="shared" si="45"/>
        <v>0</v>
      </c>
      <c r="AN103" s="256">
        <f t="shared" si="46"/>
        <v>0</v>
      </c>
    </row>
    <row r="104" spans="1:40" hidden="1" x14ac:dyDescent="0.2">
      <c r="A104" s="3" t="str">
        <f>IF('Employee Detail FY24'!A104="","",'Employee Detail FY24'!A104)</f>
        <v/>
      </c>
      <c r="B104" s="647" t="str">
        <f>IF('Employee Detail FY24'!B104="","",'Employee Detail FY24'!B104)</f>
        <v/>
      </c>
      <c r="C104" s="647" t="str">
        <f>IF('Employee Detail FY24'!C104="","",'Employee Detail FY24'!C104)</f>
        <v/>
      </c>
      <c r="D104" s="647"/>
      <c r="E104" s="647" t="str">
        <f>IF('Employee Detail FY24'!E104="","",'Employee Detail FY24'!E104)</f>
        <v/>
      </c>
      <c r="F104" s="647" t="str">
        <f>IF('Employee Detail FY24'!F104="","",'Employee Detail FY24'!F104)</f>
        <v/>
      </c>
      <c r="G104" s="647" t="str">
        <f>IF('Employee Detail FY24'!G104="","",'Employee Detail FY24'!G104)</f>
        <v/>
      </c>
      <c r="H104" s="3"/>
      <c r="I104" s="255" t="str">
        <f>IF('Employee Detail FY24'!I104="","",'Employee Detail FY24'!I104)</f>
        <v/>
      </c>
      <c r="J104" s="255" t="str">
        <f>IF('Employee Detail FY24'!J104="","",'Employee Detail FY24'!J104)</f>
        <v/>
      </c>
      <c r="K104" s="255" t="str">
        <f>IF('Employee Detail FY24'!K104="","",'Employee Detail FY24'!K104)</f>
        <v/>
      </c>
      <c r="L104" s="255" t="str">
        <f>IF('Employee Detail FY24'!L104="","",'Employee Detail FY24'!L104)</f>
        <v/>
      </c>
      <c r="M104" s="92" t="s">
        <v>386</v>
      </c>
      <c r="N104" s="3" t="str">
        <f>IF('Employee Detail FY24'!N104="","",'Employee Detail FY24'!N104)</f>
        <v/>
      </c>
      <c r="O104" s="3" t="str">
        <f>IF('Employee Detail FY24'!O104="","",'Employee Detail FY24'!O104)</f>
        <v/>
      </c>
      <c r="P104" s="3" t="str">
        <f>IF('Employee Detail FY24'!P104="","",'Employee Detail FY24'!P104)</f>
        <v/>
      </c>
      <c r="Q104" s="3" t="str">
        <f>IF('Employee Detail FY24'!Q104="","",'Employee Detail FY24'!Q104)</f>
        <v/>
      </c>
      <c r="R104" s="3" t="str">
        <f>IF('Employee Detail FY24'!R104="","",'Employee Detail FY24'!R104)</f>
        <v/>
      </c>
      <c r="S104" s="3" t="str">
        <f>IF('Employee Detail FY24'!S104="","",'Employee Detail FY24'!S104)</f>
        <v/>
      </c>
      <c r="T104" s="263" t="str">
        <f t="shared" si="34"/>
        <v/>
      </c>
      <c r="U104" s="269">
        <f>IF('Employee Detail FY24'!U104="","",'Employee Detail FY24'!U104)</f>
        <v>0</v>
      </c>
      <c r="V104" s="270">
        <f t="shared" si="21"/>
        <v>0</v>
      </c>
      <c r="W104" s="270" t="str">
        <f t="shared" si="35"/>
        <v/>
      </c>
      <c r="X104" s="270" t="str">
        <f t="shared" si="36"/>
        <v/>
      </c>
      <c r="Y104" s="62">
        <v>0</v>
      </c>
      <c r="Z104" s="62">
        <v>0</v>
      </c>
      <c r="AA104" s="256">
        <f t="shared" si="37"/>
        <v>0</v>
      </c>
      <c r="AB104" s="3"/>
      <c r="AC104" s="62" t="str">
        <f t="shared" si="38"/>
        <v/>
      </c>
      <c r="AD104" s="62" t="str">
        <f t="shared" si="39"/>
        <v/>
      </c>
      <c r="AE104" s="62" t="str">
        <f t="shared" si="40"/>
        <v/>
      </c>
      <c r="AF104" s="62" t="str">
        <f t="shared" si="41"/>
        <v/>
      </c>
      <c r="AG104" s="192">
        <v>0</v>
      </c>
      <c r="AH104" s="62" t="str">
        <f t="shared" si="42"/>
        <v/>
      </c>
      <c r="AI104" s="62">
        <f t="shared" si="43"/>
        <v>0</v>
      </c>
      <c r="AJ104" s="62"/>
      <c r="AK104" s="62">
        <v>0</v>
      </c>
      <c r="AL104" s="256">
        <f t="shared" si="44"/>
        <v>0</v>
      </c>
      <c r="AM104" s="256">
        <f t="shared" si="45"/>
        <v>0</v>
      </c>
      <c r="AN104" s="256">
        <f t="shared" si="46"/>
        <v>0</v>
      </c>
    </row>
    <row r="105" spans="1:40" hidden="1" x14ac:dyDescent="0.2">
      <c r="A105" s="474"/>
      <c r="B105" s="789"/>
      <c r="C105" s="789"/>
      <c r="D105" s="789"/>
      <c r="E105" s="789"/>
      <c r="F105" s="789"/>
      <c r="G105" s="789"/>
      <c r="H105" s="425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263" t="str">
        <f t="shared" ref="T105" si="47">+IF(R105="","",R105*S105)</f>
        <v/>
      </c>
      <c r="U105" s="269" t="str">
        <f>IF('Employee Detail FY24'!U105="","",'Employee Detail FY24'!U105)</f>
        <v/>
      </c>
      <c r="V105" s="270" t="str">
        <f t="shared" si="21"/>
        <v/>
      </c>
      <c r="W105" s="270" t="str">
        <f t="shared" ref="W105" si="48">+IF(P105="EE",+V105*$W$1,"")</f>
        <v/>
      </c>
      <c r="X105" s="270" t="str">
        <f t="shared" ref="X105" si="49">_xlfn.IFS(P105="ER",V105,P105="EE",W105,P105="N",V105,P105="","")</f>
        <v/>
      </c>
      <c r="Y105" s="62">
        <v>0</v>
      </c>
      <c r="Z105" s="62">
        <v>0</v>
      </c>
      <c r="AA105" s="256">
        <f t="shared" ref="AA105:AA128" si="50">SUM(X105:Z105)</f>
        <v>0</v>
      </c>
      <c r="AB105" s="3"/>
      <c r="AC105" s="62" t="str">
        <f t="shared" ref="AC105:AC130" si="51">IF(AND(M105=1,P105&lt;&gt;"N"),$AC$1,"")</f>
        <v/>
      </c>
      <c r="AD105" s="62" t="str">
        <f t="shared" ref="AD105:AD128" si="52">_xlfn.IFS(P105="N",$AD$1*AA105,P105="EE","",P105="ER","",P105="","")</f>
        <v/>
      </c>
      <c r="AE105" s="62" t="str">
        <f t="shared" ref="AE105:AE128" si="53">_xlfn.IFS(P105="EE",X105*$AE$1,P105="ER",X105*$AE$2,P105="N","",P105="","")</f>
        <v/>
      </c>
      <c r="AF105" s="62" t="str">
        <f t="shared" ref="AF105:AF128" si="54">+IF(AA105&gt;1,AA105*$AF$1,"")</f>
        <v/>
      </c>
      <c r="AG105" s="192">
        <v>0</v>
      </c>
      <c r="AH105" s="62" t="str">
        <f t="shared" ref="AH105:AH128" si="55">+IF(AA105&gt;1,AA105*$AH$1,"")</f>
        <v/>
      </c>
      <c r="AI105" s="62">
        <f t="shared" ref="AI105:AI128" si="56">+_xlfn.IFS(F105&lt;2300,(AA105*$AI$1),F105&gt;=2300,(AA105*$AI$2),F105="","")</f>
        <v>0</v>
      </c>
      <c r="AJ105" s="62"/>
      <c r="AK105" s="62">
        <v>0</v>
      </c>
      <c r="AL105" s="256">
        <f t="shared" ref="AL105:AL128" si="57">SUM(AC105:AK105)</f>
        <v>0</v>
      </c>
      <c r="AM105" s="256">
        <f t="shared" ref="AM105:AM128" si="58">AA105</f>
        <v>0</v>
      </c>
      <c r="AN105" s="256">
        <f t="shared" ref="AN105:AN128" si="59">SUM(AL105:AM105)</f>
        <v>0</v>
      </c>
    </row>
    <row r="106" spans="1:40" x14ac:dyDescent="0.2">
      <c r="A106" s="311" t="s">
        <v>1149</v>
      </c>
      <c r="B106" s="380">
        <v>100</v>
      </c>
      <c r="C106" s="380" t="s">
        <v>145</v>
      </c>
      <c r="D106" s="380"/>
      <c r="E106" s="380">
        <v>100</v>
      </c>
      <c r="F106" s="380">
        <v>1000</v>
      </c>
      <c r="G106" s="380" t="s">
        <v>161</v>
      </c>
      <c r="H106" s="351" t="s">
        <v>497</v>
      </c>
      <c r="I106" s="312" t="str">
        <f>IF('Employee Detail FY24'!I106="","",'Employee Detail FY24'!I106)</f>
        <v>VACANT</v>
      </c>
      <c r="J106" s="311" t="s">
        <v>506</v>
      </c>
      <c r="K106" s="311" t="s">
        <v>389</v>
      </c>
      <c r="L106" s="311" t="s">
        <v>498</v>
      </c>
      <c r="M106" s="313">
        <v>1</v>
      </c>
      <c r="N106" s="311"/>
      <c r="O106" s="311"/>
      <c r="P106" s="311" t="s">
        <v>342</v>
      </c>
      <c r="Q106" s="311" t="s">
        <v>386</v>
      </c>
      <c r="R106" s="311" t="s">
        <v>386</v>
      </c>
      <c r="S106" s="311" t="s">
        <v>386</v>
      </c>
      <c r="T106" s="263" t="str">
        <f>+IF(R106="","",R106*S106)</f>
        <v/>
      </c>
      <c r="U106" s="269">
        <v>45000</v>
      </c>
      <c r="V106" s="270">
        <f t="shared" ref="V106:V116" si="60">IF($U106="","",$U106*(1+$V$1))</f>
        <v>49050</v>
      </c>
      <c r="W106" s="270" t="str">
        <f t="shared" ref="W106:W122" si="61">+IF(P106="EE",+V106*$W$1,"")</f>
        <v/>
      </c>
      <c r="X106" s="270">
        <f t="shared" ref="X106:X122" si="62">_xlfn.IFS(P106="ER",V106,P106="EE",W106,P106="N",V106,P106="","")</f>
        <v>49050</v>
      </c>
      <c r="Y106" s="62">
        <v>0</v>
      </c>
      <c r="Z106" s="62">
        <v>0</v>
      </c>
      <c r="AA106" s="256">
        <f t="shared" ref="AA106:AA122" si="63">SUM(X106:Z106)</f>
        <v>49050</v>
      </c>
      <c r="AB106" s="3"/>
      <c r="AC106" s="62">
        <f t="shared" ref="AC106:AC122" si="64">IF(AND(M106=1,P106&lt;&gt;"N"),$AC$1,"")</f>
        <v>7943.76</v>
      </c>
      <c r="AD106" s="62" t="str">
        <f t="shared" ref="AD106:AD116" si="65">_xlfn.IFS(P106="N",$AD$1*AA106,P106="EE","",P106="ER","",P106="","")</f>
        <v/>
      </c>
      <c r="AE106" s="62">
        <f t="shared" ref="AE106:AE116" si="66">_xlfn.IFS(P106="EE",X106*$AE$1,P106="ER",X106*$AE$2,P106="N","",P106="","")</f>
        <v>14347.125</v>
      </c>
      <c r="AF106" s="62">
        <f t="shared" ref="AF106:AF116" si="67">+IF(AA106&gt;1,AA106*$AF$1,"")</f>
        <v>711.22500000000002</v>
      </c>
      <c r="AG106" s="192">
        <v>0</v>
      </c>
      <c r="AH106" s="62">
        <f t="shared" ref="AH106:AH116" si="68">+IF(AA106&gt;1,AA106*$AH$1,"")</f>
        <v>446.4695860440566</v>
      </c>
      <c r="AI106" s="62">
        <f t="shared" ref="AI106:AI116" si="69">+_xlfn.IFS(F106&lt;2300,(AA106*$AI$1),F106&gt;=2300,(AA106*$AI$2),F106="","")</f>
        <v>144.46199670906526</v>
      </c>
      <c r="AJ106" s="62"/>
      <c r="AK106" s="62">
        <v>0</v>
      </c>
      <c r="AL106" s="256">
        <f t="shared" ref="AL106:AL122" si="70">SUM(AC106:AK106)</f>
        <v>23593.041582753121</v>
      </c>
      <c r="AM106" s="256">
        <f t="shared" ref="AM106:AM122" si="71">AA106</f>
        <v>49050</v>
      </c>
      <c r="AN106" s="256">
        <f t="shared" ref="AN106:AN122" si="72">SUM(AL106:AM106)</f>
        <v>72643.041582753125</v>
      </c>
    </row>
    <row r="107" spans="1:40" x14ac:dyDescent="0.2">
      <c r="A107" s="311" t="str">
        <f>IF('Employee Detail FY24'!A107="","",'Employee Detail FY24'!A107)</f>
        <v>VACANT</v>
      </c>
      <c r="B107" s="798">
        <f>IF('Employee Detail FY24'!B107="","",'Employee Detail FY24'!B107)</f>
        <v>250</v>
      </c>
      <c r="C107" s="798" t="str">
        <f>IF('Employee Detail FY24'!C107="","",'Employee Detail FY24'!C107)</f>
        <v>000</v>
      </c>
      <c r="D107" s="798"/>
      <c r="E107" s="798">
        <f>IF('Employee Detail FY24'!E107="","",'Employee Detail FY24'!E107)</f>
        <v>200</v>
      </c>
      <c r="F107" s="798">
        <f>IF('Employee Detail FY24'!F107="","",'Employee Detail FY24'!F107)</f>
        <v>1000</v>
      </c>
      <c r="G107" s="798" t="str">
        <f>IF('Employee Detail FY24'!G107="","",'Employee Detail FY24'!G107)</f>
        <v>0101</v>
      </c>
      <c r="H107" s="311"/>
      <c r="I107" s="312" t="str">
        <f>IF('Employee Detail FY24'!I107="","",'Employee Detail FY24'!I107)</f>
        <v>VACANT</v>
      </c>
      <c r="J107" s="312" t="str">
        <f>IF('Employee Detail FY24'!J107="","",'Employee Detail FY24'!J107)</f>
        <v>FY24</v>
      </c>
      <c r="K107" s="312" t="str">
        <f>IF('Employee Detail FY24'!K107="","",'Employee Detail FY24'!K107)</f>
        <v>Licensed Staff</v>
      </c>
      <c r="L107" s="312" t="str">
        <f>IF('Employee Detail FY24'!L107="","",'Employee Detail FY24'!L107)</f>
        <v>SPED TEACHER</v>
      </c>
      <c r="M107" s="313">
        <v>1</v>
      </c>
      <c r="N107" s="311"/>
      <c r="O107" s="311"/>
      <c r="P107" s="311" t="s">
        <v>342</v>
      </c>
      <c r="Q107" s="311"/>
      <c r="R107" s="311"/>
      <c r="S107" s="311"/>
      <c r="T107" s="263"/>
      <c r="U107" s="269">
        <f>IF('Employee Detail FY24'!U107="","",'Employee Detail FY24'!U107)</f>
        <v>45500</v>
      </c>
      <c r="V107" s="270">
        <f t="shared" si="60"/>
        <v>49595</v>
      </c>
      <c r="W107" s="270" t="str">
        <f t="shared" si="61"/>
        <v/>
      </c>
      <c r="X107" s="270">
        <f t="shared" si="62"/>
        <v>49595</v>
      </c>
      <c r="Y107" s="62">
        <v>0</v>
      </c>
      <c r="Z107" s="62">
        <v>0</v>
      </c>
      <c r="AA107" s="256">
        <f t="shared" si="63"/>
        <v>49595</v>
      </c>
      <c r="AB107" s="3"/>
      <c r="AC107" s="62">
        <f t="shared" si="64"/>
        <v>7943.76</v>
      </c>
      <c r="AD107" s="62" t="str">
        <f t="shared" si="65"/>
        <v/>
      </c>
      <c r="AE107" s="62">
        <f t="shared" si="66"/>
        <v>14506.537499999999</v>
      </c>
      <c r="AF107" s="62">
        <f t="shared" si="67"/>
        <v>719.12750000000005</v>
      </c>
      <c r="AG107" s="192">
        <v>0</v>
      </c>
      <c r="AH107" s="62">
        <f t="shared" si="68"/>
        <v>451.43035922232389</v>
      </c>
      <c r="AI107" s="62">
        <f t="shared" si="69"/>
        <v>146.06713000583267</v>
      </c>
      <c r="AJ107" s="62"/>
      <c r="AK107" s="62">
        <v>0</v>
      </c>
      <c r="AL107" s="256">
        <f t="shared" si="70"/>
        <v>23766.922489228153</v>
      </c>
      <c r="AM107" s="256">
        <f t="shared" si="71"/>
        <v>49595</v>
      </c>
      <c r="AN107" s="256">
        <f t="shared" si="72"/>
        <v>73361.922489228149</v>
      </c>
    </row>
    <row r="108" spans="1:40" x14ac:dyDescent="0.2">
      <c r="A108" s="311" t="s">
        <v>1149</v>
      </c>
      <c r="B108" s="798">
        <v>100</v>
      </c>
      <c r="C108" s="798" t="s">
        <v>145</v>
      </c>
      <c r="D108" s="798"/>
      <c r="E108" s="798">
        <v>100</v>
      </c>
      <c r="F108" s="798">
        <v>1000</v>
      </c>
      <c r="G108" s="798" t="s">
        <v>169</v>
      </c>
      <c r="H108" s="311"/>
      <c r="I108" s="312" t="s">
        <v>1149</v>
      </c>
      <c r="J108" s="312" t="s">
        <v>506</v>
      </c>
      <c r="K108" s="312" t="s">
        <v>384</v>
      </c>
      <c r="L108" s="312" t="s">
        <v>989</v>
      </c>
      <c r="M108" s="313">
        <v>1</v>
      </c>
      <c r="N108" s="311"/>
      <c r="O108" s="311"/>
      <c r="P108" s="311" t="s">
        <v>342</v>
      </c>
      <c r="Q108" s="311"/>
      <c r="R108" s="311"/>
      <c r="S108" s="311"/>
      <c r="T108" s="263" t="str">
        <f t="shared" ref="T108:T114" si="73">+IF(R108="","",R108*S108)</f>
        <v/>
      </c>
      <c r="U108" s="269">
        <v>31500</v>
      </c>
      <c r="V108" s="270">
        <f t="shared" si="60"/>
        <v>34335</v>
      </c>
      <c r="W108" s="270" t="str">
        <f t="shared" si="61"/>
        <v/>
      </c>
      <c r="X108" s="270">
        <f t="shared" si="62"/>
        <v>34335</v>
      </c>
      <c r="Y108" s="62">
        <v>0</v>
      </c>
      <c r="Z108" s="62">
        <v>0</v>
      </c>
      <c r="AA108" s="256">
        <f t="shared" si="63"/>
        <v>34335</v>
      </c>
      <c r="AB108" s="3"/>
      <c r="AC108" s="62">
        <f t="shared" si="64"/>
        <v>7943.76</v>
      </c>
      <c r="AD108" s="62" t="str">
        <f t="shared" si="65"/>
        <v/>
      </c>
      <c r="AE108" s="62">
        <f t="shared" si="66"/>
        <v>10042.987499999999</v>
      </c>
      <c r="AF108" s="62">
        <f t="shared" si="67"/>
        <v>497.85750000000002</v>
      </c>
      <c r="AG108" s="192">
        <v>0</v>
      </c>
      <c r="AH108" s="62">
        <f t="shared" si="68"/>
        <v>312.52871023083964</v>
      </c>
      <c r="AI108" s="62">
        <f t="shared" si="69"/>
        <v>101.12339769634569</v>
      </c>
      <c r="AJ108" s="62"/>
      <c r="AK108" s="62">
        <v>0</v>
      </c>
      <c r="AL108" s="256">
        <f t="shared" si="70"/>
        <v>18898.25710792718</v>
      </c>
      <c r="AM108" s="256">
        <f t="shared" si="71"/>
        <v>34335</v>
      </c>
      <c r="AN108" s="256">
        <f t="shared" si="72"/>
        <v>53233.25710792718</v>
      </c>
    </row>
    <row r="109" spans="1:40" x14ac:dyDescent="0.2">
      <c r="A109" s="311" t="str">
        <f>IF('Employee Detail FY24'!A109="","",'Employee Detail FY24'!A109)</f>
        <v>VACANT</v>
      </c>
      <c r="B109" s="798">
        <f>IF('Employee Detail FY24'!B109="","",'Employee Detail FY24'!B109)</f>
        <v>250</v>
      </c>
      <c r="C109" s="798" t="str">
        <f>IF('Employee Detail FY24'!C109="","",'Employee Detail FY24'!C109)</f>
        <v>000</v>
      </c>
      <c r="D109" s="798"/>
      <c r="E109" s="798">
        <f>IF('Employee Detail FY24'!E109="","",'Employee Detail FY24'!E109)</f>
        <v>200</v>
      </c>
      <c r="F109" s="798">
        <f>IF('Employee Detail FY24'!F109="","",'Employee Detail FY24'!F109)</f>
        <v>1000</v>
      </c>
      <c r="G109" s="798" t="str">
        <f>IF('Employee Detail FY24'!G109="","",'Employee Detail FY24'!G109)</f>
        <v>0101</v>
      </c>
      <c r="H109" s="311"/>
      <c r="I109" s="312" t="str">
        <f>IF('Employee Detail FY24'!I109="","",'Employee Detail FY24'!I109)</f>
        <v>VACANT</v>
      </c>
      <c r="J109" s="312" t="s">
        <v>506</v>
      </c>
      <c r="K109" s="312" t="str">
        <f>IF('Employee Detail FY24'!K109="","",'Employee Detail FY24'!K109)</f>
        <v>Licensed Staff</v>
      </c>
      <c r="L109" s="312" t="str">
        <f>IF('Employee Detail FY24'!L109="","",'Employee Detail FY24'!L109)</f>
        <v>RtI Facilitators</v>
      </c>
      <c r="M109" s="313">
        <v>1</v>
      </c>
      <c r="N109" s="311"/>
      <c r="O109" s="311"/>
      <c r="P109" s="311" t="s">
        <v>342</v>
      </c>
      <c r="Q109" s="311"/>
      <c r="R109" s="311" t="str">
        <f>IF('Employee Detail FY24'!R109="","",'Employee Detail FY24'!R109)</f>
        <v/>
      </c>
      <c r="S109" s="311" t="str">
        <f>IF('Employee Detail FY24'!S109="","",'Employee Detail FY24'!S109)</f>
        <v/>
      </c>
      <c r="T109" s="263" t="str">
        <f t="shared" si="73"/>
        <v/>
      </c>
      <c r="U109" s="269">
        <f>IF('Employee Detail FY24'!U109="","",'Employee Detail FY24'!U109)</f>
        <v>45000</v>
      </c>
      <c r="V109" s="270">
        <f t="shared" si="60"/>
        <v>49050</v>
      </c>
      <c r="W109" s="270" t="str">
        <f t="shared" si="61"/>
        <v/>
      </c>
      <c r="X109" s="270">
        <f t="shared" si="62"/>
        <v>49050</v>
      </c>
      <c r="Y109" s="62">
        <v>0</v>
      </c>
      <c r="Z109" s="62">
        <v>0</v>
      </c>
      <c r="AA109" s="256">
        <f t="shared" si="63"/>
        <v>49050</v>
      </c>
      <c r="AB109" s="3"/>
      <c r="AC109" s="62">
        <f t="shared" si="64"/>
        <v>7943.76</v>
      </c>
      <c r="AD109" s="62" t="str">
        <f t="shared" si="65"/>
        <v/>
      </c>
      <c r="AE109" s="62">
        <f t="shared" si="66"/>
        <v>14347.125</v>
      </c>
      <c r="AF109" s="62">
        <f t="shared" si="67"/>
        <v>711.22500000000002</v>
      </c>
      <c r="AG109" s="192">
        <v>0</v>
      </c>
      <c r="AH109" s="62">
        <f t="shared" si="68"/>
        <v>446.4695860440566</v>
      </c>
      <c r="AI109" s="62">
        <f t="shared" si="69"/>
        <v>144.46199670906526</v>
      </c>
      <c r="AJ109" s="62"/>
      <c r="AK109" s="62">
        <v>0</v>
      </c>
      <c r="AL109" s="256">
        <f t="shared" si="70"/>
        <v>23593.041582753121</v>
      </c>
      <c r="AM109" s="256">
        <f t="shared" si="71"/>
        <v>49050</v>
      </c>
      <c r="AN109" s="256">
        <f t="shared" si="72"/>
        <v>72643.041582753125</v>
      </c>
    </row>
    <row r="110" spans="1:40" hidden="1" x14ac:dyDescent="0.2">
      <c r="A110" s="311" t="str">
        <f>IF('Employee Detail FY24'!A110="","",'Employee Detail FY24'!A110)</f>
        <v>VACANT</v>
      </c>
      <c r="B110" s="798" t="str">
        <f>IF('Employee Detail FY24'!B110="","",'Employee Detail FY24'!B110)</f>
        <v>100</v>
      </c>
      <c r="C110" s="798" t="str">
        <f>IF('Employee Detail FY24'!C110="","",'Employee Detail FY24'!C110)</f>
        <v>000</v>
      </c>
      <c r="D110" s="798"/>
      <c r="E110" s="798" t="str">
        <f>IF('Employee Detail FY24'!E110="","",'Employee Detail FY24'!E110)</f>
        <v>100</v>
      </c>
      <c r="F110" s="798" t="str">
        <f>IF('Employee Detail FY24'!F110="","",'Employee Detail FY24'!F110)</f>
        <v>2120</v>
      </c>
      <c r="G110" s="798" t="str">
        <f>IF('Employee Detail FY24'!G110="","",'Employee Detail FY24'!G110)</f>
        <v>0106</v>
      </c>
      <c r="H110" s="311"/>
      <c r="I110" s="312" t="str">
        <f>IF('Employee Detail FY24'!I110="","",'Employee Detail FY24'!I110)</f>
        <v>VACANT</v>
      </c>
      <c r="J110" s="312" t="str">
        <f>IF('Employee Detail FY24'!J110="","",'Employee Detail FY24'!J110)</f>
        <v>FY24</v>
      </c>
      <c r="K110" s="311" t="s">
        <v>389</v>
      </c>
      <c r="L110" s="312" t="str">
        <f>IF('Employee Detail FY24'!L110="","",'Employee Detail FY24'!L110)</f>
        <v>CAREER PATHWAYS COORDINATOR</v>
      </c>
      <c r="M110" s="313">
        <v>1</v>
      </c>
      <c r="N110" s="311"/>
      <c r="O110" s="311"/>
      <c r="P110" s="311" t="s">
        <v>342</v>
      </c>
      <c r="Q110" s="311" t="str">
        <f>IF('Employee Detail FY24'!Q110="","",'Employee Detail FY24'!Q110)</f>
        <v/>
      </c>
      <c r="R110" s="311" t="str">
        <f>IF('Employee Detail FY24'!R110="","",'Employee Detail FY24'!R110)</f>
        <v/>
      </c>
      <c r="S110" s="311" t="str">
        <f>IF('Employee Detail FY24'!S110="","",'Employee Detail FY24'!S110)</f>
        <v/>
      </c>
      <c r="T110" s="263" t="str">
        <f t="shared" si="73"/>
        <v/>
      </c>
      <c r="U110" s="269">
        <v>35000</v>
      </c>
      <c r="V110" s="270">
        <f t="shared" si="60"/>
        <v>38150</v>
      </c>
      <c r="W110" s="270" t="str">
        <f t="shared" si="61"/>
        <v/>
      </c>
      <c r="X110" s="270">
        <f t="shared" si="62"/>
        <v>38150</v>
      </c>
      <c r="Y110" s="62">
        <v>0</v>
      </c>
      <c r="Z110" s="62">
        <v>0</v>
      </c>
      <c r="AA110" s="256">
        <f t="shared" si="63"/>
        <v>38150</v>
      </c>
      <c r="AB110" s="3"/>
      <c r="AC110" s="62">
        <f t="shared" si="64"/>
        <v>7943.76</v>
      </c>
      <c r="AD110" s="62" t="str">
        <f t="shared" si="65"/>
        <v/>
      </c>
      <c r="AE110" s="62">
        <f t="shared" si="66"/>
        <v>11158.875</v>
      </c>
      <c r="AF110" s="62">
        <f t="shared" si="67"/>
        <v>553.17500000000007</v>
      </c>
      <c r="AG110" s="192">
        <v>0</v>
      </c>
      <c r="AH110" s="62">
        <f t="shared" si="68"/>
        <v>347.25412247871071</v>
      </c>
      <c r="AI110" s="62">
        <f t="shared" si="69"/>
        <v>112.35933077371743</v>
      </c>
      <c r="AJ110" s="62"/>
      <c r="AK110" s="62">
        <v>0</v>
      </c>
      <c r="AL110" s="256">
        <f t="shared" si="70"/>
        <v>20115.423453252428</v>
      </c>
      <c r="AM110" s="256">
        <f t="shared" si="71"/>
        <v>38150</v>
      </c>
      <c r="AN110" s="256">
        <f t="shared" si="72"/>
        <v>58265.423453252428</v>
      </c>
    </row>
    <row r="111" spans="1:40" hidden="1" x14ac:dyDescent="0.2">
      <c r="A111" s="311" t="str">
        <f>IF('Employee Detail FY23'!A142="","",'Employee Detail FY23'!A142)</f>
        <v/>
      </c>
      <c r="B111" s="798" t="str">
        <f>IF('Employee Detail FY23'!B142="","",'Employee Detail FY23'!B142)</f>
        <v/>
      </c>
      <c r="C111" s="798" t="str">
        <f>IF('Employee Detail FY23'!C142="","",'Employee Detail FY23'!C142)</f>
        <v/>
      </c>
      <c r="D111" s="798"/>
      <c r="E111" s="798" t="str">
        <f>IF('Employee Detail FY23'!E142="","",'Employee Detail FY23'!E142)</f>
        <v/>
      </c>
      <c r="F111" s="798" t="str">
        <f>IF('Employee Detail FY23'!F142="","",'Employee Detail FY23'!F142)</f>
        <v/>
      </c>
      <c r="G111" s="798" t="str">
        <f>IF('Employee Detail FY23'!G142="","",'Employee Detail FY23'!G142)</f>
        <v/>
      </c>
      <c r="H111" s="311"/>
      <c r="I111" s="312" t="str">
        <f>IF('Employee Detail FY23'!I142="","",'Employee Detail FY23'!I142)</f>
        <v/>
      </c>
      <c r="J111" s="312" t="str">
        <f>IF('Employee Detail FY23'!J142="","",'Employee Detail FY23'!J142)</f>
        <v/>
      </c>
      <c r="K111" s="312" t="str">
        <f>IF('Employee Detail FY23'!K142="","",'Employee Detail FY23'!K142)</f>
        <v/>
      </c>
      <c r="L111" s="312" t="str">
        <f>IF('Employee Detail FY23'!L142="","",'Employee Detail FY23'!L142)</f>
        <v/>
      </c>
      <c r="M111" s="313"/>
      <c r="N111" s="311"/>
      <c r="O111" s="311"/>
      <c r="P111" s="311"/>
      <c r="Q111" s="311" t="str">
        <f>IF('Employee Detail FY23'!Q142="","",'Employee Detail FY23'!Q142)</f>
        <v/>
      </c>
      <c r="R111" s="311" t="str">
        <f>IF('Employee Detail FY23'!R142="","",'Employee Detail FY23'!R142)</f>
        <v/>
      </c>
      <c r="S111" s="311" t="str">
        <f>IF('Employee Detail FY23'!S142="","",'Employee Detail FY23'!S142)</f>
        <v/>
      </c>
      <c r="T111" s="263" t="str">
        <f t="shared" si="73"/>
        <v/>
      </c>
      <c r="U111" s="269" t="str">
        <f>IF('Employee Detail FY23'!U142="","",'Employee Detail FY23'!U142)</f>
        <v/>
      </c>
      <c r="V111" s="270" t="str">
        <f t="shared" si="60"/>
        <v/>
      </c>
      <c r="W111" s="270" t="str">
        <f t="shared" si="61"/>
        <v/>
      </c>
      <c r="X111" s="270" t="str">
        <f t="shared" si="62"/>
        <v/>
      </c>
      <c r="Y111" s="62">
        <v>0</v>
      </c>
      <c r="Z111" s="62">
        <v>0</v>
      </c>
      <c r="AA111" s="256">
        <f t="shared" si="63"/>
        <v>0</v>
      </c>
      <c r="AB111" s="3"/>
      <c r="AC111" s="62" t="str">
        <f t="shared" si="64"/>
        <v/>
      </c>
      <c r="AD111" s="62" t="str">
        <f t="shared" si="65"/>
        <v/>
      </c>
      <c r="AE111" s="62" t="str">
        <f t="shared" si="66"/>
        <v/>
      </c>
      <c r="AF111" s="62" t="str">
        <f t="shared" si="67"/>
        <v/>
      </c>
      <c r="AG111" s="192">
        <v>0</v>
      </c>
      <c r="AH111" s="62" t="str">
        <f t="shared" si="68"/>
        <v/>
      </c>
      <c r="AI111" s="62">
        <f t="shared" si="69"/>
        <v>0</v>
      </c>
      <c r="AJ111" s="62"/>
      <c r="AK111" s="62">
        <v>0</v>
      </c>
      <c r="AL111" s="256">
        <f t="shared" si="70"/>
        <v>0</v>
      </c>
      <c r="AM111" s="256">
        <f t="shared" si="71"/>
        <v>0</v>
      </c>
      <c r="AN111" s="256">
        <f t="shared" si="72"/>
        <v>0</v>
      </c>
    </row>
    <row r="112" spans="1:40" x14ac:dyDescent="0.2">
      <c r="A112" s="311" t="s">
        <v>1149</v>
      </c>
      <c r="B112" s="380">
        <v>100</v>
      </c>
      <c r="C112" s="380" t="s">
        <v>145</v>
      </c>
      <c r="D112" s="380"/>
      <c r="E112" s="380">
        <v>100</v>
      </c>
      <c r="F112" s="380">
        <v>1000</v>
      </c>
      <c r="G112" s="380" t="s">
        <v>161</v>
      </c>
      <c r="H112" s="351" t="s">
        <v>497</v>
      </c>
      <c r="I112" s="312" t="str">
        <f>IF('Employee Detail FY24'!I112="","",'Employee Detail FY24'!I112)</f>
        <v>VACANT</v>
      </c>
      <c r="J112" s="311" t="s">
        <v>508</v>
      </c>
      <c r="K112" s="311" t="s">
        <v>389</v>
      </c>
      <c r="L112" s="311" t="s">
        <v>498</v>
      </c>
      <c r="M112" s="313">
        <v>1</v>
      </c>
      <c r="N112" s="311"/>
      <c r="O112" s="311"/>
      <c r="P112" s="311" t="s">
        <v>342</v>
      </c>
      <c r="Q112" s="311" t="s">
        <v>386</v>
      </c>
      <c r="R112" s="311" t="s">
        <v>386</v>
      </c>
      <c r="S112" s="311" t="s">
        <v>386</v>
      </c>
      <c r="T112" s="263" t="str">
        <f t="shared" si="73"/>
        <v/>
      </c>
      <c r="U112" s="269">
        <v>45000</v>
      </c>
      <c r="V112" s="270">
        <f t="shared" si="60"/>
        <v>49050</v>
      </c>
      <c r="W112" s="270" t="str">
        <f t="shared" si="61"/>
        <v/>
      </c>
      <c r="X112" s="270">
        <f t="shared" si="62"/>
        <v>49050</v>
      </c>
      <c r="Y112" s="62">
        <v>0</v>
      </c>
      <c r="Z112" s="62">
        <v>0</v>
      </c>
      <c r="AA112" s="256">
        <f t="shared" si="63"/>
        <v>49050</v>
      </c>
      <c r="AB112" s="3"/>
      <c r="AC112" s="62">
        <f t="shared" si="64"/>
        <v>7943.76</v>
      </c>
      <c r="AD112" s="62" t="str">
        <f t="shared" si="65"/>
        <v/>
      </c>
      <c r="AE112" s="62">
        <f t="shared" si="66"/>
        <v>14347.125</v>
      </c>
      <c r="AF112" s="62">
        <f t="shared" si="67"/>
        <v>711.22500000000002</v>
      </c>
      <c r="AG112" s="192">
        <v>0</v>
      </c>
      <c r="AH112" s="62">
        <f t="shared" si="68"/>
        <v>446.4695860440566</v>
      </c>
      <c r="AI112" s="62">
        <f t="shared" si="69"/>
        <v>144.46199670906526</v>
      </c>
      <c r="AJ112" s="62"/>
      <c r="AK112" s="62">
        <v>0</v>
      </c>
      <c r="AL112" s="256">
        <f t="shared" si="70"/>
        <v>23593.041582753121</v>
      </c>
      <c r="AM112" s="256">
        <f t="shared" si="71"/>
        <v>49050</v>
      </c>
      <c r="AN112" s="256">
        <f t="shared" si="72"/>
        <v>72643.041582753125</v>
      </c>
    </row>
    <row r="113" spans="1:40" x14ac:dyDescent="0.2">
      <c r="A113" s="311" t="s">
        <v>1149</v>
      </c>
      <c r="B113" s="380">
        <v>100</v>
      </c>
      <c r="C113" s="380" t="s">
        <v>145</v>
      </c>
      <c r="D113" s="380"/>
      <c r="E113" s="380">
        <v>100</v>
      </c>
      <c r="F113" s="380">
        <v>1000</v>
      </c>
      <c r="G113" s="380" t="s">
        <v>161</v>
      </c>
      <c r="H113" s="351" t="s">
        <v>497</v>
      </c>
      <c r="I113" s="312" t="str">
        <f>IF('Employee Detail FY24'!I113="","",'Employee Detail FY24'!I113)</f>
        <v>VACANT</v>
      </c>
      <c r="J113" s="311" t="s">
        <v>508</v>
      </c>
      <c r="K113" s="311" t="s">
        <v>389</v>
      </c>
      <c r="L113" s="311" t="s">
        <v>498</v>
      </c>
      <c r="M113" s="313">
        <v>1</v>
      </c>
      <c r="N113" s="311"/>
      <c r="O113" s="311"/>
      <c r="P113" s="311" t="s">
        <v>342</v>
      </c>
      <c r="Q113" s="311" t="s">
        <v>386</v>
      </c>
      <c r="R113" s="311" t="s">
        <v>386</v>
      </c>
      <c r="S113" s="311" t="s">
        <v>386</v>
      </c>
      <c r="T113" s="263" t="str">
        <f t="shared" si="73"/>
        <v/>
      </c>
      <c r="U113" s="269">
        <v>45000</v>
      </c>
      <c r="V113" s="270">
        <f t="shared" si="60"/>
        <v>49050</v>
      </c>
      <c r="W113" s="270" t="str">
        <f t="shared" si="61"/>
        <v/>
      </c>
      <c r="X113" s="270">
        <f t="shared" si="62"/>
        <v>49050</v>
      </c>
      <c r="Y113" s="62">
        <v>0</v>
      </c>
      <c r="Z113" s="62">
        <v>0</v>
      </c>
      <c r="AA113" s="256">
        <f t="shared" si="63"/>
        <v>49050</v>
      </c>
      <c r="AB113" s="3"/>
      <c r="AC113" s="62">
        <f t="shared" si="64"/>
        <v>7943.76</v>
      </c>
      <c r="AD113" s="62" t="str">
        <f t="shared" si="65"/>
        <v/>
      </c>
      <c r="AE113" s="62">
        <f t="shared" si="66"/>
        <v>14347.125</v>
      </c>
      <c r="AF113" s="62">
        <f t="shared" si="67"/>
        <v>711.22500000000002</v>
      </c>
      <c r="AG113" s="192">
        <v>0</v>
      </c>
      <c r="AH113" s="62">
        <f t="shared" si="68"/>
        <v>446.4695860440566</v>
      </c>
      <c r="AI113" s="62">
        <f t="shared" si="69"/>
        <v>144.46199670906526</v>
      </c>
      <c r="AJ113" s="62"/>
      <c r="AK113" s="62">
        <v>0</v>
      </c>
      <c r="AL113" s="256">
        <f t="shared" si="70"/>
        <v>23593.041582753121</v>
      </c>
      <c r="AM113" s="256">
        <f t="shared" si="71"/>
        <v>49050</v>
      </c>
      <c r="AN113" s="256">
        <f t="shared" si="72"/>
        <v>72643.041582753125</v>
      </c>
    </row>
    <row r="114" spans="1:40" x14ac:dyDescent="0.2">
      <c r="A114" s="311" t="s">
        <v>1149</v>
      </c>
      <c r="B114" s="380">
        <v>250</v>
      </c>
      <c r="C114" s="380" t="s">
        <v>145</v>
      </c>
      <c r="D114" s="380"/>
      <c r="E114" s="380">
        <v>200</v>
      </c>
      <c r="F114" s="380">
        <v>1000</v>
      </c>
      <c r="G114" s="380" t="s">
        <v>161</v>
      </c>
      <c r="H114" s="351" t="s">
        <v>497</v>
      </c>
      <c r="I114" s="312" t="str">
        <f>IF('Employee Detail FY24'!I114="","",'Employee Detail FY24'!I114)</f>
        <v>VACANT</v>
      </c>
      <c r="J114" s="311" t="s">
        <v>508</v>
      </c>
      <c r="K114" s="311" t="s">
        <v>389</v>
      </c>
      <c r="L114" s="311" t="s">
        <v>495</v>
      </c>
      <c r="M114" s="313">
        <v>1</v>
      </c>
      <c r="N114" s="311"/>
      <c r="O114" s="311"/>
      <c r="P114" s="311" t="s">
        <v>342</v>
      </c>
      <c r="Q114" s="311" t="s">
        <v>386</v>
      </c>
      <c r="R114" s="311" t="s">
        <v>386</v>
      </c>
      <c r="S114" s="311" t="s">
        <v>386</v>
      </c>
      <c r="T114" s="263" t="str">
        <f t="shared" si="73"/>
        <v/>
      </c>
      <c r="U114" s="269">
        <v>45000</v>
      </c>
      <c r="V114" s="270">
        <f t="shared" si="60"/>
        <v>49050</v>
      </c>
      <c r="W114" s="270" t="str">
        <f t="shared" si="61"/>
        <v/>
      </c>
      <c r="X114" s="270">
        <f t="shared" si="62"/>
        <v>49050</v>
      </c>
      <c r="Y114" s="62">
        <v>0</v>
      </c>
      <c r="Z114" s="62">
        <v>0</v>
      </c>
      <c r="AA114" s="256">
        <f t="shared" si="63"/>
        <v>49050</v>
      </c>
      <c r="AB114" s="3"/>
      <c r="AC114" s="62">
        <f t="shared" si="64"/>
        <v>7943.76</v>
      </c>
      <c r="AD114" s="62" t="str">
        <f t="shared" si="65"/>
        <v/>
      </c>
      <c r="AE114" s="62">
        <f t="shared" si="66"/>
        <v>14347.125</v>
      </c>
      <c r="AF114" s="62">
        <f t="shared" si="67"/>
        <v>711.22500000000002</v>
      </c>
      <c r="AG114" s="192">
        <v>0</v>
      </c>
      <c r="AH114" s="62">
        <f t="shared" si="68"/>
        <v>446.4695860440566</v>
      </c>
      <c r="AI114" s="62">
        <f t="shared" si="69"/>
        <v>144.46199670906526</v>
      </c>
      <c r="AJ114" s="62"/>
      <c r="AK114" s="62">
        <v>0</v>
      </c>
      <c r="AL114" s="256">
        <f t="shared" si="70"/>
        <v>23593.041582753121</v>
      </c>
      <c r="AM114" s="256">
        <f t="shared" si="71"/>
        <v>49050</v>
      </c>
      <c r="AN114" s="256">
        <f t="shared" si="72"/>
        <v>72643.041582753125</v>
      </c>
    </row>
    <row r="115" spans="1:40" x14ac:dyDescent="0.2">
      <c r="A115" s="311" t="s">
        <v>1149</v>
      </c>
      <c r="B115" s="798" t="s">
        <v>462</v>
      </c>
      <c r="C115" s="798" t="s">
        <v>145</v>
      </c>
      <c r="D115" s="798"/>
      <c r="E115" s="798" t="s">
        <v>463</v>
      </c>
      <c r="F115" s="798" t="s">
        <v>461</v>
      </c>
      <c r="G115" s="798" t="s">
        <v>161</v>
      </c>
      <c r="H115" s="311"/>
      <c r="I115" s="312" t="str">
        <f>IF('Employee Detail FY24'!I115="","",'Employee Detail FY24'!I115)</f>
        <v>VACANT</v>
      </c>
      <c r="J115" s="311" t="s">
        <v>508</v>
      </c>
      <c r="K115" s="312" t="s">
        <v>389</v>
      </c>
      <c r="L115" s="312" t="s">
        <v>896</v>
      </c>
      <c r="M115" s="313">
        <v>1</v>
      </c>
      <c r="N115" s="311"/>
      <c r="O115" s="311"/>
      <c r="P115" s="311" t="s">
        <v>342</v>
      </c>
      <c r="Q115" s="311" t="s">
        <v>386</v>
      </c>
      <c r="R115" s="311"/>
      <c r="S115" s="311"/>
      <c r="T115" s="263"/>
      <c r="U115" s="269">
        <v>65000</v>
      </c>
      <c r="V115" s="270">
        <f t="shared" si="60"/>
        <v>70850</v>
      </c>
      <c r="W115" s="270" t="str">
        <f t="shared" si="61"/>
        <v/>
      </c>
      <c r="X115" s="270">
        <f t="shared" si="62"/>
        <v>70850</v>
      </c>
      <c r="Y115" s="62">
        <v>0</v>
      </c>
      <c r="Z115" s="62">
        <v>0</v>
      </c>
      <c r="AA115" s="256">
        <f t="shared" si="63"/>
        <v>70850</v>
      </c>
      <c r="AB115" s="3"/>
      <c r="AC115" s="62">
        <f t="shared" si="64"/>
        <v>7943.76</v>
      </c>
      <c r="AD115" s="62" t="str">
        <f t="shared" si="65"/>
        <v/>
      </c>
      <c r="AE115" s="62">
        <f t="shared" si="66"/>
        <v>20723.625</v>
      </c>
      <c r="AF115" s="62">
        <f t="shared" si="67"/>
        <v>1027.325</v>
      </c>
      <c r="AG115" s="192">
        <v>0</v>
      </c>
      <c r="AH115" s="62">
        <f t="shared" si="68"/>
        <v>644.90051317474843</v>
      </c>
      <c r="AI115" s="62">
        <f t="shared" si="69"/>
        <v>208.66732857976095</v>
      </c>
      <c r="AJ115" s="62"/>
      <c r="AK115" s="62">
        <v>0</v>
      </c>
      <c r="AL115" s="256">
        <f t="shared" si="70"/>
        <v>30548.277841754512</v>
      </c>
      <c r="AM115" s="256">
        <f t="shared" si="71"/>
        <v>70850</v>
      </c>
      <c r="AN115" s="256">
        <f t="shared" si="72"/>
        <v>101398.27784175452</v>
      </c>
    </row>
    <row r="116" spans="1:40" hidden="1" x14ac:dyDescent="0.2">
      <c r="A116" s="311"/>
      <c r="B116" s="380"/>
      <c r="C116" s="380"/>
      <c r="D116" s="380"/>
      <c r="E116" s="380"/>
      <c r="F116" s="380"/>
      <c r="G116" s="380"/>
      <c r="H116" s="35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263" t="str">
        <f>+IF(R116="","",R116*S116)</f>
        <v/>
      </c>
      <c r="U116" s="269"/>
      <c r="V116" s="270" t="str">
        <f t="shared" si="60"/>
        <v/>
      </c>
      <c r="W116" s="270" t="str">
        <f t="shared" si="61"/>
        <v/>
      </c>
      <c r="X116" s="270" t="str">
        <f t="shared" si="62"/>
        <v/>
      </c>
      <c r="Y116" s="62">
        <v>0</v>
      </c>
      <c r="Z116" s="62">
        <v>0</v>
      </c>
      <c r="AA116" s="256">
        <f t="shared" si="63"/>
        <v>0</v>
      </c>
      <c r="AB116" s="3"/>
      <c r="AC116" s="62" t="str">
        <f t="shared" si="64"/>
        <v/>
      </c>
      <c r="AD116" s="62" t="str">
        <f t="shared" si="65"/>
        <v/>
      </c>
      <c r="AE116" s="62" t="str">
        <f t="shared" si="66"/>
        <v/>
      </c>
      <c r="AF116" s="62" t="str">
        <f t="shared" si="67"/>
        <v/>
      </c>
      <c r="AG116" s="192">
        <v>0</v>
      </c>
      <c r="AH116" s="62" t="str">
        <f t="shared" si="68"/>
        <v/>
      </c>
      <c r="AI116" s="62">
        <f t="shared" si="69"/>
        <v>0</v>
      </c>
      <c r="AJ116" s="62"/>
      <c r="AK116" s="62">
        <v>0</v>
      </c>
      <c r="AL116" s="256">
        <f t="shared" si="70"/>
        <v>0</v>
      </c>
      <c r="AM116" s="256">
        <f t="shared" si="71"/>
        <v>0</v>
      </c>
      <c r="AN116" s="256">
        <f t="shared" si="72"/>
        <v>0</v>
      </c>
    </row>
    <row r="117" spans="1:40" x14ac:dyDescent="0.2">
      <c r="A117" s="311" t="s">
        <v>1149</v>
      </c>
      <c r="B117" s="380">
        <v>100</v>
      </c>
      <c r="C117" s="380" t="s">
        <v>145</v>
      </c>
      <c r="D117" s="380"/>
      <c r="E117" s="380">
        <v>100</v>
      </c>
      <c r="F117" s="380">
        <v>1000</v>
      </c>
      <c r="G117" s="380" t="s">
        <v>161</v>
      </c>
      <c r="H117" s="351" t="s">
        <v>497</v>
      </c>
      <c r="I117" s="312" t="str">
        <f>IF('Employee Detail FY24'!I117="","",'Employee Detail FY24'!I117)</f>
        <v>VACANT</v>
      </c>
      <c r="J117" s="311" t="s">
        <v>1262</v>
      </c>
      <c r="K117" s="311" t="s">
        <v>389</v>
      </c>
      <c r="L117" s="311" t="s">
        <v>498</v>
      </c>
      <c r="M117" s="311"/>
      <c r="N117" s="311"/>
      <c r="O117" s="311"/>
      <c r="P117" s="311"/>
      <c r="Q117" s="311" t="s">
        <v>386</v>
      </c>
      <c r="R117" s="311" t="s">
        <v>386</v>
      </c>
      <c r="S117" s="311" t="s">
        <v>386</v>
      </c>
      <c r="T117" s="263" t="s">
        <v>386</v>
      </c>
      <c r="U117" s="269">
        <v>45000</v>
      </c>
      <c r="V117" s="270"/>
      <c r="W117" s="270" t="str">
        <f t="shared" si="61"/>
        <v/>
      </c>
      <c r="X117" s="270" t="str">
        <f t="shared" si="62"/>
        <v/>
      </c>
      <c r="Y117" s="62">
        <v>0</v>
      </c>
      <c r="Z117" s="62">
        <v>0</v>
      </c>
      <c r="AA117" s="256">
        <f t="shared" si="63"/>
        <v>0</v>
      </c>
      <c r="AB117" s="3"/>
      <c r="AC117" s="62" t="str">
        <f t="shared" si="64"/>
        <v/>
      </c>
      <c r="AD117" s="62" t="str">
        <f t="shared" ref="AD117" si="74">_xlfn.IFS(P117="N",$AD$1*AA117,P117="EE","",P117="ER","",P117="","")</f>
        <v/>
      </c>
      <c r="AE117" s="62" t="str">
        <f t="shared" ref="AE117" si="75">_xlfn.IFS(P117="EE",X117*$AE$1,P117="ER",X117*$AE$2,P117="N","",P117="","")</f>
        <v/>
      </c>
      <c r="AF117" s="62" t="str">
        <f t="shared" ref="AF117" si="76">+IF(AA117&gt;1,AA117*$AF$1,"")</f>
        <v/>
      </c>
      <c r="AG117" s="192">
        <v>0</v>
      </c>
      <c r="AH117" s="62" t="str">
        <f t="shared" ref="AH117" si="77">+IF(AA117&gt;1,AA117*$AH$1,"")</f>
        <v/>
      </c>
      <c r="AI117" s="62">
        <f t="shared" ref="AI117" si="78">+_xlfn.IFS(F117&lt;2300,(AA117*$AI$1),F117&gt;=2300,(AA117*$AI$2),F117="","")</f>
        <v>0</v>
      </c>
      <c r="AJ117" s="62"/>
      <c r="AK117" s="62">
        <v>0</v>
      </c>
      <c r="AL117" s="256">
        <f t="shared" si="70"/>
        <v>0</v>
      </c>
      <c r="AM117" s="256">
        <f t="shared" si="71"/>
        <v>0</v>
      </c>
      <c r="AN117" s="256">
        <f t="shared" si="72"/>
        <v>0</v>
      </c>
    </row>
    <row r="118" spans="1:40" x14ac:dyDescent="0.2">
      <c r="A118" s="311" t="s">
        <v>1149</v>
      </c>
      <c r="B118" s="380">
        <v>100</v>
      </c>
      <c r="C118" s="380" t="s">
        <v>145</v>
      </c>
      <c r="D118" s="380"/>
      <c r="E118" s="380">
        <v>100</v>
      </c>
      <c r="F118" s="380">
        <v>1000</v>
      </c>
      <c r="G118" s="380" t="s">
        <v>161</v>
      </c>
      <c r="H118" s="351" t="s">
        <v>497</v>
      </c>
      <c r="I118" s="312" t="str">
        <f>IF('Employee Detail FY24'!I118="","",'Employee Detail FY24'!I118)</f>
        <v>VACANT</v>
      </c>
      <c r="J118" s="311" t="s">
        <v>1262</v>
      </c>
      <c r="K118" s="311" t="s">
        <v>389</v>
      </c>
      <c r="L118" s="311" t="s">
        <v>498</v>
      </c>
      <c r="M118" s="311"/>
      <c r="N118" s="311"/>
      <c r="O118" s="311"/>
      <c r="P118" s="311"/>
      <c r="Q118" s="311" t="s">
        <v>386</v>
      </c>
      <c r="R118" s="311" t="s">
        <v>386</v>
      </c>
      <c r="S118" s="311" t="s">
        <v>386</v>
      </c>
      <c r="T118" s="263"/>
      <c r="U118" s="269">
        <v>45000</v>
      </c>
      <c r="V118" s="270"/>
      <c r="W118" s="270" t="str">
        <f t="shared" si="61"/>
        <v/>
      </c>
      <c r="X118" s="270" t="str">
        <f t="shared" si="62"/>
        <v/>
      </c>
      <c r="Y118" s="62">
        <v>0</v>
      </c>
      <c r="Z118" s="62">
        <v>0</v>
      </c>
      <c r="AA118" s="256">
        <f t="shared" si="63"/>
        <v>0</v>
      </c>
      <c r="AB118" s="3"/>
      <c r="AC118" s="62" t="str">
        <f t="shared" si="64"/>
        <v/>
      </c>
      <c r="AD118" s="62"/>
      <c r="AE118" s="62"/>
      <c r="AF118" s="62"/>
      <c r="AG118" s="192"/>
      <c r="AH118" s="62"/>
      <c r="AI118" s="62"/>
      <c r="AJ118" s="62"/>
      <c r="AK118" s="62"/>
      <c r="AL118" s="256">
        <f t="shared" si="70"/>
        <v>0</v>
      </c>
      <c r="AM118" s="256">
        <f t="shared" si="71"/>
        <v>0</v>
      </c>
      <c r="AN118" s="256">
        <f t="shared" si="72"/>
        <v>0</v>
      </c>
    </row>
    <row r="119" spans="1:40" x14ac:dyDescent="0.2">
      <c r="A119" s="311" t="s">
        <v>1149</v>
      </c>
      <c r="B119" s="380">
        <v>250</v>
      </c>
      <c r="C119" s="380" t="s">
        <v>145</v>
      </c>
      <c r="D119" s="380"/>
      <c r="E119" s="380">
        <v>200</v>
      </c>
      <c r="F119" s="380">
        <v>1000</v>
      </c>
      <c r="G119" s="380" t="s">
        <v>161</v>
      </c>
      <c r="H119" s="351" t="s">
        <v>497</v>
      </c>
      <c r="I119" s="312" t="str">
        <f>IF('Employee Detail FY24'!I119="","",'Employee Detail FY24'!I119)</f>
        <v>VACANT</v>
      </c>
      <c r="J119" s="311" t="s">
        <v>1262</v>
      </c>
      <c r="K119" s="311" t="s">
        <v>389</v>
      </c>
      <c r="L119" s="311" t="s">
        <v>495</v>
      </c>
      <c r="M119" s="313"/>
      <c r="N119" s="311"/>
      <c r="O119" s="311"/>
      <c r="P119" s="311"/>
      <c r="Q119" s="311" t="s">
        <v>386</v>
      </c>
      <c r="R119" s="311" t="s">
        <v>386</v>
      </c>
      <c r="S119" s="311" t="s">
        <v>386</v>
      </c>
      <c r="T119" s="263" t="str">
        <f>+IF(R119="","",R119*S119)</f>
        <v/>
      </c>
      <c r="U119" s="269">
        <v>45000</v>
      </c>
      <c r="V119" s="270"/>
      <c r="W119" s="270" t="str">
        <f t="shared" si="61"/>
        <v/>
      </c>
      <c r="X119" s="270" t="str">
        <f t="shared" si="62"/>
        <v/>
      </c>
      <c r="Y119" s="62">
        <v>0</v>
      </c>
      <c r="Z119" s="62">
        <v>0</v>
      </c>
      <c r="AA119" s="256">
        <f t="shared" si="63"/>
        <v>0</v>
      </c>
      <c r="AB119" s="3"/>
      <c r="AC119" s="62" t="str">
        <f t="shared" si="64"/>
        <v/>
      </c>
      <c r="AD119" s="62" t="str">
        <f>_xlfn.IFS(P119="N",$AD$1*AA119,P119="EE","",P119="ER","",P119="","")</f>
        <v/>
      </c>
      <c r="AE119" s="62" t="str">
        <f>_xlfn.IFS(P119="EE",X119*$AE$1,P119="ER",X119*$AE$2,P119="N","",P119="","")</f>
        <v/>
      </c>
      <c r="AF119" s="62" t="str">
        <f>+IF(AA119&gt;1,AA119*$AF$1,"")</f>
        <v/>
      </c>
      <c r="AG119" s="192">
        <v>0</v>
      </c>
      <c r="AH119" s="62" t="str">
        <f>+IF(AA119&gt;1,AA119*$AH$1,"")</f>
        <v/>
      </c>
      <c r="AI119" s="62">
        <f>+_xlfn.IFS(F119&lt;2300,(AA119*$AI$1),F119&gt;=2300,(AA119*$AI$2),F119="","")</f>
        <v>0</v>
      </c>
      <c r="AJ119" s="62"/>
      <c r="AK119" s="62">
        <v>0</v>
      </c>
      <c r="AL119" s="256">
        <f t="shared" si="70"/>
        <v>0</v>
      </c>
      <c r="AM119" s="256">
        <f t="shared" si="71"/>
        <v>0</v>
      </c>
      <c r="AN119" s="256">
        <f t="shared" si="72"/>
        <v>0</v>
      </c>
    </row>
    <row r="120" spans="1:40" x14ac:dyDescent="0.2">
      <c r="A120" s="311" t="s">
        <v>1149</v>
      </c>
      <c r="B120" s="798">
        <v>100</v>
      </c>
      <c r="C120" s="798" t="s">
        <v>145</v>
      </c>
      <c r="D120" s="798"/>
      <c r="E120" s="798">
        <v>100</v>
      </c>
      <c r="F120" s="798">
        <v>1000</v>
      </c>
      <c r="G120" s="798" t="s">
        <v>169</v>
      </c>
      <c r="H120" s="311"/>
      <c r="I120" s="312" t="s">
        <v>1149</v>
      </c>
      <c r="J120" s="312" t="s">
        <v>1262</v>
      </c>
      <c r="K120" s="312" t="s">
        <v>384</v>
      </c>
      <c r="L120" s="312" t="s">
        <v>989</v>
      </c>
      <c r="M120" s="313"/>
      <c r="N120" s="311"/>
      <c r="O120" s="311"/>
      <c r="P120" s="311"/>
      <c r="Q120" s="311"/>
      <c r="R120" s="311"/>
      <c r="S120" s="311"/>
      <c r="T120" s="263" t="s">
        <v>386</v>
      </c>
      <c r="U120" s="269">
        <v>31500</v>
      </c>
      <c r="V120" s="270"/>
      <c r="W120" s="270" t="str">
        <f t="shared" si="61"/>
        <v/>
      </c>
      <c r="X120" s="270" t="str">
        <f t="shared" si="62"/>
        <v/>
      </c>
      <c r="Y120" s="62">
        <v>0</v>
      </c>
      <c r="Z120" s="62">
        <v>0</v>
      </c>
      <c r="AA120" s="256">
        <f t="shared" si="63"/>
        <v>0</v>
      </c>
      <c r="AB120" s="3"/>
      <c r="AC120" s="62" t="str">
        <f t="shared" si="64"/>
        <v/>
      </c>
      <c r="AD120" s="62" t="str">
        <f>_xlfn.IFS(P120="N",$AD$1*AA120,P120="EE","",P120="ER","",P120="","")</f>
        <v/>
      </c>
      <c r="AE120" s="62" t="str">
        <f>_xlfn.IFS(P120="EE",X120*$AE$1,P120="ER",X120*$AE$2,P120="N","",P120="","")</f>
        <v/>
      </c>
      <c r="AF120" s="62" t="str">
        <f>+IF(AA120&gt;1,AA120*$AF$1,"")</f>
        <v/>
      </c>
      <c r="AG120" s="192">
        <v>0</v>
      </c>
      <c r="AH120" s="62" t="str">
        <f>+IF(AA120&gt;1,AA120*$AH$1,"")</f>
        <v/>
      </c>
      <c r="AI120" s="62">
        <f>+_xlfn.IFS(F120&lt;2300,(AA120*$AI$1),F120&gt;=2300,(AA120*$AI$2),F120="","")</f>
        <v>0</v>
      </c>
      <c r="AJ120" s="62"/>
      <c r="AK120" s="62">
        <v>0</v>
      </c>
      <c r="AL120" s="256">
        <f t="shared" si="70"/>
        <v>0</v>
      </c>
      <c r="AM120" s="256">
        <f t="shared" si="71"/>
        <v>0</v>
      </c>
      <c r="AN120" s="256">
        <f t="shared" si="72"/>
        <v>0</v>
      </c>
    </row>
    <row r="121" spans="1:40" hidden="1" x14ac:dyDescent="0.2">
      <c r="A121" s="311" t="str">
        <f>IF('Employee Detail FY24'!A121="","",'Employee Detail FY24'!A121)</f>
        <v/>
      </c>
      <c r="B121" s="798" t="str">
        <f>IF('Employee Detail FY24'!B121="","",'Employee Detail FY24'!B121)</f>
        <v/>
      </c>
      <c r="C121" s="798" t="str">
        <f>IF('Employee Detail FY24'!C121="","",'Employee Detail FY24'!C121)</f>
        <v/>
      </c>
      <c r="D121" s="798"/>
      <c r="E121" s="798" t="str">
        <f>IF('Employee Detail FY24'!E121="","",'Employee Detail FY24'!E121)</f>
        <v/>
      </c>
      <c r="F121" s="798" t="str">
        <f>IF('Employee Detail FY24'!F121="","",'Employee Detail FY24'!F121)</f>
        <v/>
      </c>
      <c r="G121" s="798" t="str">
        <f>IF('Employee Detail FY24'!G121="","",'Employee Detail FY24'!G121)</f>
        <v/>
      </c>
      <c r="H121" s="311"/>
      <c r="I121" s="312" t="str">
        <f>IF('Employee Detail FY24'!I121="","",'Employee Detail FY24'!I121)</f>
        <v/>
      </c>
      <c r="J121" s="312" t="str">
        <f>IF('Employee Detail FY24'!J121="","",'Employee Detail FY24'!J121)</f>
        <v/>
      </c>
      <c r="K121" s="312" t="str">
        <f>IF('Employee Detail FY24'!K121="","",'Employee Detail FY24'!K121)</f>
        <v/>
      </c>
      <c r="L121" s="312" t="str">
        <f>IF('Employee Detail FY24'!L121="","",'Employee Detail FY24'!L121)</f>
        <v/>
      </c>
      <c r="M121" s="313"/>
      <c r="N121" s="311"/>
      <c r="O121" s="311"/>
      <c r="P121" s="311"/>
      <c r="Q121" s="311"/>
      <c r="R121" s="311"/>
      <c r="S121" s="311"/>
      <c r="T121" s="263" t="str">
        <f>+IF(R121="","",R121*S121)</f>
        <v/>
      </c>
      <c r="U121" s="269" t="str">
        <f>IF('Employee Detail FY24'!U121="","",'Employee Detail FY24'!U121)</f>
        <v/>
      </c>
      <c r="V121" s="270" t="str">
        <f>IF($U121="","",$U121*(1+$V$1))</f>
        <v/>
      </c>
      <c r="W121" s="270" t="str">
        <f t="shared" si="61"/>
        <v/>
      </c>
      <c r="X121" s="270" t="str">
        <f t="shared" si="62"/>
        <v/>
      </c>
      <c r="Y121" s="62">
        <v>0</v>
      </c>
      <c r="Z121" s="62">
        <v>0</v>
      </c>
      <c r="AA121" s="256">
        <f t="shared" si="63"/>
        <v>0</v>
      </c>
      <c r="AB121" s="3"/>
      <c r="AC121" s="62" t="str">
        <f t="shared" si="64"/>
        <v/>
      </c>
      <c r="AD121" s="62" t="str">
        <f>_xlfn.IFS(P121="N",$AD$1*AA121,P121="EE","",P121="ER","",P121="","")</f>
        <v/>
      </c>
      <c r="AE121" s="62" t="str">
        <f>_xlfn.IFS(P121="EE",X121*$AE$1,P121="ER",X121*$AE$2,P121="N","",P121="","")</f>
        <v/>
      </c>
      <c r="AF121" s="62" t="str">
        <f>+IF(AA121&gt;1,AA121*$AF$1,"")</f>
        <v/>
      </c>
      <c r="AG121" s="192">
        <v>0</v>
      </c>
      <c r="AH121" s="62" t="str">
        <f>+IF(AA121&gt;1,AA121*$AH$1,"")</f>
        <v/>
      </c>
      <c r="AI121" s="62">
        <f>+_xlfn.IFS(F121&lt;2300,(AA121*$AI$1),F121&gt;=2300,(AA121*$AI$2),F121="","")</f>
        <v>0</v>
      </c>
      <c r="AJ121" s="62"/>
      <c r="AK121" s="62">
        <v>0</v>
      </c>
      <c r="AL121" s="256">
        <f t="shared" si="70"/>
        <v>0</v>
      </c>
      <c r="AM121" s="256">
        <f t="shared" si="71"/>
        <v>0</v>
      </c>
      <c r="AN121" s="256">
        <f t="shared" si="72"/>
        <v>0</v>
      </c>
    </row>
    <row r="122" spans="1:40" x14ac:dyDescent="0.2">
      <c r="A122" s="311" t="s">
        <v>1149</v>
      </c>
      <c r="B122" s="380">
        <v>250</v>
      </c>
      <c r="C122" s="380" t="s">
        <v>145</v>
      </c>
      <c r="D122" s="380"/>
      <c r="E122" s="380">
        <v>200</v>
      </c>
      <c r="F122" s="380">
        <v>1000</v>
      </c>
      <c r="G122" s="380" t="s">
        <v>161</v>
      </c>
      <c r="H122" s="351" t="s">
        <v>497</v>
      </c>
      <c r="I122" s="312" t="str">
        <f>IF('Employee Detail FY24'!I122="","",'Employee Detail FY24'!I122)</f>
        <v>VACANT</v>
      </c>
      <c r="J122" s="311" t="s">
        <v>1263</v>
      </c>
      <c r="K122" s="311" t="s">
        <v>389</v>
      </c>
      <c r="L122" s="311" t="s">
        <v>495</v>
      </c>
      <c r="M122" s="313"/>
      <c r="N122" s="311"/>
      <c r="O122" s="311"/>
      <c r="P122" s="311"/>
      <c r="Q122" s="311" t="s">
        <v>386</v>
      </c>
      <c r="R122" s="311" t="s">
        <v>386</v>
      </c>
      <c r="S122" s="311" t="s">
        <v>386</v>
      </c>
      <c r="T122" s="263" t="str">
        <f t="shared" ref="T122" si="79">+IF(R122="","",R122*S122)</f>
        <v/>
      </c>
      <c r="U122" s="269">
        <v>45000</v>
      </c>
      <c r="V122" s="270"/>
      <c r="W122" s="270" t="str">
        <f t="shared" si="61"/>
        <v/>
      </c>
      <c r="X122" s="270" t="str">
        <f t="shared" si="62"/>
        <v/>
      </c>
      <c r="Y122" s="62">
        <v>0</v>
      </c>
      <c r="Z122" s="62">
        <v>0</v>
      </c>
      <c r="AA122" s="256">
        <f t="shared" si="63"/>
        <v>0</v>
      </c>
      <c r="AB122" s="3"/>
      <c r="AC122" s="62" t="str">
        <f t="shared" si="64"/>
        <v/>
      </c>
      <c r="AD122" s="62" t="str">
        <f>_xlfn.IFS(P122="N",$AD$1*AA122,P122="EE","",P122="ER","",P122="","")</f>
        <v/>
      </c>
      <c r="AE122" s="62" t="str">
        <f>_xlfn.IFS(P122="EE",X122*$AE$1,P122="ER",X122*$AE$2,P122="N","",P122="","")</f>
        <v/>
      </c>
      <c r="AF122" s="62" t="str">
        <f>+IF(AA122&gt;1,AA122*$AF$1,"")</f>
        <v/>
      </c>
      <c r="AG122" s="192">
        <v>0</v>
      </c>
      <c r="AH122" s="62" t="str">
        <f>+IF(AA122&gt;1,AA122*$AH$1,"")</f>
        <v/>
      </c>
      <c r="AI122" s="62">
        <f>+_xlfn.IFS(F122&lt;2300,(AA122*$AI$1),F122&gt;=2300,(AA122*$AI$2),F122="","")</f>
        <v>0</v>
      </c>
      <c r="AJ122" s="62"/>
      <c r="AK122" s="62">
        <v>0</v>
      </c>
      <c r="AL122" s="256">
        <f t="shared" si="70"/>
        <v>0</v>
      </c>
      <c r="AM122" s="256">
        <f t="shared" si="71"/>
        <v>0</v>
      </c>
      <c r="AN122" s="256">
        <f t="shared" si="72"/>
        <v>0</v>
      </c>
    </row>
    <row r="123" spans="1:40" hidden="1" x14ac:dyDescent="0.2">
      <c r="A123" s="311" t="str">
        <f>IF('Employee Detail FY23'!A149="","",'Employee Detail FY23'!A149)</f>
        <v/>
      </c>
      <c r="B123" s="798" t="str">
        <f>IF('Employee Detail FY23'!B149="","",'Employee Detail FY23'!B149)</f>
        <v/>
      </c>
      <c r="C123" s="798" t="str">
        <f>IF('Employee Detail FY23'!C149="","",'Employee Detail FY23'!C149)</f>
        <v/>
      </c>
      <c r="D123" s="798"/>
      <c r="E123" s="798" t="str">
        <f>IF('Employee Detail FY23'!E149="","",'Employee Detail FY23'!E149)</f>
        <v/>
      </c>
      <c r="F123" s="798" t="str">
        <f>IF('Employee Detail FY23'!F149="","",'Employee Detail FY23'!F149)</f>
        <v/>
      </c>
      <c r="G123" s="798" t="str">
        <f>IF('Employee Detail FY23'!G149="","",'Employee Detail FY23'!G149)</f>
        <v/>
      </c>
      <c r="H123" s="311"/>
      <c r="I123" s="312" t="str">
        <f>IF('Employee Detail FY23'!I149="","",'Employee Detail FY23'!I149)</f>
        <v/>
      </c>
      <c r="J123" s="312" t="str">
        <f>IF('Employee Detail FY23'!J149="","",'Employee Detail FY23'!J149)</f>
        <v/>
      </c>
      <c r="K123" s="312" t="str">
        <f>IF('Employee Detail FY23'!K149="","",'Employee Detail FY23'!K149)</f>
        <v/>
      </c>
      <c r="L123" s="312" t="str">
        <f>IF('Employee Detail FY23'!L149="","",'Employee Detail FY23'!L149)</f>
        <v/>
      </c>
      <c r="M123" s="313"/>
      <c r="N123" s="311"/>
      <c r="O123" s="311"/>
      <c r="P123" s="311"/>
      <c r="Q123" s="311" t="str">
        <f>IF('Employee Detail FY23'!Q149="","",'Employee Detail FY23'!Q149)</f>
        <v/>
      </c>
      <c r="R123" s="311" t="str">
        <f>IF('Employee Detail FY23'!R149="","",'Employee Detail FY23'!R149)</f>
        <v/>
      </c>
      <c r="S123" s="311" t="str">
        <f>IF('Employee Detail FY23'!S149="","",'Employee Detail FY23'!S149)</f>
        <v/>
      </c>
      <c r="T123" s="263" t="str">
        <f t="shared" ref="T123" si="80">+IF(R123="","",R123*S123)</f>
        <v/>
      </c>
      <c r="U123" s="269" t="str">
        <f>IF('Employee Detail FY23'!U149="","",'Employee Detail FY23'!U149)</f>
        <v/>
      </c>
      <c r="V123" s="270"/>
      <c r="W123" s="270" t="str">
        <f t="shared" ref="W123" si="81">+IF(P123="EE",+V123*$W$1,"")</f>
        <v/>
      </c>
      <c r="X123" s="270" t="str">
        <f t="shared" ref="X123" si="82">_xlfn.IFS(P123="ER",V123,P123="EE",W123,P123="N",V123,P123="","")</f>
        <v/>
      </c>
      <c r="Y123" s="62">
        <v>0</v>
      </c>
      <c r="Z123" s="62">
        <v>0</v>
      </c>
      <c r="AA123" s="256">
        <f t="shared" ref="AA123" si="83">SUM(X123:Z123)</f>
        <v>0</v>
      </c>
      <c r="AB123" s="3"/>
      <c r="AC123" s="62" t="str">
        <f t="shared" ref="AC123" si="84">IF(AND(M123=1,P123&lt;&gt;"N"),$AC$1,"")</f>
        <v/>
      </c>
      <c r="AD123" s="62" t="str">
        <f t="shared" ref="AD123" si="85">_xlfn.IFS(P123="N",$AD$1*AA123,P123="EE","",P123="ER","",P123="","")</f>
        <v/>
      </c>
      <c r="AE123" s="62" t="str">
        <f t="shared" ref="AE123" si="86">_xlfn.IFS(P123="EE",X123*$AE$1,P123="ER",X123*$AE$2,P123="N","",P123="","")</f>
        <v/>
      </c>
      <c r="AF123" s="62" t="str">
        <f t="shared" ref="AF123" si="87">+IF(AA123&gt;1,AA123*$AF$1,"")</f>
        <v/>
      </c>
      <c r="AG123" s="192">
        <v>0</v>
      </c>
      <c r="AH123" s="62" t="str">
        <f t="shared" ref="AH123" si="88">+IF(AA123&gt;1,AA123*$AH$1,"")</f>
        <v/>
      </c>
      <c r="AI123" s="62">
        <f t="shared" ref="AI123" si="89">+_xlfn.IFS(F123&lt;2300,(AA123*$AI$1),F123&gt;=2300,(AA123*$AI$2),F123="","")</f>
        <v>0</v>
      </c>
      <c r="AJ123" s="62"/>
      <c r="AK123" s="62">
        <v>0</v>
      </c>
      <c r="AL123" s="256">
        <f t="shared" ref="AL123" si="90">SUM(AC123:AK123)</f>
        <v>0</v>
      </c>
      <c r="AM123" s="256">
        <f t="shared" ref="AM123" si="91">AA123</f>
        <v>0</v>
      </c>
      <c r="AN123" s="256">
        <f t="shared" ref="AN123" si="92">SUM(AL123:AM123)</f>
        <v>0</v>
      </c>
    </row>
    <row r="124" spans="1:40" hidden="1" x14ac:dyDescent="0.2">
      <c r="A124" s="311"/>
      <c r="B124" s="380"/>
      <c r="C124" s="380"/>
      <c r="D124" s="380"/>
      <c r="E124" s="380"/>
      <c r="F124" s="380"/>
      <c r="G124" s="380"/>
      <c r="H124" s="35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263" t="str">
        <f>+IF(R124="","",R124*S124)</f>
        <v/>
      </c>
      <c r="U124" s="269" t="str">
        <f>IF('Employee Detail FY23'!U111="","",'Employee Detail FY23'!U111)</f>
        <v/>
      </c>
      <c r="V124" s="270" t="str">
        <f>IF($U124="","",$U124*(1+$V$1))</f>
        <v/>
      </c>
      <c r="W124" s="270" t="str">
        <f>+IF(P124="EE",+V124*$W$1,"")</f>
        <v/>
      </c>
      <c r="X124" s="270" t="str">
        <f>_xlfn.IFS(P124="ER",V124,P124="EE",W124,P124="N",V124,P124="","")</f>
        <v/>
      </c>
      <c r="Y124" s="62">
        <v>0</v>
      </c>
      <c r="Z124" s="62">
        <v>0</v>
      </c>
      <c r="AA124" s="256">
        <f>SUM(X124:Z124)</f>
        <v>0</v>
      </c>
      <c r="AB124" s="3"/>
      <c r="AC124" s="62" t="str">
        <f>IF(AND(M124=1,P124&lt;&gt;"N"),$AC$1,"")</f>
        <v/>
      </c>
      <c r="AD124" s="62" t="str">
        <f>_xlfn.IFS(P124="N",$AD$1*AA124,P124="EE","",P124="ER","",P124="","")</f>
        <v/>
      </c>
      <c r="AE124" s="62" t="str">
        <f>_xlfn.IFS(P124="EE",X124*$AE$1,P124="ER",X124*$AE$2,P124="N","",P124="","")</f>
        <v/>
      </c>
      <c r="AF124" s="62" t="str">
        <f>+IF(AA124&gt;1,AA124*$AF$1,"")</f>
        <v/>
      </c>
      <c r="AG124" s="192">
        <v>0</v>
      </c>
      <c r="AH124" s="62" t="str">
        <f>+IF(AA124&gt;1,AA124*$AH$1,"")</f>
        <v/>
      </c>
      <c r="AI124" s="62">
        <f>+_xlfn.IFS(F124&lt;2300,(AA124*$AI$1),F124&gt;=2300,(AA124*$AI$2),F124="","")</f>
        <v>0</v>
      </c>
      <c r="AJ124" s="62"/>
      <c r="AK124" s="62">
        <v>0</v>
      </c>
      <c r="AL124" s="256">
        <f>SUM(AC124:AK124)</f>
        <v>0</v>
      </c>
      <c r="AM124" s="256">
        <f>AA124</f>
        <v>0</v>
      </c>
      <c r="AN124" s="256">
        <f>SUM(AL124:AM124)</f>
        <v>0</v>
      </c>
    </row>
    <row r="125" spans="1:40" hidden="1" x14ac:dyDescent="0.2">
      <c r="A125" s="311" t="str">
        <f>IF('Employee Detail FY24'!A125="","",'Employee Detail FY24'!A125)</f>
        <v/>
      </c>
      <c r="B125" s="798" t="str">
        <f>IF('Employee Detail FY24'!B125="","",'Employee Detail FY24'!B125)</f>
        <v/>
      </c>
      <c r="C125" s="798" t="str">
        <f>IF('Employee Detail FY24'!C125="","",'Employee Detail FY24'!C125)</f>
        <v/>
      </c>
      <c r="D125" s="798"/>
      <c r="E125" s="798" t="str">
        <f>IF('Employee Detail FY24'!E125="","",'Employee Detail FY24'!E125)</f>
        <v/>
      </c>
      <c r="F125" s="798" t="str">
        <f>IF('Employee Detail FY24'!F125="","",'Employee Detail FY24'!F125)</f>
        <v/>
      </c>
      <c r="G125" s="798" t="str">
        <f>IF('Employee Detail FY24'!G125="","",'Employee Detail FY24'!G125)</f>
        <v/>
      </c>
      <c r="H125" s="311"/>
      <c r="I125" s="312" t="str">
        <f>IF('Employee Detail FY24'!I125="","",'Employee Detail FY24'!I125)</f>
        <v/>
      </c>
      <c r="J125" s="312" t="str">
        <f>IF('Employee Detail FY24'!J125="","",'Employee Detail FY24'!J125)</f>
        <v/>
      </c>
      <c r="K125" s="312" t="str">
        <f>IF('Employee Detail FY24'!K125="","",'Employee Detail FY24'!K125)</f>
        <v/>
      </c>
      <c r="L125" s="312" t="str">
        <f>IF('Employee Detail FY24'!L125="","",'Employee Detail FY24'!L125)</f>
        <v/>
      </c>
      <c r="M125" s="313"/>
      <c r="N125" s="311"/>
      <c r="O125" s="311"/>
      <c r="P125" s="311"/>
      <c r="Q125" s="311" t="str">
        <f>IF('Employee Detail FY24'!Q125="","",'Employee Detail FY24'!Q125)</f>
        <v/>
      </c>
      <c r="R125" s="311" t="str">
        <f>IF('Employee Detail FY24'!R125="","",'Employee Detail FY24'!R125)</f>
        <v/>
      </c>
      <c r="S125" s="311" t="str">
        <f>IF('Employee Detail FY24'!S125="","",'Employee Detail FY24'!S125)</f>
        <v/>
      </c>
      <c r="T125" s="263" t="str">
        <f>+IF(R125="","",R125*S125)</f>
        <v/>
      </c>
      <c r="U125" s="269" t="str">
        <f>IF('Employee Detail FY24'!U125="","",'Employee Detail FY24'!U125)</f>
        <v/>
      </c>
      <c r="V125" s="270" t="str">
        <f>IF($U125="","",$U125*(1+$V$1))</f>
        <v/>
      </c>
      <c r="W125" s="270" t="str">
        <f>+IF(P125="EE",+V125*$W$1,"")</f>
        <v/>
      </c>
      <c r="X125" s="270" t="str">
        <f>_xlfn.IFS(P125="ER",V125,P125="EE",W125,P125="N",V125,P125="","")</f>
        <v/>
      </c>
      <c r="Y125" s="62">
        <v>0</v>
      </c>
      <c r="Z125" s="62">
        <v>0</v>
      </c>
      <c r="AA125" s="256">
        <f>SUM(X125:Z125)</f>
        <v>0</v>
      </c>
      <c r="AB125" s="3"/>
      <c r="AC125" s="62" t="str">
        <f>IF(AND(M125=1,P125&lt;&gt;"N"),$AC$1,"")</f>
        <v/>
      </c>
      <c r="AD125" s="62" t="str">
        <f>_xlfn.IFS(P125="N",$AD$1*AA125,P125="EE","",P125="ER","",P125="","")</f>
        <v/>
      </c>
      <c r="AE125" s="62" t="str">
        <f>_xlfn.IFS(P125="EE",X125*$AE$1,P125="ER",X125*$AE$2,P125="N","",P125="","")</f>
        <v/>
      </c>
      <c r="AF125" s="62" t="str">
        <f>+IF(AA125&gt;1,AA125*$AF$1,"")</f>
        <v/>
      </c>
      <c r="AG125" s="192">
        <v>0</v>
      </c>
      <c r="AH125" s="62" t="str">
        <f>+IF(AA125&gt;1,AA125*$AH$1,"")</f>
        <v/>
      </c>
      <c r="AI125" s="62">
        <f>+_xlfn.IFS(F125&lt;2300,(AA125*$AI$1),F125&gt;=2300,(AA125*$AI$2),F125="","")</f>
        <v>0</v>
      </c>
      <c r="AJ125" s="62"/>
      <c r="AK125" s="62">
        <v>0</v>
      </c>
      <c r="AL125" s="256">
        <f>SUM(AC125:AK125)</f>
        <v>0</v>
      </c>
      <c r="AM125" s="256">
        <f>AA125</f>
        <v>0</v>
      </c>
      <c r="AN125" s="256">
        <f>SUM(AL125:AM125)</f>
        <v>0</v>
      </c>
    </row>
    <row r="126" spans="1:40" hidden="1" x14ac:dyDescent="0.2">
      <c r="A126" s="311"/>
      <c r="B126" s="380"/>
      <c r="C126" s="380"/>
      <c r="D126" s="380"/>
      <c r="E126" s="380"/>
      <c r="F126" s="380"/>
      <c r="G126" s="380"/>
      <c r="H126" s="35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263" t="str">
        <f t="shared" ref="T126" si="93">+IF(R126="","",R126*S126)</f>
        <v/>
      </c>
      <c r="U126" s="269"/>
      <c r="V126" s="270" t="str">
        <f t="shared" ref="V126" si="94">IF($U126="","",$U126*(1+$V$1))</f>
        <v/>
      </c>
      <c r="W126" s="270" t="str">
        <f t="shared" ref="W126:W128" si="95">+IF(P126="EE",+V126*$W$1,"")</f>
        <v/>
      </c>
      <c r="X126" s="270" t="str">
        <f t="shared" ref="X126:X128" si="96">_xlfn.IFS(P126="ER",V126,P126="EE",W126,P126="N",V126,P126="","")</f>
        <v/>
      </c>
      <c r="Y126" s="62">
        <v>0</v>
      </c>
      <c r="Z126" s="62">
        <v>0</v>
      </c>
      <c r="AA126" s="256">
        <f t="shared" si="50"/>
        <v>0</v>
      </c>
      <c r="AB126" s="3"/>
      <c r="AC126" s="62" t="str">
        <f t="shared" si="51"/>
        <v/>
      </c>
      <c r="AD126" s="62" t="str">
        <f t="shared" si="52"/>
        <v/>
      </c>
      <c r="AE126" s="62" t="str">
        <f t="shared" si="53"/>
        <v/>
      </c>
      <c r="AF126" s="62" t="str">
        <f t="shared" si="54"/>
        <v/>
      </c>
      <c r="AG126" s="192">
        <v>0</v>
      </c>
      <c r="AH126" s="62" t="str">
        <f t="shared" si="55"/>
        <v/>
      </c>
      <c r="AI126" s="62">
        <f t="shared" si="56"/>
        <v>0</v>
      </c>
      <c r="AJ126" s="62"/>
      <c r="AK126" s="62">
        <v>0</v>
      </c>
      <c r="AL126" s="256">
        <f t="shared" si="57"/>
        <v>0</v>
      </c>
      <c r="AM126" s="256">
        <f t="shared" si="58"/>
        <v>0</v>
      </c>
      <c r="AN126" s="256">
        <f t="shared" si="59"/>
        <v>0</v>
      </c>
    </row>
    <row r="127" spans="1:40" hidden="1" x14ac:dyDescent="0.2">
      <c r="A127" s="311" t="str">
        <f>IF('Employee Detail FY23'!A144="","",'Employee Detail FY23'!A144)</f>
        <v/>
      </c>
      <c r="B127" s="798" t="str">
        <f>IF('Employee Detail FY23'!B144="","",'Employee Detail FY23'!B144)</f>
        <v/>
      </c>
      <c r="C127" s="798" t="str">
        <f>IF('Employee Detail FY23'!C144="","",'Employee Detail FY23'!C144)</f>
        <v/>
      </c>
      <c r="D127" s="798"/>
      <c r="E127" s="798" t="str">
        <f>IF('Employee Detail FY23'!E144="","",'Employee Detail FY23'!E144)</f>
        <v/>
      </c>
      <c r="F127" s="798" t="str">
        <f>IF('Employee Detail FY23'!F144="","",'Employee Detail FY23'!F144)</f>
        <v/>
      </c>
      <c r="G127" s="798" t="str">
        <f>IF('Employee Detail FY23'!G144="","",'Employee Detail FY23'!G144)</f>
        <v/>
      </c>
      <c r="H127" s="311"/>
      <c r="I127" s="312" t="str">
        <f>IF('Employee Detail FY23'!I144="","",'Employee Detail FY23'!I144)</f>
        <v/>
      </c>
      <c r="J127" s="312" t="str">
        <f>IF('Employee Detail FY23'!J144="","",'Employee Detail FY23'!J144)</f>
        <v/>
      </c>
      <c r="K127" s="312" t="str">
        <f>IF('Employee Detail FY23'!K144="","",'Employee Detail FY23'!K144)</f>
        <v/>
      </c>
      <c r="L127" s="312" t="str">
        <f>IF('Employee Detail FY23'!L144="","",'Employee Detail FY23'!L144)</f>
        <v/>
      </c>
      <c r="M127" s="313"/>
      <c r="N127" s="311"/>
      <c r="O127" s="311"/>
      <c r="P127" s="311"/>
      <c r="Q127" s="311" t="str">
        <f>IF('Employee Detail FY23'!Q144="","",'Employee Detail FY23'!Q144)</f>
        <v/>
      </c>
      <c r="R127" s="311" t="str">
        <f>IF('Employee Detail FY23'!R144="","",'Employee Detail FY23'!R144)</f>
        <v/>
      </c>
      <c r="S127" s="311" t="str">
        <f>IF('Employee Detail FY23'!S144="","",'Employee Detail FY23'!S144)</f>
        <v/>
      </c>
      <c r="T127" s="263" t="str">
        <f t="shared" ref="T127" si="97">+IF(R127="","",R127*S127)</f>
        <v/>
      </c>
      <c r="U127" s="269" t="str">
        <f>IF('Employee Detail FY23'!U144="","",'Employee Detail FY23'!U144)</f>
        <v/>
      </c>
      <c r="V127" s="270"/>
      <c r="W127" s="270" t="str">
        <f t="shared" ref="W127" si="98">+IF(P127="EE",+V127*$W$1,"")</f>
        <v/>
      </c>
      <c r="X127" s="270" t="str">
        <f t="shared" ref="X127" si="99">_xlfn.IFS(P127="ER",V127,P127="EE",W127,P127="N",V127,P127="","")</f>
        <v/>
      </c>
      <c r="Y127" s="62">
        <v>0</v>
      </c>
      <c r="Z127" s="62">
        <v>0</v>
      </c>
      <c r="AA127" s="256">
        <f t="shared" ref="AA127" si="100">SUM(X127:Z127)</f>
        <v>0</v>
      </c>
      <c r="AB127" s="3"/>
      <c r="AC127" s="62" t="str">
        <f t="shared" ref="AC127" si="101">IF(AND(M127=1,P127&lt;&gt;"N"),$AC$1,"")</f>
        <v/>
      </c>
      <c r="AD127" s="62" t="str">
        <f t="shared" ref="AD127" si="102">_xlfn.IFS(P127="N",$AD$1*AA127,P127="EE","",P127="ER","",P127="","")</f>
        <v/>
      </c>
      <c r="AE127" s="62" t="str">
        <f t="shared" ref="AE127" si="103">_xlfn.IFS(P127="EE",X127*$AE$1,P127="ER",X127*$AE$2,P127="N","",P127="","")</f>
        <v/>
      </c>
      <c r="AF127" s="62" t="str">
        <f t="shared" ref="AF127" si="104">+IF(AA127&gt;1,AA127*$AF$1,"")</f>
        <v/>
      </c>
      <c r="AG127" s="192">
        <v>0</v>
      </c>
      <c r="AH127" s="62" t="str">
        <f t="shared" ref="AH127" si="105">+IF(AA127&gt;1,AA127*$AH$1,"")</f>
        <v/>
      </c>
      <c r="AI127" s="62">
        <f t="shared" ref="AI127" si="106">+_xlfn.IFS(F127&lt;2300,(AA127*$AI$1),F127&gt;=2300,(AA127*$AI$2),F127="","")</f>
        <v>0</v>
      </c>
      <c r="AJ127" s="62"/>
      <c r="AK127" s="62">
        <v>0</v>
      </c>
      <c r="AL127" s="256">
        <f t="shared" ref="AL127" si="107">SUM(AC127:AK127)</f>
        <v>0</v>
      </c>
      <c r="AM127" s="256">
        <f t="shared" ref="AM127" si="108">AA127</f>
        <v>0</v>
      </c>
      <c r="AN127" s="256">
        <f t="shared" ref="AN127" si="109">SUM(AL127:AM127)</f>
        <v>0</v>
      </c>
    </row>
    <row r="128" spans="1:40" hidden="1" x14ac:dyDescent="0.2">
      <c r="A128" s="311"/>
      <c r="B128" s="380"/>
      <c r="C128" s="380"/>
      <c r="D128" s="380"/>
      <c r="E128" s="380"/>
      <c r="F128" s="380"/>
      <c r="G128" s="380"/>
      <c r="H128" s="35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263" t="s">
        <v>386</v>
      </c>
      <c r="U128" s="269"/>
      <c r="V128" s="270"/>
      <c r="W128" s="270" t="str">
        <f t="shared" si="95"/>
        <v/>
      </c>
      <c r="X128" s="270" t="str">
        <f t="shared" si="96"/>
        <v/>
      </c>
      <c r="Y128" s="62">
        <v>0</v>
      </c>
      <c r="Z128" s="62">
        <v>0</v>
      </c>
      <c r="AA128" s="256">
        <f t="shared" si="50"/>
        <v>0</v>
      </c>
      <c r="AB128" s="3"/>
      <c r="AC128" s="62" t="str">
        <f t="shared" si="51"/>
        <v/>
      </c>
      <c r="AD128" s="62" t="str">
        <f t="shared" si="52"/>
        <v/>
      </c>
      <c r="AE128" s="62" t="str">
        <f t="shared" si="53"/>
        <v/>
      </c>
      <c r="AF128" s="62" t="str">
        <f t="shared" si="54"/>
        <v/>
      </c>
      <c r="AG128" s="192">
        <v>0</v>
      </c>
      <c r="AH128" s="62" t="str">
        <f t="shared" si="55"/>
        <v/>
      </c>
      <c r="AI128" s="62">
        <f t="shared" si="56"/>
        <v>0</v>
      </c>
      <c r="AJ128" s="62"/>
      <c r="AK128" s="62">
        <v>0</v>
      </c>
      <c r="AL128" s="256">
        <f t="shared" si="57"/>
        <v>0</v>
      </c>
      <c r="AM128" s="256">
        <f t="shared" si="58"/>
        <v>0</v>
      </c>
      <c r="AN128" s="256">
        <f t="shared" si="59"/>
        <v>0</v>
      </c>
    </row>
    <row r="129" spans="1:40" hidden="1" x14ac:dyDescent="0.2">
      <c r="A129" s="311" t="str">
        <f>IF('Employee Detail FY23'!A152="","",'Employee Detail FY23'!A152)</f>
        <v/>
      </c>
      <c r="B129" s="798" t="str">
        <f>IF('Employee Detail FY23'!B152="","",'Employee Detail FY23'!B152)</f>
        <v/>
      </c>
      <c r="C129" s="798" t="str">
        <f>IF('Employee Detail FY23'!C152="","",'Employee Detail FY23'!C152)</f>
        <v/>
      </c>
      <c r="D129" s="798"/>
      <c r="E129" s="798" t="str">
        <f>IF('Employee Detail FY23'!E152="","",'Employee Detail FY23'!E152)</f>
        <v/>
      </c>
      <c r="F129" s="798" t="str">
        <f>IF('Employee Detail FY23'!F152="","",'Employee Detail FY23'!F152)</f>
        <v/>
      </c>
      <c r="G129" s="798" t="str">
        <f>IF('Employee Detail FY23'!G152="","",'Employee Detail FY23'!G152)</f>
        <v/>
      </c>
      <c r="H129" s="311"/>
      <c r="I129" s="312" t="str">
        <f>IF('Employee Detail FY23'!I152="","",'Employee Detail FY23'!I152)</f>
        <v/>
      </c>
      <c r="J129" s="312" t="str">
        <f>IF('Employee Detail FY23'!J152="","",'Employee Detail FY23'!J152)</f>
        <v/>
      </c>
      <c r="K129" s="312" t="str">
        <f>IF('Employee Detail FY23'!K152="","",'Employee Detail FY23'!K152)</f>
        <v/>
      </c>
      <c r="L129" s="312" t="str">
        <f>IF('Employee Detail FY23'!L152="","",'Employee Detail FY23'!L152)</f>
        <v/>
      </c>
      <c r="M129" s="313"/>
      <c r="N129" s="311"/>
      <c r="O129" s="311"/>
      <c r="P129" s="311"/>
      <c r="Q129" s="311" t="str">
        <f>IF('Employee Detail FY23'!Q152="","",'Employee Detail FY23'!Q152)</f>
        <v/>
      </c>
      <c r="R129" s="311" t="str">
        <f>IF('Employee Detail FY23'!R152="","",'Employee Detail FY23'!R152)</f>
        <v/>
      </c>
      <c r="S129" s="311" t="str">
        <f>IF('Employee Detail FY23'!S152="","",'Employee Detail FY23'!S152)</f>
        <v/>
      </c>
      <c r="T129" s="263" t="str">
        <f>+IF(R129="","",R129*S129)</f>
        <v/>
      </c>
      <c r="U129" s="269" t="str">
        <f>IF('Employee Detail FY23'!U152="","",'Employee Detail FY23'!U152)</f>
        <v/>
      </c>
      <c r="V129" s="270"/>
      <c r="W129" s="270" t="str">
        <f>+IF(P129="EE",+V129*$W$1,"")</f>
        <v/>
      </c>
      <c r="X129" s="270" t="str">
        <f>_xlfn.IFS(P129="ER",V129,P129="EE",W129,P129="N",V129,P129="","")</f>
        <v/>
      </c>
      <c r="Y129" s="62">
        <v>0</v>
      </c>
      <c r="Z129" s="62">
        <v>0</v>
      </c>
      <c r="AA129" s="256">
        <f>SUM(X129:Z129)</f>
        <v>0</v>
      </c>
      <c r="AB129" s="3"/>
      <c r="AC129" s="62" t="str">
        <f>IF(AND(M129=1,P129&lt;&gt;"N"),$AC$1,"")</f>
        <v/>
      </c>
      <c r="AD129" s="62" t="str">
        <f>_xlfn.IFS(P129="N",$AD$1*AA129,P129="EE","",P129="ER","",P129="","")</f>
        <v/>
      </c>
      <c r="AE129" s="62" t="str">
        <f>_xlfn.IFS(P129="EE",X129*$AE$1,P129="ER",X129*$AE$2,P129="N","",P129="","")</f>
        <v/>
      </c>
      <c r="AF129" s="62" t="str">
        <f>+IF(AA129&gt;1,AA129*$AF$1,"")</f>
        <v/>
      </c>
      <c r="AG129" s="192">
        <v>0</v>
      </c>
      <c r="AH129" s="62" t="str">
        <f>+IF(AA129&gt;1,AA129*$AH$1,"")</f>
        <v/>
      </c>
      <c r="AI129" s="62">
        <f>+_xlfn.IFS(F129&lt;2300,(AA129*$AI$1),F129&gt;=2300,(AA129*$AI$2),F129="","")</f>
        <v>0</v>
      </c>
      <c r="AJ129" s="62"/>
      <c r="AK129" s="62">
        <v>0</v>
      </c>
      <c r="AL129" s="256">
        <f>SUM(AC129:AK129)</f>
        <v>0</v>
      </c>
      <c r="AM129" s="256">
        <f>AA129</f>
        <v>0</v>
      </c>
      <c r="AN129" s="256">
        <f>SUM(AL129:AM129)</f>
        <v>0</v>
      </c>
    </row>
    <row r="130" spans="1:40" hidden="1" x14ac:dyDescent="0.2">
      <c r="A130" s="264" t="str">
        <f>IF('Employee Detail FY24'!A130="","",'Employee Detail FY24'!A130)</f>
        <v/>
      </c>
      <c r="B130" s="787" t="str">
        <f>IF('Employee Detail FY24'!B130="","",'Employee Detail FY24'!B130)</f>
        <v/>
      </c>
      <c r="C130" s="787" t="str">
        <f>IF('Employee Detail FY24'!C130="","",'Employee Detail FY24'!C130)</f>
        <v/>
      </c>
      <c r="D130" s="787"/>
      <c r="E130" s="787" t="str">
        <f>IF('Employee Detail FY24'!E130="","",'Employee Detail FY24'!E130)</f>
        <v/>
      </c>
      <c r="F130" s="787" t="str">
        <f>IF('Employee Detail FY24'!F130="","",'Employee Detail FY24'!F130)</f>
        <v/>
      </c>
      <c r="G130" s="787" t="str">
        <f>IF('Employee Detail FY24'!G130="","",'Employee Detail FY24'!G130)</f>
        <v/>
      </c>
      <c r="H130" s="264"/>
      <c r="I130" s="265" t="str">
        <f>IF('Employee Detail FY24'!I130="","",'Employee Detail FY24'!I130)</f>
        <v/>
      </c>
      <c r="J130" s="265" t="str">
        <f>IF('Employee Detail FY24'!J130="","",'Employee Detail FY24'!J130)</f>
        <v/>
      </c>
      <c r="K130" s="265" t="str">
        <f>IF('Employee Detail FY24'!K130="","",'Employee Detail FY24'!K130)</f>
        <v/>
      </c>
      <c r="L130" s="265" t="str">
        <f>IF('Employee Detail FY24'!L130="","",'Employee Detail FY24'!L130)</f>
        <v/>
      </c>
      <c r="M130" s="267" t="s">
        <v>386</v>
      </c>
      <c r="N130" s="264" t="str">
        <f>IF('Employee Detail FY24'!N130="","",'Employee Detail FY24'!N130)</f>
        <v/>
      </c>
      <c r="O130" s="264" t="str">
        <f>IF('Employee Detail FY24'!O130="","",'Employee Detail FY24'!O130)</f>
        <v/>
      </c>
      <c r="P130" s="264" t="str">
        <f>IF('Employee Detail FY24'!P130="","",'Employee Detail FY24'!P130)</f>
        <v/>
      </c>
      <c r="Q130" s="264" t="str">
        <f>IF('Employee Detail FY24'!Q130="","",'Employee Detail FY24'!Q130)</f>
        <v/>
      </c>
      <c r="R130" s="264" t="str">
        <f>IF('Employee Detail FY24'!R130="","",'Employee Detail FY24'!R130)</f>
        <v/>
      </c>
      <c r="S130" s="264" t="str">
        <f>IF('Employee Detail FY24'!S130="","",'Employee Detail FY24'!S130)</f>
        <v/>
      </c>
      <c r="T130" s="263" t="str">
        <f t="shared" ref="T130" si="110">+IF(R130="","",R130*S130)</f>
        <v/>
      </c>
      <c r="U130" s="269" t="str">
        <f>IF('Employee Detail FY24'!U130="","",'Employee Detail FY24'!U130)</f>
        <v/>
      </c>
      <c r="V130" s="270"/>
      <c r="W130" s="270" t="str">
        <f t="shared" ref="W130" si="111">+IF(P130="EE",+V130*$W$1,"")</f>
        <v/>
      </c>
      <c r="X130" s="270" t="str">
        <f t="shared" ref="X130" si="112">_xlfn.IFS(P130="ER",V130,P130="EE",W130,P130="N",V130,P130="","")</f>
        <v/>
      </c>
      <c r="Y130" s="62">
        <v>0</v>
      </c>
      <c r="Z130" s="62">
        <v>0</v>
      </c>
      <c r="AA130" s="256">
        <f t="shared" si="0"/>
        <v>0</v>
      </c>
      <c r="AB130" s="3"/>
      <c r="AC130" s="62" t="str">
        <f t="shared" si="51"/>
        <v/>
      </c>
      <c r="AD130" s="62" t="str">
        <f t="shared" si="1"/>
        <v/>
      </c>
      <c r="AE130" s="62" t="str">
        <f t="shared" si="2"/>
        <v/>
      </c>
      <c r="AF130" s="62" t="str">
        <f t="shared" si="3"/>
        <v/>
      </c>
      <c r="AG130" s="192">
        <v>0</v>
      </c>
      <c r="AH130" s="62" t="str">
        <f t="shared" si="4"/>
        <v/>
      </c>
      <c r="AI130" s="62">
        <f t="shared" si="5"/>
        <v>0</v>
      </c>
      <c r="AJ130" s="62"/>
      <c r="AK130" s="62">
        <v>0</v>
      </c>
      <c r="AL130" s="256">
        <f t="shared" ref="AL130" si="113">SUM(AC130:AK130)</f>
        <v>0</v>
      </c>
      <c r="AM130" s="256">
        <f t="shared" ref="AM130" si="114">AA130</f>
        <v>0</v>
      </c>
      <c r="AN130" s="256">
        <f t="shared" ref="AN130" si="115">SUM(AL130:AM130)</f>
        <v>0</v>
      </c>
    </row>
    <row r="131" spans="1:40" ht="13.5" thickBot="1" x14ac:dyDescent="0.25">
      <c r="A131" s="259"/>
      <c r="B131" s="259"/>
      <c r="C131" s="259"/>
      <c r="D131" s="259"/>
      <c r="E131" s="259"/>
      <c r="F131" s="259"/>
      <c r="G131" s="259"/>
      <c r="H131" s="259"/>
      <c r="I131" s="260"/>
      <c r="J131" s="260"/>
      <c r="K131" s="260"/>
      <c r="L131" s="260"/>
      <c r="M131" s="261">
        <f>SUM(M6:M130)</f>
        <v>55.5</v>
      </c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8">
        <f>SUM(Y6:Y130)</f>
        <v>0</v>
      </c>
      <c r="Z131" s="258">
        <f>SUM(Z6:Z130)</f>
        <v>0</v>
      </c>
      <c r="AA131" s="258">
        <f>SUM(AA6:AA130)</f>
        <v>3320734.3665303318</v>
      </c>
      <c r="AB131" s="5"/>
      <c r="AC131" s="257">
        <f t="shared" ref="AC131:AN131" si="116">SUM(AC6:AC130)</f>
        <v>436906.80000000034</v>
      </c>
      <c r="AD131" s="257">
        <f t="shared" si="116"/>
        <v>2832.0750599999997</v>
      </c>
      <c r="AE131" s="257">
        <f t="shared" si="116"/>
        <v>780280.87666087586</v>
      </c>
      <c r="AF131" s="257">
        <f t="shared" si="116"/>
        <v>48150.648314689817</v>
      </c>
      <c r="AG131" s="257">
        <f t="shared" si="116"/>
        <v>0</v>
      </c>
      <c r="AH131" s="257">
        <f t="shared" si="116"/>
        <v>30226.440325934134</v>
      </c>
      <c r="AI131" s="257">
        <f t="shared" si="116"/>
        <v>9780.2225714451542</v>
      </c>
      <c r="AJ131" s="257">
        <f t="shared" si="116"/>
        <v>0</v>
      </c>
      <c r="AK131" s="257">
        <f t="shared" si="116"/>
        <v>0</v>
      </c>
      <c r="AL131" s="257">
        <f t="shared" si="116"/>
        <v>1308177.0629329453</v>
      </c>
      <c r="AM131" s="257">
        <f t="shared" si="116"/>
        <v>3320734.3665303318</v>
      </c>
      <c r="AN131" s="257">
        <f t="shared" si="116"/>
        <v>4628911.4294632757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255"/>
      <c r="J132" s="255"/>
      <c r="K132" s="255"/>
      <c r="L132" s="2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259"/>
      <c r="B133" s="259"/>
      <c r="C133" s="259"/>
      <c r="D133" s="259"/>
      <c r="E133" s="259"/>
      <c r="F133" s="259"/>
      <c r="G133" s="259"/>
      <c r="H133" s="259"/>
      <c r="I133" s="260"/>
      <c r="J133" s="260"/>
      <c r="K133" s="260"/>
      <c r="L133" s="260"/>
      <c r="M133" s="262">
        <f>SUBTOTAL(9,M6:M130)</f>
        <v>28</v>
      </c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8">
        <f t="shared" ref="Y133:AN133" si="117">SUBTOTAL(9,Y6:Y130)</f>
        <v>0</v>
      </c>
      <c r="Z133" s="258">
        <f t="shared" si="117"/>
        <v>0</v>
      </c>
      <c r="AA133" s="258">
        <f t="shared" si="117"/>
        <v>1472071.9737787403</v>
      </c>
      <c r="AB133" s="258">
        <f t="shared" si="117"/>
        <v>0</v>
      </c>
      <c r="AC133" s="258">
        <f t="shared" si="117"/>
        <v>222425.28000000009</v>
      </c>
      <c r="AD133" s="258">
        <f t="shared" si="117"/>
        <v>0</v>
      </c>
      <c r="AE133" s="258">
        <f t="shared" si="117"/>
        <v>377681.6906012579</v>
      </c>
      <c r="AF133" s="258">
        <f t="shared" si="117"/>
        <v>21345.043619791726</v>
      </c>
      <c r="AG133" s="258">
        <f t="shared" si="117"/>
        <v>0</v>
      </c>
      <c r="AH133" s="258">
        <f t="shared" si="117"/>
        <v>13399.293878900136</v>
      </c>
      <c r="AI133" s="258">
        <f t="shared" si="117"/>
        <v>4335.5444777070643</v>
      </c>
      <c r="AJ133" s="258">
        <f t="shared" si="117"/>
        <v>0</v>
      </c>
      <c r="AK133" s="258">
        <f t="shared" si="117"/>
        <v>0</v>
      </c>
      <c r="AL133" s="258">
        <f t="shared" si="117"/>
        <v>639186.85257765639</v>
      </c>
      <c r="AM133" s="258">
        <f t="shared" si="117"/>
        <v>1472071.9737787403</v>
      </c>
      <c r="AN133" s="258">
        <f t="shared" si="117"/>
        <v>2111258.8263563979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255"/>
      <c r="J134" s="255"/>
      <c r="K134" s="255"/>
      <c r="L134" s="2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3"/>
      <c r="B138" s="3"/>
      <c r="C138" s="3"/>
      <c r="D138" s="3"/>
      <c r="E138" s="3"/>
      <c r="F138" s="3"/>
      <c r="G138" s="3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">
      <c r="A139" s="3"/>
      <c r="B139" s="3"/>
      <c r="C139" s="3"/>
      <c r="D139" s="3"/>
      <c r="E139" s="3"/>
      <c r="F139" s="3"/>
      <c r="G139" s="3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">
      <c r="A140" s="3"/>
      <c r="B140" s="3"/>
      <c r="C140" s="3"/>
      <c r="D140" s="3"/>
      <c r="E140" s="3"/>
      <c r="F140" s="3"/>
      <c r="G140" s="3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">
      <c r="A141" s="3"/>
      <c r="B141" s="3"/>
      <c r="C141" s="3"/>
      <c r="D141" s="3"/>
      <c r="E141" s="3"/>
      <c r="F141" s="3"/>
      <c r="G141" s="3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">
      <c r="A142" s="3"/>
      <c r="B142" s="3"/>
      <c r="C142" s="3"/>
      <c r="D142" s="3"/>
      <c r="E142" s="3"/>
      <c r="F142" s="3"/>
      <c r="G142" s="3"/>
      <c r="H142" s="3"/>
      <c r="I142" s="255"/>
      <c r="J142" s="255"/>
      <c r="K142" s="255"/>
      <c r="L142" s="2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">
      <c r="A143" s="3"/>
      <c r="B143" s="3"/>
      <c r="C143" s="3"/>
      <c r="D143" s="3"/>
      <c r="E143" s="3"/>
      <c r="F143" s="3"/>
      <c r="G143" s="3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">
      <c r="A144" s="3"/>
      <c r="B144" s="3"/>
      <c r="C144" s="3"/>
      <c r="D144" s="3"/>
      <c r="E144" s="3"/>
      <c r="F144" s="3"/>
      <c r="G144" s="3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">
      <c r="A145" s="3"/>
      <c r="B145" s="3"/>
      <c r="C145" s="3"/>
      <c r="D145" s="3"/>
      <c r="E145" s="3"/>
      <c r="F145" s="3"/>
      <c r="G145" s="3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">
      <c r="A146" s="3"/>
      <c r="B146" s="3"/>
      <c r="C146" s="3"/>
      <c r="D146" s="3"/>
      <c r="E146" s="3"/>
      <c r="F146" s="3"/>
      <c r="G146" s="3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">
      <c r="A147" s="3"/>
      <c r="B147" s="3"/>
      <c r="C147" s="3"/>
      <c r="D147" s="3"/>
      <c r="E147" s="3"/>
      <c r="F147" s="3"/>
      <c r="G147" s="3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">
      <c r="A148" s="3"/>
      <c r="B148" s="3"/>
      <c r="C148" s="3"/>
      <c r="D148" s="3"/>
      <c r="E148" s="3"/>
      <c r="F148" s="3"/>
      <c r="G148" s="3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">
      <c r="A149" s="3"/>
      <c r="B149" s="3"/>
      <c r="C149" s="3"/>
      <c r="D149" s="3"/>
      <c r="E149" s="3"/>
      <c r="F149" s="3"/>
      <c r="G149" s="3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">
      <c r="A150" s="3"/>
      <c r="B150" s="3"/>
      <c r="C150" s="3"/>
      <c r="D150" s="3"/>
      <c r="E150" s="3"/>
      <c r="F150" s="3"/>
      <c r="G150" s="3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">
      <c r="A151" s="3"/>
      <c r="B151" s="3"/>
      <c r="C151" s="3"/>
      <c r="D151" s="3"/>
      <c r="E151" s="3"/>
      <c r="F151" s="3"/>
      <c r="G151" s="3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">
      <c r="A152" s="3"/>
      <c r="B152" s="3"/>
      <c r="C152" s="3"/>
      <c r="D152" s="3"/>
      <c r="E152" s="3"/>
      <c r="F152" s="3"/>
      <c r="G152" s="3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">
      <c r="A153" s="3"/>
      <c r="B153" s="3"/>
      <c r="C153" s="3"/>
      <c r="D153" s="3"/>
      <c r="E153" s="3"/>
      <c r="F153" s="3"/>
      <c r="G153" s="3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">
      <c r="A154" s="3"/>
      <c r="B154" s="3"/>
      <c r="C154" s="3"/>
      <c r="D154" s="3"/>
      <c r="E154" s="3"/>
      <c r="F154" s="3"/>
      <c r="G154" s="3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</sheetData>
  <autoFilter ref="B3:H130" xr:uid="{875D3332-0FB1-4960-AEC0-D67015CBB42E}">
    <filterColumn colId="4">
      <filters>
        <filter val="1000"/>
      </filters>
    </filterColumn>
  </autoFilter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2EEEE-2073-40E5-93E8-113975DFA315}">
  <sheetPr codeName="Sheet21" filterMode="1"/>
  <dimension ref="A1:WWF154"/>
  <sheetViews>
    <sheetView workbookViewId="0">
      <pane xSplit="8" ySplit="5" topLeftCell="AG106" activePane="bottomRight" state="frozen"/>
      <selection activeCell="AN131" sqref="AN131"/>
      <selection pane="topRight" activeCell="AN131" sqref="AN131"/>
      <selection pane="bottomLeft" activeCell="AN131" sqref="AN131"/>
      <selection pane="bottomRight" activeCell="AN131" sqref="AN131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style="253" bestFit="1" customWidth="1"/>
    <col min="10" max="10" width="9.42578125" style="253" bestFit="1" customWidth="1"/>
    <col min="11" max="11" width="10.140625" style="253" bestFit="1" customWidth="1"/>
    <col min="12" max="12" width="7.42578125" style="253" bestFit="1" customWidth="1"/>
    <col min="13" max="13" width="9.140625" customWidth="1"/>
    <col min="16" max="16" width="11.140625" customWidth="1"/>
    <col min="20" max="20" width="12" bestFit="1" customWidth="1"/>
    <col min="21" max="22" width="11" bestFit="1" customWidth="1"/>
    <col min="23" max="23" width="10" bestFit="1" customWidth="1"/>
    <col min="24" max="24" width="11.28515625" bestFit="1" customWidth="1"/>
    <col min="25" max="25" width="12.28515625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10" bestFit="1" customWidth="1"/>
    <col min="36" max="36" width="7.85546875" bestFit="1" customWidth="1"/>
    <col min="37" max="37" width="7.28515625" bestFit="1" customWidth="1"/>
    <col min="38" max="40" width="12.42578125" bestFit="1" customWidth="1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f>'Employee Detail FY25'!V1+0.03</f>
        <v>0.12</v>
      </c>
      <c r="W1" s="226">
        <f>IF('Employee Detail FY25'!W1="","",'Employee Detail FY25'!W1)</f>
        <v>1.153586</v>
      </c>
      <c r="X1" s="229"/>
      <c r="Y1" s="229"/>
      <c r="Z1" s="229"/>
      <c r="AA1" s="229"/>
      <c r="AB1" s="229"/>
      <c r="AC1" s="192">
        <f>IF('Employee Detail FY25'!AC1="","",'Employee Detail FY25'!AC1)</f>
        <v>7943.76</v>
      </c>
      <c r="AD1" s="232">
        <v>6.2E-2</v>
      </c>
      <c r="AE1" s="232">
        <v>0.1525</v>
      </c>
      <c r="AF1" s="232">
        <v>1.4500000000000001E-2</v>
      </c>
      <c r="AG1" s="229"/>
      <c r="AH1" s="281">
        <f>'Employee Detail FY21'!AH1</f>
        <v>9.1023361069124693E-3</v>
      </c>
      <c r="AI1" s="282">
        <f>'Employee Detail FY21'!AI1</f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Students'!H6</f>
        <v>FY2627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0.29249999999999998</v>
      </c>
      <c r="AF2" s="229"/>
      <c r="AG2" s="229"/>
      <c r="AH2" s="229"/>
      <c r="AI2" s="282">
        <f>'Employee Detail FY21'!AI2</f>
        <v>2.9451987096649392E-3</v>
      </c>
      <c r="AJ2" s="229"/>
      <c r="AK2" s="229"/>
      <c r="AL2" s="229"/>
      <c r="AM2" s="229"/>
      <c r="AN2" s="229"/>
    </row>
    <row r="3" spans="1:16152" s="243" customFormat="1" ht="40.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238" t="s">
        <v>339</v>
      </c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hidden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hidden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hidden="1" x14ac:dyDescent="0.2">
      <c r="A6" s="264" t="str">
        <f>IF('Employee Detail FY25'!A6="","",'Employee Detail FY25'!A6)</f>
        <v/>
      </c>
      <c r="B6" s="787" t="str">
        <f>IF('Employee Detail FY25'!B6="","",'Employee Detail FY25'!B6)</f>
        <v/>
      </c>
      <c r="C6" s="787" t="str">
        <f>IF('Employee Detail FY25'!C6="","",'Employee Detail FY25'!C6)</f>
        <v/>
      </c>
      <c r="D6" s="787"/>
      <c r="E6" s="787" t="str">
        <f>IF('Employee Detail FY25'!E6="","",'Employee Detail FY25'!E6)</f>
        <v/>
      </c>
      <c r="F6" s="787" t="str">
        <f>IF('Employee Detail FY25'!F6="","",'Employee Detail FY25'!F6)</f>
        <v/>
      </c>
      <c r="G6" s="787" t="str">
        <f>IF('Employee Detail FY25'!G6="","",'Employee Detail FY25'!G6)</f>
        <v/>
      </c>
      <c r="H6" s="787"/>
      <c r="I6" s="264" t="str">
        <f>IF('Employee Detail FY25'!I6="","",'Employee Detail FY25'!I6)</f>
        <v/>
      </c>
      <c r="J6" s="264" t="str">
        <f>IF('Employee Detail FY25'!J6="","",'Employee Detail FY25'!J6)</f>
        <v/>
      </c>
      <c r="K6" s="264" t="str">
        <f>IF('Employee Detail FY25'!K6="","",'Employee Detail FY25'!K6)</f>
        <v/>
      </c>
      <c r="L6" s="264" t="str">
        <f>IF('Employee Detail FY25'!L6="","",'Employee Detail FY25'!L6)</f>
        <v/>
      </c>
      <c r="M6" s="267" t="str">
        <f>IF('Employee Detail FY25'!M6="","",'Employee Detail FY25'!M6)</f>
        <v/>
      </c>
      <c r="N6" s="264" t="str">
        <f>IF('Employee Detail FY25'!N6="","",'Employee Detail FY25'!N6)</f>
        <v/>
      </c>
      <c r="O6" s="264" t="str">
        <f>IF('Employee Detail FY25'!O6="","",'Employee Detail FY25'!O6)</f>
        <v/>
      </c>
      <c r="P6" s="264" t="str">
        <f>IF('Employee Detail FY25'!P6="","",'Employee Detail FY25'!P6)</f>
        <v/>
      </c>
      <c r="Q6" s="264" t="str">
        <f>IF('Employee Detail FY25'!Q6="","",'Employee Detail FY25'!Q6)</f>
        <v/>
      </c>
      <c r="R6" s="264" t="str">
        <f>IF('Employee Detail FY25'!R6="","",'Employee Detail FY25'!R6)</f>
        <v/>
      </c>
      <c r="S6" s="264" t="str">
        <f>IF('Employee Detail FY25'!S6="","",'Employee Detail FY25'!S6)</f>
        <v/>
      </c>
      <c r="T6" s="263" t="str">
        <f>+IF(R6="","",R6*S6)</f>
        <v/>
      </c>
      <c r="U6" s="269" t="str">
        <f>IF('Employee Detail FY25'!U6="","",'Employee Detail FY25'!U6)</f>
        <v/>
      </c>
      <c r="V6" s="270" t="str">
        <f>IF($U6="","",$U6*(1+$V$1))</f>
        <v/>
      </c>
      <c r="W6" s="270" t="str">
        <f>+IF(P6="EE",+V6*$W$1,"")</f>
        <v/>
      </c>
      <c r="X6" s="270" t="str">
        <f>_xlfn.IFS(P6="ER",V6,P6="EE",W6,P6="N",V6,P6="","")</f>
        <v/>
      </c>
      <c r="Y6" s="62">
        <v>0</v>
      </c>
      <c r="Z6" s="62">
        <v>0</v>
      </c>
      <c r="AA6" s="256">
        <f t="shared" ref="AA6:AA130" si="0">SUM(X6:Z6)</f>
        <v>0</v>
      </c>
      <c r="AB6" s="3"/>
      <c r="AC6" s="62" t="str">
        <f>IF(AND(M6=1,P6&lt;&gt;"N"),$AC$1,"")</f>
        <v/>
      </c>
      <c r="AD6" s="62" t="str">
        <f t="shared" ref="AD6:AD130" si="1">_xlfn.IFS(P6="N",$AD$1*AA6,P6="EE","",P6="ER","",P6="","")</f>
        <v/>
      </c>
      <c r="AE6" s="62" t="str">
        <f t="shared" ref="AE6:AE130" si="2">_xlfn.IFS(P6="EE",X6*$AE$1,P6="ER",X6*$AE$2,P6="N","",P6="","")</f>
        <v/>
      </c>
      <c r="AF6" s="62" t="str">
        <f t="shared" ref="AF6:AF130" si="3">+IF(AA6&gt;1,AA6*$AF$1,"")</f>
        <v/>
      </c>
      <c r="AG6" s="192">
        <v>0</v>
      </c>
      <c r="AH6" s="62" t="str">
        <f t="shared" ref="AH6:AH130" si="4">+IF(AA6&gt;1,AA6*$AH$1,"")</f>
        <v/>
      </c>
      <c r="AI6" s="62">
        <f t="shared" ref="AI6:AI130" si="5">+_xlfn.IFS(F6&lt;2300,(AA6*$AI$1),F6&gt;=2300,(AA6*$AI$2),F6="","")</f>
        <v>0</v>
      </c>
      <c r="AJ6" s="62"/>
      <c r="AK6" s="62">
        <v>0</v>
      </c>
      <c r="AL6" s="256">
        <f>SUM(AC6:AK6)</f>
        <v>0</v>
      </c>
      <c r="AM6" s="256">
        <f>AA6</f>
        <v>0</v>
      </c>
      <c r="AN6" s="256">
        <f>SUM(AL6:AM6)</f>
        <v>0</v>
      </c>
    </row>
    <row r="7" spans="1:16152" hidden="1" x14ac:dyDescent="0.2">
      <c r="A7" s="386" t="str">
        <f>IF('Employee Detail FY25'!A7="","",'Employee Detail FY25'!A7)</f>
        <v/>
      </c>
      <c r="B7" s="678">
        <f>IF('Employee Detail FY25'!B7="","",'Employee Detail FY25'!B7)</f>
        <v>100</v>
      </c>
      <c r="C7" s="678" t="str">
        <f>IF('Employee Detail FY25'!C7="","",'Employee Detail FY25'!C7)</f>
        <v>000</v>
      </c>
      <c r="D7" s="678"/>
      <c r="E7" s="678">
        <f>IF('Employee Detail FY25'!E7="","",'Employee Detail FY25'!E7)</f>
        <v>100</v>
      </c>
      <c r="F7" s="678" t="str">
        <f>IF('Employee Detail FY25'!F7="","",'Employee Detail FY25'!F7)</f>
        <v>2320</v>
      </c>
      <c r="G7" s="678" t="str">
        <f>IF('Employee Detail FY25'!G7="","",'Employee Detail FY25'!G7)</f>
        <v>0104</v>
      </c>
      <c r="H7" s="678"/>
      <c r="I7" s="359" t="str">
        <f>IF('Employee Detail FY25'!I7="","",'Employee Detail FY25'!I7)</f>
        <v>DAMORE</v>
      </c>
      <c r="J7" s="359" t="str">
        <f>IF('Employee Detail FY25'!J7="","",'Employee Detail FY25'!J7)</f>
        <v>ANDREA</v>
      </c>
      <c r="K7" s="359" t="str">
        <f>IF('Employee Detail FY25'!K7="","",'Employee Detail FY25'!K7)</f>
        <v>Admnistration</v>
      </c>
      <c r="L7" s="359" t="str">
        <f>IF('Employee Detail FY25'!L7="","",'Employee Detail FY25'!L7)</f>
        <v>EXEC. DIR. ACADEMICS</v>
      </c>
      <c r="M7" s="388">
        <f>IF('Employee Detail FY25'!M7="","",'Employee Detail FY25'!M7)</f>
        <v>1</v>
      </c>
      <c r="N7" s="386" t="str">
        <f>IF('Employee Detail FY25'!N7="","",'Employee Detail FY25'!N7)</f>
        <v>S</v>
      </c>
      <c r="O7" s="386">
        <f>IF('Employee Detail FY25'!O7="","",'Employee Detail FY25'!O7)</f>
        <v>1</v>
      </c>
      <c r="P7" s="386" t="str">
        <f>IF('Employee Detail FY25'!P7="","",'Employee Detail FY25'!P7)</f>
        <v>ER</v>
      </c>
      <c r="Q7" s="386" t="str">
        <f>IF('Employee Detail FY25'!Q7="","",'Employee Detail FY25'!Q7)</f>
        <v/>
      </c>
      <c r="R7" s="386">
        <f>IF('Employee Detail FY25'!R7="","",'Employee Detail FY25'!R7)</f>
        <v>261</v>
      </c>
      <c r="S7" s="386">
        <f>IF('Employee Detail FY25'!S7="","",'Employee Detail FY25'!S7)</f>
        <v>8</v>
      </c>
      <c r="T7" s="263">
        <f t="shared" ref="T7:T68" si="6">+IF(R7="","",R7*S7)</f>
        <v>2088</v>
      </c>
      <c r="U7" s="269">
        <f>IF('Employee Detail FY25'!U7="","",'Employee Detail FY25'!U7)</f>
        <v>123000</v>
      </c>
      <c r="V7" s="270">
        <f t="shared" ref="V7:V68" si="7">IF($U7="","",$U7*(1+$V$1))</f>
        <v>137760</v>
      </c>
      <c r="W7" s="270" t="str">
        <f t="shared" ref="W7:W68" si="8">+IF(P7="EE",+V7*$W$1,"")</f>
        <v/>
      </c>
      <c r="X7" s="270">
        <f t="shared" ref="X7:X68" si="9">_xlfn.IFS(P7="ER",V7,P7="EE",W7,P7="N",V7,P7="","")</f>
        <v>137760</v>
      </c>
      <c r="Y7" s="62">
        <v>0</v>
      </c>
      <c r="Z7" s="62">
        <v>0</v>
      </c>
      <c r="AA7" s="256">
        <f t="shared" ref="AA7:AA68" si="10">SUM(X7:Z7)</f>
        <v>137760</v>
      </c>
      <c r="AB7" s="3"/>
      <c r="AC7" s="62">
        <f t="shared" ref="AC7:AC68" si="11">IF(AND(M7=1,P7&lt;&gt;"N"),$AC$1,"")</f>
        <v>7943.76</v>
      </c>
      <c r="AD7" s="62" t="str">
        <f t="shared" ref="AD7:AD68" si="12">_xlfn.IFS(P7="N",$AD$1*AA7,P7="EE","",P7="ER","",P7="","")</f>
        <v/>
      </c>
      <c r="AE7" s="62">
        <f t="shared" ref="AE7:AE68" si="13">_xlfn.IFS(P7="EE",X7*$AE$1,P7="ER",X7*$AE$2,P7="N","",P7="","")</f>
        <v>40294.799999999996</v>
      </c>
      <c r="AF7" s="62">
        <f t="shared" ref="AF7:AF68" si="14">+IF(AA7&gt;1,AA7*$AF$1,"")</f>
        <v>1997.5200000000002</v>
      </c>
      <c r="AG7" s="192">
        <v>0</v>
      </c>
      <c r="AH7" s="62">
        <f t="shared" ref="AH7:AH68" si="15">+IF(AA7&gt;1,AA7*$AH$1,"")</f>
        <v>1253.9378220882618</v>
      </c>
      <c r="AI7" s="62">
        <f t="shared" ref="AI7:AI68" si="16">+_xlfn.IFS(F7&lt;2300,(AA7*$AI$1),F7&gt;=2300,(AA7*$AI$2),F7="","")</f>
        <v>405.73057424344205</v>
      </c>
      <c r="AJ7" s="62"/>
      <c r="AK7" s="62">
        <v>0</v>
      </c>
      <c r="AL7" s="256">
        <f t="shared" ref="AL7:AL68" si="17">SUM(AC7:AK7)</f>
        <v>51895.748396331699</v>
      </c>
      <c r="AM7" s="256">
        <f t="shared" ref="AM7:AM68" si="18">AA7</f>
        <v>137760</v>
      </c>
      <c r="AN7" s="256">
        <f t="shared" ref="AN7:AN68" si="19">SUM(AL7:AM7)</f>
        <v>189655.74839633171</v>
      </c>
    </row>
    <row r="8" spans="1:16152" hidden="1" x14ac:dyDescent="0.2">
      <c r="A8" s="796" t="str">
        <f>IF('Employee Detail FY25'!A8="","",'Employee Detail FY25'!A8)</f>
        <v/>
      </c>
      <c r="B8" s="821">
        <f>IF('Employee Detail FY25'!B8="","",'Employee Detail FY25'!B8)</f>
        <v>100</v>
      </c>
      <c r="C8" s="821" t="str">
        <f>IF('Employee Detail FY25'!C8="","",'Employee Detail FY25'!C8)</f>
        <v>000</v>
      </c>
      <c r="D8" s="821"/>
      <c r="E8" s="821">
        <f>IF('Employee Detail FY25'!E8="","",'Employee Detail FY25'!E8)</f>
        <v>100</v>
      </c>
      <c r="F8" s="821" t="str">
        <f>IF('Employee Detail FY25'!F8="","",'Employee Detail FY25'!F8)</f>
        <v>2320</v>
      </c>
      <c r="G8" s="821" t="str">
        <f>IF('Employee Detail FY25'!G8="","",'Employee Detail FY25'!G8)</f>
        <v>0104</v>
      </c>
      <c r="H8" s="821"/>
      <c r="I8" s="522" t="str">
        <f>IF('Employee Detail FY25'!I8="","",'Employee Detail FY25'!I8)</f>
        <v>TONDRYK</v>
      </c>
      <c r="J8" s="522" t="str">
        <f>IF('Employee Detail FY25'!J8="","",'Employee Detail FY25'!J8)</f>
        <v>Tambre</v>
      </c>
      <c r="K8" s="522" t="str">
        <f>IF('Employee Detail FY25'!K8="","",'Employee Detail FY25'!K8)</f>
        <v>Administration</v>
      </c>
      <c r="L8" s="522" t="str">
        <f>IF('Employee Detail FY25'!L8="","",'Employee Detail FY25'!L8)</f>
        <v>Exec. Dir. Operations</v>
      </c>
      <c r="M8" s="822">
        <f>IF('Employee Detail FY25'!M8="","",'Employee Detail FY25'!M8)</f>
        <v>1</v>
      </c>
      <c r="N8" s="796" t="str">
        <f>IF('Employee Detail FY25'!N8="","",'Employee Detail FY25'!N8)</f>
        <v/>
      </c>
      <c r="O8" s="796">
        <f>IF('Employee Detail FY25'!O8="","",'Employee Detail FY25'!O8)</f>
        <v>26</v>
      </c>
      <c r="P8" s="796" t="str">
        <f>IF('Employee Detail FY25'!P8="","",'Employee Detail FY25'!P8)</f>
        <v>ER</v>
      </c>
      <c r="Q8" s="796" t="str">
        <f>IF('Employee Detail FY25'!Q8="","",'Employee Detail FY25'!Q8)</f>
        <v/>
      </c>
      <c r="R8" s="796">
        <f>IF('Employee Detail FY25'!R8="","",'Employee Detail FY25'!R8)</f>
        <v>261</v>
      </c>
      <c r="S8" s="796">
        <f>IF('Employee Detail FY25'!S8="","",'Employee Detail FY25'!S8)</f>
        <v>8</v>
      </c>
      <c r="T8" s="263">
        <f t="shared" si="6"/>
        <v>2088</v>
      </c>
      <c r="U8" s="269">
        <v>125000</v>
      </c>
      <c r="V8" s="270">
        <f>IF($U8="","",$U8*(1+0))</f>
        <v>125000</v>
      </c>
      <c r="W8" s="270" t="str">
        <f t="shared" si="8"/>
        <v/>
      </c>
      <c r="X8" s="270">
        <f t="shared" si="9"/>
        <v>125000</v>
      </c>
      <c r="Y8" s="62">
        <v>0</v>
      </c>
      <c r="Z8" s="62">
        <v>0</v>
      </c>
      <c r="AA8" s="256">
        <f t="shared" si="10"/>
        <v>125000</v>
      </c>
      <c r="AB8" s="3"/>
      <c r="AC8" s="62">
        <f t="shared" si="11"/>
        <v>7943.76</v>
      </c>
      <c r="AD8" s="62" t="str">
        <f t="shared" si="12"/>
        <v/>
      </c>
      <c r="AE8" s="62">
        <f t="shared" si="13"/>
        <v>36562.5</v>
      </c>
      <c r="AF8" s="62">
        <f t="shared" si="14"/>
        <v>1812.5</v>
      </c>
      <c r="AG8" s="192">
        <v>0</v>
      </c>
      <c r="AH8" s="62">
        <f t="shared" si="15"/>
        <v>1137.7920133640587</v>
      </c>
      <c r="AI8" s="62">
        <f t="shared" si="16"/>
        <v>368.14983870811739</v>
      </c>
      <c r="AJ8" s="62"/>
      <c r="AK8" s="62">
        <v>0</v>
      </c>
      <c r="AL8" s="256">
        <f t="shared" si="17"/>
        <v>47824.701852072176</v>
      </c>
      <c r="AM8" s="256">
        <f t="shared" si="18"/>
        <v>125000</v>
      </c>
      <c r="AN8" s="256">
        <f t="shared" si="19"/>
        <v>172824.70185207218</v>
      </c>
    </row>
    <row r="9" spans="1:16152" hidden="1" x14ac:dyDescent="0.2">
      <c r="A9" s="386" t="str">
        <f>IF('Employee Detail FY25'!A9="","",'Employee Detail FY25'!A9)</f>
        <v/>
      </c>
      <c r="B9" s="678" t="str">
        <f>IF('Employee Detail FY25'!B9="","",'Employee Detail FY25'!B9)</f>
        <v/>
      </c>
      <c r="C9" s="678" t="str">
        <f>IF('Employee Detail FY25'!C9="","",'Employee Detail FY25'!C9)</f>
        <v/>
      </c>
      <c r="D9" s="678"/>
      <c r="E9" s="678" t="str">
        <f>IF('Employee Detail FY25'!E9="","",'Employee Detail FY25'!E9)</f>
        <v/>
      </c>
      <c r="F9" s="678" t="str">
        <f>IF('Employee Detail FY25'!F9="","",'Employee Detail FY25'!F9)</f>
        <v/>
      </c>
      <c r="G9" s="678" t="str">
        <f>IF('Employee Detail FY25'!G9="","",'Employee Detail FY25'!G9)</f>
        <v/>
      </c>
      <c r="H9" s="678"/>
      <c r="I9" s="359" t="str">
        <f>IF('Employee Detail FY25'!I9="","",'Employee Detail FY25'!I9)</f>
        <v/>
      </c>
      <c r="J9" s="359" t="str">
        <f>IF('Employee Detail FY25'!J9="","",'Employee Detail FY25'!J9)</f>
        <v/>
      </c>
      <c r="K9" s="359" t="str">
        <f>IF('Employee Detail FY25'!K9="","",'Employee Detail FY25'!K9)</f>
        <v/>
      </c>
      <c r="L9" s="359" t="str">
        <f>IF('Employee Detail FY25'!L9="","",'Employee Detail FY25'!L9)</f>
        <v/>
      </c>
      <c r="M9" s="388" t="str">
        <f>IF('Employee Detail FY25'!M9="","",'Employee Detail FY25'!M9)</f>
        <v/>
      </c>
      <c r="N9" s="386" t="str">
        <f>IF('Employee Detail FY25'!N9="","",'Employee Detail FY25'!N9)</f>
        <v/>
      </c>
      <c r="O9" s="386" t="str">
        <f>IF('Employee Detail FY25'!O9="","",'Employee Detail FY25'!O9)</f>
        <v/>
      </c>
      <c r="P9" s="386" t="str">
        <f>IF('Employee Detail FY25'!P9="","",'Employee Detail FY25'!P9)</f>
        <v/>
      </c>
      <c r="Q9" s="386" t="str">
        <f>IF('Employee Detail FY25'!Q9="","",'Employee Detail FY25'!Q9)</f>
        <v/>
      </c>
      <c r="R9" s="386" t="str">
        <f>IF('Employee Detail FY25'!R9="","",'Employee Detail FY25'!R9)</f>
        <v/>
      </c>
      <c r="S9" s="386" t="str">
        <f>IF('Employee Detail FY25'!S9="","",'Employee Detail FY25'!S9)</f>
        <v/>
      </c>
      <c r="T9" s="263" t="str">
        <f t="shared" si="6"/>
        <v/>
      </c>
      <c r="U9" s="269" t="str">
        <f>IF('Employee Detail FY25'!U9="","",'Employee Detail FY25'!U9)</f>
        <v/>
      </c>
      <c r="V9" s="270" t="str">
        <f t="shared" si="7"/>
        <v/>
      </c>
      <c r="W9" s="270" t="str">
        <f t="shared" si="8"/>
        <v/>
      </c>
      <c r="X9" s="270" t="str">
        <f t="shared" si="9"/>
        <v/>
      </c>
      <c r="Y9" s="62">
        <v>0</v>
      </c>
      <c r="Z9" s="62">
        <v>0</v>
      </c>
      <c r="AA9" s="256">
        <f t="shared" si="10"/>
        <v>0</v>
      </c>
      <c r="AB9" s="3"/>
      <c r="AC9" s="62" t="str">
        <f t="shared" si="11"/>
        <v/>
      </c>
      <c r="AD9" s="62" t="str">
        <f t="shared" si="12"/>
        <v/>
      </c>
      <c r="AE9" s="62" t="str">
        <f t="shared" si="13"/>
        <v/>
      </c>
      <c r="AF9" s="62" t="str">
        <f t="shared" si="14"/>
        <v/>
      </c>
      <c r="AG9" s="192">
        <v>0</v>
      </c>
      <c r="AH9" s="62" t="str">
        <f t="shared" si="15"/>
        <v/>
      </c>
      <c r="AI9" s="62">
        <f t="shared" si="16"/>
        <v>0</v>
      </c>
      <c r="AJ9" s="62"/>
      <c r="AK9" s="62">
        <v>0</v>
      </c>
      <c r="AL9" s="256">
        <f t="shared" si="17"/>
        <v>0</v>
      </c>
      <c r="AM9" s="256">
        <f t="shared" si="18"/>
        <v>0</v>
      </c>
      <c r="AN9" s="256">
        <f t="shared" si="19"/>
        <v>0</v>
      </c>
    </row>
    <row r="10" spans="1:16152" hidden="1" x14ac:dyDescent="0.2">
      <c r="A10" s="386" t="str">
        <f>IF('Employee Detail FY25'!A10="","",'Employee Detail FY25'!A10)</f>
        <v>TITLE I 1003a</v>
      </c>
      <c r="B10" s="678">
        <f>IF('Employee Detail FY25'!B10="","",'Employee Detail FY25'!B10)</f>
        <v>280</v>
      </c>
      <c r="C10" s="678">
        <f>IF('Employee Detail FY25'!C10="","",'Employee Detail FY25'!C10)</f>
        <v>624</v>
      </c>
      <c r="D10" s="678"/>
      <c r="E10" s="678">
        <f>IF('Employee Detail FY25'!E10="","",'Employee Detail FY25'!E10)</f>
        <v>430</v>
      </c>
      <c r="F10" s="678">
        <f>IF('Employee Detail FY25'!F10="","",'Employee Detail FY25'!F10)</f>
        <v>2410</v>
      </c>
      <c r="G10" s="678" t="str">
        <f>IF('Employee Detail FY25'!G10="","",'Employee Detail FY25'!G10)</f>
        <v>0104</v>
      </c>
      <c r="H10" s="678"/>
      <c r="I10" s="359" t="str">
        <f>IF('Employee Detail FY25'!I10="","",'Employee Detail FY25'!I10)</f>
        <v>MEDINA</v>
      </c>
      <c r="J10" s="359" t="str">
        <f>IF('Employee Detail FY25'!J10="","",'Employee Detail FY25'!J10)</f>
        <v>VINCENT</v>
      </c>
      <c r="K10" s="359" t="str">
        <f>IF('Employee Detail FY25'!K10="","",'Employee Detail FY25'!K10)</f>
        <v>Licensed Staff</v>
      </c>
      <c r="L10" s="359" t="str">
        <f>IF('Employee Detail FY25'!L10="","",'Employee Detail FY25'!L10)</f>
        <v>ACADEMIC COORDINATOR</v>
      </c>
      <c r="M10" s="388">
        <f>IF('Employee Detail FY25'!M10="","",'Employee Detail FY25'!M10)</f>
        <v>1</v>
      </c>
      <c r="N10" s="386" t="str">
        <f>IF('Employee Detail FY25'!N10="","",'Employee Detail FY25'!N10)</f>
        <v/>
      </c>
      <c r="O10" s="386">
        <f>IF('Employee Detail FY25'!O10="","",'Employee Detail FY25'!O10)</f>
        <v>26</v>
      </c>
      <c r="P10" s="386" t="str">
        <f>IF('Employee Detail FY25'!P10="","",'Employee Detail FY25'!P10)</f>
        <v>ER</v>
      </c>
      <c r="Q10" s="386" t="str">
        <f>IF('Employee Detail FY25'!Q10="","",'Employee Detail FY25'!Q10)</f>
        <v/>
      </c>
      <c r="R10" s="386">
        <f>IF('Employee Detail FY25'!R10="","",'Employee Detail FY25'!R10)</f>
        <v>261</v>
      </c>
      <c r="S10" s="386">
        <f>IF('Employee Detail FY25'!S10="","",'Employee Detail FY25'!S10)</f>
        <v>8</v>
      </c>
      <c r="T10" s="263">
        <f t="shared" si="6"/>
        <v>2088</v>
      </c>
      <c r="U10" s="269">
        <f>IF('Employee Detail FY25'!U10="","",'Employee Detail FY25'!U10)</f>
        <v>89000</v>
      </c>
      <c r="V10" s="270">
        <f t="shared" si="7"/>
        <v>99680.000000000015</v>
      </c>
      <c r="W10" s="270" t="str">
        <f t="shared" si="8"/>
        <v/>
      </c>
      <c r="X10" s="270">
        <f t="shared" si="9"/>
        <v>99680.000000000015</v>
      </c>
      <c r="Y10" s="62">
        <v>0</v>
      </c>
      <c r="Z10" s="62">
        <v>0</v>
      </c>
      <c r="AA10" s="256">
        <f t="shared" si="10"/>
        <v>99680.000000000015</v>
      </c>
      <c r="AB10" s="3"/>
      <c r="AC10" s="62">
        <f t="shared" si="11"/>
        <v>7943.76</v>
      </c>
      <c r="AD10" s="62" t="str">
        <f t="shared" si="12"/>
        <v/>
      </c>
      <c r="AE10" s="62">
        <f t="shared" si="13"/>
        <v>29156.400000000001</v>
      </c>
      <c r="AF10" s="62">
        <f t="shared" si="14"/>
        <v>1445.3600000000004</v>
      </c>
      <c r="AG10" s="192">
        <v>0</v>
      </c>
      <c r="AH10" s="62">
        <f t="shared" si="15"/>
        <v>907.32086313703508</v>
      </c>
      <c r="AI10" s="62">
        <f t="shared" si="16"/>
        <v>293.57740737940117</v>
      </c>
      <c r="AJ10" s="62"/>
      <c r="AK10" s="62">
        <v>0</v>
      </c>
      <c r="AL10" s="256">
        <f t="shared" si="17"/>
        <v>39746.418270516442</v>
      </c>
      <c r="AM10" s="256">
        <f t="shared" si="18"/>
        <v>99680.000000000015</v>
      </c>
      <c r="AN10" s="256">
        <f t="shared" si="19"/>
        <v>139426.41827051644</v>
      </c>
    </row>
    <row r="11" spans="1:16152" hidden="1" x14ac:dyDescent="0.2">
      <c r="A11" s="386" t="str">
        <f>IF('Employee Detail FY25'!A11="","",'Employee Detail FY25'!A11)</f>
        <v/>
      </c>
      <c r="B11" s="678" t="str">
        <f>IF('Employee Detail FY25'!B11="","",'Employee Detail FY25'!B11)</f>
        <v/>
      </c>
      <c r="C11" s="678" t="str">
        <f>IF('Employee Detail FY25'!C11="","",'Employee Detail FY25'!C11)</f>
        <v/>
      </c>
      <c r="D11" s="678"/>
      <c r="E11" s="678" t="str">
        <f>IF('Employee Detail FY25'!E11="","",'Employee Detail FY25'!E11)</f>
        <v/>
      </c>
      <c r="F11" s="678" t="str">
        <f>IF('Employee Detail FY25'!F11="","",'Employee Detail FY25'!F11)</f>
        <v/>
      </c>
      <c r="G11" s="678" t="str">
        <f>IF('Employee Detail FY25'!G11="","",'Employee Detail FY25'!G11)</f>
        <v/>
      </c>
      <c r="H11" s="678"/>
      <c r="I11" s="359" t="str">
        <f>IF('Employee Detail FY25'!I11="","",'Employee Detail FY25'!I11)</f>
        <v/>
      </c>
      <c r="J11" s="359" t="str">
        <f>IF('Employee Detail FY25'!J11="","",'Employee Detail FY25'!J11)</f>
        <v/>
      </c>
      <c r="K11" s="359" t="str">
        <f>IF('Employee Detail FY25'!K11="","",'Employee Detail FY25'!K11)</f>
        <v/>
      </c>
      <c r="L11" s="359" t="str">
        <f>IF('Employee Detail FY25'!L11="","",'Employee Detail FY25'!L11)</f>
        <v/>
      </c>
      <c r="M11" s="388" t="str">
        <f>IF('Employee Detail FY25'!M11="","",'Employee Detail FY25'!M11)</f>
        <v/>
      </c>
      <c r="N11" s="386" t="str">
        <f>IF('Employee Detail FY25'!N11="","",'Employee Detail FY25'!N11)</f>
        <v/>
      </c>
      <c r="O11" s="386" t="str">
        <f>IF('Employee Detail FY25'!O11="","",'Employee Detail FY25'!O11)</f>
        <v/>
      </c>
      <c r="P11" s="386" t="str">
        <f>IF('Employee Detail FY25'!P11="","",'Employee Detail FY25'!P11)</f>
        <v/>
      </c>
      <c r="Q11" s="386" t="str">
        <f>IF('Employee Detail FY25'!Q11="","",'Employee Detail FY25'!Q11)</f>
        <v/>
      </c>
      <c r="R11" s="386" t="str">
        <f>IF('Employee Detail FY25'!R11="","",'Employee Detail FY25'!R11)</f>
        <v/>
      </c>
      <c r="S11" s="386" t="str">
        <f>IF('Employee Detail FY25'!S11="","",'Employee Detail FY25'!S11)</f>
        <v/>
      </c>
      <c r="T11" s="263" t="str">
        <f t="shared" si="6"/>
        <v/>
      </c>
      <c r="U11" s="269" t="str">
        <f>IF('Employee Detail FY25'!U11="","",'Employee Detail FY25'!U11)</f>
        <v/>
      </c>
      <c r="V11" s="270" t="str">
        <f t="shared" si="7"/>
        <v/>
      </c>
      <c r="W11" s="270" t="str">
        <f t="shared" si="8"/>
        <v/>
      </c>
      <c r="X11" s="270" t="str">
        <f t="shared" si="9"/>
        <v/>
      </c>
      <c r="Y11" s="62">
        <v>0</v>
      </c>
      <c r="Z11" s="62">
        <v>0</v>
      </c>
      <c r="AA11" s="256">
        <f t="shared" si="10"/>
        <v>0</v>
      </c>
      <c r="AB11" s="3"/>
      <c r="AC11" s="62" t="str">
        <f t="shared" si="11"/>
        <v/>
      </c>
      <c r="AD11" s="62" t="str">
        <f t="shared" si="12"/>
        <v/>
      </c>
      <c r="AE11" s="62" t="str">
        <f t="shared" si="13"/>
        <v/>
      </c>
      <c r="AF11" s="62" t="str">
        <f t="shared" si="14"/>
        <v/>
      </c>
      <c r="AG11" s="192">
        <v>0</v>
      </c>
      <c r="AH11" s="62" t="str">
        <f t="shared" si="15"/>
        <v/>
      </c>
      <c r="AI11" s="62">
        <f t="shared" si="16"/>
        <v>0</v>
      </c>
      <c r="AJ11" s="62"/>
      <c r="AK11" s="62">
        <v>0</v>
      </c>
      <c r="AL11" s="256">
        <f t="shared" si="17"/>
        <v>0</v>
      </c>
      <c r="AM11" s="256">
        <f t="shared" si="18"/>
        <v>0</v>
      </c>
      <c r="AN11" s="256">
        <f t="shared" si="19"/>
        <v>0</v>
      </c>
    </row>
    <row r="12" spans="1:16152" x14ac:dyDescent="0.2">
      <c r="A12" s="386" t="str">
        <f>IF('Employee Detail FY25'!A12="","",'Employee Detail FY25'!A12)</f>
        <v>VACANT</v>
      </c>
      <c r="B12" s="678" t="str">
        <f>IF('Employee Detail FY25'!B12="","",'Employee Detail FY25'!B12)</f>
        <v>250</v>
      </c>
      <c r="C12" s="678" t="str">
        <f>IF('Employee Detail FY25'!C12="","",'Employee Detail FY25'!C12)</f>
        <v>205</v>
      </c>
      <c r="D12" s="678"/>
      <c r="E12" s="678" t="str">
        <f>IF('Employee Detail FY25'!E12="","",'Employee Detail FY25'!E12)</f>
        <v>200</v>
      </c>
      <c r="F12" s="678">
        <f>IF('Employee Detail FY25'!F12="","",'Employee Detail FY25'!F12)</f>
        <v>1000</v>
      </c>
      <c r="G12" s="678" t="str">
        <f>IF('Employee Detail FY25'!G12="","",'Employee Detail FY25'!G12)</f>
        <v>0105</v>
      </c>
      <c r="H12" s="678"/>
      <c r="I12" s="359" t="str">
        <f>IF('Employee Detail FY25'!I12="","",'Employee Detail FY25'!I12)</f>
        <v>VACANT</v>
      </c>
      <c r="J12" s="359" t="str">
        <f>IF('Employee Detail FY25'!J12="","",'Employee Detail FY25'!J12)</f>
        <v>FY23</v>
      </c>
      <c r="K12" s="359" t="str">
        <f>IF('Employee Detail FY25'!K12="","",'Employee Detail FY25'!K12)</f>
        <v>Administration</v>
      </c>
      <c r="L12" s="359" t="str">
        <f>IF('Employee Detail FY25'!L12="","",'Employee Detail FY25'!L12)</f>
        <v>SPECIAL PROGRAMS COORDINATOR</v>
      </c>
      <c r="M12" s="388">
        <f>IF('Employee Detail FY25'!M12="","",'Employee Detail FY25'!M12)</f>
        <v>1</v>
      </c>
      <c r="N12" s="386" t="str">
        <f>IF('Employee Detail FY25'!N12="","",'Employee Detail FY25'!N12)</f>
        <v/>
      </c>
      <c r="O12" s="386">
        <f>IF('Employee Detail FY25'!O12="","",'Employee Detail FY25'!O12)</f>
        <v>1</v>
      </c>
      <c r="P12" s="386" t="str">
        <f>IF('Employee Detail FY25'!P12="","",'Employee Detail FY25'!P12)</f>
        <v>ER</v>
      </c>
      <c r="Q12" s="386" t="str">
        <f>IF('Employee Detail FY25'!Q12="","",'Employee Detail FY25'!Q12)</f>
        <v/>
      </c>
      <c r="R12" s="386">
        <f>IF('Employee Detail FY25'!R12="","",'Employee Detail FY25'!R12)</f>
        <v>261</v>
      </c>
      <c r="S12" s="386">
        <f>IF('Employee Detail FY25'!S12="","",'Employee Detail FY25'!S12)</f>
        <v>8</v>
      </c>
      <c r="T12" s="263">
        <f t="shared" si="6"/>
        <v>2088</v>
      </c>
      <c r="U12" s="269">
        <f>IF('Employee Detail FY25'!U12="","",'Employee Detail FY25'!U12)</f>
        <v>81500</v>
      </c>
      <c r="V12" s="270">
        <f t="shared" si="7"/>
        <v>91280.000000000015</v>
      </c>
      <c r="W12" s="270" t="str">
        <f t="shared" si="8"/>
        <v/>
      </c>
      <c r="X12" s="270">
        <f t="shared" si="9"/>
        <v>91280.000000000015</v>
      </c>
      <c r="Y12" s="62">
        <v>0</v>
      </c>
      <c r="Z12" s="62">
        <v>0</v>
      </c>
      <c r="AA12" s="256">
        <f t="shared" si="10"/>
        <v>91280.000000000015</v>
      </c>
      <c r="AB12" s="3"/>
      <c r="AC12" s="62">
        <f t="shared" si="11"/>
        <v>7943.76</v>
      </c>
      <c r="AD12" s="62" t="str">
        <f t="shared" si="12"/>
        <v/>
      </c>
      <c r="AE12" s="62">
        <f t="shared" si="13"/>
        <v>26699.4</v>
      </c>
      <c r="AF12" s="62">
        <f t="shared" si="14"/>
        <v>1323.5600000000002</v>
      </c>
      <c r="AG12" s="192">
        <v>0</v>
      </c>
      <c r="AH12" s="62">
        <f t="shared" si="15"/>
        <v>830.86123983897028</v>
      </c>
      <c r="AI12" s="62">
        <f t="shared" si="16"/>
        <v>268.83773821821569</v>
      </c>
      <c r="AJ12" s="62"/>
      <c r="AK12" s="62">
        <v>0</v>
      </c>
      <c r="AL12" s="256">
        <f t="shared" si="17"/>
        <v>37066.418978057183</v>
      </c>
      <c r="AM12" s="256">
        <f t="shared" si="18"/>
        <v>91280.000000000015</v>
      </c>
      <c r="AN12" s="256">
        <f t="shared" si="19"/>
        <v>128346.41897805719</v>
      </c>
    </row>
    <row r="13" spans="1:16152" hidden="1" x14ac:dyDescent="0.2">
      <c r="A13" s="386" t="str">
        <f>IF('Employee Detail FY25'!A13="","",'Employee Detail FY25'!A13)</f>
        <v/>
      </c>
      <c r="B13" s="678" t="str">
        <f>IF('Employee Detail FY25'!B13="","",'Employee Detail FY25'!B13)</f>
        <v/>
      </c>
      <c r="C13" s="678" t="str">
        <f>IF('Employee Detail FY25'!C13="","",'Employee Detail FY25'!C13)</f>
        <v/>
      </c>
      <c r="D13" s="678"/>
      <c r="E13" s="678" t="str">
        <f>IF('Employee Detail FY25'!E13="","",'Employee Detail FY25'!E13)</f>
        <v/>
      </c>
      <c r="F13" s="678" t="str">
        <f>IF('Employee Detail FY25'!F13="","",'Employee Detail FY25'!F13)</f>
        <v/>
      </c>
      <c r="G13" s="678" t="str">
        <f>IF('Employee Detail FY25'!G13="","",'Employee Detail FY25'!G13)</f>
        <v/>
      </c>
      <c r="H13" s="678"/>
      <c r="I13" s="359" t="str">
        <f>IF('Employee Detail FY25'!I13="","",'Employee Detail FY25'!I13)</f>
        <v/>
      </c>
      <c r="J13" s="359" t="str">
        <f>IF('Employee Detail FY25'!J13="","",'Employee Detail FY25'!J13)</f>
        <v/>
      </c>
      <c r="K13" s="359" t="str">
        <f>IF('Employee Detail FY25'!K13="","",'Employee Detail FY25'!K13)</f>
        <v/>
      </c>
      <c r="L13" s="359" t="str">
        <f>IF('Employee Detail FY25'!L13="","",'Employee Detail FY25'!L13)</f>
        <v/>
      </c>
      <c r="M13" s="388" t="str">
        <f>IF('Employee Detail FY25'!M13="","",'Employee Detail FY25'!M13)</f>
        <v/>
      </c>
      <c r="N13" s="386" t="str">
        <f>IF('Employee Detail FY25'!N13="","",'Employee Detail FY25'!N13)</f>
        <v/>
      </c>
      <c r="O13" s="386" t="str">
        <f>IF('Employee Detail FY25'!O13="","",'Employee Detail FY25'!O13)</f>
        <v/>
      </c>
      <c r="P13" s="386" t="str">
        <f>IF('Employee Detail FY25'!P13="","",'Employee Detail FY25'!P13)</f>
        <v/>
      </c>
      <c r="Q13" s="386" t="str">
        <f>IF('Employee Detail FY25'!Q13="","",'Employee Detail FY25'!Q13)</f>
        <v/>
      </c>
      <c r="R13" s="386" t="str">
        <f>IF('Employee Detail FY25'!R13="","",'Employee Detail FY25'!R13)</f>
        <v/>
      </c>
      <c r="S13" s="386" t="str">
        <f>IF('Employee Detail FY25'!S13="","",'Employee Detail FY25'!S13)</f>
        <v/>
      </c>
      <c r="T13" s="263" t="str">
        <f t="shared" si="6"/>
        <v/>
      </c>
      <c r="U13" s="269">
        <f>IF('Employee Detail FY25'!U13="","",'Employee Detail FY25'!U13)</f>
        <v>0</v>
      </c>
      <c r="V13" s="270">
        <f t="shared" si="7"/>
        <v>0</v>
      </c>
      <c r="W13" s="270" t="str">
        <f t="shared" si="8"/>
        <v/>
      </c>
      <c r="X13" s="270" t="str">
        <f t="shared" si="9"/>
        <v/>
      </c>
      <c r="Y13" s="62">
        <v>0</v>
      </c>
      <c r="Z13" s="62">
        <v>0</v>
      </c>
      <c r="AA13" s="256">
        <f t="shared" si="10"/>
        <v>0</v>
      </c>
      <c r="AB13" s="3"/>
      <c r="AC13" s="62" t="str">
        <f t="shared" si="11"/>
        <v/>
      </c>
      <c r="AD13" s="62" t="str">
        <f t="shared" si="12"/>
        <v/>
      </c>
      <c r="AE13" s="62" t="str">
        <f t="shared" si="13"/>
        <v/>
      </c>
      <c r="AF13" s="62" t="str">
        <f t="shared" si="14"/>
        <v/>
      </c>
      <c r="AG13" s="192">
        <v>0</v>
      </c>
      <c r="AH13" s="62" t="str">
        <f t="shared" si="15"/>
        <v/>
      </c>
      <c r="AI13" s="62">
        <f t="shared" si="16"/>
        <v>0</v>
      </c>
      <c r="AJ13" s="62"/>
      <c r="AK13" s="62">
        <v>0</v>
      </c>
      <c r="AL13" s="256">
        <f t="shared" si="17"/>
        <v>0</v>
      </c>
      <c r="AM13" s="256">
        <f t="shared" si="18"/>
        <v>0</v>
      </c>
      <c r="AN13" s="256">
        <f t="shared" si="19"/>
        <v>0</v>
      </c>
    </row>
    <row r="14" spans="1:16152" x14ac:dyDescent="0.2">
      <c r="A14" s="386" t="str">
        <f>IF('Employee Detail FY25'!A14="","",'Employee Detail FY25'!A14)</f>
        <v/>
      </c>
      <c r="B14" s="678">
        <f>IF('Employee Detail FY25'!B14="","",'Employee Detail FY25'!B14)</f>
        <v>100</v>
      </c>
      <c r="C14" s="678" t="str">
        <f>IF('Employee Detail FY25'!C14="","",'Employee Detail FY25'!C14)</f>
        <v>000</v>
      </c>
      <c r="D14" s="678"/>
      <c r="E14" s="678">
        <f>IF('Employee Detail FY25'!E14="","",'Employee Detail FY25'!E14)</f>
        <v>100</v>
      </c>
      <c r="F14" s="678">
        <f>IF('Employee Detail FY25'!F14="","",'Employee Detail FY25'!F14)</f>
        <v>1000</v>
      </c>
      <c r="G14" s="678" t="str">
        <f>IF('Employee Detail FY25'!G14="","",'Employee Detail FY25'!G14)</f>
        <v>0101</v>
      </c>
      <c r="H14" s="678"/>
      <c r="I14" s="359" t="str">
        <f>IF('Employee Detail FY25'!I14="","",'Employee Detail FY25'!I14)</f>
        <v>BAILEY</v>
      </c>
      <c r="J14" s="359" t="str">
        <f>IF('Employee Detail FY25'!J14="","",'Employee Detail FY25'!J14)</f>
        <v>SANDRA</v>
      </c>
      <c r="K14" s="359" t="str">
        <f>IF('Employee Detail FY25'!K14="","",'Employee Detail FY25'!K14)</f>
        <v>Licensed Staff</v>
      </c>
      <c r="L14" s="359" t="str">
        <f>IF('Employee Detail FY25'!L14="","",'Employee Detail FY25'!L14)</f>
        <v>TEACHER</v>
      </c>
      <c r="M14" s="388">
        <f>IF('Employee Detail FY25'!M14="","",'Employee Detail FY25'!M14)</f>
        <v>1</v>
      </c>
      <c r="N14" s="386" t="str">
        <f>IF('Employee Detail FY25'!N14="","",'Employee Detail FY25'!N14)</f>
        <v>S</v>
      </c>
      <c r="O14" s="386">
        <f>IF('Employee Detail FY25'!O14="","",'Employee Detail FY25'!O14)</f>
        <v>1</v>
      </c>
      <c r="P14" s="386" t="str">
        <f>IF('Employee Detail FY25'!P14="","",'Employee Detail FY25'!P14)</f>
        <v>EE</v>
      </c>
      <c r="Q14" s="386" t="str">
        <f>IF('Employee Detail FY25'!Q14="","",'Employee Detail FY25'!Q14)</f>
        <v/>
      </c>
      <c r="R14" s="386">
        <f>IF('Employee Detail FY25'!R14="","",'Employee Detail FY25'!R14)</f>
        <v>200</v>
      </c>
      <c r="S14" s="386">
        <f>IF('Employee Detail FY25'!S14="","",'Employee Detail FY25'!S14)</f>
        <v>8</v>
      </c>
      <c r="T14" s="263">
        <f t="shared" si="6"/>
        <v>1600</v>
      </c>
      <c r="U14" s="269">
        <f>IF('Employee Detail FY25'!U14="","",'Employee Detail FY25'!U14)</f>
        <v>44380</v>
      </c>
      <c r="V14" s="270">
        <f t="shared" si="7"/>
        <v>49705.600000000006</v>
      </c>
      <c r="W14" s="270">
        <f t="shared" si="8"/>
        <v>57339.684281600006</v>
      </c>
      <c r="X14" s="270">
        <f t="shared" si="9"/>
        <v>57339.684281600006</v>
      </c>
      <c r="Y14" s="62">
        <v>0</v>
      </c>
      <c r="Z14" s="62">
        <v>0</v>
      </c>
      <c r="AA14" s="256">
        <f t="shared" si="10"/>
        <v>57339.684281600006</v>
      </c>
      <c r="AB14" s="3"/>
      <c r="AC14" s="62">
        <f t="shared" si="11"/>
        <v>7943.76</v>
      </c>
      <c r="AD14" s="62" t="str">
        <f t="shared" si="12"/>
        <v/>
      </c>
      <c r="AE14" s="62">
        <f t="shared" si="13"/>
        <v>8744.3018529440014</v>
      </c>
      <c r="AF14" s="62">
        <f t="shared" si="14"/>
        <v>831.42542208320015</v>
      </c>
      <c r="AG14" s="192">
        <v>0</v>
      </c>
      <c r="AH14" s="62">
        <f t="shared" si="15"/>
        <v>521.92507859536909</v>
      </c>
      <c r="AI14" s="62">
        <f t="shared" si="16"/>
        <v>168.87676415876334</v>
      </c>
      <c r="AJ14" s="62"/>
      <c r="AK14" s="62">
        <v>0</v>
      </c>
      <c r="AL14" s="256">
        <f t="shared" si="17"/>
        <v>18210.289117781336</v>
      </c>
      <c r="AM14" s="256">
        <f t="shared" si="18"/>
        <v>57339.684281600006</v>
      </c>
      <c r="AN14" s="256">
        <f t="shared" si="19"/>
        <v>75549.973399381342</v>
      </c>
    </row>
    <row r="15" spans="1:16152" x14ac:dyDescent="0.2">
      <c r="A15" s="386" t="str">
        <f>IF('Employee Detail FY25'!A15="","",'Employee Detail FY25'!A15)</f>
        <v/>
      </c>
      <c r="B15" s="678">
        <f>IF('Employee Detail FY25'!B15="","",'Employee Detail FY25'!B15)</f>
        <v>100</v>
      </c>
      <c r="C15" s="678" t="str">
        <f>IF('Employee Detail FY25'!C15="","",'Employee Detail FY25'!C15)</f>
        <v>000</v>
      </c>
      <c r="D15" s="678"/>
      <c r="E15" s="678">
        <f>IF('Employee Detail FY25'!E15="","",'Employee Detail FY25'!E15)</f>
        <v>100</v>
      </c>
      <c r="F15" s="678">
        <f>IF('Employee Detail FY25'!F15="","",'Employee Detail FY25'!F15)</f>
        <v>1000</v>
      </c>
      <c r="G15" s="678" t="str">
        <f>IF('Employee Detail FY25'!G15="","",'Employee Detail FY25'!G15)</f>
        <v>0101</v>
      </c>
      <c r="H15" s="678"/>
      <c r="I15" s="359" t="str">
        <f>IF('Employee Detail FY25'!I15="","",'Employee Detail FY25'!I15)</f>
        <v>BALLEK</v>
      </c>
      <c r="J15" s="359" t="str">
        <f>IF('Employee Detail FY25'!J15="","",'Employee Detail FY25'!J15)</f>
        <v>DIANA</v>
      </c>
      <c r="K15" s="359" t="str">
        <f>IF('Employee Detail FY25'!K15="","",'Employee Detail FY25'!K15)</f>
        <v>Licensed Staff</v>
      </c>
      <c r="L15" s="359" t="str">
        <f>IF('Employee Detail FY25'!L15="","",'Employee Detail FY25'!L15)</f>
        <v>TEACHER</v>
      </c>
      <c r="M15" s="388">
        <f>IF('Employee Detail FY25'!M15="","",'Employee Detail FY25'!M15)</f>
        <v>1</v>
      </c>
      <c r="N15" s="386" t="str">
        <f>IF('Employee Detail FY25'!N15="","",'Employee Detail FY25'!N15)</f>
        <v/>
      </c>
      <c r="O15" s="386">
        <f>IF('Employee Detail FY25'!O15="","",'Employee Detail FY25'!O15)</f>
        <v>26</v>
      </c>
      <c r="P15" s="386" t="str">
        <f>IF('Employee Detail FY25'!P15="","",'Employee Detail FY25'!P15)</f>
        <v>ER</v>
      </c>
      <c r="Q15" s="386" t="str">
        <f>IF('Employee Detail FY25'!Q15="","",'Employee Detail FY25'!Q15)</f>
        <v/>
      </c>
      <c r="R15" s="386">
        <f>IF('Employee Detail FY25'!R15="","",'Employee Detail FY25'!R15)</f>
        <v>200</v>
      </c>
      <c r="S15" s="386">
        <f>IF('Employee Detail FY25'!S15="","",'Employee Detail FY25'!S15)</f>
        <v>8</v>
      </c>
      <c r="T15" s="263">
        <f t="shared" si="6"/>
        <v>1600</v>
      </c>
      <c r="U15" s="269">
        <f>IF('Employee Detail FY25'!U15="","",'Employee Detail FY25'!U15)</f>
        <v>55000</v>
      </c>
      <c r="V15" s="270">
        <f t="shared" si="7"/>
        <v>61600.000000000007</v>
      </c>
      <c r="W15" s="270" t="str">
        <f t="shared" si="8"/>
        <v/>
      </c>
      <c r="X15" s="270">
        <f t="shared" si="9"/>
        <v>61600.000000000007</v>
      </c>
      <c r="Y15" s="62">
        <v>0</v>
      </c>
      <c r="Z15" s="62">
        <v>0</v>
      </c>
      <c r="AA15" s="256">
        <f t="shared" si="10"/>
        <v>61600.000000000007</v>
      </c>
      <c r="AB15" s="3"/>
      <c r="AC15" s="62">
        <f t="shared" si="11"/>
        <v>7943.76</v>
      </c>
      <c r="AD15" s="62" t="str">
        <f t="shared" si="12"/>
        <v/>
      </c>
      <c r="AE15" s="62">
        <f t="shared" si="13"/>
        <v>18018</v>
      </c>
      <c r="AF15" s="62">
        <f t="shared" si="14"/>
        <v>893.20000000000016</v>
      </c>
      <c r="AG15" s="192">
        <v>0</v>
      </c>
      <c r="AH15" s="62">
        <f t="shared" si="15"/>
        <v>560.70390418580814</v>
      </c>
      <c r="AI15" s="62">
        <f t="shared" si="16"/>
        <v>181.42424051536028</v>
      </c>
      <c r="AJ15" s="62"/>
      <c r="AK15" s="62">
        <v>0</v>
      </c>
      <c r="AL15" s="256">
        <f t="shared" si="17"/>
        <v>27597.088144701171</v>
      </c>
      <c r="AM15" s="256">
        <f t="shared" si="18"/>
        <v>61600.000000000007</v>
      </c>
      <c r="AN15" s="256">
        <f t="shared" si="19"/>
        <v>89197.088144701178</v>
      </c>
    </row>
    <row r="16" spans="1:16152" x14ac:dyDescent="0.2">
      <c r="A16" s="386" t="str">
        <f>IF('Employee Detail FY25'!A16="","",'Employee Detail FY25'!A16)</f>
        <v/>
      </c>
      <c r="B16" s="678">
        <f>IF('Employee Detail FY25'!B16="","",'Employee Detail FY25'!B16)</f>
        <v>100</v>
      </c>
      <c r="C16" s="678" t="str">
        <f>IF('Employee Detail FY25'!C16="","",'Employee Detail FY25'!C16)</f>
        <v>000</v>
      </c>
      <c r="D16" s="678"/>
      <c r="E16" s="678">
        <f>IF('Employee Detail FY25'!E16="","",'Employee Detail FY25'!E16)</f>
        <v>100</v>
      </c>
      <c r="F16" s="678">
        <f>IF('Employee Detail FY25'!F16="","",'Employee Detail FY25'!F16)</f>
        <v>1000</v>
      </c>
      <c r="G16" s="678" t="str">
        <f>IF('Employee Detail FY25'!G16="","",'Employee Detail FY25'!G16)</f>
        <v>0101</v>
      </c>
      <c r="H16" s="678"/>
      <c r="I16" s="359" t="str">
        <f>IF('Employee Detail FY25'!I16="","",'Employee Detail FY25'!I16)</f>
        <v>BLANCHARD</v>
      </c>
      <c r="J16" s="359" t="str">
        <f>IF('Employee Detail FY25'!J16="","",'Employee Detail FY25'!J16)</f>
        <v>BARBARA</v>
      </c>
      <c r="K16" s="359" t="str">
        <f>IF('Employee Detail FY25'!K16="","",'Employee Detail FY25'!K16)</f>
        <v>Licensed Staff</v>
      </c>
      <c r="L16" s="359" t="str">
        <f>IF('Employee Detail FY25'!L16="","",'Employee Detail FY25'!L16)</f>
        <v>TEACHER</v>
      </c>
      <c r="M16" s="388">
        <f>IF('Employee Detail FY25'!M16="","",'Employee Detail FY25'!M16)</f>
        <v>1</v>
      </c>
      <c r="N16" s="386" t="str">
        <f>IF('Employee Detail FY25'!N16="","",'Employee Detail FY25'!N16)</f>
        <v/>
      </c>
      <c r="O16" s="386">
        <f>IF('Employee Detail FY25'!O16="","",'Employee Detail FY25'!O16)</f>
        <v>26</v>
      </c>
      <c r="P16" s="386" t="str">
        <f>IF('Employee Detail FY25'!P16="","",'Employee Detail FY25'!P16)</f>
        <v>ER</v>
      </c>
      <c r="Q16" s="386" t="str">
        <f>IF('Employee Detail FY25'!Q16="","",'Employee Detail FY25'!Q16)</f>
        <v/>
      </c>
      <c r="R16" s="386">
        <f>IF('Employee Detail FY25'!R16="","",'Employee Detail FY25'!R16)</f>
        <v>200</v>
      </c>
      <c r="S16" s="386">
        <f>IF('Employee Detail FY25'!S16="","",'Employee Detail FY25'!S16)</f>
        <v>8</v>
      </c>
      <c r="T16" s="263">
        <f t="shared" si="6"/>
        <v>1600</v>
      </c>
      <c r="U16" s="269">
        <f>IF('Employee Detail FY25'!U16="","",'Employee Detail FY25'!U16)</f>
        <v>55000</v>
      </c>
      <c r="V16" s="270">
        <f t="shared" si="7"/>
        <v>61600.000000000007</v>
      </c>
      <c r="W16" s="270" t="str">
        <f t="shared" si="8"/>
        <v/>
      </c>
      <c r="X16" s="270">
        <f t="shared" si="9"/>
        <v>61600.000000000007</v>
      </c>
      <c r="Y16" s="62">
        <v>0</v>
      </c>
      <c r="Z16" s="62">
        <v>0</v>
      </c>
      <c r="AA16" s="256">
        <f t="shared" si="10"/>
        <v>61600.000000000007</v>
      </c>
      <c r="AB16" s="3"/>
      <c r="AC16" s="62">
        <f t="shared" si="11"/>
        <v>7943.76</v>
      </c>
      <c r="AD16" s="62" t="str">
        <f t="shared" si="12"/>
        <v/>
      </c>
      <c r="AE16" s="62">
        <f t="shared" si="13"/>
        <v>18018</v>
      </c>
      <c r="AF16" s="62">
        <f t="shared" si="14"/>
        <v>893.20000000000016</v>
      </c>
      <c r="AG16" s="192">
        <v>0</v>
      </c>
      <c r="AH16" s="62">
        <f t="shared" si="15"/>
        <v>560.70390418580814</v>
      </c>
      <c r="AI16" s="62">
        <f t="shared" si="16"/>
        <v>181.42424051536028</v>
      </c>
      <c r="AJ16" s="62"/>
      <c r="AK16" s="62">
        <v>0</v>
      </c>
      <c r="AL16" s="256">
        <f t="shared" si="17"/>
        <v>27597.088144701171</v>
      </c>
      <c r="AM16" s="256">
        <f t="shared" si="18"/>
        <v>61600.000000000007</v>
      </c>
      <c r="AN16" s="256">
        <f t="shared" si="19"/>
        <v>89197.088144701178</v>
      </c>
    </row>
    <row r="17" spans="1:40" x14ac:dyDescent="0.2">
      <c r="A17" s="386" t="str">
        <f>IF('Employee Detail FY25'!A17="","",'Employee Detail FY25'!A17)</f>
        <v/>
      </c>
      <c r="B17" s="678" t="str">
        <f>IF('Employee Detail FY25'!B17="","",'Employee Detail FY25'!B17)</f>
        <v>100</v>
      </c>
      <c r="C17" s="678" t="str">
        <f>IF('Employee Detail FY25'!C17="","",'Employee Detail FY25'!C17)</f>
        <v>000</v>
      </c>
      <c r="D17" s="678"/>
      <c r="E17" s="678" t="str">
        <f>IF('Employee Detail FY25'!E17="","",'Employee Detail FY25'!E17)</f>
        <v>100</v>
      </c>
      <c r="F17" s="678">
        <f>IF('Employee Detail FY25'!F17="","",'Employee Detail FY25'!F17)</f>
        <v>1000</v>
      </c>
      <c r="G17" s="678" t="str">
        <f>IF('Employee Detail FY25'!G17="","",'Employee Detail FY25'!G17)</f>
        <v>0101</v>
      </c>
      <c r="H17" s="678"/>
      <c r="I17" s="359" t="str">
        <f>IF('Employee Detail FY25'!I17="","",'Employee Detail FY25'!I17)</f>
        <v>GRANT</v>
      </c>
      <c r="J17" s="359" t="str">
        <f>IF('Employee Detail FY25'!J17="","",'Employee Detail FY25'!J17)</f>
        <v>BRIEN</v>
      </c>
      <c r="K17" s="359" t="str">
        <f>IF('Employee Detail FY25'!K17="","",'Employee Detail FY25'!K17)</f>
        <v>Licensed Support Staff</v>
      </c>
      <c r="L17" s="359" t="str">
        <f>IF('Employee Detail FY25'!L17="","",'Employee Detail FY25'!L17)</f>
        <v>TEACHER</v>
      </c>
      <c r="M17" s="388">
        <f>IF('Employee Detail FY25'!M17="","",'Employee Detail FY25'!M17)</f>
        <v>1</v>
      </c>
      <c r="N17" s="386" t="str">
        <f>IF('Employee Detail FY25'!N17="","",'Employee Detail FY25'!N17)</f>
        <v>H</v>
      </c>
      <c r="O17" s="386">
        <f>IF('Employee Detail FY25'!O17="","",'Employee Detail FY25'!O17)</f>
        <v>26</v>
      </c>
      <c r="P17" s="386" t="str">
        <f>IF('Employee Detail FY25'!P17="","",'Employee Detail FY25'!P17)</f>
        <v>EE</v>
      </c>
      <c r="Q17" s="386" t="str">
        <f>IF('Employee Detail FY25'!Q17="","",'Employee Detail FY25'!Q17)</f>
        <v/>
      </c>
      <c r="R17" s="386">
        <f>IF('Employee Detail FY25'!R17="","",'Employee Detail FY25'!R17)</f>
        <v>200</v>
      </c>
      <c r="S17" s="386">
        <f>IF('Employee Detail FY25'!S17="","",'Employee Detail FY25'!S17)</f>
        <v>8</v>
      </c>
      <c r="T17" s="263">
        <f t="shared" si="6"/>
        <v>1600</v>
      </c>
      <c r="U17" s="269">
        <f>IF('Employee Detail FY25'!U17="","",'Employee Detail FY25'!U17)</f>
        <v>40725</v>
      </c>
      <c r="V17" s="270">
        <f t="shared" si="7"/>
        <v>45612.000000000007</v>
      </c>
      <c r="W17" s="270">
        <f t="shared" si="8"/>
        <v>52617.364632000012</v>
      </c>
      <c r="X17" s="270">
        <f t="shared" si="9"/>
        <v>52617.364632000012</v>
      </c>
      <c r="Y17" s="62">
        <v>0</v>
      </c>
      <c r="Z17" s="62">
        <v>0</v>
      </c>
      <c r="AA17" s="256">
        <f t="shared" si="10"/>
        <v>52617.364632000012</v>
      </c>
      <c r="AB17" s="3"/>
      <c r="AC17" s="62">
        <f t="shared" si="11"/>
        <v>7943.76</v>
      </c>
      <c r="AD17" s="62" t="str">
        <f t="shared" si="12"/>
        <v/>
      </c>
      <c r="AE17" s="62">
        <f t="shared" si="13"/>
        <v>8024.148106380002</v>
      </c>
      <c r="AF17" s="62">
        <f t="shared" si="14"/>
        <v>762.95178716400017</v>
      </c>
      <c r="AG17" s="192">
        <v>0</v>
      </c>
      <c r="AH17" s="62">
        <f t="shared" si="15"/>
        <v>478.94093794043283</v>
      </c>
      <c r="AI17" s="62">
        <f t="shared" si="16"/>
        <v>154.96859442013604</v>
      </c>
      <c r="AJ17" s="62"/>
      <c r="AK17" s="62">
        <v>0</v>
      </c>
      <c r="AL17" s="256">
        <f t="shared" si="17"/>
        <v>17364.769425904571</v>
      </c>
      <c r="AM17" s="256">
        <f t="shared" si="18"/>
        <v>52617.364632000012</v>
      </c>
      <c r="AN17" s="256">
        <f t="shared" si="19"/>
        <v>69982.134057904579</v>
      </c>
    </row>
    <row r="18" spans="1:40" x14ac:dyDescent="0.2">
      <c r="A18" s="386" t="str">
        <f>IF('Employee Detail FY25'!A18="","",'Employee Detail FY25'!A18)</f>
        <v/>
      </c>
      <c r="B18" s="678">
        <f>IF('Employee Detail FY25'!B18="","",'Employee Detail FY25'!B18)</f>
        <v>100</v>
      </c>
      <c r="C18" s="678" t="str">
        <f>IF('Employee Detail FY25'!C18="","",'Employee Detail FY25'!C18)</f>
        <v>000</v>
      </c>
      <c r="D18" s="678"/>
      <c r="E18" s="678">
        <f>IF('Employee Detail FY25'!E18="","",'Employee Detail FY25'!E18)</f>
        <v>100</v>
      </c>
      <c r="F18" s="678">
        <f>IF('Employee Detail FY25'!F18="","",'Employee Detail FY25'!F18)</f>
        <v>1000</v>
      </c>
      <c r="G18" s="678" t="str">
        <f>IF('Employee Detail FY25'!G18="","",'Employee Detail FY25'!G18)</f>
        <v>0101</v>
      </c>
      <c r="H18" s="678"/>
      <c r="I18" s="359" t="str">
        <f>IF('Employee Detail FY25'!I18="","",'Employee Detail FY25'!I18)</f>
        <v>LEWIS</v>
      </c>
      <c r="J18" s="359" t="str">
        <f>IF('Employee Detail FY25'!J18="","",'Employee Detail FY25'!J18)</f>
        <v>JENNIFER</v>
      </c>
      <c r="K18" s="359" t="str">
        <f>IF('Employee Detail FY25'!K18="","",'Employee Detail FY25'!K18)</f>
        <v>Licensed Staff</v>
      </c>
      <c r="L18" s="359" t="str">
        <f>IF('Employee Detail FY25'!L18="","",'Employee Detail FY25'!L18)</f>
        <v>TEACHER</v>
      </c>
      <c r="M18" s="388">
        <f>IF('Employee Detail FY25'!M18="","",'Employee Detail FY25'!M18)</f>
        <v>1</v>
      </c>
      <c r="N18" s="386" t="str">
        <f>IF('Employee Detail FY25'!N18="","",'Employee Detail FY25'!N18)</f>
        <v/>
      </c>
      <c r="O18" s="386">
        <f>IF('Employee Detail FY25'!O18="","",'Employee Detail FY25'!O18)</f>
        <v>26</v>
      </c>
      <c r="P18" s="386" t="str">
        <f>IF('Employee Detail FY25'!P18="","",'Employee Detail FY25'!P18)</f>
        <v>ER</v>
      </c>
      <c r="Q18" s="386" t="str">
        <f>IF('Employee Detail FY25'!Q18="","",'Employee Detail FY25'!Q18)</f>
        <v/>
      </c>
      <c r="R18" s="386">
        <f>IF('Employee Detail FY25'!R18="","",'Employee Detail FY25'!R18)</f>
        <v>200</v>
      </c>
      <c r="S18" s="386">
        <f>IF('Employee Detail FY25'!S18="","",'Employee Detail FY25'!S18)</f>
        <v>8</v>
      </c>
      <c r="T18" s="263">
        <f t="shared" si="6"/>
        <v>1600</v>
      </c>
      <c r="U18" s="269">
        <f>IF('Employee Detail FY25'!U18="","",'Employee Detail FY25'!U18)</f>
        <v>55000</v>
      </c>
      <c r="V18" s="270">
        <f t="shared" si="7"/>
        <v>61600.000000000007</v>
      </c>
      <c r="W18" s="270" t="str">
        <f t="shared" si="8"/>
        <v/>
      </c>
      <c r="X18" s="270">
        <f t="shared" si="9"/>
        <v>61600.000000000007</v>
      </c>
      <c r="Y18" s="62">
        <v>0</v>
      </c>
      <c r="Z18" s="62">
        <v>0</v>
      </c>
      <c r="AA18" s="256">
        <f t="shared" si="10"/>
        <v>61600.000000000007</v>
      </c>
      <c r="AB18" s="3"/>
      <c r="AC18" s="62">
        <f t="shared" si="11"/>
        <v>7943.76</v>
      </c>
      <c r="AD18" s="62" t="str">
        <f t="shared" si="12"/>
        <v/>
      </c>
      <c r="AE18" s="62">
        <f t="shared" si="13"/>
        <v>18018</v>
      </c>
      <c r="AF18" s="62">
        <f t="shared" si="14"/>
        <v>893.20000000000016</v>
      </c>
      <c r="AG18" s="192">
        <v>0</v>
      </c>
      <c r="AH18" s="62">
        <f t="shared" si="15"/>
        <v>560.70390418580814</v>
      </c>
      <c r="AI18" s="62">
        <f t="shared" si="16"/>
        <v>181.42424051536028</v>
      </c>
      <c r="AJ18" s="62"/>
      <c r="AK18" s="62">
        <v>0</v>
      </c>
      <c r="AL18" s="256">
        <f t="shared" si="17"/>
        <v>27597.088144701171</v>
      </c>
      <c r="AM18" s="256">
        <f t="shared" si="18"/>
        <v>61600.000000000007</v>
      </c>
      <c r="AN18" s="256">
        <f t="shared" si="19"/>
        <v>89197.088144701178</v>
      </c>
    </row>
    <row r="19" spans="1:40" x14ac:dyDescent="0.2">
      <c r="A19" s="386" t="str">
        <f>IF('Employee Detail FY25'!A19="","",'Employee Detail FY25'!A19)</f>
        <v/>
      </c>
      <c r="B19" s="678">
        <f>IF('Employee Detail FY25'!B19="","",'Employee Detail FY25'!B19)</f>
        <v>100</v>
      </c>
      <c r="C19" s="678" t="str">
        <f>IF('Employee Detail FY25'!C19="","",'Employee Detail FY25'!C19)</f>
        <v>000</v>
      </c>
      <c r="D19" s="678"/>
      <c r="E19" s="678">
        <f>IF('Employee Detail FY25'!E19="","",'Employee Detail FY25'!E19)</f>
        <v>100</v>
      </c>
      <c r="F19" s="678">
        <f>IF('Employee Detail FY25'!F19="","",'Employee Detail FY25'!F19)</f>
        <v>1000</v>
      </c>
      <c r="G19" s="678" t="str">
        <f>IF('Employee Detail FY25'!G19="","",'Employee Detail FY25'!G19)</f>
        <v>0101</v>
      </c>
      <c r="H19" s="678"/>
      <c r="I19" s="359" t="str">
        <f>IF('Employee Detail FY25'!I19="","",'Employee Detail FY25'!I19)</f>
        <v>SEVERIN</v>
      </c>
      <c r="J19" s="359" t="str">
        <f>IF('Employee Detail FY25'!J19="","",'Employee Detail FY25'!J19)</f>
        <v>RYAN</v>
      </c>
      <c r="K19" s="359" t="str">
        <f>IF('Employee Detail FY25'!K19="","",'Employee Detail FY25'!K19)</f>
        <v>Licensed Staff</v>
      </c>
      <c r="L19" s="359" t="str">
        <f>IF('Employee Detail FY25'!L19="","",'Employee Detail FY25'!L19)</f>
        <v>TEACHER</v>
      </c>
      <c r="M19" s="388">
        <f>IF('Employee Detail FY25'!M19="","",'Employee Detail FY25'!M19)</f>
        <v>1</v>
      </c>
      <c r="N19" s="386" t="str">
        <f>IF('Employee Detail FY25'!N19="","",'Employee Detail FY25'!N19)</f>
        <v/>
      </c>
      <c r="O19" s="386">
        <f>IF('Employee Detail FY25'!O19="","",'Employee Detail FY25'!O19)</f>
        <v>26</v>
      </c>
      <c r="P19" s="386" t="str">
        <f>IF('Employee Detail FY25'!P19="","",'Employee Detail FY25'!P19)</f>
        <v>ER</v>
      </c>
      <c r="Q19" s="386" t="str">
        <f>IF('Employee Detail FY25'!Q19="","",'Employee Detail FY25'!Q19)</f>
        <v/>
      </c>
      <c r="R19" s="386">
        <f>IF('Employee Detail FY25'!R19="","",'Employee Detail FY25'!R19)</f>
        <v>200</v>
      </c>
      <c r="S19" s="386">
        <f>IF('Employee Detail FY25'!S19="","",'Employee Detail FY25'!S19)</f>
        <v>8</v>
      </c>
      <c r="T19" s="263">
        <f t="shared" si="6"/>
        <v>1600</v>
      </c>
      <c r="U19" s="269">
        <f>IF('Employee Detail FY25'!U19="","",'Employee Detail FY25'!U19)</f>
        <v>52840</v>
      </c>
      <c r="V19" s="270">
        <f t="shared" si="7"/>
        <v>59180.800000000003</v>
      </c>
      <c r="W19" s="270" t="str">
        <f t="shared" si="8"/>
        <v/>
      </c>
      <c r="X19" s="270">
        <f t="shared" si="9"/>
        <v>59180.800000000003</v>
      </c>
      <c r="Y19" s="62">
        <v>0</v>
      </c>
      <c r="Z19" s="62">
        <v>0</v>
      </c>
      <c r="AA19" s="256">
        <f t="shared" si="10"/>
        <v>59180.800000000003</v>
      </c>
      <c r="AB19" s="3"/>
      <c r="AC19" s="62">
        <f t="shared" si="11"/>
        <v>7943.76</v>
      </c>
      <c r="AD19" s="62" t="str">
        <f t="shared" si="12"/>
        <v/>
      </c>
      <c r="AE19" s="62">
        <f t="shared" si="13"/>
        <v>17310.383999999998</v>
      </c>
      <c r="AF19" s="62">
        <f t="shared" si="14"/>
        <v>858.12160000000006</v>
      </c>
      <c r="AG19" s="192">
        <v>0</v>
      </c>
      <c r="AH19" s="62">
        <f t="shared" si="15"/>
        <v>538.68353267596547</v>
      </c>
      <c r="AI19" s="62">
        <f t="shared" si="16"/>
        <v>174.29921579693885</v>
      </c>
      <c r="AJ19" s="62"/>
      <c r="AK19" s="62">
        <v>0</v>
      </c>
      <c r="AL19" s="256">
        <f t="shared" si="17"/>
        <v>26825.248348472902</v>
      </c>
      <c r="AM19" s="256">
        <f t="shared" si="18"/>
        <v>59180.800000000003</v>
      </c>
      <c r="AN19" s="256">
        <f t="shared" si="19"/>
        <v>86006.048348472905</v>
      </c>
    </row>
    <row r="20" spans="1:40" x14ac:dyDescent="0.2">
      <c r="A20" s="386" t="str">
        <f>IF('Employee Detail FY25'!A20="","",'Employee Detail FY25'!A20)</f>
        <v>VACANT</v>
      </c>
      <c r="B20" s="678">
        <f>IF('Employee Detail FY25'!B20="","",'Employee Detail FY25'!B20)</f>
        <v>100</v>
      </c>
      <c r="C20" s="678" t="str">
        <f>IF('Employee Detail FY25'!C20="","",'Employee Detail FY25'!C20)</f>
        <v>000</v>
      </c>
      <c r="D20" s="678"/>
      <c r="E20" s="678">
        <f>IF('Employee Detail FY25'!E20="","",'Employee Detail FY25'!E20)</f>
        <v>100</v>
      </c>
      <c r="F20" s="678">
        <f>IF('Employee Detail FY25'!F20="","",'Employee Detail FY25'!F20)</f>
        <v>1000</v>
      </c>
      <c r="G20" s="678" t="str">
        <f>IF('Employee Detail FY25'!G20="","",'Employee Detail FY25'!G20)</f>
        <v>0101</v>
      </c>
      <c r="H20" s="678"/>
      <c r="I20" s="359" t="str">
        <f>IF('Employee Detail FY25'!I20="","",'Employee Detail FY25'!I20)</f>
        <v>VACANT</v>
      </c>
      <c r="J20" s="359" t="str">
        <f>IF('Employee Detail FY25'!J20="","",'Employee Detail FY25'!J20)</f>
        <v>TBD</v>
      </c>
      <c r="K20" s="359" t="str">
        <f>IF('Employee Detail FY25'!K20="","",'Employee Detail FY25'!K20)</f>
        <v>Licensed Staff</v>
      </c>
      <c r="L20" s="359" t="str">
        <f>IF('Employee Detail FY25'!L20="","",'Employee Detail FY25'!L20)</f>
        <v>SOCIAL STUDIES TEACHER</v>
      </c>
      <c r="M20" s="388">
        <f>IF('Employee Detail FY25'!M20="","",'Employee Detail FY25'!M20)</f>
        <v>1</v>
      </c>
      <c r="N20" s="386" t="str">
        <f>IF('Employee Detail FY25'!N20="","",'Employee Detail FY25'!N20)</f>
        <v/>
      </c>
      <c r="O20" s="386">
        <f>IF('Employee Detail FY25'!O20="","",'Employee Detail FY25'!O20)</f>
        <v>26</v>
      </c>
      <c r="P20" s="386" t="str">
        <f>IF('Employee Detail FY25'!P20="","",'Employee Detail FY25'!P20)</f>
        <v>ER</v>
      </c>
      <c r="Q20" s="386" t="str">
        <f>IF('Employee Detail FY25'!Q20="","",'Employee Detail FY25'!Q20)</f>
        <v/>
      </c>
      <c r="R20" s="386">
        <f>IF('Employee Detail FY25'!R20="","",'Employee Detail FY25'!R20)</f>
        <v>200</v>
      </c>
      <c r="S20" s="386">
        <f>IF('Employee Detail FY25'!S20="","",'Employee Detail FY25'!S20)</f>
        <v>8</v>
      </c>
      <c r="T20" s="263">
        <f t="shared" si="6"/>
        <v>1600</v>
      </c>
      <c r="U20" s="269">
        <f>IF('Employee Detail FY25'!U20="","",'Employee Detail FY25'!U20)</f>
        <v>45500</v>
      </c>
      <c r="V20" s="270">
        <f t="shared" si="7"/>
        <v>50960.000000000007</v>
      </c>
      <c r="W20" s="270" t="str">
        <f t="shared" si="8"/>
        <v/>
      </c>
      <c r="X20" s="270">
        <f t="shared" si="9"/>
        <v>50960.000000000007</v>
      </c>
      <c r="Y20" s="62">
        <v>0</v>
      </c>
      <c r="Z20" s="62">
        <v>0</v>
      </c>
      <c r="AA20" s="256">
        <f t="shared" si="10"/>
        <v>50960.000000000007</v>
      </c>
      <c r="AB20" s="3"/>
      <c r="AC20" s="62">
        <f t="shared" si="11"/>
        <v>7943.76</v>
      </c>
      <c r="AD20" s="62" t="str">
        <f t="shared" si="12"/>
        <v/>
      </c>
      <c r="AE20" s="62">
        <f t="shared" si="13"/>
        <v>14905.800000000001</v>
      </c>
      <c r="AF20" s="62">
        <f t="shared" si="14"/>
        <v>738.92000000000019</v>
      </c>
      <c r="AG20" s="192">
        <v>0</v>
      </c>
      <c r="AH20" s="62">
        <f t="shared" si="15"/>
        <v>463.85504800825947</v>
      </c>
      <c r="AI20" s="62">
        <f t="shared" si="16"/>
        <v>150.08732624452531</v>
      </c>
      <c r="AJ20" s="62"/>
      <c r="AK20" s="62">
        <v>0</v>
      </c>
      <c r="AL20" s="256">
        <f t="shared" si="17"/>
        <v>24202.422374252787</v>
      </c>
      <c r="AM20" s="256">
        <f t="shared" si="18"/>
        <v>50960.000000000007</v>
      </c>
      <c r="AN20" s="256">
        <f t="shared" si="19"/>
        <v>75162.422374252797</v>
      </c>
    </row>
    <row r="21" spans="1:40" hidden="1" x14ac:dyDescent="0.2">
      <c r="A21" s="386" t="str">
        <f>IF('Employee Detail FY25'!A21="","",'Employee Detail FY25'!A21)</f>
        <v/>
      </c>
      <c r="B21" s="678" t="str">
        <f>IF('Employee Detail FY25'!B21="","",'Employee Detail FY25'!B21)</f>
        <v/>
      </c>
      <c r="C21" s="678" t="str">
        <f>IF('Employee Detail FY25'!C21="","",'Employee Detail FY25'!C21)</f>
        <v/>
      </c>
      <c r="D21" s="678"/>
      <c r="E21" s="678" t="str">
        <f>IF('Employee Detail FY25'!E21="","",'Employee Detail FY25'!E21)</f>
        <v/>
      </c>
      <c r="F21" s="678" t="str">
        <f>IF('Employee Detail FY25'!F21="","",'Employee Detail FY25'!F21)</f>
        <v/>
      </c>
      <c r="G21" s="678" t="str">
        <f>IF('Employee Detail FY25'!G21="","",'Employee Detail FY25'!G21)</f>
        <v/>
      </c>
      <c r="H21" s="678"/>
      <c r="I21" s="359" t="str">
        <f>IF('Employee Detail FY25'!I21="","",'Employee Detail FY25'!I21)</f>
        <v/>
      </c>
      <c r="J21" s="359" t="str">
        <f>IF('Employee Detail FY25'!J21="","",'Employee Detail FY25'!J21)</f>
        <v/>
      </c>
      <c r="K21" s="359" t="str">
        <f>IF('Employee Detail FY25'!K21="","",'Employee Detail FY25'!K21)</f>
        <v/>
      </c>
      <c r="L21" s="359" t="str">
        <f>IF('Employee Detail FY25'!L21="","",'Employee Detail FY25'!L21)</f>
        <v/>
      </c>
      <c r="M21" s="388" t="str">
        <f>IF('Employee Detail FY25'!M21="","",'Employee Detail FY25'!M21)</f>
        <v/>
      </c>
      <c r="N21" s="386" t="str">
        <f>IF('Employee Detail FY25'!N21="","",'Employee Detail FY25'!N21)</f>
        <v/>
      </c>
      <c r="O21" s="386" t="str">
        <f>IF('Employee Detail FY25'!O21="","",'Employee Detail FY25'!O21)</f>
        <v/>
      </c>
      <c r="P21" s="386" t="str">
        <f>IF('Employee Detail FY25'!P21="","",'Employee Detail FY25'!P21)</f>
        <v/>
      </c>
      <c r="Q21" s="386" t="str">
        <f>IF('Employee Detail FY25'!Q21="","",'Employee Detail FY25'!Q21)</f>
        <v/>
      </c>
      <c r="R21" s="386" t="str">
        <f>IF('Employee Detail FY25'!R21="","",'Employee Detail FY25'!R21)</f>
        <v/>
      </c>
      <c r="S21" s="386" t="str">
        <f>IF('Employee Detail FY25'!S21="","",'Employee Detail FY25'!S21)</f>
        <v/>
      </c>
      <c r="T21" s="263" t="str">
        <f t="shared" si="6"/>
        <v/>
      </c>
      <c r="U21" s="269">
        <f>IF('Employee Detail FY25'!U21="","",'Employee Detail FY25'!U21)</f>
        <v>45000</v>
      </c>
      <c r="V21" s="270">
        <f t="shared" si="7"/>
        <v>50400.000000000007</v>
      </c>
      <c r="W21" s="270" t="str">
        <f t="shared" si="8"/>
        <v/>
      </c>
      <c r="X21" s="270" t="str">
        <f t="shared" si="9"/>
        <v/>
      </c>
      <c r="Y21" s="62">
        <v>0</v>
      </c>
      <c r="Z21" s="62">
        <v>0</v>
      </c>
      <c r="AA21" s="256">
        <f t="shared" si="10"/>
        <v>0</v>
      </c>
      <c r="AB21" s="3"/>
      <c r="AC21" s="62" t="str">
        <f t="shared" si="11"/>
        <v/>
      </c>
      <c r="AD21" s="62" t="str">
        <f t="shared" si="12"/>
        <v/>
      </c>
      <c r="AE21" s="62" t="str">
        <f t="shared" si="13"/>
        <v/>
      </c>
      <c r="AF21" s="62" t="str">
        <f t="shared" si="14"/>
        <v/>
      </c>
      <c r="AG21" s="192">
        <v>0</v>
      </c>
      <c r="AH21" s="62" t="str">
        <f t="shared" si="15"/>
        <v/>
      </c>
      <c r="AI21" s="62">
        <f t="shared" si="16"/>
        <v>0</v>
      </c>
      <c r="AJ21" s="62"/>
      <c r="AK21" s="62">
        <v>0</v>
      </c>
      <c r="AL21" s="256">
        <f t="shared" si="17"/>
        <v>0</v>
      </c>
      <c r="AM21" s="256">
        <f t="shared" si="18"/>
        <v>0</v>
      </c>
      <c r="AN21" s="256">
        <f t="shared" si="19"/>
        <v>0</v>
      </c>
    </row>
    <row r="22" spans="1:40" x14ac:dyDescent="0.2">
      <c r="A22" s="386" t="str">
        <f>IF('Employee Detail FY25'!A22="","",'Employee Detail FY25'!A22)</f>
        <v/>
      </c>
      <c r="B22" s="678">
        <f>IF('Employee Detail FY25'!B22="","",'Employee Detail FY25'!B22)</f>
        <v>250</v>
      </c>
      <c r="C22" s="678" t="str">
        <f>IF('Employee Detail FY25'!C22="","",'Employee Detail FY25'!C22)</f>
        <v>000</v>
      </c>
      <c r="D22" s="678"/>
      <c r="E22" s="678">
        <f>IF('Employee Detail FY25'!E22="","",'Employee Detail FY25'!E22)</f>
        <v>200</v>
      </c>
      <c r="F22" s="678">
        <f>IF('Employee Detail FY25'!F22="","",'Employee Detail FY25'!F22)</f>
        <v>1000</v>
      </c>
      <c r="G22" s="678" t="str">
        <f>IF('Employee Detail FY25'!G22="","",'Employee Detail FY25'!G22)</f>
        <v>0101</v>
      </c>
      <c r="H22" s="678"/>
      <c r="I22" s="359" t="str">
        <f>IF('Employee Detail FY25'!I22="","",'Employee Detail FY25'!I22)</f>
        <v>CRAWFORD</v>
      </c>
      <c r="J22" s="359" t="str">
        <f>IF('Employee Detail FY25'!J22="","",'Employee Detail FY25'!J22)</f>
        <v>TONY</v>
      </c>
      <c r="K22" s="359" t="str">
        <f>IF('Employee Detail FY25'!K22="","",'Employee Detail FY25'!K22)</f>
        <v>Licensed Staff</v>
      </c>
      <c r="L22" s="359" t="str">
        <f>IF('Employee Detail FY25'!L22="","",'Employee Detail FY25'!L22)</f>
        <v>SPED TEACHER</v>
      </c>
      <c r="M22" s="388">
        <f>IF('Employee Detail FY25'!M22="","",'Employee Detail FY25'!M22)</f>
        <v>1</v>
      </c>
      <c r="N22" s="386" t="str">
        <f>IF('Employee Detail FY25'!N22="","",'Employee Detail FY25'!N22)</f>
        <v/>
      </c>
      <c r="O22" s="386">
        <f>IF('Employee Detail FY25'!O22="","",'Employee Detail FY25'!O22)</f>
        <v>26</v>
      </c>
      <c r="P22" s="386" t="str">
        <f>IF('Employee Detail FY25'!P22="","",'Employee Detail FY25'!P22)</f>
        <v>ER</v>
      </c>
      <c r="Q22" s="386" t="str">
        <f>IF('Employee Detail FY25'!Q22="","",'Employee Detail FY25'!Q22)</f>
        <v/>
      </c>
      <c r="R22" s="386">
        <f>IF('Employee Detail FY25'!R22="","",'Employee Detail FY25'!R22)</f>
        <v>200</v>
      </c>
      <c r="S22" s="386">
        <f>IF('Employee Detail FY25'!S22="","",'Employee Detail FY25'!S22)</f>
        <v>8</v>
      </c>
      <c r="T22" s="263">
        <f t="shared" si="6"/>
        <v>1600</v>
      </c>
      <c r="U22" s="269">
        <f>IF('Employee Detail FY25'!U22="","",'Employee Detail FY25'!U22)</f>
        <v>55000</v>
      </c>
      <c r="V22" s="270">
        <f t="shared" si="7"/>
        <v>61600.000000000007</v>
      </c>
      <c r="W22" s="270" t="str">
        <f t="shared" si="8"/>
        <v/>
      </c>
      <c r="X22" s="270">
        <f t="shared" si="9"/>
        <v>61600.000000000007</v>
      </c>
      <c r="Y22" s="62">
        <v>0</v>
      </c>
      <c r="Z22" s="62">
        <v>0</v>
      </c>
      <c r="AA22" s="256">
        <f t="shared" si="10"/>
        <v>61600.000000000007</v>
      </c>
      <c r="AB22" s="3"/>
      <c r="AC22" s="62">
        <f t="shared" si="11"/>
        <v>7943.76</v>
      </c>
      <c r="AD22" s="62" t="str">
        <f t="shared" si="12"/>
        <v/>
      </c>
      <c r="AE22" s="62">
        <f t="shared" si="13"/>
        <v>18018</v>
      </c>
      <c r="AF22" s="62">
        <f t="shared" si="14"/>
        <v>893.20000000000016</v>
      </c>
      <c r="AG22" s="192">
        <v>0</v>
      </c>
      <c r="AH22" s="62">
        <f t="shared" si="15"/>
        <v>560.70390418580814</v>
      </c>
      <c r="AI22" s="62">
        <f t="shared" si="16"/>
        <v>181.42424051536028</v>
      </c>
      <c r="AJ22" s="62"/>
      <c r="AK22" s="62">
        <v>0</v>
      </c>
      <c r="AL22" s="256">
        <f t="shared" si="17"/>
        <v>27597.088144701171</v>
      </c>
      <c r="AM22" s="256">
        <f t="shared" si="18"/>
        <v>61600.000000000007</v>
      </c>
      <c r="AN22" s="256">
        <f t="shared" si="19"/>
        <v>89197.088144701178</v>
      </c>
    </row>
    <row r="23" spans="1:40" x14ac:dyDescent="0.2">
      <c r="A23" s="386" t="str">
        <f>IF('Employee Detail FY25'!A23="","",'Employee Detail FY25'!A23)</f>
        <v/>
      </c>
      <c r="B23" s="678">
        <f>IF('Employee Detail FY25'!B23="","",'Employee Detail FY25'!B23)</f>
        <v>250</v>
      </c>
      <c r="C23" s="678" t="str">
        <f>IF('Employee Detail FY25'!C23="","",'Employee Detail FY25'!C23)</f>
        <v>000</v>
      </c>
      <c r="D23" s="678"/>
      <c r="E23" s="678">
        <f>IF('Employee Detail FY25'!E23="","",'Employee Detail FY25'!E23)</f>
        <v>200</v>
      </c>
      <c r="F23" s="678">
        <f>IF('Employee Detail FY25'!F23="","",'Employee Detail FY25'!F23)</f>
        <v>1000</v>
      </c>
      <c r="G23" s="678" t="str">
        <f>IF('Employee Detail FY25'!G23="","",'Employee Detail FY25'!G23)</f>
        <v>0101</v>
      </c>
      <c r="H23" s="678"/>
      <c r="I23" s="359" t="str">
        <f>IF('Employee Detail FY25'!I23="","",'Employee Detail FY25'!I23)</f>
        <v>SPED TEACHER</v>
      </c>
      <c r="J23" s="359" t="str">
        <f>IF('Employee Detail FY25'!J23="","",'Employee Detail FY25'!J23)</f>
        <v>FY23</v>
      </c>
      <c r="K23" s="359" t="str">
        <f>IF('Employee Detail FY25'!K23="","",'Employee Detail FY25'!K23)</f>
        <v>Licensed Staff</v>
      </c>
      <c r="L23" s="359" t="str">
        <f>IF('Employee Detail FY25'!L23="","",'Employee Detail FY25'!L23)</f>
        <v>SPED TEACHER</v>
      </c>
      <c r="M23" s="388">
        <f>IF('Employee Detail FY25'!M23="","",'Employee Detail FY25'!M23)</f>
        <v>1</v>
      </c>
      <c r="N23" s="386" t="str">
        <f>IF('Employee Detail FY25'!N23="","",'Employee Detail FY25'!N23)</f>
        <v/>
      </c>
      <c r="O23" s="386" t="str">
        <f>IF('Employee Detail FY25'!O23="","",'Employee Detail FY25'!O23)</f>
        <v/>
      </c>
      <c r="P23" s="386" t="str">
        <f>IF('Employee Detail FY25'!P23="","",'Employee Detail FY25'!P23)</f>
        <v>ER</v>
      </c>
      <c r="Q23" s="386" t="str">
        <f>IF('Employee Detail FY25'!Q23="","",'Employee Detail FY25'!Q23)</f>
        <v/>
      </c>
      <c r="R23" s="386" t="str">
        <f>IF('Employee Detail FY25'!R23="","",'Employee Detail FY25'!R23)</f>
        <v/>
      </c>
      <c r="S23" s="386" t="str">
        <f>IF('Employee Detail FY25'!S23="","",'Employee Detail FY25'!S23)</f>
        <v/>
      </c>
      <c r="T23" s="263" t="str">
        <f t="shared" si="6"/>
        <v/>
      </c>
      <c r="U23" s="269">
        <f>IF('Employee Detail FY25'!U23="","",'Employee Detail FY25'!U23)</f>
        <v>45000</v>
      </c>
      <c r="V23" s="270">
        <f t="shared" si="7"/>
        <v>50400.000000000007</v>
      </c>
      <c r="W23" s="270" t="str">
        <f t="shared" si="8"/>
        <v/>
      </c>
      <c r="X23" s="270">
        <f t="shared" si="9"/>
        <v>50400.000000000007</v>
      </c>
      <c r="Y23" s="62">
        <v>0</v>
      </c>
      <c r="Z23" s="62">
        <v>0</v>
      </c>
      <c r="AA23" s="256">
        <f t="shared" si="10"/>
        <v>50400.000000000007</v>
      </c>
      <c r="AB23" s="3"/>
      <c r="AC23" s="62">
        <f t="shared" si="11"/>
        <v>7943.76</v>
      </c>
      <c r="AD23" s="62" t="str">
        <f t="shared" si="12"/>
        <v/>
      </c>
      <c r="AE23" s="62">
        <f t="shared" si="13"/>
        <v>14742.000000000002</v>
      </c>
      <c r="AF23" s="62">
        <f t="shared" si="14"/>
        <v>730.80000000000018</v>
      </c>
      <c r="AG23" s="192">
        <v>0</v>
      </c>
      <c r="AH23" s="62">
        <f t="shared" si="15"/>
        <v>458.75773978838851</v>
      </c>
      <c r="AI23" s="62">
        <f t="shared" si="16"/>
        <v>148.43801496711296</v>
      </c>
      <c r="AJ23" s="62"/>
      <c r="AK23" s="62">
        <v>0</v>
      </c>
      <c r="AL23" s="256">
        <f t="shared" si="17"/>
        <v>24023.755754755501</v>
      </c>
      <c r="AM23" s="256">
        <f t="shared" si="18"/>
        <v>50400.000000000007</v>
      </c>
      <c r="AN23" s="256">
        <f t="shared" si="19"/>
        <v>74423.755754755504</v>
      </c>
    </row>
    <row r="24" spans="1:40" x14ac:dyDescent="0.2">
      <c r="A24" s="386" t="str">
        <f>IF('Employee Detail FY25'!A24="","",'Employee Detail FY25'!A24)</f>
        <v>SPED IDEA</v>
      </c>
      <c r="B24" s="678" t="str">
        <f>IF('Employee Detail FY25'!B24="","",'Employee Detail FY25'!B24)</f>
        <v>280</v>
      </c>
      <c r="C24" s="678" t="str">
        <f>IF('Employee Detail FY25'!C24="","",'Employee Detail FY25'!C24)</f>
        <v>639</v>
      </c>
      <c r="D24" s="678"/>
      <c r="E24" s="678">
        <f>IF('Employee Detail FY25'!E24="","",'Employee Detail FY25'!E24)</f>
        <v>200</v>
      </c>
      <c r="F24" s="678">
        <f>IF('Employee Detail FY25'!F24="","",'Employee Detail FY25'!F24)</f>
        <v>1000</v>
      </c>
      <c r="G24" s="678" t="str">
        <f>IF('Employee Detail FY25'!G24="","",'Employee Detail FY25'!G24)</f>
        <v>0101</v>
      </c>
      <c r="H24" s="678"/>
      <c r="I24" s="359" t="str">
        <f>IF('Employee Detail FY25'!I24="","",'Employee Detail FY25'!I24)</f>
        <v>JOHNSON</v>
      </c>
      <c r="J24" s="359" t="str">
        <f>IF('Employee Detail FY25'!J24="","",'Employee Detail FY25'!J24)</f>
        <v>KEVIN</v>
      </c>
      <c r="K24" s="359" t="str">
        <f>IF('Employee Detail FY25'!K24="","",'Employee Detail FY25'!K24)</f>
        <v>Licensed Staff</v>
      </c>
      <c r="L24" s="359" t="str">
        <f>IF('Employee Detail FY25'!L24="","",'Employee Detail FY25'!L24)</f>
        <v>SPED TEACHER</v>
      </c>
      <c r="M24" s="388">
        <f>IF('Employee Detail FY25'!M24="","",'Employee Detail FY25'!M24)</f>
        <v>1</v>
      </c>
      <c r="N24" s="386" t="str">
        <f>IF('Employee Detail FY25'!N24="","",'Employee Detail FY25'!N24)</f>
        <v/>
      </c>
      <c r="O24" s="386">
        <f>IF('Employee Detail FY25'!O24="","",'Employee Detail FY25'!O24)</f>
        <v>26</v>
      </c>
      <c r="P24" s="386" t="str">
        <f>IF('Employee Detail FY25'!P24="","",'Employee Detail FY25'!P24)</f>
        <v>ER</v>
      </c>
      <c r="Q24" s="386" t="str">
        <f>IF('Employee Detail FY25'!Q24="","",'Employee Detail FY25'!Q24)</f>
        <v/>
      </c>
      <c r="R24" s="386">
        <f>IF('Employee Detail FY25'!R24="","",'Employee Detail FY25'!R24)</f>
        <v>200</v>
      </c>
      <c r="S24" s="386">
        <f>IF('Employee Detail FY25'!S24="","",'Employee Detail FY25'!S24)</f>
        <v>8</v>
      </c>
      <c r="T24" s="263">
        <f t="shared" si="6"/>
        <v>1600</v>
      </c>
      <c r="U24" s="269">
        <f>IF('Employee Detail FY25'!U24="","",'Employee Detail FY25'!U24)</f>
        <v>49792</v>
      </c>
      <c r="V24" s="270">
        <f t="shared" si="7"/>
        <v>55767.040000000008</v>
      </c>
      <c r="W24" s="270" t="str">
        <f t="shared" si="8"/>
        <v/>
      </c>
      <c r="X24" s="270">
        <f t="shared" si="9"/>
        <v>55767.040000000008</v>
      </c>
      <c r="Y24" s="62">
        <v>0</v>
      </c>
      <c r="Z24" s="62">
        <v>0</v>
      </c>
      <c r="AA24" s="256">
        <f t="shared" si="10"/>
        <v>55767.040000000008</v>
      </c>
      <c r="AB24" s="3"/>
      <c r="AC24" s="62">
        <f t="shared" si="11"/>
        <v>7943.76</v>
      </c>
      <c r="AD24" s="62" t="str">
        <f t="shared" si="12"/>
        <v/>
      </c>
      <c r="AE24" s="62">
        <f t="shared" si="13"/>
        <v>16311.859200000001</v>
      </c>
      <c r="AF24" s="62">
        <f t="shared" si="14"/>
        <v>808.62208000000021</v>
      </c>
      <c r="AG24" s="192">
        <v>0</v>
      </c>
      <c r="AH24" s="62">
        <f t="shared" si="15"/>
        <v>507.61034176763201</v>
      </c>
      <c r="AI24" s="62">
        <f t="shared" si="16"/>
        <v>164.24501424983308</v>
      </c>
      <c r="AJ24" s="62"/>
      <c r="AK24" s="62">
        <v>0</v>
      </c>
      <c r="AL24" s="256">
        <f t="shared" si="17"/>
        <v>25736.096636017468</v>
      </c>
      <c r="AM24" s="256">
        <f t="shared" si="18"/>
        <v>55767.040000000008</v>
      </c>
      <c r="AN24" s="256">
        <f t="shared" si="19"/>
        <v>81503.136636017472</v>
      </c>
    </row>
    <row r="25" spans="1:40" x14ac:dyDescent="0.2">
      <c r="A25" s="386" t="str">
        <f>IF('Employee Detail FY25'!A25="","",'Employee Detail FY25'!A25)</f>
        <v>SPED IDEA</v>
      </c>
      <c r="B25" s="678" t="str">
        <f>IF('Employee Detail FY25'!B25="","",'Employee Detail FY25'!B25)</f>
        <v>280</v>
      </c>
      <c r="C25" s="678" t="str">
        <f>IF('Employee Detail FY25'!C25="","",'Employee Detail FY25'!C25)</f>
        <v>639</v>
      </c>
      <c r="D25" s="678"/>
      <c r="E25" s="678">
        <f>IF('Employee Detail FY25'!E25="","",'Employee Detail FY25'!E25)</f>
        <v>200</v>
      </c>
      <c r="F25" s="678">
        <f>IF('Employee Detail FY25'!F25="","",'Employee Detail FY25'!F25)</f>
        <v>1000</v>
      </c>
      <c r="G25" s="678" t="str">
        <f>IF('Employee Detail FY25'!G25="","",'Employee Detail FY25'!G25)</f>
        <v>0101</v>
      </c>
      <c r="H25" s="678"/>
      <c r="I25" s="359" t="str">
        <f>IF('Employee Detail FY25'!I25="","",'Employee Detail FY25'!I25)</f>
        <v>MINER-JAMES</v>
      </c>
      <c r="J25" s="359" t="str">
        <f>IF('Employee Detail FY25'!J25="","",'Employee Detail FY25'!J25)</f>
        <v>Diane</v>
      </c>
      <c r="K25" s="359" t="str">
        <f>IF('Employee Detail FY25'!K25="","",'Employee Detail FY25'!K25)</f>
        <v>Licensed Staff</v>
      </c>
      <c r="L25" s="359" t="str">
        <f>IF('Employee Detail FY25'!L25="","",'Employee Detail FY25'!L25)</f>
        <v>SPED TEACHER</v>
      </c>
      <c r="M25" s="388">
        <f>IF('Employee Detail FY25'!M25="","",'Employee Detail FY25'!M25)</f>
        <v>1</v>
      </c>
      <c r="N25" s="386" t="str">
        <f>IF('Employee Detail FY25'!N25="","",'Employee Detail FY25'!N25)</f>
        <v/>
      </c>
      <c r="O25" s="386">
        <f>IF('Employee Detail FY25'!O25="","",'Employee Detail FY25'!O25)</f>
        <v>26</v>
      </c>
      <c r="P25" s="386" t="str">
        <f>IF('Employee Detail FY25'!P25="","",'Employee Detail FY25'!P25)</f>
        <v>ER</v>
      </c>
      <c r="Q25" s="386" t="str">
        <f>IF('Employee Detail FY25'!Q25="","",'Employee Detail FY25'!Q25)</f>
        <v/>
      </c>
      <c r="R25" s="386">
        <f>IF('Employee Detail FY25'!R25="","",'Employee Detail FY25'!R25)</f>
        <v>200</v>
      </c>
      <c r="S25" s="386">
        <f>IF('Employee Detail FY25'!S25="","",'Employee Detail FY25'!S25)</f>
        <v>8</v>
      </c>
      <c r="T25" s="263">
        <f t="shared" si="6"/>
        <v>1600</v>
      </c>
      <c r="U25" s="269">
        <f>IF('Employee Detail FY25'!U25="","",'Employee Detail FY25'!U25)</f>
        <v>58339</v>
      </c>
      <c r="V25" s="270">
        <f t="shared" si="7"/>
        <v>65339.680000000008</v>
      </c>
      <c r="W25" s="270" t="str">
        <f t="shared" si="8"/>
        <v/>
      </c>
      <c r="X25" s="270">
        <f t="shared" si="9"/>
        <v>65339.680000000008</v>
      </c>
      <c r="Y25" s="62">
        <v>0</v>
      </c>
      <c r="Z25" s="62">
        <v>0</v>
      </c>
      <c r="AA25" s="256">
        <f t="shared" si="10"/>
        <v>65339.680000000008</v>
      </c>
      <c r="AB25" s="3"/>
      <c r="AC25" s="62">
        <f t="shared" si="11"/>
        <v>7943.76</v>
      </c>
      <c r="AD25" s="62" t="str">
        <f t="shared" si="12"/>
        <v/>
      </c>
      <c r="AE25" s="62">
        <f t="shared" si="13"/>
        <v>19111.856400000001</v>
      </c>
      <c r="AF25" s="62">
        <f t="shared" si="14"/>
        <v>947.42536000000018</v>
      </c>
      <c r="AG25" s="192">
        <v>0</v>
      </c>
      <c r="AH25" s="62">
        <f t="shared" si="15"/>
        <v>594.74372847810662</v>
      </c>
      <c r="AI25" s="62">
        <f t="shared" si="16"/>
        <v>192.43834122592006</v>
      </c>
      <c r="AJ25" s="62"/>
      <c r="AK25" s="62">
        <v>0</v>
      </c>
      <c r="AL25" s="256">
        <f t="shared" si="17"/>
        <v>28790.223829704028</v>
      </c>
      <c r="AM25" s="256">
        <f t="shared" si="18"/>
        <v>65339.680000000008</v>
      </c>
      <c r="AN25" s="256">
        <f t="shared" si="19"/>
        <v>94129.903829704039</v>
      </c>
    </row>
    <row r="26" spans="1:40" hidden="1" x14ac:dyDescent="0.2">
      <c r="A26" s="386" t="str">
        <f>IF('Employee Detail FY25'!A26="","",'Employee Detail FY25'!A26)</f>
        <v/>
      </c>
      <c r="B26" s="678" t="str">
        <f>IF('Employee Detail FY25'!B26="","",'Employee Detail FY25'!B26)</f>
        <v/>
      </c>
      <c r="C26" s="678" t="str">
        <f>IF('Employee Detail FY25'!C26="","",'Employee Detail FY25'!C26)</f>
        <v/>
      </c>
      <c r="D26" s="678"/>
      <c r="E26" s="678" t="str">
        <f>IF('Employee Detail FY25'!E26="","",'Employee Detail FY25'!E26)</f>
        <v/>
      </c>
      <c r="F26" s="678" t="str">
        <f>IF('Employee Detail FY25'!F26="","",'Employee Detail FY25'!F26)</f>
        <v/>
      </c>
      <c r="G26" s="678" t="str">
        <f>IF('Employee Detail FY25'!G26="","",'Employee Detail FY25'!G26)</f>
        <v/>
      </c>
      <c r="H26" s="678"/>
      <c r="I26" s="359" t="str">
        <f>IF('Employee Detail FY25'!I26="","",'Employee Detail FY25'!I26)</f>
        <v/>
      </c>
      <c r="J26" s="359" t="str">
        <f>IF('Employee Detail FY25'!J26="","",'Employee Detail FY25'!J26)</f>
        <v/>
      </c>
      <c r="K26" s="359" t="str">
        <f>IF('Employee Detail FY25'!K26="","",'Employee Detail FY25'!K26)</f>
        <v/>
      </c>
      <c r="L26" s="359" t="str">
        <f>IF('Employee Detail FY25'!L26="","",'Employee Detail FY25'!L26)</f>
        <v/>
      </c>
      <c r="M26" s="388" t="str">
        <f>IF('Employee Detail FY25'!M26="","",'Employee Detail FY25'!M26)</f>
        <v/>
      </c>
      <c r="N26" s="386" t="str">
        <f>IF('Employee Detail FY25'!N26="","",'Employee Detail FY25'!N26)</f>
        <v/>
      </c>
      <c r="O26" s="386" t="str">
        <f>IF('Employee Detail FY25'!O26="","",'Employee Detail FY25'!O26)</f>
        <v/>
      </c>
      <c r="P26" s="386" t="str">
        <f>IF('Employee Detail FY25'!P26="","",'Employee Detail FY25'!P26)</f>
        <v/>
      </c>
      <c r="Q26" s="386" t="str">
        <f>IF('Employee Detail FY25'!Q26="","",'Employee Detail FY25'!Q26)</f>
        <v/>
      </c>
      <c r="R26" s="386" t="str">
        <f>IF('Employee Detail FY25'!R26="","",'Employee Detail FY25'!R26)</f>
        <v/>
      </c>
      <c r="S26" s="386" t="str">
        <f>IF('Employee Detail FY25'!S26="","",'Employee Detail FY25'!S26)</f>
        <v/>
      </c>
      <c r="T26" s="263" t="str">
        <f t="shared" si="6"/>
        <v/>
      </c>
      <c r="U26" s="269" t="str">
        <f>IF('Employee Detail FY25'!U26="","",'Employee Detail FY25'!U26)</f>
        <v/>
      </c>
      <c r="V26" s="270" t="str">
        <f t="shared" si="7"/>
        <v/>
      </c>
      <c r="W26" s="270" t="str">
        <f t="shared" si="8"/>
        <v/>
      </c>
      <c r="X26" s="270" t="str">
        <f t="shared" si="9"/>
        <v/>
      </c>
      <c r="Y26" s="62">
        <v>0</v>
      </c>
      <c r="Z26" s="62">
        <v>0</v>
      </c>
      <c r="AA26" s="256">
        <f t="shared" si="10"/>
        <v>0</v>
      </c>
      <c r="AB26" s="3"/>
      <c r="AC26" s="62" t="str">
        <f t="shared" si="11"/>
        <v/>
      </c>
      <c r="AD26" s="62" t="str">
        <f t="shared" si="12"/>
        <v/>
      </c>
      <c r="AE26" s="62" t="str">
        <f t="shared" si="13"/>
        <v/>
      </c>
      <c r="AF26" s="62" t="str">
        <f t="shared" si="14"/>
        <v/>
      </c>
      <c r="AG26" s="192">
        <v>0</v>
      </c>
      <c r="AH26" s="62" t="str">
        <f t="shared" si="15"/>
        <v/>
      </c>
      <c r="AI26" s="62">
        <f t="shared" si="16"/>
        <v>0</v>
      </c>
      <c r="AJ26" s="62"/>
      <c r="AK26" s="62">
        <v>0</v>
      </c>
      <c r="AL26" s="256">
        <f t="shared" si="17"/>
        <v>0</v>
      </c>
      <c r="AM26" s="256">
        <f t="shared" si="18"/>
        <v>0</v>
      </c>
      <c r="AN26" s="256">
        <f t="shared" si="19"/>
        <v>0</v>
      </c>
    </row>
    <row r="27" spans="1:40" hidden="1" x14ac:dyDescent="0.2">
      <c r="A27" s="386" t="str">
        <f>IF('Employee Detail FY25'!A27="","",'Employee Detail FY25'!A27)</f>
        <v>ESSER II</v>
      </c>
      <c r="B27" s="678">
        <f>IF('Employee Detail FY25'!B27="","",'Employee Detail FY25'!B27)</f>
        <v>280</v>
      </c>
      <c r="C27" s="678">
        <f>IF('Employee Detail FY25'!C27="","",'Employee Detail FY25'!C27)</f>
        <v>741</v>
      </c>
      <c r="D27" s="678"/>
      <c r="E27" s="678" t="str">
        <f>IF('Employee Detail FY25'!E27="","",'Employee Detail FY25'!E27)</f>
        <v>100</v>
      </c>
      <c r="F27" s="678" t="str">
        <f>IF('Employee Detail FY25'!F27="","",'Employee Detail FY25'!F27)</f>
        <v>2110</v>
      </c>
      <c r="G27" s="678" t="str">
        <f>IF('Employee Detail FY25'!G27="","",'Employee Detail FY25'!G27)</f>
        <v>0106</v>
      </c>
      <c r="H27" s="678"/>
      <c r="I27" s="359" t="str">
        <f>IF('Employee Detail FY25'!I27="","",'Employee Detail FY25'!I27)</f>
        <v>VACANT</v>
      </c>
      <c r="J27" s="359" t="str">
        <f>IF('Employee Detail FY25'!J27="","",'Employee Detail FY25'!J27)</f>
        <v/>
      </c>
      <c r="K27" s="359" t="str">
        <f>IF('Employee Detail FY25'!K27="","",'Employee Detail FY25'!K27)</f>
        <v>Licensed Support Staff</v>
      </c>
      <c r="L27" s="359" t="str">
        <f>IF('Employee Detail FY25'!L27="","",'Employee Detail FY25'!L27)</f>
        <v xml:space="preserve">WRAP AROUND FACILITATOR (SOCIAL WORKER) </v>
      </c>
      <c r="M27" s="388">
        <f>IF('Employee Detail FY25'!M27="","",'Employee Detail FY25'!M27)</f>
        <v>1</v>
      </c>
      <c r="N27" s="386" t="str">
        <f>IF('Employee Detail FY25'!N27="","",'Employee Detail FY25'!N27)</f>
        <v/>
      </c>
      <c r="O27" s="386">
        <f>IF('Employee Detail FY25'!O27="","",'Employee Detail FY25'!O27)</f>
        <v>26</v>
      </c>
      <c r="P27" s="386" t="str">
        <f>IF('Employee Detail FY25'!P27="","",'Employee Detail FY25'!P27)</f>
        <v>EE</v>
      </c>
      <c r="Q27" s="386" t="str">
        <f>IF('Employee Detail FY25'!Q27="","",'Employee Detail FY25'!Q27)</f>
        <v/>
      </c>
      <c r="R27" s="386">
        <f>IF('Employee Detail FY25'!R27="","",'Employee Detail FY25'!R27)</f>
        <v>200</v>
      </c>
      <c r="S27" s="386">
        <f>IF('Employee Detail FY25'!S27="","",'Employee Detail FY25'!S27)</f>
        <v>8</v>
      </c>
      <c r="T27" s="263">
        <f t="shared" si="6"/>
        <v>1600</v>
      </c>
      <c r="U27" s="269">
        <f>IF('Employee Detail FY25'!U27="","",'Employee Detail FY25'!U27)</f>
        <v>39919</v>
      </c>
      <c r="V27" s="270">
        <f t="shared" si="7"/>
        <v>44709.280000000006</v>
      </c>
      <c r="W27" s="270">
        <f t="shared" si="8"/>
        <v>51575.999478080004</v>
      </c>
      <c r="X27" s="270">
        <f t="shared" si="9"/>
        <v>51575.999478080004</v>
      </c>
      <c r="Y27" s="62">
        <v>0</v>
      </c>
      <c r="Z27" s="62">
        <v>0</v>
      </c>
      <c r="AA27" s="256">
        <f t="shared" si="10"/>
        <v>51575.999478080004</v>
      </c>
      <c r="AB27" s="3"/>
      <c r="AC27" s="62">
        <f t="shared" si="11"/>
        <v>7943.76</v>
      </c>
      <c r="AD27" s="62" t="str">
        <f t="shared" si="12"/>
        <v/>
      </c>
      <c r="AE27" s="62">
        <f t="shared" si="13"/>
        <v>7865.3399204072002</v>
      </c>
      <c r="AF27" s="62">
        <f t="shared" si="14"/>
        <v>747.85199243216005</v>
      </c>
      <c r="AG27" s="192">
        <v>0</v>
      </c>
      <c r="AH27" s="62">
        <f t="shared" si="15"/>
        <v>469.4620822994263</v>
      </c>
      <c r="AI27" s="62">
        <f t="shared" si="16"/>
        <v>151.90156711252081</v>
      </c>
      <c r="AJ27" s="62"/>
      <c r="AK27" s="62">
        <v>0</v>
      </c>
      <c r="AL27" s="256">
        <f t="shared" si="17"/>
        <v>17178.315562251304</v>
      </c>
      <c r="AM27" s="256">
        <f t="shared" si="18"/>
        <v>51575.999478080004</v>
      </c>
      <c r="AN27" s="256">
        <f t="shared" si="19"/>
        <v>68754.315040331305</v>
      </c>
    </row>
    <row r="28" spans="1:40" hidden="1" x14ac:dyDescent="0.2">
      <c r="A28" s="386" t="str">
        <f>IF('Employee Detail FY25'!A28="","",'Employee Detail FY25'!A28)</f>
        <v/>
      </c>
      <c r="B28" s="678" t="str">
        <f>IF('Employee Detail FY25'!B28="","",'Employee Detail FY25'!B28)</f>
        <v/>
      </c>
      <c r="C28" s="678" t="str">
        <f>IF('Employee Detail FY25'!C28="","",'Employee Detail FY25'!C28)</f>
        <v/>
      </c>
      <c r="D28" s="678"/>
      <c r="E28" s="678" t="str">
        <f>IF('Employee Detail FY25'!E28="","",'Employee Detail FY25'!E28)</f>
        <v/>
      </c>
      <c r="F28" s="678" t="str">
        <f>IF('Employee Detail FY25'!F28="","",'Employee Detail FY25'!F28)</f>
        <v/>
      </c>
      <c r="G28" s="678" t="str">
        <f>IF('Employee Detail FY25'!G28="","",'Employee Detail FY25'!G28)</f>
        <v/>
      </c>
      <c r="H28" s="678"/>
      <c r="I28" s="359" t="str">
        <f>IF('Employee Detail FY25'!I28="","",'Employee Detail FY25'!I28)</f>
        <v/>
      </c>
      <c r="J28" s="359" t="str">
        <f>IF('Employee Detail FY25'!J28="","",'Employee Detail FY25'!J28)</f>
        <v/>
      </c>
      <c r="K28" s="359" t="str">
        <f>IF('Employee Detail FY25'!K28="","",'Employee Detail FY25'!K28)</f>
        <v/>
      </c>
      <c r="L28" s="359" t="str">
        <f>IF('Employee Detail FY25'!L28="","",'Employee Detail FY25'!L28)</f>
        <v/>
      </c>
      <c r="M28" s="388" t="str">
        <f>IF('Employee Detail FY25'!M28="","",'Employee Detail FY25'!M28)</f>
        <v/>
      </c>
      <c r="N28" s="386" t="str">
        <f>IF('Employee Detail FY25'!N28="","",'Employee Detail FY25'!N28)</f>
        <v/>
      </c>
      <c r="O28" s="386" t="str">
        <f>IF('Employee Detail FY25'!O28="","",'Employee Detail FY25'!O28)</f>
        <v/>
      </c>
      <c r="P28" s="386" t="str">
        <f>IF('Employee Detail FY25'!P28="","",'Employee Detail FY25'!P28)</f>
        <v/>
      </c>
      <c r="Q28" s="386" t="str">
        <f>IF('Employee Detail FY25'!Q28="","",'Employee Detail FY25'!Q28)</f>
        <v/>
      </c>
      <c r="R28" s="386" t="str">
        <f>IF('Employee Detail FY25'!R28="","",'Employee Detail FY25'!R28)</f>
        <v/>
      </c>
      <c r="S28" s="386" t="str">
        <f>IF('Employee Detail FY25'!S28="","",'Employee Detail FY25'!S28)</f>
        <v/>
      </c>
      <c r="T28" s="263" t="str">
        <f t="shared" si="6"/>
        <v/>
      </c>
      <c r="U28" s="269" t="str">
        <f>IF('Employee Detail FY25'!U28="","",'Employee Detail FY25'!U28)</f>
        <v/>
      </c>
      <c r="V28" s="270" t="str">
        <f t="shared" si="7"/>
        <v/>
      </c>
      <c r="W28" s="270" t="str">
        <f t="shared" si="8"/>
        <v/>
      </c>
      <c r="X28" s="270" t="str">
        <f t="shared" si="9"/>
        <v/>
      </c>
      <c r="Y28" s="62">
        <v>0</v>
      </c>
      <c r="Z28" s="62">
        <v>0</v>
      </c>
      <c r="AA28" s="256">
        <f t="shared" si="10"/>
        <v>0</v>
      </c>
      <c r="AB28" s="3"/>
      <c r="AC28" s="62" t="str">
        <f t="shared" si="11"/>
        <v/>
      </c>
      <c r="AD28" s="62" t="str">
        <f t="shared" si="12"/>
        <v/>
      </c>
      <c r="AE28" s="62" t="str">
        <f t="shared" si="13"/>
        <v/>
      </c>
      <c r="AF28" s="62" t="str">
        <f t="shared" si="14"/>
        <v/>
      </c>
      <c r="AG28" s="192">
        <v>0</v>
      </c>
      <c r="AH28" s="62" t="str">
        <f t="shared" si="15"/>
        <v/>
      </c>
      <c r="AI28" s="62">
        <f t="shared" si="16"/>
        <v>0</v>
      </c>
      <c r="AJ28" s="62"/>
      <c r="AK28" s="62">
        <v>0</v>
      </c>
      <c r="AL28" s="256">
        <f t="shared" si="17"/>
        <v>0</v>
      </c>
      <c r="AM28" s="256">
        <f t="shared" si="18"/>
        <v>0</v>
      </c>
      <c r="AN28" s="256">
        <f t="shared" si="19"/>
        <v>0</v>
      </c>
    </row>
    <row r="29" spans="1:40" hidden="1" x14ac:dyDescent="0.2">
      <c r="A29" s="386" t="str">
        <f>IF('Employee Detail FY25'!A29="","",'Employee Detail FY25'!A29)</f>
        <v/>
      </c>
      <c r="B29" s="678" t="str">
        <f>IF('Employee Detail FY25'!B29="","",'Employee Detail FY25'!B29)</f>
        <v>100</v>
      </c>
      <c r="C29" s="678" t="str">
        <f>IF('Employee Detail FY25'!C29="","",'Employee Detail FY25'!C29)</f>
        <v>000</v>
      </c>
      <c r="D29" s="678"/>
      <c r="E29" s="678" t="str">
        <f>IF('Employee Detail FY25'!E29="","",'Employee Detail FY25'!E29)</f>
        <v>100</v>
      </c>
      <c r="F29" s="678" t="str">
        <f>IF('Employee Detail FY25'!F29="","",'Employee Detail FY25'!F29)</f>
        <v>2110</v>
      </c>
      <c r="G29" s="678" t="str">
        <f>IF('Employee Detail FY25'!G29="","",'Employee Detail FY25'!G29)</f>
        <v>0106</v>
      </c>
      <c r="H29" s="678"/>
      <c r="I29" s="359" t="str">
        <f>IF('Employee Detail FY25'!I29="","",'Employee Detail FY25'!I29)</f>
        <v>KAYS</v>
      </c>
      <c r="J29" s="359" t="str">
        <f>IF('Employee Detail FY25'!J29="","",'Employee Detail FY25'!J29)</f>
        <v>JILL</v>
      </c>
      <c r="K29" s="359" t="str">
        <f>IF('Employee Detail FY25'!K29="","",'Employee Detail FY25'!K29)</f>
        <v>Licensed Staff</v>
      </c>
      <c r="L29" s="359" t="str">
        <f>IF('Employee Detail FY25'!L29="","",'Employee Detail FY25'!L29)</f>
        <v>SOCIAL WORKER</v>
      </c>
      <c r="M29" s="388">
        <f>IF('Employee Detail FY25'!M29="","",'Employee Detail FY25'!M29)</f>
        <v>1</v>
      </c>
      <c r="N29" s="386" t="str">
        <f>IF('Employee Detail FY25'!N29="","",'Employee Detail FY25'!N29)</f>
        <v/>
      </c>
      <c r="O29" s="386">
        <f>IF('Employee Detail FY25'!O29="","",'Employee Detail FY25'!O29)</f>
        <v>26</v>
      </c>
      <c r="P29" s="386" t="str">
        <f>IF('Employee Detail FY25'!P29="","",'Employee Detail FY25'!P29)</f>
        <v>ER</v>
      </c>
      <c r="Q29" s="386" t="str">
        <f>IF('Employee Detail FY25'!Q29="","",'Employee Detail FY25'!Q29)</f>
        <v/>
      </c>
      <c r="R29" s="386">
        <f>IF('Employee Detail FY25'!R29="","",'Employee Detail FY25'!R29)</f>
        <v>200</v>
      </c>
      <c r="S29" s="386">
        <f>IF('Employee Detail FY25'!S29="","",'Employee Detail FY25'!S29)</f>
        <v>8</v>
      </c>
      <c r="T29" s="263">
        <f t="shared" si="6"/>
        <v>1600</v>
      </c>
      <c r="U29" s="269">
        <f>IF('Employee Detail FY25'!U29="","",'Employee Detail FY25'!U29)</f>
        <v>50788</v>
      </c>
      <c r="V29" s="270">
        <f t="shared" si="7"/>
        <v>56882.560000000005</v>
      </c>
      <c r="W29" s="270" t="str">
        <f t="shared" si="8"/>
        <v/>
      </c>
      <c r="X29" s="270">
        <f t="shared" si="9"/>
        <v>56882.560000000005</v>
      </c>
      <c r="Y29" s="62">
        <v>0</v>
      </c>
      <c r="Z29" s="62">
        <v>0</v>
      </c>
      <c r="AA29" s="256">
        <f t="shared" si="10"/>
        <v>56882.560000000005</v>
      </c>
      <c r="AB29" s="3"/>
      <c r="AC29" s="62">
        <f t="shared" si="11"/>
        <v>7943.76</v>
      </c>
      <c r="AD29" s="62" t="str">
        <f t="shared" si="12"/>
        <v/>
      </c>
      <c r="AE29" s="62">
        <f t="shared" si="13"/>
        <v>16638.148799999999</v>
      </c>
      <c r="AF29" s="62">
        <f t="shared" si="14"/>
        <v>824.79712000000006</v>
      </c>
      <c r="AG29" s="192">
        <v>0</v>
      </c>
      <c r="AH29" s="62">
        <f t="shared" si="15"/>
        <v>517.76417974161495</v>
      </c>
      <c r="AI29" s="62">
        <f t="shared" si="16"/>
        <v>167.53044231443849</v>
      </c>
      <c r="AJ29" s="62"/>
      <c r="AK29" s="62">
        <v>0</v>
      </c>
      <c r="AL29" s="256">
        <f t="shared" si="17"/>
        <v>26092.000542056048</v>
      </c>
      <c r="AM29" s="256">
        <f t="shared" si="18"/>
        <v>56882.560000000005</v>
      </c>
      <c r="AN29" s="256">
        <f t="shared" si="19"/>
        <v>82974.560542056046</v>
      </c>
    </row>
    <row r="30" spans="1:40" hidden="1" x14ac:dyDescent="0.2">
      <c r="A30" s="386" t="str">
        <f>IF('Employee Detail FY25'!A30="","",'Employee Detail FY25'!A30)</f>
        <v/>
      </c>
      <c r="B30" s="678">
        <f>IF('Employee Detail FY25'!B30="","",'Employee Detail FY25'!B30)</f>
        <v>100</v>
      </c>
      <c r="C30" s="678" t="str">
        <f>IF('Employee Detail FY25'!C30="","",'Employee Detail FY25'!C30)</f>
        <v>000</v>
      </c>
      <c r="D30" s="678"/>
      <c r="E30" s="678">
        <f>IF('Employee Detail FY25'!E30="","",'Employee Detail FY25'!E30)</f>
        <v>100</v>
      </c>
      <c r="F30" s="678">
        <f>IF('Employee Detail FY25'!F30="","",'Employee Detail FY25'!F30)</f>
        <v>2110</v>
      </c>
      <c r="G30" s="678" t="str">
        <f>IF('Employee Detail FY25'!G30="","",'Employee Detail FY25'!G30)</f>
        <v>0106</v>
      </c>
      <c r="H30" s="678"/>
      <c r="I30" s="359" t="str">
        <f>IF('Employee Detail FY25'!I30="","",'Employee Detail FY25'!I30)</f>
        <v>DIAZ</v>
      </c>
      <c r="J30" s="359" t="str">
        <f>IF('Employee Detail FY25'!J30="","",'Employee Detail FY25'!J30)</f>
        <v>ALBERTO</v>
      </c>
      <c r="K30" s="359" t="str">
        <f>IF('Employee Detail FY25'!K30="","",'Employee Detail FY25'!K30)</f>
        <v>Licensed Staff</v>
      </c>
      <c r="L30" s="359" t="str">
        <f>IF('Employee Detail FY25'!L30="","",'Employee Detail FY25'!L30)</f>
        <v>SOCIAL WORKER 01</v>
      </c>
      <c r="M30" s="388">
        <f>IF('Employee Detail FY25'!M30="","",'Employee Detail FY25'!M30)</f>
        <v>1</v>
      </c>
      <c r="N30" s="386" t="str">
        <f>IF('Employee Detail FY25'!N30="","",'Employee Detail FY25'!N30)</f>
        <v/>
      </c>
      <c r="O30" s="386">
        <f>IF('Employee Detail FY25'!O30="","",'Employee Detail FY25'!O30)</f>
        <v>26</v>
      </c>
      <c r="P30" s="386" t="str">
        <f>IF('Employee Detail FY25'!P30="","",'Employee Detail FY25'!P30)</f>
        <v>EE</v>
      </c>
      <c r="Q30" s="386" t="str">
        <f>IF('Employee Detail FY25'!Q30="","",'Employee Detail FY25'!Q30)</f>
        <v/>
      </c>
      <c r="R30" s="386">
        <f>IF('Employee Detail FY25'!R30="","",'Employee Detail FY25'!R30)</f>
        <v>200</v>
      </c>
      <c r="S30" s="386">
        <f>IF('Employee Detail FY25'!S30="","",'Employee Detail FY25'!S30)</f>
        <v>8</v>
      </c>
      <c r="T30" s="263">
        <f t="shared" si="6"/>
        <v>1600</v>
      </c>
      <c r="U30" s="269">
        <f>IF('Employee Detail FY25'!U30="","",'Employee Detail FY25'!U30)</f>
        <v>55000</v>
      </c>
      <c r="V30" s="270">
        <f t="shared" si="7"/>
        <v>61600.000000000007</v>
      </c>
      <c r="W30" s="270">
        <f t="shared" si="8"/>
        <v>71060.897600000011</v>
      </c>
      <c r="X30" s="270">
        <f t="shared" si="9"/>
        <v>71060.897600000011</v>
      </c>
      <c r="Y30" s="62">
        <v>0</v>
      </c>
      <c r="Z30" s="62">
        <v>0</v>
      </c>
      <c r="AA30" s="256">
        <f t="shared" si="10"/>
        <v>71060.897600000011</v>
      </c>
      <c r="AB30" s="3"/>
      <c r="AC30" s="62">
        <f t="shared" si="11"/>
        <v>7943.76</v>
      </c>
      <c r="AD30" s="62" t="str">
        <f t="shared" si="12"/>
        <v/>
      </c>
      <c r="AE30" s="62">
        <f t="shared" si="13"/>
        <v>10836.786884000001</v>
      </c>
      <c r="AF30" s="62">
        <f t="shared" si="14"/>
        <v>1030.3830152000003</v>
      </c>
      <c r="AG30" s="192">
        <v>0</v>
      </c>
      <c r="AH30" s="62">
        <f t="shared" si="15"/>
        <v>646.82017401408973</v>
      </c>
      <c r="AI30" s="62">
        <f t="shared" si="16"/>
        <v>209.28846391915241</v>
      </c>
      <c r="AJ30" s="62"/>
      <c r="AK30" s="62">
        <v>0</v>
      </c>
      <c r="AL30" s="256">
        <f t="shared" si="17"/>
        <v>20667.038537133245</v>
      </c>
      <c r="AM30" s="256">
        <f t="shared" si="18"/>
        <v>71060.897600000011</v>
      </c>
      <c r="AN30" s="256">
        <f t="shared" si="19"/>
        <v>91727.936137133249</v>
      </c>
    </row>
    <row r="31" spans="1:40" hidden="1" x14ac:dyDescent="0.2">
      <c r="A31" s="386" t="str">
        <f>IF('Employee Detail FY25'!A31="","",'Employee Detail FY25'!A31)</f>
        <v>ESSER II</v>
      </c>
      <c r="B31" s="678">
        <f>IF('Employee Detail FY25'!B31="","",'Employee Detail FY25'!B31)</f>
        <v>280</v>
      </c>
      <c r="C31" s="678">
        <f>IF('Employee Detail FY25'!C31="","",'Employee Detail FY25'!C31)</f>
        <v>741</v>
      </c>
      <c r="D31" s="678"/>
      <c r="E31" s="678">
        <f>IF('Employee Detail FY25'!E31="","",'Employee Detail FY25'!E31)</f>
        <v>100</v>
      </c>
      <c r="F31" s="678">
        <f>IF('Employee Detail FY25'!F31="","",'Employee Detail FY25'!F31)</f>
        <v>2110</v>
      </c>
      <c r="G31" s="678" t="str">
        <f>IF('Employee Detail FY25'!G31="","",'Employee Detail FY25'!G31)</f>
        <v>0106</v>
      </c>
      <c r="H31" s="678"/>
      <c r="I31" s="359" t="str">
        <f>IF('Employee Detail FY25'!I31="","",'Employee Detail FY25'!I31)</f>
        <v>HERNANDEZ</v>
      </c>
      <c r="J31" s="359" t="str">
        <f>IF('Employee Detail FY25'!J31="","",'Employee Detail FY25'!J31)</f>
        <v>ALLISON</v>
      </c>
      <c r="K31" s="359" t="str">
        <f>IF('Employee Detail FY25'!K31="","",'Employee Detail FY25'!K31)</f>
        <v>Licensed Staff</v>
      </c>
      <c r="L31" s="359" t="str">
        <f>IF('Employee Detail FY25'!L31="","",'Employee Detail FY25'!L31)</f>
        <v>SOCIAL WORKER 02</v>
      </c>
      <c r="M31" s="388">
        <f>IF('Employee Detail FY25'!M31="","",'Employee Detail FY25'!M31)</f>
        <v>1</v>
      </c>
      <c r="N31" s="386" t="str">
        <f>IF('Employee Detail FY25'!N31="","",'Employee Detail FY25'!N31)</f>
        <v/>
      </c>
      <c r="O31" s="386">
        <f>IF('Employee Detail FY25'!O31="","",'Employee Detail FY25'!O31)</f>
        <v>26</v>
      </c>
      <c r="P31" s="386" t="str">
        <f>IF('Employee Detail FY25'!P31="","",'Employee Detail FY25'!P31)</f>
        <v>EE</v>
      </c>
      <c r="Q31" s="386" t="str">
        <f>IF('Employee Detail FY25'!Q31="","",'Employee Detail FY25'!Q31)</f>
        <v/>
      </c>
      <c r="R31" s="386">
        <f>IF('Employee Detail FY25'!R31="","",'Employee Detail FY25'!R31)</f>
        <v>200</v>
      </c>
      <c r="S31" s="386">
        <f>IF('Employee Detail FY25'!S31="","",'Employee Detail FY25'!S31)</f>
        <v>8</v>
      </c>
      <c r="T31" s="263">
        <f t="shared" si="6"/>
        <v>1600</v>
      </c>
      <c r="U31" s="269">
        <f>IF('Employee Detail FY25'!U31="","",'Employee Detail FY25'!U31)</f>
        <v>55000</v>
      </c>
      <c r="V31" s="270">
        <f t="shared" si="7"/>
        <v>61600.000000000007</v>
      </c>
      <c r="W31" s="270">
        <f t="shared" si="8"/>
        <v>71060.897600000011</v>
      </c>
      <c r="X31" s="270">
        <f t="shared" si="9"/>
        <v>71060.897600000011</v>
      </c>
      <c r="Y31" s="62">
        <v>0</v>
      </c>
      <c r="Z31" s="62">
        <v>0</v>
      </c>
      <c r="AA31" s="256">
        <f t="shared" si="10"/>
        <v>71060.897600000011</v>
      </c>
      <c r="AB31" s="3"/>
      <c r="AC31" s="62">
        <f t="shared" si="11"/>
        <v>7943.76</v>
      </c>
      <c r="AD31" s="62" t="str">
        <f t="shared" si="12"/>
        <v/>
      </c>
      <c r="AE31" s="62">
        <f t="shared" si="13"/>
        <v>10836.786884000001</v>
      </c>
      <c r="AF31" s="62">
        <f t="shared" si="14"/>
        <v>1030.3830152000003</v>
      </c>
      <c r="AG31" s="192">
        <v>0</v>
      </c>
      <c r="AH31" s="62">
        <f t="shared" si="15"/>
        <v>646.82017401408973</v>
      </c>
      <c r="AI31" s="62">
        <f t="shared" si="16"/>
        <v>209.28846391915241</v>
      </c>
      <c r="AJ31" s="62"/>
      <c r="AK31" s="62">
        <v>0</v>
      </c>
      <c r="AL31" s="256">
        <f t="shared" si="17"/>
        <v>20667.038537133245</v>
      </c>
      <c r="AM31" s="256">
        <f t="shared" si="18"/>
        <v>71060.897600000011</v>
      </c>
      <c r="AN31" s="256">
        <f t="shared" si="19"/>
        <v>91727.936137133249</v>
      </c>
    </row>
    <row r="32" spans="1:40" hidden="1" x14ac:dyDescent="0.2">
      <c r="A32" s="386" t="str">
        <f>IF('Employee Detail FY25'!A32="","",'Employee Detail FY25'!A32)</f>
        <v/>
      </c>
      <c r="B32" s="678" t="str">
        <f>IF('Employee Detail FY25'!B32="","",'Employee Detail FY25'!B32)</f>
        <v/>
      </c>
      <c r="C32" s="678" t="str">
        <f>IF('Employee Detail FY25'!C32="","",'Employee Detail FY25'!C32)</f>
        <v/>
      </c>
      <c r="D32" s="678"/>
      <c r="E32" s="678" t="str">
        <f>IF('Employee Detail FY25'!E32="","",'Employee Detail FY25'!E32)</f>
        <v/>
      </c>
      <c r="F32" s="678" t="str">
        <f>IF('Employee Detail FY25'!F32="","",'Employee Detail FY25'!F32)</f>
        <v/>
      </c>
      <c r="G32" s="678" t="str">
        <f>IF('Employee Detail FY25'!G32="","",'Employee Detail FY25'!G32)</f>
        <v/>
      </c>
      <c r="H32" s="678"/>
      <c r="I32" s="359" t="str">
        <f>IF('Employee Detail FY25'!I32="","",'Employee Detail FY25'!I32)</f>
        <v/>
      </c>
      <c r="J32" s="359" t="str">
        <f>IF('Employee Detail FY25'!J32="","",'Employee Detail FY25'!J32)</f>
        <v/>
      </c>
      <c r="K32" s="359" t="str">
        <f>IF('Employee Detail FY25'!K32="","",'Employee Detail FY25'!K32)</f>
        <v/>
      </c>
      <c r="L32" s="359" t="str">
        <f>IF('Employee Detail FY25'!L32="","",'Employee Detail FY25'!L32)</f>
        <v/>
      </c>
      <c r="M32" s="388" t="str">
        <f>IF('Employee Detail FY25'!M32="","",'Employee Detail FY25'!M32)</f>
        <v/>
      </c>
      <c r="N32" s="386" t="str">
        <f>IF('Employee Detail FY25'!N32="","",'Employee Detail FY25'!N32)</f>
        <v/>
      </c>
      <c r="O32" s="386" t="str">
        <f>IF('Employee Detail FY25'!O32="","",'Employee Detail FY25'!O32)</f>
        <v/>
      </c>
      <c r="P32" s="386" t="str">
        <f>IF('Employee Detail FY25'!P32="","",'Employee Detail FY25'!P32)</f>
        <v/>
      </c>
      <c r="Q32" s="386" t="str">
        <f>IF('Employee Detail FY25'!Q32="","",'Employee Detail FY25'!Q32)</f>
        <v/>
      </c>
      <c r="R32" s="386" t="str">
        <f>IF('Employee Detail FY25'!R32="","",'Employee Detail FY25'!R32)</f>
        <v/>
      </c>
      <c r="S32" s="386" t="str">
        <f>IF('Employee Detail FY25'!S32="","",'Employee Detail FY25'!S32)</f>
        <v/>
      </c>
      <c r="T32" s="263" t="str">
        <f t="shared" si="6"/>
        <v/>
      </c>
      <c r="U32" s="269" t="str">
        <f>IF('Employee Detail FY25'!U32="","",'Employee Detail FY25'!U32)</f>
        <v/>
      </c>
      <c r="V32" s="270" t="str">
        <f t="shared" si="7"/>
        <v/>
      </c>
      <c r="W32" s="270" t="str">
        <f t="shared" si="8"/>
        <v/>
      </c>
      <c r="X32" s="270" t="str">
        <f t="shared" si="9"/>
        <v/>
      </c>
      <c r="Y32" s="62">
        <v>0</v>
      </c>
      <c r="Z32" s="62">
        <v>0</v>
      </c>
      <c r="AA32" s="256">
        <f t="shared" si="10"/>
        <v>0</v>
      </c>
      <c r="AB32" s="3"/>
      <c r="AC32" s="62" t="str">
        <f t="shared" si="11"/>
        <v/>
      </c>
      <c r="AD32" s="62" t="str">
        <f t="shared" si="12"/>
        <v/>
      </c>
      <c r="AE32" s="62" t="str">
        <f t="shared" si="13"/>
        <v/>
      </c>
      <c r="AF32" s="62" t="str">
        <f t="shared" si="14"/>
        <v/>
      </c>
      <c r="AG32" s="192">
        <v>0</v>
      </c>
      <c r="AH32" s="62" t="str">
        <f t="shared" si="15"/>
        <v/>
      </c>
      <c r="AI32" s="62">
        <f t="shared" si="16"/>
        <v>0</v>
      </c>
      <c r="AJ32" s="62"/>
      <c r="AK32" s="62">
        <v>0</v>
      </c>
      <c r="AL32" s="256">
        <f t="shared" si="17"/>
        <v>0</v>
      </c>
      <c r="AM32" s="256">
        <f t="shared" si="18"/>
        <v>0</v>
      </c>
      <c r="AN32" s="256">
        <f t="shared" si="19"/>
        <v>0</v>
      </c>
    </row>
    <row r="33" spans="1:40" hidden="1" x14ac:dyDescent="0.2">
      <c r="A33" s="386" t="str">
        <f>IF('Employee Detail FY25'!A33="","",'Employee Detail FY25'!A33)</f>
        <v/>
      </c>
      <c r="B33" s="678">
        <f>IF('Employee Detail FY25'!B33="","",'Employee Detail FY25'!B33)</f>
        <v>100</v>
      </c>
      <c r="C33" s="678" t="str">
        <f>IF('Employee Detail FY25'!C33="","",'Employee Detail FY25'!C33)</f>
        <v>000</v>
      </c>
      <c r="D33" s="678"/>
      <c r="E33" s="678">
        <f>IF('Employee Detail FY25'!E33="","",'Employee Detail FY25'!E33)</f>
        <v>100</v>
      </c>
      <c r="F33" s="678" t="str">
        <f>IF('Employee Detail FY25'!F33="","",'Employee Detail FY25'!F33)</f>
        <v>2120</v>
      </c>
      <c r="G33" s="678" t="str">
        <f>IF('Employee Detail FY25'!G33="","",'Employee Detail FY25'!G33)</f>
        <v>0106</v>
      </c>
      <c r="H33" s="678"/>
      <c r="I33" s="359" t="str">
        <f>IF('Employee Detail FY25'!I33="","",'Employee Detail FY25'!I33)</f>
        <v>BATES (BOLTON)</v>
      </c>
      <c r="J33" s="359" t="str">
        <f>IF('Employee Detail FY25'!J33="","",'Employee Detail FY25'!J33)</f>
        <v>TOISHAUNA</v>
      </c>
      <c r="K33" s="359" t="str">
        <f>IF('Employee Detail FY25'!K33="","",'Employee Detail FY25'!K33)</f>
        <v>Licensed Support Staff</v>
      </c>
      <c r="L33" s="359" t="str">
        <f>IF('Employee Detail FY25'!L33="","",'Employee Detail FY25'!L33)</f>
        <v>ACADEMIC COUNSELOR</v>
      </c>
      <c r="M33" s="388">
        <f>IF('Employee Detail FY25'!M33="","",'Employee Detail FY25'!M33)</f>
        <v>1</v>
      </c>
      <c r="N33" s="386" t="str">
        <f>IF('Employee Detail FY25'!N33="","",'Employee Detail FY25'!N33)</f>
        <v>S</v>
      </c>
      <c r="O33" s="386">
        <f>IF('Employee Detail FY25'!O33="","",'Employee Detail FY25'!O33)</f>
        <v>1</v>
      </c>
      <c r="P33" s="386" t="str">
        <f>IF('Employee Detail FY25'!P33="","",'Employee Detail FY25'!P33)</f>
        <v>EE</v>
      </c>
      <c r="Q33" s="386" t="str">
        <f>IF('Employee Detail FY25'!Q33="","",'Employee Detail FY25'!Q33)</f>
        <v/>
      </c>
      <c r="R33" s="386">
        <f>IF('Employee Detail FY25'!R33="","",'Employee Detail FY25'!R33)</f>
        <v>261</v>
      </c>
      <c r="S33" s="386">
        <f>IF('Employee Detail FY25'!S33="","",'Employee Detail FY25'!S33)</f>
        <v>8</v>
      </c>
      <c r="T33" s="263">
        <f t="shared" si="6"/>
        <v>2088</v>
      </c>
      <c r="U33" s="269">
        <f>IF('Employee Detail FY25'!U33="","",'Employee Detail FY25'!U33)</f>
        <v>62320</v>
      </c>
      <c r="V33" s="270">
        <f t="shared" si="7"/>
        <v>69798.400000000009</v>
      </c>
      <c r="W33" s="270">
        <f t="shared" si="8"/>
        <v>80518.457062400004</v>
      </c>
      <c r="X33" s="270">
        <f t="shared" si="9"/>
        <v>80518.457062400004</v>
      </c>
      <c r="Y33" s="62">
        <v>0</v>
      </c>
      <c r="Z33" s="62">
        <v>0</v>
      </c>
      <c r="AA33" s="256">
        <f t="shared" si="10"/>
        <v>80518.457062400004</v>
      </c>
      <c r="AB33" s="3"/>
      <c r="AC33" s="62">
        <f t="shared" si="11"/>
        <v>7943.76</v>
      </c>
      <c r="AD33" s="62" t="str">
        <f t="shared" si="12"/>
        <v/>
      </c>
      <c r="AE33" s="62">
        <f t="shared" si="13"/>
        <v>12279.064702016</v>
      </c>
      <c r="AF33" s="62">
        <f t="shared" si="14"/>
        <v>1167.5176274048001</v>
      </c>
      <c r="AG33" s="192">
        <v>0</v>
      </c>
      <c r="AH33" s="62">
        <f t="shared" si="15"/>
        <v>732.90605899196487</v>
      </c>
      <c r="AI33" s="62">
        <f t="shared" si="16"/>
        <v>237.1428558443923</v>
      </c>
      <c r="AJ33" s="62"/>
      <c r="AK33" s="62">
        <v>0</v>
      </c>
      <c r="AL33" s="256">
        <f t="shared" si="17"/>
        <v>22360.391244257153</v>
      </c>
      <c r="AM33" s="256">
        <f t="shared" si="18"/>
        <v>80518.457062400004</v>
      </c>
      <c r="AN33" s="256">
        <f t="shared" si="19"/>
        <v>102878.84830665716</v>
      </c>
    </row>
    <row r="34" spans="1:40" hidden="1" x14ac:dyDescent="0.2">
      <c r="A34" s="386" t="str">
        <f>IF('Employee Detail FY25'!A34="","",'Employee Detail FY25'!A34)</f>
        <v>VACANT</v>
      </c>
      <c r="B34" s="678">
        <f>IF('Employee Detail FY25'!B34="","",'Employee Detail FY25'!B34)</f>
        <v>100</v>
      </c>
      <c r="C34" s="678" t="str">
        <f>IF('Employee Detail FY25'!C34="","",'Employee Detail FY25'!C34)</f>
        <v>000</v>
      </c>
      <c r="D34" s="678"/>
      <c r="E34" s="678">
        <f>IF('Employee Detail FY25'!E34="","",'Employee Detail FY25'!E34)</f>
        <v>100</v>
      </c>
      <c r="F34" s="678" t="str">
        <f>IF('Employee Detail FY25'!F34="","",'Employee Detail FY25'!F34)</f>
        <v>2120</v>
      </c>
      <c r="G34" s="678" t="str">
        <f>IF('Employee Detail FY25'!G34="","",'Employee Detail FY25'!G34)</f>
        <v>0106</v>
      </c>
      <c r="H34" s="678"/>
      <c r="I34" s="359" t="str">
        <f>IF('Employee Detail FY25'!I34="","",'Employee Detail FY25'!I34)</f>
        <v>VACANT</v>
      </c>
      <c r="J34" s="359" t="str">
        <f>IF('Employee Detail FY25'!J34="","",'Employee Detail FY25'!J34)</f>
        <v>FY23</v>
      </c>
      <c r="K34" s="359" t="str">
        <f>IF('Employee Detail FY25'!K34="","",'Employee Detail FY25'!K34)</f>
        <v>Licensed Support Staff</v>
      </c>
      <c r="L34" s="359" t="str">
        <f>IF('Employee Detail FY25'!L34="","",'Employee Detail FY25'!L34)</f>
        <v>ACADEMIC COUNSELOR</v>
      </c>
      <c r="M34" s="388">
        <f>IF('Employee Detail FY25'!M34="","",'Employee Detail FY25'!M34)</f>
        <v>1</v>
      </c>
      <c r="N34" s="386" t="str">
        <f>IF('Employee Detail FY25'!N34="","",'Employee Detail FY25'!N34)</f>
        <v>S</v>
      </c>
      <c r="O34" s="386">
        <f>IF('Employee Detail FY25'!O34="","",'Employee Detail FY25'!O34)</f>
        <v>1</v>
      </c>
      <c r="P34" s="386" t="str">
        <f>IF('Employee Detail FY25'!P34="","",'Employee Detail FY25'!P34)</f>
        <v>EE</v>
      </c>
      <c r="Q34" s="386" t="str">
        <f>IF('Employee Detail FY25'!Q34="","",'Employee Detail FY25'!Q34)</f>
        <v/>
      </c>
      <c r="R34" s="386">
        <f>IF('Employee Detail FY25'!R34="","",'Employee Detail FY25'!R34)</f>
        <v>261</v>
      </c>
      <c r="S34" s="386">
        <f>IF('Employee Detail FY25'!S34="","",'Employee Detail FY25'!S34)</f>
        <v>8</v>
      </c>
      <c r="T34" s="263">
        <f t="shared" si="6"/>
        <v>2088</v>
      </c>
      <c r="U34" s="269">
        <f>IF('Employee Detail FY25'!U34="","",'Employee Detail FY25'!U34)</f>
        <v>62320</v>
      </c>
      <c r="V34" s="270">
        <f t="shared" si="7"/>
        <v>69798.400000000009</v>
      </c>
      <c r="W34" s="270">
        <f t="shared" si="8"/>
        <v>80518.457062400004</v>
      </c>
      <c r="X34" s="270">
        <f t="shared" si="9"/>
        <v>80518.457062400004</v>
      </c>
      <c r="Y34" s="62">
        <v>0</v>
      </c>
      <c r="Z34" s="62">
        <v>0</v>
      </c>
      <c r="AA34" s="256">
        <f t="shared" si="10"/>
        <v>80518.457062400004</v>
      </c>
      <c r="AB34" s="3"/>
      <c r="AC34" s="62">
        <f t="shared" si="11"/>
        <v>7943.76</v>
      </c>
      <c r="AD34" s="62" t="str">
        <f t="shared" si="12"/>
        <v/>
      </c>
      <c r="AE34" s="62">
        <f t="shared" si="13"/>
        <v>12279.064702016</v>
      </c>
      <c r="AF34" s="62">
        <f t="shared" si="14"/>
        <v>1167.5176274048001</v>
      </c>
      <c r="AG34" s="192">
        <v>0</v>
      </c>
      <c r="AH34" s="62">
        <f t="shared" si="15"/>
        <v>732.90605899196487</v>
      </c>
      <c r="AI34" s="62">
        <f t="shared" si="16"/>
        <v>237.1428558443923</v>
      </c>
      <c r="AJ34" s="62"/>
      <c r="AK34" s="62">
        <v>0</v>
      </c>
      <c r="AL34" s="256">
        <f t="shared" si="17"/>
        <v>22360.391244257153</v>
      </c>
      <c r="AM34" s="256">
        <f t="shared" si="18"/>
        <v>80518.457062400004</v>
      </c>
      <c r="AN34" s="256">
        <f t="shared" si="19"/>
        <v>102878.84830665716</v>
      </c>
    </row>
    <row r="35" spans="1:40" hidden="1" x14ac:dyDescent="0.2">
      <c r="A35" s="386" t="str">
        <f>IF('Employee Detail FY25'!A35="","",'Employee Detail FY25'!A35)</f>
        <v/>
      </c>
      <c r="B35" s="678" t="str">
        <f>IF('Employee Detail FY25'!B35="","",'Employee Detail FY25'!B35)</f>
        <v/>
      </c>
      <c r="C35" s="678" t="str">
        <f>IF('Employee Detail FY25'!C35="","",'Employee Detail FY25'!C35)</f>
        <v/>
      </c>
      <c r="D35" s="678"/>
      <c r="E35" s="678" t="str">
        <f>IF('Employee Detail FY25'!E35="","",'Employee Detail FY25'!E35)</f>
        <v/>
      </c>
      <c r="F35" s="678" t="str">
        <f>IF('Employee Detail FY25'!F35="","",'Employee Detail FY25'!F35)</f>
        <v/>
      </c>
      <c r="G35" s="678" t="str">
        <f>IF('Employee Detail FY25'!G35="","",'Employee Detail FY25'!G35)</f>
        <v/>
      </c>
      <c r="H35" s="678"/>
      <c r="I35" s="359" t="str">
        <f>IF('Employee Detail FY25'!I35="","",'Employee Detail FY25'!I35)</f>
        <v/>
      </c>
      <c r="J35" s="359" t="str">
        <f>IF('Employee Detail FY25'!J35="","",'Employee Detail FY25'!J35)</f>
        <v/>
      </c>
      <c r="K35" s="359" t="str">
        <f>IF('Employee Detail FY25'!K35="","",'Employee Detail FY25'!K35)</f>
        <v/>
      </c>
      <c r="L35" s="359" t="str">
        <f>IF('Employee Detail FY25'!L35="","",'Employee Detail FY25'!L35)</f>
        <v/>
      </c>
      <c r="M35" s="388" t="str">
        <f>IF('Employee Detail FY25'!M35="","",'Employee Detail FY25'!M35)</f>
        <v/>
      </c>
      <c r="N35" s="386" t="str">
        <f>IF('Employee Detail FY25'!N35="","",'Employee Detail FY25'!N35)</f>
        <v/>
      </c>
      <c r="O35" s="386" t="str">
        <f>IF('Employee Detail FY25'!O35="","",'Employee Detail FY25'!O35)</f>
        <v/>
      </c>
      <c r="P35" s="386" t="str">
        <f>IF('Employee Detail FY25'!P35="","",'Employee Detail FY25'!P35)</f>
        <v/>
      </c>
      <c r="Q35" s="386" t="str">
        <f>IF('Employee Detail FY25'!Q35="","",'Employee Detail FY25'!Q35)</f>
        <v/>
      </c>
      <c r="R35" s="386" t="str">
        <f>IF('Employee Detail FY25'!R35="","",'Employee Detail FY25'!R35)</f>
        <v/>
      </c>
      <c r="S35" s="386" t="str">
        <f>IF('Employee Detail FY25'!S35="","",'Employee Detail FY25'!S35)</f>
        <v/>
      </c>
      <c r="T35" s="263" t="str">
        <f t="shared" si="6"/>
        <v/>
      </c>
      <c r="U35" s="269" t="str">
        <f>IF('Employee Detail FY25'!U35="","",'Employee Detail FY25'!U35)</f>
        <v/>
      </c>
      <c r="V35" s="270" t="str">
        <f t="shared" si="7"/>
        <v/>
      </c>
      <c r="W35" s="270" t="str">
        <f t="shared" si="8"/>
        <v/>
      </c>
      <c r="X35" s="270" t="str">
        <f t="shared" si="9"/>
        <v/>
      </c>
      <c r="Y35" s="62">
        <v>0</v>
      </c>
      <c r="Z35" s="62">
        <v>0</v>
      </c>
      <c r="AA35" s="256">
        <f t="shared" si="10"/>
        <v>0</v>
      </c>
      <c r="AB35" s="3"/>
      <c r="AC35" s="62" t="str">
        <f t="shared" si="11"/>
        <v/>
      </c>
      <c r="AD35" s="62" t="str">
        <f t="shared" si="12"/>
        <v/>
      </c>
      <c r="AE35" s="62" t="str">
        <f t="shared" si="13"/>
        <v/>
      </c>
      <c r="AF35" s="62" t="str">
        <f t="shared" si="14"/>
        <v/>
      </c>
      <c r="AG35" s="192">
        <v>0</v>
      </c>
      <c r="AH35" s="62" t="str">
        <f t="shared" si="15"/>
        <v/>
      </c>
      <c r="AI35" s="62">
        <f t="shared" si="16"/>
        <v>0</v>
      </c>
      <c r="AJ35" s="62"/>
      <c r="AK35" s="62">
        <v>0</v>
      </c>
      <c r="AL35" s="256">
        <f t="shared" si="17"/>
        <v>0</v>
      </c>
      <c r="AM35" s="256">
        <f t="shared" si="18"/>
        <v>0</v>
      </c>
      <c r="AN35" s="256">
        <f t="shared" si="19"/>
        <v>0</v>
      </c>
    </row>
    <row r="36" spans="1:40" hidden="1" x14ac:dyDescent="0.2">
      <c r="A36" s="386" t="str">
        <f>IF('Employee Detail FY25'!A36="","",'Employee Detail FY25'!A36)</f>
        <v>CSP</v>
      </c>
      <c r="B36" s="678" t="str">
        <f>IF('Employee Detail FY25'!B36="","",'Employee Detail FY25'!B36)</f>
        <v>100</v>
      </c>
      <c r="C36" s="678" t="str">
        <f>IF('Employee Detail FY25'!C36="","",'Employee Detail FY25'!C36)</f>
        <v>000</v>
      </c>
      <c r="D36" s="678"/>
      <c r="E36" s="678">
        <f>IF('Employee Detail FY25'!E36="","",'Employee Detail FY25'!E36)</f>
        <v>100</v>
      </c>
      <c r="F36" s="678" t="str">
        <f>IF('Employee Detail FY25'!F36="","",'Employee Detail FY25'!F36)</f>
        <v>2110</v>
      </c>
      <c r="G36" s="678" t="str">
        <f>IF('Employee Detail FY25'!G36="","",'Employee Detail FY25'!G36)</f>
        <v>0106</v>
      </c>
      <c r="H36" s="678"/>
      <c r="I36" s="359" t="str">
        <f>IF('Employee Detail FY25'!I36="","",'Employee Detail FY25'!I36)</f>
        <v>GARCIA</v>
      </c>
      <c r="J36" s="359" t="str">
        <f>IF('Employee Detail FY25'!J36="","",'Employee Detail FY25'!J36)</f>
        <v>VANESSA</v>
      </c>
      <c r="K36" s="359" t="str">
        <f>IF('Employee Detail FY25'!K36="","",'Employee Detail FY25'!K36)</f>
        <v>Licensed Support Staff</v>
      </c>
      <c r="L36" s="359" t="str">
        <f>IF('Employee Detail FY25'!L36="","",'Employee Detail FY25'!L36)</f>
        <v>STUDENT PERSISTENCE FACILITATOR</v>
      </c>
      <c r="M36" s="388">
        <f>IF('Employee Detail FY25'!M36="","",'Employee Detail FY25'!M36)</f>
        <v>1</v>
      </c>
      <c r="N36" s="386" t="str">
        <f>IF('Employee Detail FY25'!N36="","",'Employee Detail FY25'!N36)</f>
        <v/>
      </c>
      <c r="O36" s="386">
        <f>IF('Employee Detail FY25'!O36="","",'Employee Detail FY25'!O36)</f>
        <v>26</v>
      </c>
      <c r="P36" s="386" t="str">
        <f>IF('Employee Detail FY25'!P36="","",'Employee Detail FY25'!P36)</f>
        <v>EE</v>
      </c>
      <c r="Q36" s="386" t="str">
        <f>IF('Employee Detail FY25'!Q36="","",'Employee Detail FY25'!Q36)</f>
        <v/>
      </c>
      <c r="R36" s="386">
        <f>IF('Employee Detail FY25'!R36="","",'Employee Detail FY25'!R36)</f>
        <v>261</v>
      </c>
      <c r="S36" s="386">
        <f>IF('Employee Detail FY25'!S36="","",'Employee Detail FY25'!S36)</f>
        <v>8</v>
      </c>
      <c r="T36" s="263">
        <f t="shared" si="6"/>
        <v>2088</v>
      </c>
      <c r="U36" s="269">
        <f>IF('Employee Detail FY25'!U36="","",'Employee Detail FY25'!U36)</f>
        <v>57704</v>
      </c>
      <c r="V36" s="270">
        <f t="shared" si="7"/>
        <v>64628.480000000003</v>
      </c>
      <c r="W36" s="270">
        <f t="shared" si="8"/>
        <v>74554.509729280006</v>
      </c>
      <c r="X36" s="270">
        <f t="shared" si="9"/>
        <v>74554.509729280006</v>
      </c>
      <c r="Y36" s="62">
        <v>0</v>
      </c>
      <c r="Z36" s="62">
        <v>0</v>
      </c>
      <c r="AA36" s="256">
        <f t="shared" si="10"/>
        <v>74554.509729280006</v>
      </c>
      <c r="AB36" s="3"/>
      <c r="AC36" s="62">
        <f t="shared" si="11"/>
        <v>7943.76</v>
      </c>
      <c r="AD36" s="62" t="str">
        <f t="shared" si="12"/>
        <v/>
      </c>
      <c r="AE36" s="62">
        <f t="shared" si="13"/>
        <v>11369.5627337152</v>
      </c>
      <c r="AF36" s="62">
        <f t="shared" si="14"/>
        <v>1081.0403910745601</v>
      </c>
      <c r="AG36" s="192">
        <v>0</v>
      </c>
      <c r="AH36" s="62">
        <f t="shared" si="15"/>
        <v>678.6202058419824</v>
      </c>
      <c r="AI36" s="62">
        <f t="shared" si="16"/>
        <v>219.57784585437764</v>
      </c>
      <c r="AJ36" s="62"/>
      <c r="AK36" s="62">
        <v>0</v>
      </c>
      <c r="AL36" s="256">
        <f t="shared" si="17"/>
        <v>21292.561176486121</v>
      </c>
      <c r="AM36" s="256">
        <f t="shared" si="18"/>
        <v>74554.509729280006</v>
      </c>
      <c r="AN36" s="256">
        <f t="shared" si="19"/>
        <v>95847.07090576613</v>
      </c>
    </row>
    <row r="37" spans="1:40" hidden="1" x14ac:dyDescent="0.2">
      <c r="A37" s="386" t="str">
        <f>IF('Employee Detail FY25'!A37="","",'Employee Detail FY25'!A37)</f>
        <v>VACANT</v>
      </c>
      <c r="B37" s="678">
        <f>IF('Employee Detail FY25'!B37="","",'Employee Detail FY25'!B37)</f>
        <v>100</v>
      </c>
      <c r="C37" s="678" t="str">
        <f>IF('Employee Detail FY25'!C37="","",'Employee Detail FY25'!C37)</f>
        <v>000</v>
      </c>
      <c r="D37" s="678"/>
      <c r="E37" s="678">
        <f>IF('Employee Detail FY25'!E37="","",'Employee Detail FY25'!E37)</f>
        <v>100</v>
      </c>
      <c r="F37" s="678">
        <f>IF('Employee Detail FY25'!F37="","",'Employee Detail FY25'!F37)</f>
        <v>2110</v>
      </c>
      <c r="G37" s="678" t="str">
        <f>IF('Employee Detail FY25'!G37="","",'Employee Detail FY25'!G37)</f>
        <v>0106</v>
      </c>
      <c r="H37" s="678"/>
      <c r="I37" s="359" t="str">
        <f>IF('Employee Detail FY25'!I37="","",'Employee Detail FY25'!I37)</f>
        <v>VACANT</v>
      </c>
      <c r="J37" s="359" t="str">
        <f>IF('Employee Detail FY25'!J37="","",'Employee Detail FY25'!J37)</f>
        <v>FY23</v>
      </c>
      <c r="K37" s="359" t="str">
        <f>IF('Employee Detail FY25'!K37="","",'Employee Detail FY25'!K37)</f>
        <v>Licensed Staff</v>
      </c>
      <c r="L37" s="359" t="str">
        <f>IF('Employee Detail FY25'!L37="","",'Employee Detail FY25'!L37)</f>
        <v>Dropout Prevention Facilitator</v>
      </c>
      <c r="M37" s="388">
        <f>IF('Employee Detail FY25'!M37="","",'Employee Detail FY25'!M37)</f>
        <v>0</v>
      </c>
      <c r="N37" s="386" t="str">
        <f>IF('Employee Detail FY25'!N37="","",'Employee Detail FY25'!N37)</f>
        <v/>
      </c>
      <c r="O37" s="386">
        <f>IF('Employee Detail FY25'!O37="","",'Employee Detail FY25'!O37)</f>
        <v>26</v>
      </c>
      <c r="P37" s="386" t="str">
        <f>IF('Employee Detail FY25'!P37="","",'Employee Detail FY25'!P37)</f>
        <v/>
      </c>
      <c r="Q37" s="386" t="str">
        <f>IF('Employee Detail FY25'!Q37="","",'Employee Detail FY25'!Q37)</f>
        <v/>
      </c>
      <c r="R37" s="386" t="str">
        <f>IF('Employee Detail FY25'!R37="","",'Employee Detail FY25'!R37)</f>
        <v/>
      </c>
      <c r="S37" s="386" t="str">
        <f>IF('Employee Detail FY25'!S37="","",'Employee Detail FY25'!S37)</f>
        <v/>
      </c>
      <c r="T37" s="263" t="str">
        <f>+IF(R37="","",R37*S37)</f>
        <v/>
      </c>
      <c r="U37" s="269">
        <f>IF('Employee Detail FY25'!U37="","",'Employee Detail FY25'!U37)</f>
        <v>45000</v>
      </c>
      <c r="V37" s="270">
        <f>IF($U37="","",$U37*(1+$V$1))</f>
        <v>50400.000000000007</v>
      </c>
      <c r="W37" s="270" t="str">
        <f>+IF(P37="EE",+V37*$W$1,"")</f>
        <v/>
      </c>
      <c r="X37" s="270" t="str">
        <f>_xlfn.IFS(P37="ER",V37,P37="EE",W37,P37="N",V37,P37="","")</f>
        <v/>
      </c>
      <c r="Y37" s="62">
        <v>0</v>
      </c>
      <c r="Z37" s="62">
        <v>0</v>
      </c>
      <c r="AA37" s="256">
        <f>SUM(X37:Z37)</f>
        <v>0</v>
      </c>
      <c r="AB37" s="3"/>
      <c r="AC37" s="62" t="str">
        <f>IF(AND(M37=1,P37&lt;&gt;"N"),$AC$1,"")</f>
        <v/>
      </c>
      <c r="AD37" s="62" t="str">
        <f>_xlfn.IFS(P37="N",$AD$1*AA37,P37="EE","",P37="ER","",P37="","")</f>
        <v/>
      </c>
      <c r="AE37" s="62" t="str">
        <f>_xlfn.IFS(P37="EE",X37*$AE$1,P37="ER",X37*$AE$2,P37="N","",P37="","")</f>
        <v/>
      </c>
      <c r="AF37" s="62" t="str">
        <f>+IF(AA37&gt;1,AA37*$AF$1,"")</f>
        <v/>
      </c>
      <c r="AG37" s="192">
        <v>0</v>
      </c>
      <c r="AH37" s="62" t="str">
        <f>+IF(AA37&gt;1,AA37*$AH$1,"")</f>
        <v/>
      </c>
      <c r="AI37" s="62">
        <f>+_xlfn.IFS(F37&lt;2300,(AA37*$AI$1),F37&gt;=2300,(AA37*$AI$2),F37="","")</f>
        <v>0</v>
      </c>
      <c r="AJ37" s="62"/>
      <c r="AK37" s="62">
        <v>0</v>
      </c>
      <c r="AL37" s="256">
        <f>SUM(AC37:AK37)</f>
        <v>0</v>
      </c>
      <c r="AM37" s="256">
        <f>AA37</f>
        <v>0</v>
      </c>
      <c r="AN37" s="256">
        <f>SUM(AL37:AM37)</f>
        <v>0</v>
      </c>
    </row>
    <row r="38" spans="1:40" hidden="1" x14ac:dyDescent="0.2">
      <c r="A38" s="386" t="str">
        <f>IF('Employee Detail FY25'!A38="","",'Employee Detail FY25'!A38)</f>
        <v>TITLE I 1003a</v>
      </c>
      <c r="B38" s="678" t="str">
        <f>IF('Employee Detail FY25'!B38="","",'Employee Detail FY25'!B38)</f>
        <v>280</v>
      </c>
      <c r="C38" s="678" t="str">
        <f>IF('Employee Detail FY25'!C38="","",'Employee Detail FY25'!C38)</f>
        <v>624</v>
      </c>
      <c r="D38" s="678"/>
      <c r="E38" s="678" t="str">
        <f>IF('Employee Detail FY25'!E38="","",'Employee Detail FY25'!E38)</f>
        <v>430</v>
      </c>
      <c r="F38" s="678" t="str">
        <f>IF('Employee Detail FY25'!F38="","",'Employee Detail FY25'!F38)</f>
        <v>2210</v>
      </c>
      <c r="G38" s="678" t="str">
        <f>IF('Employee Detail FY25'!G38="","",'Employee Detail FY25'!G38)</f>
        <v>0101</v>
      </c>
      <c r="H38" s="678"/>
      <c r="I38" s="359" t="str">
        <f>IF('Employee Detail FY25'!I38="","",'Employee Detail FY25'!I38)</f>
        <v>HUNT</v>
      </c>
      <c r="J38" s="359" t="str">
        <f>IF('Employee Detail FY25'!J38="","",'Employee Detail FY25'!J38)</f>
        <v>KATHRYN</v>
      </c>
      <c r="K38" s="359" t="str">
        <f>IF('Employee Detail FY25'!K38="","",'Employee Detail FY25'!K38)</f>
        <v>Licensed Support Staff</v>
      </c>
      <c r="L38" s="359" t="str">
        <f>IF('Employee Detail FY25'!L38="","",'Employee Detail FY25'!L38)</f>
        <v xml:space="preserve">LITERACY &amp; DATA FACILITATOR, INSTRUCTIONAL FACILITATOR </v>
      </c>
      <c r="M38" s="388">
        <f>IF('Employee Detail FY25'!M38="","",'Employee Detail FY25'!M38)</f>
        <v>1</v>
      </c>
      <c r="N38" s="386" t="str">
        <f>IF('Employee Detail FY25'!N38="","",'Employee Detail FY25'!N38)</f>
        <v>S</v>
      </c>
      <c r="O38" s="386">
        <f>IF('Employee Detail FY25'!O38="","",'Employee Detail FY25'!O38)</f>
        <v>26</v>
      </c>
      <c r="P38" s="386" t="str">
        <f>IF('Employee Detail FY25'!P38="","",'Employee Detail FY25'!P38)</f>
        <v>ER</v>
      </c>
      <c r="Q38" s="386" t="str">
        <f>IF('Employee Detail FY25'!Q38="","",'Employee Detail FY25'!Q38)</f>
        <v/>
      </c>
      <c r="R38" s="386">
        <f>IF('Employee Detail FY25'!R38="","",'Employee Detail FY25'!R38)</f>
        <v>200</v>
      </c>
      <c r="S38" s="386">
        <f>IF('Employee Detail FY25'!S38="","",'Employee Detail FY25'!S38)</f>
        <v>8</v>
      </c>
      <c r="T38" s="263">
        <f t="shared" si="6"/>
        <v>1600</v>
      </c>
      <c r="U38" s="269">
        <f>IF('Employee Detail FY25'!U38="","",'Employee Detail FY25'!U38)</f>
        <v>63148</v>
      </c>
      <c r="V38" s="270">
        <f t="shared" si="7"/>
        <v>70725.760000000009</v>
      </c>
      <c r="W38" s="270" t="str">
        <f t="shared" si="8"/>
        <v/>
      </c>
      <c r="X38" s="270">
        <f t="shared" si="9"/>
        <v>70725.760000000009</v>
      </c>
      <c r="Y38" s="62">
        <v>0</v>
      </c>
      <c r="Z38" s="62">
        <v>0</v>
      </c>
      <c r="AA38" s="256">
        <f t="shared" si="10"/>
        <v>70725.760000000009</v>
      </c>
      <c r="AB38" s="3"/>
      <c r="AC38" s="62">
        <f t="shared" si="11"/>
        <v>7943.76</v>
      </c>
      <c r="AD38" s="62" t="str">
        <f t="shared" si="12"/>
        <v/>
      </c>
      <c r="AE38" s="62">
        <f t="shared" si="13"/>
        <v>20687.284800000001</v>
      </c>
      <c r="AF38" s="62">
        <f t="shared" si="14"/>
        <v>1025.5235200000002</v>
      </c>
      <c r="AG38" s="192">
        <v>0</v>
      </c>
      <c r="AH38" s="62">
        <f t="shared" si="15"/>
        <v>643.76963893682569</v>
      </c>
      <c r="AI38" s="62">
        <f t="shared" si="16"/>
        <v>208.3014170920722</v>
      </c>
      <c r="AJ38" s="62"/>
      <c r="AK38" s="62">
        <v>0</v>
      </c>
      <c r="AL38" s="256">
        <f t="shared" si="17"/>
        <v>30508.639376028899</v>
      </c>
      <c r="AM38" s="256">
        <f t="shared" si="18"/>
        <v>70725.760000000009</v>
      </c>
      <c r="AN38" s="256">
        <f t="shared" si="19"/>
        <v>101234.39937602892</v>
      </c>
    </row>
    <row r="39" spans="1:40" x14ac:dyDescent="0.2">
      <c r="A39" s="386" t="str">
        <f>IF('Employee Detail FY25'!A39="","",'Employee Detail FY25'!A39)</f>
        <v>CSP</v>
      </c>
      <c r="B39" s="678" t="str">
        <f>IF('Employee Detail FY25'!B39="","",'Employee Detail FY25'!B39)</f>
        <v>100</v>
      </c>
      <c r="C39" s="678" t="str">
        <f>IF('Employee Detail FY25'!C39="","",'Employee Detail FY25'!C39)</f>
        <v>000</v>
      </c>
      <c r="D39" s="678"/>
      <c r="E39" s="678">
        <f>IF('Employee Detail FY25'!E39="","",'Employee Detail FY25'!E39)</f>
        <v>100</v>
      </c>
      <c r="F39" s="678" t="str">
        <f>IF('Employee Detail FY25'!F39="","",'Employee Detail FY25'!F39)</f>
        <v>1000</v>
      </c>
      <c r="G39" s="678" t="str">
        <f>IF('Employee Detail FY25'!G39="","",'Employee Detail FY25'!G39)</f>
        <v>0101</v>
      </c>
      <c r="H39" s="678"/>
      <c r="I39" s="359" t="str">
        <f>IF('Employee Detail FY25'!I39="","",'Employee Detail FY25'!I39)</f>
        <v>RODILOSSO</v>
      </c>
      <c r="J39" s="359" t="str">
        <f>IF('Employee Detail FY25'!J39="","",'Employee Detail FY25'!J39)</f>
        <v>KRISTINA</v>
      </c>
      <c r="K39" s="359" t="str">
        <f>IF('Employee Detail FY25'!K39="","",'Employee Detail FY25'!K39)</f>
        <v>Licensed Staff</v>
      </c>
      <c r="L39" s="359" t="str">
        <f>IF('Employee Detail FY25'!L39="","",'Employee Detail FY25'!L39)</f>
        <v>BLENDED LEARNING FACILITATOR</v>
      </c>
      <c r="M39" s="388">
        <f>IF('Employee Detail FY25'!M39="","",'Employee Detail FY25'!M39)</f>
        <v>1</v>
      </c>
      <c r="N39" s="386" t="str">
        <f>IF('Employee Detail FY25'!N39="","",'Employee Detail FY25'!N39)</f>
        <v/>
      </c>
      <c r="O39" s="386">
        <f>IF('Employee Detail FY25'!O39="","",'Employee Detail FY25'!O39)</f>
        <v>26</v>
      </c>
      <c r="P39" s="386" t="str">
        <f>IF('Employee Detail FY25'!P39="","",'Employee Detail FY25'!P39)</f>
        <v>EE</v>
      </c>
      <c r="Q39" s="386" t="str">
        <f>IF('Employee Detail FY25'!Q39="","",'Employee Detail FY25'!Q39)</f>
        <v/>
      </c>
      <c r="R39" s="386">
        <f>IF('Employee Detail FY25'!R39="","",'Employee Detail FY25'!R39)</f>
        <v>200</v>
      </c>
      <c r="S39" s="386">
        <f>IF('Employee Detail FY25'!S39="","",'Employee Detail FY25'!S39)</f>
        <v>8</v>
      </c>
      <c r="T39" s="263">
        <f t="shared" si="6"/>
        <v>1600</v>
      </c>
      <c r="U39" s="269">
        <f>IF('Employee Detail FY25'!U39="","",'Employee Detail FY25'!U39)</f>
        <v>57896</v>
      </c>
      <c r="V39" s="270">
        <f t="shared" si="7"/>
        <v>64843.520000000004</v>
      </c>
      <c r="W39" s="270">
        <f t="shared" si="8"/>
        <v>74802.576862720001</v>
      </c>
      <c r="X39" s="270">
        <f t="shared" si="9"/>
        <v>74802.576862720001</v>
      </c>
      <c r="Y39" s="62">
        <v>0</v>
      </c>
      <c r="Z39" s="62">
        <v>0</v>
      </c>
      <c r="AA39" s="256">
        <f t="shared" si="10"/>
        <v>74802.576862720001</v>
      </c>
      <c r="AB39" s="3"/>
      <c r="AC39" s="62">
        <f t="shared" si="11"/>
        <v>7943.76</v>
      </c>
      <c r="AD39" s="62" t="str">
        <f t="shared" si="12"/>
        <v/>
      </c>
      <c r="AE39" s="62">
        <f t="shared" si="13"/>
        <v>11407.392971564799</v>
      </c>
      <c r="AF39" s="62">
        <f t="shared" si="14"/>
        <v>1084.63736450944</v>
      </c>
      <c r="AG39" s="192">
        <v>0</v>
      </c>
      <c r="AH39" s="62">
        <f t="shared" si="15"/>
        <v>680.87819626763155</v>
      </c>
      <c r="AI39" s="62">
        <f t="shared" si="16"/>
        <v>220.30845285569538</v>
      </c>
      <c r="AJ39" s="62"/>
      <c r="AK39" s="62">
        <v>0</v>
      </c>
      <c r="AL39" s="256">
        <f t="shared" si="17"/>
        <v>21336.976985197565</v>
      </c>
      <c r="AM39" s="256">
        <f t="shared" si="18"/>
        <v>74802.576862720001</v>
      </c>
      <c r="AN39" s="256">
        <f t="shared" si="19"/>
        <v>96139.553847917559</v>
      </c>
    </row>
    <row r="40" spans="1:40" hidden="1" x14ac:dyDescent="0.2">
      <c r="A40" s="386" t="str">
        <f>IF('Employee Detail FY25'!A40="","",'Employee Detail FY25'!A40)</f>
        <v>TITLE Ia</v>
      </c>
      <c r="B40" s="678">
        <f>IF('Employee Detail FY25'!B40="","",'Employee Detail FY25'!B40)</f>
        <v>280</v>
      </c>
      <c r="C40" s="678">
        <f>IF('Employee Detail FY25'!C40="","",'Employee Detail FY25'!C40)</f>
        <v>633</v>
      </c>
      <c r="D40" s="678"/>
      <c r="E40" s="678">
        <f>IF('Employee Detail FY25'!E40="","",'Employee Detail FY25'!E40)</f>
        <v>430</v>
      </c>
      <c r="F40" s="678">
        <f>IF('Employee Detail FY25'!F40="","",'Employee Detail FY25'!F40)</f>
        <v>2210</v>
      </c>
      <c r="G40" s="678" t="str">
        <f>IF('Employee Detail FY25'!G40="","",'Employee Detail FY25'!G40)</f>
        <v>0101</v>
      </c>
      <c r="H40" s="678"/>
      <c r="I40" s="359" t="str">
        <f>IF('Employee Detail FY25'!I40="","",'Employee Detail FY25'!I40)</f>
        <v>WILNEWIC</v>
      </c>
      <c r="J40" s="359" t="str">
        <f>IF('Employee Detail FY25'!J40="","",'Employee Detail FY25'!J40)</f>
        <v>Jennifer</v>
      </c>
      <c r="K40" s="359" t="str">
        <f>IF('Employee Detail FY25'!K40="","",'Employee Detail FY25'!K40)</f>
        <v>Licensed Staff</v>
      </c>
      <c r="L40" s="359" t="str">
        <f>IF('Employee Detail FY25'!L40="","",'Employee Detail FY25'!L40)</f>
        <v>MATH FACILITATOR</v>
      </c>
      <c r="M40" s="388">
        <f>IF('Employee Detail FY25'!M40="","",'Employee Detail FY25'!M40)</f>
        <v>1</v>
      </c>
      <c r="N40" s="386" t="str">
        <f>IF('Employee Detail FY25'!N40="","",'Employee Detail FY25'!N40)</f>
        <v/>
      </c>
      <c r="O40" s="386">
        <f>IF('Employee Detail FY25'!O40="","",'Employee Detail FY25'!O40)</f>
        <v>26</v>
      </c>
      <c r="P40" s="386" t="str">
        <f>IF('Employee Detail FY25'!P40="","",'Employee Detail FY25'!P40)</f>
        <v>EE</v>
      </c>
      <c r="Q40" s="386" t="str">
        <f>IF('Employee Detail FY25'!Q40="","",'Employee Detail FY25'!Q40)</f>
        <v/>
      </c>
      <c r="R40" s="386">
        <f>IF('Employee Detail FY25'!R40="","",'Employee Detail FY25'!R40)</f>
        <v>200</v>
      </c>
      <c r="S40" s="386">
        <f>IF('Employee Detail FY25'!S40="","",'Employee Detail FY25'!S40)</f>
        <v>8</v>
      </c>
      <c r="T40" s="263">
        <f t="shared" si="6"/>
        <v>1600</v>
      </c>
      <c r="U40" s="269">
        <f>IF('Employee Detail FY25'!U40="","",'Employee Detail FY25'!U40)</f>
        <v>64411</v>
      </c>
      <c r="V40" s="270">
        <f t="shared" si="7"/>
        <v>72140.320000000007</v>
      </c>
      <c r="W40" s="270">
        <f t="shared" si="8"/>
        <v>83220.063187520005</v>
      </c>
      <c r="X40" s="270">
        <f t="shared" si="9"/>
        <v>83220.063187520005</v>
      </c>
      <c r="Y40" s="62">
        <v>0</v>
      </c>
      <c r="Z40" s="62">
        <v>0</v>
      </c>
      <c r="AA40" s="256">
        <f t="shared" si="10"/>
        <v>83220.063187520005</v>
      </c>
      <c r="AB40" s="3"/>
      <c r="AC40" s="62">
        <f t="shared" si="11"/>
        <v>7943.76</v>
      </c>
      <c r="AD40" s="62" t="str">
        <f t="shared" si="12"/>
        <v/>
      </c>
      <c r="AE40" s="62">
        <f t="shared" si="13"/>
        <v>12691.059636096801</v>
      </c>
      <c r="AF40" s="62">
        <f t="shared" si="14"/>
        <v>1206.6909162190402</v>
      </c>
      <c r="AG40" s="192">
        <v>0</v>
      </c>
      <c r="AH40" s="62">
        <f t="shared" si="15"/>
        <v>757.49698597130055</v>
      </c>
      <c r="AI40" s="62">
        <f t="shared" si="16"/>
        <v>245.09962271811864</v>
      </c>
      <c r="AJ40" s="62"/>
      <c r="AK40" s="62">
        <v>0</v>
      </c>
      <c r="AL40" s="256">
        <f t="shared" si="17"/>
        <v>22844.10716100526</v>
      </c>
      <c r="AM40" s="256">
        <f t="shared" si="18"/>
        <v>83220.063187520005</v>
      </c>
      <c r="AN40" s="256">
        <f t="shared" si="19"/>
        <v>106064.17034852527</v>
      </c>
    </row>
    <row r="41" spans="1:40" hidden="1" x14ac:dyDescent="0.2">
      <c r="A41" s="386" t="str">
        <f>IF('Employee Detail FY25'!A41="","",'Employee Detail FY25'!A41)</f>
        <v/>
      </c>
      <c r="B41" s="678" t="str">
        <f>IF('Employee Detail FY25'!B41="","",'Employee Detail FY25'!B41)</f>
        <v/>
      </c>
      <c r="C41" s="678" t="str">
        <f>IF('Employee Detail FY25'!C41="","",'Employee Detail FY25'!C41)</f>
        <v/>
      </c>
      <c r="D41" s="678"/>
      <c r="E41" s="678" t="str">
        <f>IF('Employee Detail FY25'!E41="","",'Employee Detail FY25'!E41)</f>
        <v/>
      </c>
      <c r="F41" s="678" t="str">
        <f>IF('Employee Detail FY25'!F41="","",'Employee Detail FY25'!F41)</f>
        <v/>
      </c>
      <c r="G41" s="678" t="str">
        <f>IF('Employee Detail FY25'!G41="","",'Employee Detail FY25'!G41)</f>
        <v/>
      </c>
      <c r="H41" s="678"/>
      <c r="I41" s="359" t="str">
        <f>IF('Employee Detail FY25'!I41="","",'Employee Detail FY25'!I41)</f>
        <v/>
      </c>
      <c r="J41" s="359" t="str">
        <f>IF('Employee Detail FY25'!J41="","",'Employee Detail FY25'!J41)</f>
        <v/>
      </c>
      <c r="K41" s="359" t="str">
        <f>IF('Employee Detail FY25'!K41="","",'Employee Detail FY25'!K41)</f>
        <v/>
      </c>
      <c r="L41" s="359"/>
      <c r="M41" s="388" t="str">
        <f>IF('Employee Detail FY25'!M41="","",'Employee Detail FY25'!M41)</f>
        <v/>
      </c>
      <c r="N41" s="386" t="str">
        <f>IF('Employee Detail FY25'!N41="","",'Employee Detail FY25'!N41)</f>
        <v/>
      </c>
      <c r="O41" s="386" t="str">
        <f>IF('Employee Detail FY25'!O41="","",'Employee Detail FY25'!O41)</f>
        <v/>
      </c>
      <c r="P41" s="386" t="str">
        <f>IF('Employee Detail FY25'!P41="","",'Employee Detail FY25'!P41)</f>
        <v/>
      </c>
      <c r="Q41" s="386" t="str">
        <f>IF('Employee Detail FY25'!Q41="","",'Employee Detail FY25'!Q41)</f>
        <v/>
      </c>
      <c r="R41" s="386" t="str">
        <f>IF('Employee Detail FY25'!R41="","",'Employee Detail FY25'!R41)</f>
        <v/>
      </c>
      <c r="S41" s="386" t="str">
        <f>IF('Employee Detail FY25'!S41="","",'Employee Detail FY25'!S41)</f>
        <v/>
      </c>
      <c r="T41" s="263" t="str">
        <f t="shared" si="6"/>
        <v/>
      </c>
      <c r="U41" s="269" t="str">
        <f>IF('Employee Detail FY25'!U41="","",'Employee Detail FY25'!U41)</f>
        <v/>
      </c>
      <c r="V41" s="270" t="str">
        <f t="shared" si="7"/>
        <v/>
      </c>
      <c r="W41" s="270" t="str">
        <f t="shared" si="8"/>
        <v/>
      </c>
      <c r="X41" s="270" t="str">
        <f t="shared" si="9"/>
        <v/>
      </c>
      <c r="Y41" s="62">
        <v>0</v>
      </c>
      <c r="Z41" s="62">
        <v>0</v>
      </c>
      <c r="AA41" s="256">
        <f t="shared" si="10"/>
        <v>0</v>
      </c>
      <c r="AB41" s="3"/>
      <c r="AC41" s="62" t="str">
        <f t="shared" si="11"/>
        <v/>
      </c>
      <c r="AD41" s="62" t="str">
        <f t="shared" si="12"/>
        <v/>
      </c>
      <c r="AE41" s="62" t="str">
        <f t="shared" si="13"/>
        <v/>
      </c>
      <c r="AF41" s="62" t="str">
        <f t="shared" si="14"/>
        <v/>
      </c>
      <c r="AG41" s="192">
        <v>0</v>
      </c>
      <c r="AH41" s="62" t="str">
        <f t="shared" si="15"/>
        <v/>
      </c>
      <c r="AI41" s="62">
        <f t="shared" si="16"/>
        <v>0</v>
      </c>
      <c r="AJ41" s="62"/>
      <c r="AK41" s="62">
        <v>0</v>
      </c>
      <c r="AL41" s="256">
        <f t="shared" si="17"/>
        <v>0</v>
      </c>
      <c r="AM41" s="256">
        <f t="shared" si="18"/>
        <v>0</v>
      </c>
      <c r="AN41" s="256">
        <f t="shared" si="19"/>
        <v>0</v>
      </c>
    </row>
    <row r="42" spans="1:40" x14ac:dyDescent="0.2">
      <c r="A42" s="386" t="str">
        <f>IF('Employee Detail FY25'!A42="","",'Employee Detail FY25'!A42)</f>
        <v/>
      </c>
      <c r="B42" s="678" t="str">
        <f>IF('Employee Detail FY25'!B42="","",'Employee Detail FY25'!B42)</f>
        <v>250</v>
      </c>
      <c r="C42" s="678" t="str">
        <f>IF('Employee Detail FY25'!C42="","",'Employee Detail FY25'!C42)</f>
        <v>000</v>
      </c>
      <c r="D42" s="678"/>
      <c r="E42" s="678" t="str">
        <f>IF('Employee Detail FY25'!E42="","",'Employee Detail FY25'!E42)</f>
        <v>200</v>
      </c>
      <c r="F42" s="678" t="str">
        <f>IF('Employee Detail FY25'!F42="","",'Employee Detail FY25'!F42)</f>
        <v>1000</v>
      </c>
      <c r="G42" s="678" t="str">
        <f>IF('Employee Detail FY25'!G42="","",'Employee Detail FY25'!G42)</f>
        <v>0101</v>
      </c>
      <c r="H42" s="678"/>
      <c r="I42" s="359" t="str">
        <f>IF('Employee Detail FY25'!I42="","",'Employee Detail FY25'!I42)</f>
        <v>SIMAO</v>
      </c>
      <c r="J42" s="359" t="str">
        <f>IF('Employee Detail FY25'!J42="","",'Employee Detail FY25'!J42)</f>
        <v>MICHAEL</v>
      </c>
      <c r="K42" s="359" t="str">
        <f>IF('Employee Detail FY25'!K42="","",'Employee Detail FY25'!K42)</f>
        <v>Licensed Staff</v>
      </c>
      <c r="L42" s="359" t="str">
        <f>IF('Employee Detail FY25'!L42="","",'Employee Detail FY25'!L42)</f>
        <v>SPED FACILITATOR</v>
      </c>
      <c r="M42" s="388">
        <f>IF('Employee Detail FY25'!M42="","",'Employee Detail FY25'!M42)</f>
        <v>1</v>
      </c>
      <c r="N42" s="386" t="str">
        <f>IF('Employee Detail FY25'!N42="","",'Employee Detail FY25'!N42)</f>
        <v/>
      </c>
      <c r="O42" s="386">
        <f>IF('Employee Detail FY25'!O42="","",'Employee Detail FY25'!O42)</f>
        <v>26</v>
      </c>
      <c r="P42" s="386" t="str">
        <f>IF('Employee Detail FY25'!P42="","",'Employee Detail FY25'!P42)</f>
        <v>ER</v>
      </c>
      <c r="Q42" s="386" t="str">
        <f>IF('Employee Detail FY25'!Q42="","",'Employee Detail FY25'!Q42)</f>
        <v/>
      </c>
      <c r="R42" s="386">
        <f>IF('Employee Detail FY25'!R42="","",'Employee Detail FY25'!R42)</f>
        <v>261</v>
      </c>
      <c r="S42" s="386">
        <f>IF('Employee Detail FY25'!S42="","",'Employee Detail FY25'!S42)</f>
        <v>8</v>
      </c>
      <c r="T42" s="263">
        <f t="shared" si="6"/>
        <v>2088</v>
      </c>
      <c r="U42" s="269">
        <f>IF('Employee Detail FY25'!U42="","",'Employee Detail FY25'!U42)</f>
        <v>65000</v>
      </c>
      <c r="V42" s="270">
        <f t="shared" si="7"/>
        <v>72800</v>
      </c>
      <c r="W42" s="270" t="str">
        <f t="shared" si="8"/>
        <v/>
      </c>
      <c r="X42" s="270">
        <f t="shared" si="9"/>
        <v>72800</v>
      </c>
      <c r="Y42" s="62">
        <v>0</v>
      </c>
      <c r="Z42" s="62">
        <v>0</v>
      </c>
      <c r="AA42" s="256">
        <f t="shared" si="10"/>
        <v>72800</v>
      </c>
      <c r="AB42" s="3"/>
      <c r="AC42" s="62">
        <f t="shared" si="11"/>
        <v>7943.76</v>
      </c>
      <c r="AD42" s="62" t="str">
        <f t="shared" si="12"/>
        <v/>
      </c>
      <c r="AE42" s="62">
        <f t="shared" si="13"/>
        <v>21294</v>
      </c>
      <c r="AF42" s="62">
        <f t="shared" si="14"/>
        <v>1055.6000000000001</v>
      </c>
      <c r="AG42" s="192">
        <v>0</v>
      </c>
      <c r="AH42" s="62">
        <f t="shared" si="15"/>
        <v>662.65006858322772</v>
      </c>
      <c r="AI42" s="62">
        <f t="shared" si="16"/>
        <v>214.41046606360757</v>
      </c>
      <c r="AJ42" s="62"/>
      <c r="AK42" s="62">
        <v>0</v>
      </c>
      <c r="AL42" s="256">
        <f t="shared" si="17"/>
        <v>31170.420534646837</v>
      </c>
      <c r="AM42" s="256">
        <f t="shared" si="18"/>
        <v>72800</v>
      </c>
      <c r="AN42" s="256">
        <f t="shared" si="19"/>
        <v>103970.42053464684</v>
      </c>
    </row>
    <row r="43" spans="1:40" hidden="1" x14ac:dyDescent="0.2">
      <c r="A43" s="386" t="str">
        <f>IF('Employee Detail FY25'!A43="","",'Employee Detail FY25'!A43)</f>
        <v/>
      </c>
      <c r="B43" s="678" t="str">
        <f>IF('Employee Detail FY25'!B43="","",'Employee Detail FY25'!B43)</f>
        <v/>
      </c>
      <c r="C43" s="678" t="str">
        <f>IF('Employee Detail FY25'!C43="","",'Employee Detail FY25'!C43)</f>
        <v/>
      </c>
      <c r="D43" s="678"/>
      <c r="E43" s="678" t="str">
        <f>IF('Employee Detail FY25'!E43="","",'Employee Detail FY25'!E43)</f>
        <v/>
      </c>
      <c r="F43" s="678" t="str">
        <f>IF('Employee Detail FY25'!F43="","",'Employee Detail FY25'!F43)</f>
        <v/>
      </c>
      <c r="G43" s="678" t="str">
        <f>IF('Employee Detail FY25'!G43="","",'Employee Detail FY25'!G43)</f>
        <v/>
      </c>
      <c r="H43" s="678"/>
      <c r="I43" s="359" t="str">
        <f>IF('Employee Detail FY25'!I43="","",'Employee Detail FY25'!I43)</f>
        <v/>
      </c>
      <c r="J43" s="359" t="str">
        <f>IF('Employee Detail FY25'!J43="","",'Employee Detail FY25'!J43)</f>
        <v/>
      </c>
      <c r="K43" s="359" t="str">
        <f>IF('Employee Detail FY25'!K43="","",'Employee Detail FY25'!K43)</f>
        <v/>
      </c>
      <c r="L43" s="359" t="str">
        <f>IF('Employee Detail FY25'!L43="","",'Employee Detail FY25'!L43)</f>
        <v/>
      </c>
      <c r="M43" s="388" t="str">
        <f>IF('Employee Detail FY25'!M43="","",'Employee Detail FY25'!M43)</f>
        <v/>
      </c>
      <c r="N43" s="386" t="str">
        <f>IF('Employee Detail FY25'!N43="","",'Employee Detail FY25'!N43)</f>
        <v/>
      </c>
      <c r="O43" s="386" t="str">
        <f>IF('Employee Detail FY25'!O43="","",'Employee Detail FY25'!O43)</f>
        <v/>
      </c>
      <c r="P43" s="386" t="str">
        <f>IF('Employee Detail FY25'!P43="","",'Employee Detail FY25'!P43)</f>
        <v/>
      </c>
      <c r="Q43" s="386" t="str">
        <f>IF('Employee Detail FY25'!Q43="","",'Employee Detail FY25'!Q43)</f>
        <v/>
      </c>
      <c r="R43" s="386" t="str">
        <f>IF('Employee Detail FY25'!R43="","",'Employee Detail FY25'!R43)</f>
        <v/>
      </c>
      <c r="S43" s="386" t="str">
        <f>IF('Employee Detail FY25'!S43="","",'Employee Detail FY25'!S43)</f>
        <v/>
      </c>
      <c r="T43" s="263" t="str">
        <f t="shared" si="6"/>
        <v/>
      </c>
      <c r="U43" s="269" t="str">
        <f>IF('Employee Detail FY25'!U43="","",'Employee Detail FY25'!U43)</f>
        <v/>
      </c>
      <c r="V43" s="270" t="str">
        <f t="shared" si="7"/>
        <v/>
      </c>
      <c r="W43" s="270" t="str">
        <f t="shared" si="8"/>
        <v/>
      </c>
      <c r="X43" s="270" t="str">
        <f t="shared" si="9"/>
        <v/>
      </c>
      <c r="Y43" s="62">
        <v>0</v>
      </c>
      <c r="Z43" s="62">
        <v>0</v>
      </c>
      <c r="AA43" s="256">
        <f t="shared" si="10"/>
        <v>0</v>
      </c>
      <c r="AB43" s="3"/>
      <c r="AC43" s="62" t="str">
        <f t="shared" si="11"/>
        <v/>
      </c>
      <c r="AD43" s="62" t="str">
        <f t="shared" si="12"/>
        <v/>
      </c>
      <c r="AE43" s="62" t="str">
        <f t="shared" si="13"/>
        <v/>
      </c>
      <c r="AF43" s="62" t="str">
        <f t="shared" si="14"/>
        <v/>
      </c>
      <c r="AG43" s="192">
        <v>0</v>
      </c>
      <c r="AH43" s="62" t="str">
        <f t="shared" si="15"/>
        <v/>
      </c>
      <c r="AI43" s="62">
        <f t="shared" si="16"/>
        <v>0</v>
      </c>
      <c r="AJ43" s="62"/>
      <c r="AK43" s="62">
        <v>0</v>
      </c>
      <c r="AL43" s="256">
        <f t="shared" si="17"/>
        <v>0</v>
      </c>
      <c r="AM43" s="256">
        <f t="shared" si="18"/>
        <v>0</v>
      </c>
      <c r="AN43" s="256">
        <f t="shared" si="19"/>
        <v>0</v>
      </c>
    </row>
    <row r="44" spans="1:40" hidden="1" x14ac:dyDescent="0.2">
      <c r="A44" s="386" t="str">
        <f>IF('Employee Detail FY25'!A44="","",'Employee Detail FY25'!A44)</f>
        <v/>
      </c>
      <c r="B44" s="678">
        <f>IF('Employee Detail FY25'!B44="","",'Employee Detail FY25'!B44)</f>
        <v>250</v>
      </c>
      <c r="C44" s="678" t="str">
        <f>IF('Employee Detail FY25'!C44="","",'Employee Detail FY25'!C44)</f>
        <v>205</v>
      </c>
      <c r="D44" s="678"/>
      <c r="E44" s="678">
        <f>IF('Employee Detail FY25'!E44="","",'Employee Detail FY25'!E44)</f>
        <v>200</v>
      </c>
      <c r="F44" s="678">
        <f>IF('Employee Detail FY25'!F44="","",'Employee Detail FY25'!F44)</f>
        <v>2140</v>
      </c>
      <c r="G44" s="678" t="str">
        <f>IF('Employee Detail FY25'!G44="","",'Employee Detail FY25'!G44)</f>
        <v>0106</v>
      </c>
      <c r="H44" s="678"/>
      <c r="I44" s="359" t="str">
        <f>IF('Employee Detail FY25'!I44="","",'Employee Detail FY25'!I44)</f>
        <v>NASH</v>
      </c>
      <c r="J44" s="359" t="str">
        <f>IF('Employee Detail FY25'!J44="","",'Employee Detail FY25'!J44)</f>
        <v>Mala</v>
      </c>
      <c r="K44" s="359" t="str">
        <f>IF('Employee Detail FY25'!K44="","",'Employee Detail FY25'!K44)</f>
        <v>Licensed Support Staff</v>
      </c>
      <c r="L44" s="359" t="str">
        <f>IF('Employee Detail FY25'!L44="","",'Employee Detail FY25'!L44)</f>
        <v>PSYCHOLOGIST</v>
      </c>
      <c r="M44" s="388">
        <f>IF('Employee Detail FY25'!M44="","",'Employee Detail FY25'!M44)</f>
        <v>1</v>
      </c>
      <c r="N44" s="386" t="str">
        <f>IF('Employee Detail FY25'!N44="","",'Employee Detail FY25'!N44)</f>
        <v/>
      </c>
      <c r="O44" s="386">
        <f>IF('Employee Detail FY25'!O44="","",'Employee Detail FY25'!O44)</f>
        <v>26</v>
      </c>
      <c r="P44" s="386" t="str">
        <f>IF('Employee Detail FY25'!P44="","",'Employee Detail FY25'!P44)</f>
        <v>EE</v>
      </c>
      <c r="Q44" s="386" t="str">
        <f>IF('Employee Detail FY25'!Q44="","",'Employee Detail FY25'!Q44)</f>
        <v/>
      </c>
      <c r="R44" s="386">
        <f>IF('Employee Detail FY25'!R44="","",'Employee Detail FY25'!R44)</f>
        <v>200</v>
      </c>
      <c r="S44" s="386">
        <f>IF('Employee Detail FY25'!S44="","",'Employee Detail FY25'!S44)</f>
        <v>8</v>
      </c>
      <c r="T44" s="263">
        <f t="shared" si="6"/>
        <v>1600</v>
      </c>
      <c r="U44" s="269">
        <f>IF('Employee Detail FY25'!U44="","",'Employee Detail FY25'!U44)</f>
        <v>72768.800000000003</v>
      </c>
      <c r="V44" s="270">
        <f t="shared" si="7"/>
        <v>81501.056000000011</v>
      </c>
      <c r="W44" s="270">
        <f t="shared" si="8"/>
        <v>94018.477186816017</v>
      </c>
      <c r="X44" s="270">
        <f t="shared" si="9"/>
        <v>94018.477186816017</v>
      </c>
      <c r="Y44" s="62">
        <v>0</v>
      </c>
      <c r="Z44" s="62">
        <v>0</v>
      </c>
      <c r="AA44" s="256">
        <f t="shared" si="10"/>
        <v>94018.477186816017</v>
      </c>
      <c r="AB44" s="3"/>
      <c r="AC44" s="62">
        <f t="shared" si="11"/>
        <v>7943.76</v>
      </c>
      <c r="AD44" s="62" t="str">
        <f t="shared" si="12"/>
        <v/>
      </c>
      <c r="AE44" s="62">
        <f t="shared" si="13"/>
        <v>14337.817770989443</v>
      </c>
      <c r="AF44" s="62">
        <f t="shared" si="14"/>
        <v>1363.2679192088324</v>
      </c>
      <c r="AG44" s="192">
        <v>0</v>
      </c>
      <c r="AH44" s="62">
        <f t="shared" si="15"/>
        <v>855.78777961448168</v>
      </c>
      <c r="AI44" s="62">
        <f t="shared" si="16"/>
        <v>276.90309769527306</v>
      </c>
      <c r="AJ44" s="62"/>
      <c r="AK44" s="62">
        <v>0</v>
      </c>
      <c r="AL44" s="256">
        <f t="shared" si="17"/>
        <v>24777.536567508032</v>
      </c>
      <c r="AM44" s="256">
        <f t="shared" si="18"/>
        <v>94018.477186816017</v>
      </c>
      <c r="AN44" s="256">
        <f t="shared" si="19"/>
        <v>118796.01375432406</v>
      </c>
    </row>
    <row r="45" spans="1:40" hidden="1" x14ac:dyDescent="0.2">
      <c r="A45" s="386" t="str">
        <f>IF('Employee Detail FY25'!A45="","",'Employee Detail FY25'!A45)</f>
        <v/>
      </c>
      <c r="B45" s="678" t="str">
        <f>IF('Employee Detail FY25'!B45="","",'Employee Detail FY25'!B45)</f>
        <v/>
      </c>
      <c r="C45" s="678" t="str">
        <f>IF('Employee Detail FY25'!C45="","",'Employee Detail FY25'!C45)</f>
        <v/>
      </c>
      <c r="D45" s="678"/>
      <c r="E45" s="678" t="str">
        <f>IF('Employee Detail FY25'!E45="","",'Employee Detail FY25'!E45)</f>
        <v/>
      </c>
      <c r="F45" s="678" t="str">
        <f>IF('Employee Detail FY25'!F45="","",'Employee Detail FY25'!F45)</f>
        <v/>
      </c>
      <c r="G45" s="678" t="str">
        <f>IF('Employee Detail FY25'!G45="","",'Employee Detail FY25'!G45)</f>
        <v/>
      </c>
      <c r="H45" s="678"/>
      <c r="I45" s="359" t="str">
        <f>IF('Employee Detail FY25'!I45="","",'Employee Detail FY25'!I45)</f>
        <v/>
      </c>
      <c r="J45" s="359" t="str">
        <f>IF('Employee Detail FY25'!J45="","",'Employee Detail FY25'!J45)</f>
        <v/>
      </c>
      <c r="K45" s="359" t="str">
        <f>IF('Employee Detail FY25'!K45="","",'Employee Detail FY25'!K45)</f>
        <v/>
      </c>
      <c r="L45" s="359" t="str">
        <f>IF('Employee Detail FY25'!L45="","",'Employee Detail FY25'!L45)</f>
        <v/>
      </c>
      <c r="M45" s="388" t="str">
        <f>IF('Employee Detail FY25'!M45="","",'Employee Detail FY25'!M45)</f>
        <v/>
      </c>
      <c r="N45" s="386" t="str">
        <f>IF('Employee Detail FY25'!N45="","",'Employee Detail FY25'!N45)</f>
        <v/>
      </c>
      <c r="O45" s="386" t="str">
        <f>IF('Employee Detail FY25'!O45="","",'Employee Detail FY25'!O45)</f>
        <v/>
      </c>
      <c r="P45" s="386" t="str">
        <f>IF('Employee Detail FY25'!P45="","",'Employee Detail FY25'!P45)</f>
        <v/>
      </c>
      <c r="Q45" s="386" t="str">
        <f>IF('Employee Detail FY25'!Q45="","",'Employee Detail FY25'!Q45)</f>
        <v/>
      </c>
      <c r="R45" s="386" t="str">
        <f>IF('Employee Detail FY25'!R45="","",'Employee Detail FY25'!R45)</f>
        <v/>
      </c>
      <c r="S45" s="386" t="str">
        <f>IF('Employee Detail FY25'!S45="","",'Employee Detail FY25'!S45)</f>
        <v/>
      </c>
      <c r="T45" s="263" t="str">
        <f t="shared" si="6"/>
        <v/>
      </c>
      <c r="U45" s="269" t="str">
        <f>IF('Employee Detail FY25'!U45="","",'Employee Detail FY25'!U45)</f>
        <v/>
      </c>
      <c r="V45" s="270" t="str">
        <f t="shared" si="7"/>
        <v/>
      </c>
      <c r="W45" s="270" t="str">
        <f t="shared" si="8"/>
        <v/>
      </c>
      <c r="X45" s="270" t="str">
        <f t="shared" si="9"/>
        <v/>
      </c>
      <c r="Y45" s="62">
        <v>0</v>
      </c>
      <c r="Z45" s="62">
        <v>0</v>
      </c>
      <c r="AA45" s="256">
        <f t="shared" si="10"/>
        <v>0</v>
      </c>
      <c r="AB45" s="3"/>
      <c r="AC45" s="62" t="str">
        <f t="shared" si="11"/>
        <v/>
      </c>
      <c r="AD45" s="62" t="str">
        <f t="shared" si="12"/>
        <v/>
      </c>
      <c r="AE45" s="62" t="str">
        <f t="shared" si="13"/>
        <v/>
      </c>
      <c r="AF45" s="62" t="str">
        <f t="shared" si="14"/>
        <v/>
      </c>
      <c r="AG45" s="192">
        <v>0</v>
      </c>
      <c r="AH45" s="62" t="str">
        <f t="shared" si="15"/>
        <v/>
      </c>
      <c r="AI45" s="62">
        <f t="shared" si="16"/>
        <v>0</v>
      </c>
      <c r="AJ45" s="62"/>
      <c r="AK45" s="62">
        <v>0</v>
      </c>
      <c r="AL45" s="256">
        <f t="shared" si="17"/>
        <v>0</v>
      </c>
      <c r="AM45" s="256">
        <f t="shared" si="18"/>
        <v>0</v>
      </c>
      <c r="AN45" s="256">
        <f t="shared" si="19"/>
        <v>0</v>
      </c>
    </row>
    <row r="46" spans="1:40" hidden="1" x14ac:dyDescent="0.2">
      <c r="A46" s="386" t="str">
        <f>IF('Employee Detail FY25'!A46="","",'Employee Detail FY25'!A46)</f>
        <v/>
      </c>
      <c r="B46" s="678">
        <f>IF('Employee Detail FY25'!B46="","",'Employee Detail FY25'!B46)</f>
        <v>250</v>
      </c>
      <c r="C46" s="678" t="str">
        <f>IF('Employee Detail FY25'!C46="","",'Employee Detail FY25'!C46)</f>
        <v>205</v>
      </c>
      <c r="D46" s="678"/>
      <c r="E46" s="678" t="str">
        <f>IF('Employee Detail FY25'!E46="","",'Employee Detail FY25'!E46)</f>
        <v>200</v>
      </c>
      <c r="F46" s="678">
        <f>IF('Employee Detail FY25'!F46="","",'Employee Detail FY25'!F46)</f>
        <v>2130</v>
      </c>
      <c r="G46" s="678" t="str">
        <f>IF('Employee Detail FY25'!G46="","",'Employee Detail FY25'!G46)</f>
        <v>0106</v>
      </c>
      <c r="H46" s="678"/>
      <c r="I46" s="359" t="str">
        <f>IF('Employee Detail FY25'!I46="","",'Employee Detail FY25'!I46)</f>
        <v>LAGRUTTA</v>
      </c>
      <c r="J46" s="359" t="str">
        <f>IF('Employee Detail FY25'!J46="","",'Employee Detail FY25'!J46)</f>
        <v>JUDY</v>
      </c>
      <c r="K46" s="359" t="str">
        <f>IF('Employee Detail FY25'!K46="","",'Employee Detail FY25'!K46)</f>
        <v>Licensed Support Staff</v>
      </c>
      <c r="L46" s="359" t="str">
        <f>IF('Employee Detail FY25'!L46="","",'Employee Detail FY25'!L46)</f>
        <v>NURSE</v>
      </c>
      <c r="M46" s="388">
        <f>IF('Employee Detail FY25'!M46="","",'Employee Detail FY25'!M46)</f>
        <v>0.3</v>
      </c>
      <c r="N46" s="386">
        <f>IF('Employee Detail FY25'!N46="","",'Employee Detail FY25'!N46)</f>
        <v>45</v>
      </c>
      <c r="O46" s="386">
        <f>IF('Employee Detail FY25'!O46="","",'Employee Detail FY25'!O46)</f>
        <v>26</v>
      </c>
      <c r="P46" s="386" t="str">
        <f>IF('Employee Detail FY25'!P46="","",'Employee Detail FY25'!P46)</f>
        <v>N</v>
      </c>
      <c r="Q46" s="386">
        <f>IF('Employee Detail FY25'!Q46="","",'Employee Detail FY25'!Q46)</f>
        <v>45</v>
      </c>
      <c r="R46" s="386">
        <f>IF('Employee Detail FY25'!R46="","",'Employee Detail FY25'!R46)</f>
        <v>1</v>
      </c>
      <c r="S46" s="386">
        <f>IF('Employee Detail FY25'!S46="","",'Employee Detail FY25'!S46)</f>
        <v>524</v>
      </c>
      <c r="T46" s="263">
        <f t="shared" si="6"/>
        <v>524</v>
      </c>
      <c r="U46" s="269">
        <f>IF('Employee Detail FY25'!U46="","",'Employee Detail FY25'!U46)</f>
        <v>23580</v>
      </c>
      <c r="V46" s="270">
        <f t="shared" si="7"/>
        <v>26409.600000000002</v>
      </c>
      <c r="W46" s="270" t="str">
        <f t="shared" si="8"/>
        <v/>
      </c>
      <c r="X46" s="270">
        <f t="shared" si="9"/>
        <v>26409.600000000002</v>
      </c>
      <c r="Y46" s="62">
        <v>0</v>
      </c>
      <c r="Z46" s="62">
        <v>0</v>
      </c>
      <c r="AA46" s="256">
        <f t="shared" si="10"/>
        <v>26409.600000000002</v>
      </c>
      <c r="AB46" s="3"/>
      <c r="AC46" s="62" t="str">
        <f t="shared" si="11"/>
        <v/>
      </c>
      <c r="AD46" s="62">
        <f t="shared" si="12"/>
        <v>1637.3952000000002</v>
      </c>
      <c r="AE46" s="62" t="str">
        <f t="shared" si="13"/>
        <v/>
      </c>
      <c r="AF46" s="62">
        <f t="shared" si="14"/>
        <v>382.93920000000003</v>
      </c>
      <c r="AG46" s="192">
        <v>0</v>
      </c>
      <c r="AH46" s="62">
        <f t="shared" si="15"/>
        <v>240.38905564911556</v>
      </c>
      <c r="AI46" s="62">
        <f t="shared" si="16"/>
        <v>77.781519842767182</v>
      </c>
      <c r="AJ46" s="62"/>
      <c r="AK46" s="62">
        <v>0</v>
      </c>
      <c r="AL46" s="256">
        <f t="shared" si="17"/>
        <v>2338.5049754918828</v>
      </c>
      <c r="AM46" s="256">
        <f t="shared" si="18"/>
        <v>26409.600000000002</v>
      </c>
      <c r="AN46" s="256">
        <f t="shared" si="19"/>
        <v>28748.104975491886</v>
      </c>
    </row>
    <row r="47" spans="1:40" hidden="1" x14ac:dyDescent="0.2">
      <c r="A47" s="386" t="str">
        <f>IF('Employee Detail FY25'!A47="","",'Employee Detail FY25'!A47)</f>
        <v>TITLE IV</v>
      </c>
      <c r="B47" s="678">
        <f>IF('Employee Detail FY25'!B47="","",'Employee Detail FY25'!B47)</f>
        <v>280</v>
      </c>
      <c r="C47" s="678">
        <f>IF('Employee Detail FY25'!C47="","",'Employee Detail FY25'!C47)</f>
        <v>715</v>
      </c>
      <c r="D47" s="678"/>
      <c r="E47" s="678">
        <f>IF('Employee Detail FY25'!E47="","",'Employee Detail FY25'!E47)</f>
        <v>430</v>
      </c>
      <c r="F47" s="678">
        <f>IF('Employee Detail FY25'!F47="","",'Employee Detail FY25'!F47)</f>
        <v>2130</v>
      </c>
      <c r="G47" s="678" t="str">
        <f>IF('Employee Detail FY25'!G47="","",'Employee Detail FY25'!G47)</f>
        <v>0106</v>
      </c>
      <c r="H47" s="678"/>
      <c r="I47" s="359" t="str">
        <f>IF('Employee Detail FY25'!I47="","",'Employee Detail FY25'!I47)</f>
        <v>LAGRUTTA</v>
      </c>
      <c r="J47" s="359" t="str">
        <f>IF('Employee Detail FY25'!J47="","",'Employee Detail FY25'!J47)</f>
        <v>JUDY</v>
      </c>
      <c r="K47" s="359" t="str">
        <f>IF('Employee Detail FY25'!K47="","",'Employee Detail FY25'!K47)</f>
        <v>Licensed Support Staff</v>
      </c>
      <c r="L47" s="359" t="str">
        <f>IF('Employee Detail FY25'!L47="","",'Employee Detail FY25'!L47)</f>
        <v>NURSE</v>
      </c>
      <c r="M47" s="388">
        <f>IF('Employee Detail FY25'!M47="","",'Employee Detail FY25'!M47)</f>
        <v>0.2</v>
      </c>
      <c r="N47" s="386">
        <f>IF('Employee Detail FY25'!N47="","",'Employee Detail FY25'!N47)</f>
        <v>45</v>
      </c>
      <c r="O47" s="386">
        <f>IF('Employee Detail FY25'!O47="","",'Employee Detail FY25'!O47)</f>
        <v>26</v>
      </c>
      <c r="P47" s="386" t="str">
        <f>IF('Employee Detail FY25'!P47="","",'Employee Detail FY25'!P47)</f>
        <v>N</v>
      </c>
      <c r="Q47" s="386">
        <f>IF('Employee Detail FY25'!Q47="","",'Employee Detail FY25'!Q47)</f>
        <v>45</v>
      </c>
      <c r="R47" s="386">
        <f>IF('Employee Detail FY25'!R47="","",'Employee Detail FY25'!R47)</f>
        <v>1</v>
      </c>
      <c r="S47" s="386">
        <f>IF('Employee Detail FY25'!S47="","",'Employee Detail FY25'!S47)</f>
        <v>258.75555555555553</v>
      </c>
      <c r="T47" s="263">
        <f t="shared" si="6"/>
        <v>258.75555555555553</v>
      </c>
      <c r="U47" s="269">
        <f>IF('Employee Detail FY25'!U47="","",'Employee Detail FY25'!U47)</f>
        <v>11643.999999999998</v>
      </c>
      <c r="V47" s="270">
        <f t="shared" si="7"/>
        <v>13041.279999999999</v>
      </c>
      <c r="W47" s="270" t="str">
        <f t="shared" si="8"/>
        <v/>
      </c>
      <c r="X47" s="270">
        <f t="shared" si="9"/>
        <v>13041.279999999999</v>
      </c>
      <c r="Y47" s="62">
        <v>0</v>
      </c>
      <c r="Z47" s="62">
        <v>0</v>
      </c>
      <c r="AA47" s="256">
        <f t="shared" si="10"/>
        <v>13041.279999999999</v>
      </c>
      <c r="AB47" s="3"/>
      <c r="AC47" s="62" t="str">
        <f t="shared" si="11"/>
        <v/>
      </c>
      <c r="AD47" s="62">
        <f t="shared" si="12"/>
        <v>808.55935999999997</v>
      </c>
      <c r="AE47" s="62" t="str">
        <f t="shared" si="13"/>
        <v/>
      </c>
      <c r="AF47" s="62">
        <f t="shared" si="14"/>
        <v>189.09855999999999</v>
      </c>
      <c r="AG47" s="192">
        <v>0</v>
      </c>
      <c r="AH47" s="62">
        <f t="shared" si="15"/>
        <v>118.70611382435544</v>
      </c>
      <c r="AI47" s="62">
        <f t="shared" si="16"/>
        <v>38.409161028379174</v>
      </c>
      <c r="AJ47" s="62"/>
      <c r="AK47" s="62">
        <v>0</v>
      </c>
      <c r="AL47" s="256">
        <f t="shared" si="17"/>
        <v>1154.7731948527346</v>
      </c>
      <c r="AM47" s="256">
        <f t="shared" si="18"/>
        <v>13041.279999999999</v>
      </c>
      <c r="AN47" s="256">
        <f t="shared" si="19"/>
        <v>14196.053194852733</v>
      </c>
    </row>
    <row r="48" spans="1:40" hidden="1" x14ac:dyDescent="0.2">
      <c r="A48" s="386" t="str">
        <f>IF('Employee Detail FY25'!A48="","",'Employee Detail FY25'!A48)</f>
        <v/>
      </c>
      <c r="B48" s="678" t="str">
        <f>IF('Employee Detail FY25'!B48="","",'Employee Detail FY25'!B48)</f>
        <v/>
      </c>
      <c r="C48" s="678" t="str">
        <f>IF('Employee Detail FY25'!C48="","",'Employee Detail FY25'!C48)</f>
        <v/>
      </c>
      <c r="D48" s="678"/>
      <c r="E48" s="678" t="str">
        <f>IF('Employee Detail FY25'!E48="","",'Employee Detail FY25'!E48)</f>
        <v/>
      </c>
      <c r="F48" s="678" t="str">
        <f>IF('Employee Detail FY25'!F48="","",'Employee Detail FY25'!F48)</f>
        <v/>
      </c>
      <c r="G48" s="678" t="str">
        <f>IF('Employee Detail FY25'!G48="","",'Employee Detail FY25'!G48)</f>
        <v/>
      </c>
      <c r="H48" s="678"/>
      <c r="I48" s="359" t="str">
        <f>IF('Employee Detail FY25'!I48="","",'Employee Detail FY25'!I48)</f>
        <v/>
      </c>
      <c r="J48" s="359" t="str">
        <f>IF('Employee Detail FY25'!J48="","",'Employee Detail FY25'!J48)</f>
        <v/>
      </c>
      <c r="K48" s="359" t="str">
        <f>IF('Employee Detail FY25'!K48="","",'Employee Detail FY25'!K48)</f>
        <v/>
      </c>
      <c r="L48" s="359" t="str">
        <f>IF('Employee Detail FY25'!L48="","",'Employee Detail FY25'!L48)</f>
        <v/>
      </c>
      <c r="M48" s="388" t="str">
        <f>IF('Employee Detail FY25'!M48="","",'Employee Detail FY25'!M48)</f>
        <v/>
      </c>
      <c r="N48" s="386" t="str">
        <f>IF('Employee Detail FY25'!N48="","",'Employee Detail FY25'!N48)</f>
        <v/>
      </c>
      <c r="O48" s="386" t="str">
        <f>IF('Employee Detail FY25'!O48="","",'Employee Detail FY25'!O48)</f>
        <v/>
      </c>
      <c r="P48" s="386" t="str">
        <f>IF('Employee Detail FY25'!P48="","",'Employee Detail FY25'!P48)</f>
        <v/>
      </c>
      <c r="Q48" s="386" t="str">
        <f>IF('Employee Detail FY25'!Q48="","",'Employee Detail FY25'!Q48)</f>
        <v/>
      </c>
      <c r="R48" s="386" t="str">
        <f>IF('Employee Detail FY25'!R48="","",'Employee Detail FY25'!R48)</f>
        <v/>
      </c>
      <c r="S48" s="386" t="str">
        <f>IF('Employee Detail FY25'!S48="","",'Employee Detail FY25'!S48)</f>
        <v/>
      </c>
      <c r="T48" s="263" t="str">
        <f t="shared" si="6"/>
        <v/>
      </c>
      <c r="U48" s="269" t="str">
        <f>IF('Employee Detail FY25'!U48="","",'Employee Detail FY25'!U48)</f>
        <v/>
      </c>
      <c r="V48" s="270" t="str">
        <f t="shared" si="7"/>
        <v/>
      </c>
      <c r="W48" s="270" t="str">
        <f t="shared" si="8"/>
        <v/>
      </c>
      <c r="X48" s="270" t="str">
        <f t="shared" si="9"/>
        <v/>
      </c>
      <c r="Y48" s="62">
        <v>0</v>
      </c>
      <c r="Z48" s="62">
        <v>0</v>
      </c>
      <c r="AA48" s="256">
        <f t="shared" si="10"/>
        <v>0</v>
      </c>
      <c r="AB48" s="3"/>
      <c r="AC48" s="62" t="str">
        <f t="shared" si="11"/>
        <v/>
      </c>
      <c r="AD48" s="62" t="str">
        <f t="shared" si="12"/>
        <v/>
      </c>
      <c r="AE48" s="62" t="str">
        <f t="shared" si="13"/>
        <v/>
      </c>
      <c r="AF48" s="62" t="str">
        <f t="shared" si="14"/>
        <v/>
      </c>
      <c r="AG48" s="192">
        <v>0</v>
      </c>
      <c r="AH48" s="62" t="str">
        <f t="shared" si="15"/>
        <v/>
      </c>
      <c r="AI48" s="62">
        <f t="shared" si="16"/>
        <v>0</v>
      </c>
      <c r="AJ48" s="62"/>
      <c r="AK48" s="62">
        <v>0</v>
      </c>
      <c r="AL48" s="256">
        <f t="shared" si="17"/>
        <v>0</v>
      </c>
      <c r="AM48" s="256">
        <f t="shared" si="18"/>
        <v>0</v>
      </c>
      <c r="AN48" s="256">
        <f t="shared" si="19"/>
        <v>0</v>
      </c>
    </row>
    <row r="49" spans="1:40" x14ac:dyDescent="0.2">
      <c r="A49" s="386" t="str">
        <f>IF('Employee Detail FY25'!A49="","",'Employee Detail FY25'!A49)</f>
        <v/>
      </c>
      <c r="B49" s="678">
        <f>IF('Employee Detail FY25'!B49="","",'Employee Detail FY25'!B49)</f>
        <v>100</v>
      </c>
      <c r="C49" s="678" t="str">
        <f>IF('Employee Detail FY25'!C49="","",'Employee Detail FY25'!C49)</f>
        <v>000</v>
      </c>
      <c r="D49" s="678"/>
      <c r="E49" s="678">
        <f>IF('Employee Detail FY25'!E49="","",'Employee Detail FY25'!E49)</f>
        <v>100</v>
      </c>
      <c r="F49" s="678">
        <f>IF('Employee Detail FY25'!F49="","",'Employee Detail FY25'!F49)</f>
        <v>1000</v>
      </c>
      <c r="G49" s="799" t="str">
        <f>IF('Employee Detail FY25'!G49="","",'Employee Detail FY25'!G49)</f>
        <v>0102</v>
      </c>
      <c r="H49" s="678"/>
      <c r="I49" s="359" t="str">
        <f>IF('Employee Detail FY25'!I49="","",'Employee Detail FY25'!I49)</f>
        <v>CASUSO</v>
      </c>
      <c r="J49" s="359" t="str">
        <f>IF('Employee Detail FY25'!J49="","",'Employee Detail FY25'!J49)</f>
        <v>MONICA</v>
      </c>
      <c r="K49" s="359" t="str">
        <f>IF('Employee Detail FY25'!K49="","",'Employee Detail FY25'!K49)</f>
        <v>Support Staff</v>
      </c>
      <c r="L49" s="359" t="str">
        <f>IF('Employee Detail FY25'!L49="","",'Employee Detail FY25'!L49)</f>
        <v>BLENDED LEARNING TEACHER ASSISTANT</v>
      </c>
      <c r="M49" s="388">
        <f>IF('Employee Detail FY25'!M49="","",'Employee Detail FY25'!M49)</f>
        <v>1</v>
      </c>
      <c r="N49" s="386" t="str">
        <f>IF('Employee Detail FY25'!N49="","",'Employee Detail FY25'!N49)</f>
        <v>10</v>
      </c>
      <c r="O49" s="386">
        <f>IF('Employee Detail FY25'!O49="","",'Employee Detail FY25'!O49)</f>
        <v>22</v>
      </c>
      <c r="P49" s="386" t="str">
        <f>IF('Employee Detail FY25'!P49="","",'Employee Detail FY25'!P49)</f>
        <v>EE</v>
      </c>
      <c r="Q49" s="386">
        <f>IF('Employee Detail FY25'!Q49="","",'Employee Detail FY25'!Q49)</f>
        <v>25</v>
      </c>
      <c r="R49" s="386">
        <f>IF('Employee Detail FY25'!R49="","",'Employee Detail FY25'!R49)</f>
        <v>180</v>
      </c>
      <c r="S49" s="386">
        <f>IF('Employee Detail FY25'!S49="","",'Employee Detail FY25'!S49)</f>
        <v>7</v>
      </c>
      <c r="T49" s="263">
        <f t="shared" si="6"/>
        <v>1260</v>
      </c>
      <c r="U49" s="269">
        <f>IF('Employee Detail FY25'!U49="","",'Employee Detail FY25'!U49)</f>
        <v>31500</v>
      </c>
      <c r="V49" s="270">
        <f t="shared" si="7"/>
        <v>35280</v>
      </c>
      <c r="W49" s="270">
        <f t="shared" si="8"/>
        <v>40698.514080000001</v>
      </c>
      <c r="X49" s="270">
        <f t="shared" si="9"/>
        <v>40698.514080000001</v>
      </c>
      <c r="Y49" s="62">
        <v>0</v>
      </c>
      <c r="Z49" s="62">
        <v>0</v>
      </c>
      <c r="AA49" s="256">
        <f t="shared" si="10"/>
        <v>40698.514080000001</v>
      </c>
      <c r="AB49" s="3"/>
      <c r="AC49" s="62">
        <f t="shared" si="11"/>
        <v>7943.76</v>
      </c>
      <c r="AD49" s="62" t="str">
        <f t="shared" si="12"/>
        <v/>
      </c>
      <c r="AE49" s="62">
        <f t="shared" si="13"/>
        <v>6206.5233971999996</v>
      </c>
      <c r="AF49" s="62">
        <f t="shared" si="14"/>
        <v>590.12845416000005</v>
      </c>
      <c r="AG49" s="192">
        <v>0</v>
      </c>
      <c r="AH49" s="62">
        <f t="shared" si="15"/>
        <v>370.45155420806952</v>
      </c>
      <c r="AI49" s="62">
        <f t="shared" si="16"/>
        <v>119.86521115369636</v>
      </c>
      <c r="AJ49" s="62"/>
      <c r="AK49" s="62">
        <v>0</v>
      </c>
      <c r="AL49" s="256">
        <f t="shared" si="17"/>
        <v>15230.728616721766</v>
      </c>
      <c r="AM49" s="256">
        <f t="shared" si="18"/>
        <v>40698.514080000001</v>
      </c>
      <c r="AN49" s="256">
        <f t="shared" si="19"/>
        <v>55929.242696721769</v>
      </c>
    </row>
    <row r="50" spans="1:40" x14ac:dyDescent="0.2">
      <c r="A50" s="386" t="str">
        <f>IF('Employee Detail FY25'!A50="","",'Employee Detail FY25'!A50)</f>
        <v/>
      </c>
      <c r="B50" s="678">
        <f>IF('Employee Detail FY25'!B50="","",'Employee Detail FY25'!B50)</f>
        <v>100</v>
      </c>
      <c r="C50" s="678" t="str">
        <f>IF('Employee Detail FY25'!C50="","",'Employee Detail FY25'!C50)</f>
        <v>000</v>
      </c>
      <c r="D50" s="678"/>
      <c r="E50" s="678">
        <f>IF('Employee Detail FY25'!E50="","",'Employee Detail FY25'!E50)</f>
        <v>100</v>
      </c>
      <c r="F50" s="678">
        <f>IF('Employee Detail FY25'!F50="","",'Employee Detail FY25'!F50)</f>
        <v>1000</v>
      </c>
      <c r="G50" s="678" t="str">
        <f>IF('Employee Detail FY25'!G50="","",'Employee Detail FY25'!G50)</f>
        <v>0102</v>
      </c>
      <c r="H50" s="678"/>
      <c r="I50" s="359" t="str">
        <f>IF('Employee Detail FY25'!I50="","",'Employee Detail FY25'!I50)</f>
        <v>DEL TORO CONTRARES</v>
      </c>
      <c r="J50" s="359" t="str">
        <f>IF('Employee Detail FY25'!J50="","",'Employee Detail FY25'!J50)</f>
        <v>CLARISA</v>
      </c>
      <c r="K50" s="359" t="str">
        <f>IF('Employee Detail FY25'!K50="","",'Employee Detail FY25'!K50)</f>
        <v>Support Staff</v>
      </c>
      <c r="L50" s="359" t="str">
        <f>IF('Employee Detail FY25'!L50="","",'Employee Detail FY25'!L50)</f>
        <v>BLENDED LEARNING TEACHER ASSISTANT</v>
      </c>
      <c r="M50" s="388">
        <f>IF('Employee Detail FY25'!M50="","",'Employee Detail FY25'!M50)</f>
        <v>1</v>
      </c>
      <c r="N50" s="386">
        <f>IF('Employee Detail FY25'!N50="","",'Employee Detail FY25'!N50)</f>
        <v>10</v>
      </c>
      <c r="O50" s="386">
        <f>IF('Employee Detail FY25'!O50="","",'Employee Detail FY25'!O50)</f>
        <v>22</v>
      </c>
      <c r="P50" s="386" t="str">
        <f>IF('Employee Detail FY25'!P50="","",'Employee Detail FY25'!P50)</f>
        <v>ER</v>
      </c>
      <c r="Q50" s="386">
        <f>IF('Employee Detail FY25'!Q50="","",'Employee Detail FY25'!Q50)</f>
        <v>15</v>
      </c>
      <c r="R50" s="386">
        <f>IF('Employee Detail FY25'!R50="","",'Employee Detail FY25'!R50)</f>
        <v>180</v>
      </c>
      <c r="S50" s="386">
        <f>IF('Employee Detail FY25'!S50="","",'Employee Detail FY25'!S50)</f>
        <v>7</v>
      </c>
      <c r="T50" s="263">
        <f t="shared" si="6"/>
        <v>1260</v>
      </c>
      <c r="U50" s="269">
        <f>IF('Employee Detail FY25'!U50="","",'Employee Detail FY25'!U50)</f>
        <v>18900</v>
      </c>
      <c r="V50" s="270">
        <f t="shared" si="7"/>
        <v>21168.000000000004</v>
      </c>
      <c r="W50" s="270" t="str">
        <f t="shared" si="8"/>
        <v/>
      </c>
      <c r="X50" s="270">
        <f t="shared" si="9"/>
        <v>21168.000000000004</v>
      </c>
      <c r="Y50" s="62">
        <v>0</v>
      </c>
      <c r="Z50" s="62">
        <v>0</v>
      </c>
      <c r="AA50" s="256">
        <f t="shared" si="10"/>
        <v>21168.000000000004</v>
      </c>
      <c r="AB50" s="3"/>
      <c r="AC50" s="62">
        <f t="shared" si="11"/>
        <v>7943.76</v>
      </c>
      <c r="AD50" s="62" t="str">
        <f t="shared" si="12"/>
        <v/>
      </c>
      <c r="AE50" s="62">
        <f t="shared" si="13"/>
        <v>6191.64</v>
      </c>
      <c r="AF50" s="62">
        <f t="shared" si="14"/>
        <v>306.93600000000009</v>
      </c>
      <c r="AG50" s="192">
        <v>0</v>
      </c>
      <c r="AH50" s="62">
        <f t="shared" si="15"/>
        <v>192.67825071112318</v>
      </c>
      <c r="AI50" s="62">
        <f t="shared" si="16"/>
        <v>62.343966286187445</v>
      </c>
      <c r="AJ50" s="62"/>
      <c r="AK50" s="62">
        <v>0</v>
      </c>
      <c r="AL50" s="256">
        <f t="shared" si="17"/>
        <v>14697.358216997312</v>
      </c>
      <c r="AM50" s="256">
        <f t="shared" si="18"/>
        <v>21168.000000000004</v>
      </c>
      <c r="AN50" s="256">
        <f t="shared" si="19"/>
        <v>35865.358216997316</v>
      </c>
    </row>
    <row r="51" spans="1:40" x14ac:dyDescent="0.2">
      <c r="A51" s="386" t="str">
        <f>IF('Employee Detail FY25'!A51="","",'Employee Detail FY25'!A51)</f>
        <v/>
      </c>
      <c r="B51" s="678">
        <f>IF('Employee Detail FY25'!B51="","",'Employee Detail FY25'!B51)</f>
        <v>100</v>
      </c>
      <c r="C51" s="678" t="str">
        <f>IF('Employee Detail FY25'!C51="","",'Employee Detail FY25'!C51)</f>
        <v>000</v>
      </c>
      <c r="D51" s="678"/>
      <c r="E51" s="678">
        <f>IF('Employee Detail FY25'!E51="","",'Employee Detail FY25'!E51)</f>
        <v>100</v>
      </c>
      <c r="F51" s="678">
        <f>IF('Employee Detail FY25'!F51="","",'Employee Detail FY25'!F51)</f>
        <v>1000</v>
      </c>
      <c r="G51" s="678" t="str">
        <f>IF('Employee Detail FY25'!G51="","",'Employee Detail FY25'!G51)</f>
        <v>0102</v>
      </c>
      <c r="H51" s="678"/>
      <c r="I51" s="359" t="str">
        <f>IF('Employee Detail FY25'!I51="","",'Employee Detail FY25'!I51)</f>
        <v>NEGRETE</v>
      </c>
      <c r="J51" s="359" t="str">
        <f>IF('Employee Detail FY25'!J51="","",'Employee Detail FY25'!J51)</f>
        <v>ANJELICA</v>
      </c>
      <c r="K51" s="359" t="str">
        <f>IF('Employee Detail FY25'!K51="","",'Employee Detail FY25'!K51)</f>
        <v>Support Staff</v>
      </c>
      <c r="L51" s="359" t="str">
        <f>IF('Employee Detail FY25'!L51="","",'Employee Detail FY25'!L51)</f>
        <v>BLENDED LEARNING TEACHER ASSISTANT</v>
      </c>
      <c r="M51" s="388">
        <f>IF('Employee Detail FY25'!M51="","",'Employee Detail FY25'!M51)</f>
        <v>1</v>
      </c>
      <c r="N51" s="386" t="str">
        <f>IF('Employee Detail FY25'!N51="","",'Employee Detail FY25'!N51)</f>
        <v>10</v>
      </c>
      <c r="O51" s="386">
        <f>IF('Employee Detail FY25'!O51="","",'Employee Detail FY25'!O51)</f>
        <v>22</v>
      </c>
      <c r="P51" s="386" t="str">
        <f>IF('Employee Detail FY25'!P51="","",'Employee Detail FY25'!P51)</f>
        <v>EE</v>
      </c>
      <c r="Q51" s="386">
        <f>IF('Employee Detail FY25'!Q51="","",'Employee Detail FY25'!Q51)</f>
        <v>25</v>
      </c>
      <c r="R51" s="386">
        <f>IF('Employee Detail FY25'!R51="","",'Employee Detail FY25'!R51)</f>
        <v>180</v>
      </c>
      <c r="S51" s="386">
        <f>IF('Employee Detail FY25'!S51="","",'Employee Detail FY25'!S51)</f>
        <v>7</v>
      </c>
      <c r="T51" s="263">
        <f t="shared" si="6"/>
        <v>1260</v>
      </c>
      <c r="U51" s="269">
        <f>IF('Employee Detail FY25'!U51="","",'Employee Detail FY25'!U51)</f>
        <v>31500</v>
      </c>
      <c r="V51" s="270">
        <f t="shared" si="7"/>
        <v>35280</v>
      </c>
      <c r="W51" s="270">
        <f t="shared" si="8"/>
        <v>40698.514080000001</v>
      </c>
      <c r="X51" s="270">
        <f t="shared" si="9"/>
        <v>40698.514080000001</v>
      </c>
      <c r="Y51" s="62">
        <v>0</v>
      </c>
      <c r="Z51" s="62">
        <v>0</v>
      </c>
      <c r="AA51" s="256">
        <f t="shared" si="10"/>
        <v>40698.514080000001</v>
      </c>
      <c r="AB51" s="3"/>
      <c r="AC51" s="62">
        <f t="shared" si="11"/>
        <v>7943.76</v>
      </c>
      <c r="AD51" s="62" t="str">
        <f t="shared" si="12"/>
        <v/>
      </c>
      <c r="AE51" s="62">
        <f t="shared" si="13"/>
        <v>6206.5233971999996</v>
      </c>
      <c r="AF51" s="62">
        <f t="shared" si="14"/>
        <v>590.12845416000005</v>
      </c>
      <c r="AG51" s="192">
        <v>0</v>
      </c>
      <c r="AH51" s="62">
        <f t="shared" si="15"/>
        <v>370.45155420806952</v>
      </c>
      <c r="AI51" s="62">
        <f t="shared" si="16"/>
        <v>119.86521115369636</v>
      </c>
      <c r="AJ51" s="62"/>
      <c r="AK51" s="62">
        <v>0</v>
      </c>
      <c r="AL51" s="256">
        <f t="shared" si="17"/>
        <v>15230.728616721766</v>
      </c>
      <c r="AM51" s="256">
        <f t="shared" si="18"/>
        <v>40698.514080000001</v>
      </c>
      <c r="AN51" s="256">
        <f t="shared" si="19"/>
        <v>55929.242696721769</v>
      </c>
    </row>
    <row r="52" spans="1:40" x14ac:dyDescent="0.2">
      <c r="A52" s="386" t="str">
        <f>IF('Employee Detail FY25'!A52="","",'Employee Detail FY25'!A52)</f>
        <v/>
      </c>
      <c r="B52" s="678">
        <f>IF('Employee Detail FY25'!B52="","",'Employee Detail FY25'!B52)</f>
        <v>100</v>
      </c>
      <c r="C52" s="678" t="str">
        <f>IF('Employee Detail FY25'!C52="","",'Employee Detail FY25'!C52)</f>
        <v>000</v>
      </c>
      <c r="D52" s="678"/>
      <c r="E52" s="678">
        <f>IF('Employee Detail FY25'!E52="","",'Employee Detail FY25'!E52)</f>
        <v>100</v>
      </c>
      <c r="F52" s="678">
        <f>IF('Employee Detail FY25'!F52="","",'Employee Detail FY25'!F52)</f>
        <v>1000</v>
      </c>
      <c r="G52" s="678" t="str">
        <f>IF('Employee Detail FY25'!G52="","",'Employee Detail FY25'!G52)</f>
        <v>0102</v>
      </c>
      <c r="H52" s="678"/>
      <c r="I52" s="359" t="str">
        <f>IF('Employee Detail FY25'!I52="","",'Employee Detail FY25'!I52)</f>
        <v>REDZIC</v>
      </c>
      <c r="J52" s="359" t="str">
        <f>IF('Employee Detail FY25'!J52="","",'Employee Detail FY25'!J52)</f>
        <v>LAMIYA</v>
      </c>
      <c r="K52" s="359" t="str">
        <f>IF('Employee Detail FY25'!K52="","",'Employee Detail FY25'!K52)</f>
        <v>Support Staff</v>
      </c>
      <c r="L52" s="359" t="str">
        <f>IF('Employee Detail FY25'!L52="","",'Employee Detail FY25'!L52)</f>
        <v>BLENDED LEARNING TEACHER ASSISTANT</v>
      </c>
      <c r="M52" s="388">
        <f>IF('Employee Detail FY25'!M52="","",'Employee Detail FY25'!M52)</f>
        <v>1</v>
      </c>
      <c r="N52" s="386" t="str">
        <f>IF('Employee Detail FY25'!N52="","",'Employee Detail FY25'!N52)</f>
        <v>10</v>
      </c>
      <c r="O52" s="386">
        <f>IF('Employee Detail FY25'!O52="","",'Employee Detail FY25'!O52)</f>
        <v>22</v>
      </c>
      <c r="P52" s="386" t="str">
        <f>IF('Employee Detail FY25'!P52="","",'Employee Detail FY25'!P52)</f>
        <v>EE</v>
      </c>
      <c r="Q52" s="386">
        <f>IF('Employee Detail FY25'!Q52="","",'Employee Detail FY25'!Q52)</f>
        <v>25</v>
      </c>
      <c r="R52" s="386">
        <f>IF('Employee Detail FY25'!R52="","",'Employee Detail FY25'!R52)</f>
        <v>180</v>
      </c>
      <c r="S52" s="386">
        <f>IF('Employee Detail FY25'!S52="","",'Employee Detail FY25'!S52)</f>
        <v>7</v>
      </c>
      <c r="T52" s="263">
        <f t="shared" si="6"/>
        <v>1260</v>
      </c>
      <c r="U52" s="269">
        <f>IF('Employee Detail FY25'!U52="","",'Employee Detail FY25'!U52)</f>
        <v>31500</v>
      </c>
      <c r="V52" s="270">
        <f t="shared" si="7"/>
        <v>35280</v>
      </c>
      <c r="W52" s="270">
        <f t="shared" si="8"/>
        <v>40698.514080000001</v>
      </c>
      <c r="X52" s="270">
        <f t="shared" si="9"/>
        <v>40698.514080000001</v>
      </c>
      <c r="Y52" s="62">
        <v>0</v>
      </c>
      <c r="Z52" s="62">
        <v>0</v>
      </c>
      <c r="AA52" s="256">
        <f t="shared" si="10"/>
        <v>40698.514080000001</v>
      </c>
      <c r="AB52" s="3"/>
      <c r="AC52" s="62">
        <f t="shared" si="11"/>
        <v>7943.76</v>
      </c>
      <c r="AD52" s="62" t="str">
        <f t="shared" si="12"/>
        <v/>
      </c>
      <c r="AE52" s="62">
        <f t="shared" si="13"/>
        <v>6206.5233971999996</v>
      </c>
      <c r="AF52" s="62">
        <f t="shared" si="14"/>
        <v>590.12845416000005</v>
      </c>
      <c r="AG52" s="192">
        <v>0</v>
      </c>
      <c r="AH52" s="62">
        <f t="shared" si="15"/>
        <v>370.45155420806952</v>
      </c>
      <c r="AI52" s="62">
        <f t="shared" si="16"/>
        <v>119.86521115369636</v>
      </c>
      <c r="AJ52" s="62"/>
      <c r="AK52" s="62">
        <v>0</v>
      </c>
      <c r="AL52" s="256">
        <f t="shared" si="17"/>
        <v>15230.728616721766</v>
      </c>
      <c r="AM52" s="256">
        <f t="shared" si="18"/>
        <v>40698.514080000001</v>
      </c>
      <c r="AN52" s="256">
        <f t="shared" si="19"/>
        <v>55929.242696721769</v>
      </c>
    </row>
    <row r="53" spans="1:40" x14ac:dyDescent="0.2">
      <c r="A53" s="386" t="str">
        <f>IF('Employee Detail FY25'!A53="","",'Employee Detail FY25'!A53)</f>
        <v>TITLE Ia</v>
      </c>
      <c r="B53" s="678">
        <f>IF('Employee Detail FY25'!B53="","",'Employee Detail FY25'!B53)</f>
        <v>280</v>
      </c>
      <c r="C53" s="678">
        <f>IF('Employee Detail FY25'!C53="","",'Employee Detail FY25'!C53)</f>
        <v>633</v>
      </c>
      <c r="D53" s="678"/>
      <c r="E53" s="678">
        <f>IF('Employee Detail FY25'!E53="","",'Employee Detail FY25'!E53)</f>
        <v>430</v>
      </c>
      <c r="F53" s="678">
        <f>IF('Employee Detail FY25'!F53="","",'Employee Detail FY25'!F53)</f>
        <v>1000</v>
      </c>
      <c r="G53" s="678" t="str">
        <f>IF('Employee Detail FY25'!G53="","",'Employee Detail FY25'!G53)</f>
        <v>0102</v>
      </c>
      <c r="H53" s="678"/>
      <c r="I53" s="359" t="str">
        <f>IF('Employee Detail FY25'!I53="","",'Employee Detail FY25'!I53)</f>
        <v>SALVANI</v>
      </c>
      <c r="J53" s="359" t="str">
        <f>IF('Employee Detail FY25'!J53="","",'Employee Detail FY25'!J53)</f>
        <v>CRISELDA</v>
      </c>
      <c r="K53" s="359" t="str">
        <f>IF('Employee Detail FY25'!K53="","",'Employee Detail FY25'!K53)</f>
        <v>Support Staff</v>
      </c>
      <c r="L53" s="359" t="str">
        <f>IF('Employee Detail FY25'!L53="","",'Employee Detail FY25'!L53)</f>
        <v>BLENDED LEARNING TEACHER ASSISTANT</v>
      </c>
      <c r="M53" s="388">
        <f>IF('Employee Detail FY25'!M53="","",'Employee Detail FY25'!M53)</f>
        <v>1</v>
      </c>
      <c r="N53" s="386" t="str">
        <f>IF('Employee Detail FY25'!N53="","",'Employee Detail FY25'!N53)</f>
        <v>10</v>
      </c>
      <c r="O53" s="386">
        <f>IF('Employee Detail FY25'!O53="","",'Employee Detail FY25'!O53)</f>
        <v>22</v>
      </c>
      <c r="P53" s="386" t="str">
        <f>IF('Employee Detail FY25'!P53="","",'Employee Detail FY25'!P53)</f>
        <v>EE</v>
      </c>
      <c r="Q53" s="386">
        <f>IF('Employee Detail FY25'!Q53="","",'Employee Detail FY25'!Q53)</f>
        <v>25</v>
      </c>
      <c r="R53" s="386">
        <f>IF('Employee Detail FY25'!R53="","",'Employee Detail FY25'!R53)</f>
        <v>180</v>
      </c>
      <c r="S53" s="386">
        <f>IF('Employee Detail FY25'!S53="","",'Employee Detail FY25'!S53)</f>
        <v>7</v>
      </c>
      <c r="T53" s="263">
        <f t="shared" si="6"/>
        <v>1260</v>
      </c>
      <c r="U53" s="269">
        <f>IF('Employee Detail FY25'!U53="","",'Employee Detail FY25'!U53)</f>
        <v>31500</v>
      </c>
      <c r="V53" s="270">
        <f t="shared" si="7"/>
        <v>35280</v>
      </c>
      <c r="W53" s="270">
        <f t="shared" si="8"/>
        <v>40698.514080000001</v>
      </c>
      <c r="X53" s="270">
        <f t="shared" si="9"/>
        <v>40698.514080000001</v>
      </c>
      <c r="Y53" s="62">
        <v>0</v>
      </c>
      <c r="Z53" s="62">
        <v>0</v>
      </c>
      <c r="AA53" s="256">
        <f t="shared" si="10"/>
        <v>40698.514080000001</v>
      </c>
      <c r="AB53" s="3"/>
      <c r="AC53" s="62">
        <f t="shared" si="11"/>
        <v>7943.76</v>
      </c>
      <c r="AD53" s="62" t="str">
        <f t="shared" si="12"/>
        <v/>
      </c>
      <c r="AE53" s="62">
        <f t="shared" si="13"/>
        <v>6206.5233971999996</v>
      </c>
      <c r="AF53" s="62">
        <f t="shared" si="14"/>
        <v>590.12845416000005</v>
      </c>
      <c r="AG53" s="192">
        <v>0</v>
      </c>
      <c r="AH53" s="62">
        <f t="shared" si="15"/>
        <v>370.45155420806952</v>
      </c>
      <c r="AI53" s="62">
        <f t="shared" si="16"/>
        <v>119.86521115369636</v>
      </c>
      <c r="AJ53" s="62"/>
      <c r="AK53" s="62">
        <v>0</v>
      </c>
      <c r="AL53" s="256">
        <f t="shared" si="17"/>
        <v>15230.728616721766</v>
      </c>
      <c r="AM53" s="256">
        <f t="shared" si="18"/>
        <v>40698.514080000001</v>
      </c>
      <c r="AN53" s="256">
        <f t="shared" si="19"/>
        <v>55929.242696721769</v>
      </c>
    </row>
    <row r="54" spans="1:40" x14ac:dyDescent="0.2">
      <c r="A54" s="386" t="str">
        <f>IF('Employee Detail FY25'!A54="","",'Employee Detail FY25'!A54)</f>
        <v>VACANT</v>
      </c>
      <c r="B54" s="678">
        <f>IF('Employee Detail FY25'!B54="","",'Employee Detail FY25'!B54)</f>
        <v>100</v>
      </c>
      <c r="C54" s="678" t="str">
        <f>IF('Employee Detail FY25'!C54="","",'Employee Detail FY25'!C54)</f>
        <v>000</v>
      </c>
      <c r="D54" s="678"/>
      <c r="E54" s="678">
        <f>IF('Employee Detail FY25'!E54="","",'Employee Detail FY25'!E54)</f>
        <v>100</v>
      </c>
      <c r="F54" s="678">
        <f>IF('Employee Detail FY25'!F54="","",'Employee Detail FY25'!F54)</f>
        <v>1000</v>
      </c>
      <c r="G54" s="678" t="str">
        <f>IF('Employee Detail FY25'!G54="","",'Employee Detail FY25'!G54)</f>
        <v>0102</v>
      </c>
      <c r="H54" s="678"/>
      <c r="I54" s="359" t="str">
        <f>IF('Employee Detail FY25'!I54="","",'Employee Detail FY25'!I54)</f>
        <v>VACANT</v>
      </c>
      <c r="J54" s="359" t="str">
        <f>IF('Employee Detail FY25'!J54="","",'Employee Detail FY25'!J54)</f>
        <v>FY23</v>
      </c>
      <c r="K54" s="359" t="str">
        <f>IF('Employee Detail FY25'!K54="","",'Employee Detail FY25'!K54)</f>
        <v>Support Staff</v>
      </c>
      <c r="L54" s="359" t="str">
        <f>IF('Employee Detail FY25'!L54="","",'Employee Detail FY25'!L54)</f>
        <v>BLENDED LEARNING TEACHER ASSISTANT</v>
      </c>
      <c r="M54" s="388">
        <f>IF('Employee Detail FY25'!M54="","",'Employee Detail FY25'!M54)</f>
        <v>1</v>
      </c>
      <c r="N54" s="386" t="str">
        <f>IF('Employee Detail FY25'!N54="","",'Employee Detail FY25'!N54)</f>
        <v>10</v>
      </c>
      <c r="O54" s="386">
        <f>IF('Employee Detail FY25'!O54="","",'Employee Detail FY25'!O54)</f>
        <v>22</v>
      </c>
      <c r="P54" s="386" t="str">
        <f>IF('Employee Detail FY25'!P54="","",'Employee Detail FY25'!P54)</f>
        <v>EE</v>
      </c>
      <c r="Q54" s="386">
        <f>IF('Employee Detail FY25'!Q54="","",'Employee Detail FY25'!Q54)</f>
        <v>25</v>
      </c>
      <c r="R54" s="386">
        <f>IF('Employee Detail FY25'!R54="","",'Employee Detail FY25'!R54)</f>
        <v>180</v>
      </c>
      <c r="S54" s="386">
        <f>IF('Employee Detail FY25'!S54="","",'Employee Detail FY25'!S54)</f>
        <v>7</v>
      </c>
      <c r="T54" s="263">
        <f t="shared" si="6"/>
        <v>1260</v>
      </c>
      <c r="U54" s="269">
        <f>IF('Employee Detail FY25'!U54="","",'Employee Detail FY25'!U54)</f>
        <v>31500</v>
      </c>
      <c r="V54" s="270">
        <f t="shared" si="7"/>
        <v>35280</v>
      </c>
      <c r="W54" s="270">
        <f t="shared" si="8"/>
        <v>40698.514080000001</v>
      </c>
      <c r="X54" s="270">
        <f t="shared" si="9"/>
        <v>40698.514080000001</v>
      </c>
      <c r="Y54" s="62">
        <v>0</v>
      </c>
      <c r="Z54" s="62">
        <v>0</v>
      </c>
      <c r="AA54" s="256">
        <f t="shared" si="10"/>
        <v>40698.514080000001</v>
      </c>
      <c r="AB54" s="3"/>
      <c r="AC54" s="62">
        <f t="shared" si="11"/>
        <v>7943.76</v>
      </c>
      <c r="AD54" s="62" t="str">
        <f t="shared" si="12"/>
        <v/>
      </c>
      <c r="AE54" s="62">
        <f t="shared" si="13"/>
        <v>6206.5233971999996</v>
      </c>
      <c r="AF54" s="62">
        <f t="shared" si="14"/>
        <v>590.12845416000005</v>
      </c>
      <c r="AG54" s="192">
        <v>0</v>
      </c>
      <c r="AH54" s="62">
        <f t="shared" si="15"/>
        <v>370.45155420806952</v>
      </c>
      <c r="AI54" s="62">
        <f t="shared" si="16"/>
        <v>119.86521115369636</v>
      </c>
      <c r="AJ54" s="62"/>
      <c r="AK54" s="62">
        <v>0</v>
      </c>
      <c r="AL54" s="256">
        <f t="shared" si="17"/>
        <v>15230.728616721766</v>
      </c>
      <c r="AM54" s="256">
        <f t="shared" si="18"/>
        <v>40698.514080000001</v>
      </c>
      <c r="AN54" s="256">
        <f t="shared" si="19"/>
        <v>55929.242696721769</v>
      </c>
    </row>
    <row r="55" spans="1:40" x14ac:dyDescent="0.2">
      <c r="A55" s="386" t="str">
        <f>IF('Employee Detail FY25'!A55="","",'Employee Detail FY25'!A55)</f>
        <v>VACANT</v>
      </c>
      <c r="B55" s="678">
        <f>IF('Employee Detail FY25'!B55="","",'Employee Detail FY25'!B55)</f>
        <v>100</v>
      </c>
      <c r="C55" s="678" t="str">
        <f>IF('Employee Detail FY25'!C55="","",'Employee Detail FY25'!C55)</f>
        <v>000</v>
      </c>
      <c r="D55" s="678"/>
      <c r="E55" s="678">
        <f>IF('Employee Detail FY25'!E55="","",'Employee Detail FY25'!E55)</f>
        <v>100</v>
      </c>
      <c r="F55" s="678">
        <f>IF('Employee Detail FY25'!F55="","",'Employee Detail FY25'!F55)</f>
        <v>1000</v>
      </c>
      <c r="G55" s="678" t="str">
        <f>IF('Employee Detail FY25'!G55="","",'Employee Detail FY25'!G55)</f>
        <v>0102</v>
      </c>
      <c r="H55" s="678"/>
      <c r="I55" s="359" t="str">
        <f>IF('Employee Detail FY25'!I55="","",'Employee Detail FY25'!I55)</f>
        <v>VACANT</v>
      </c>
      <c r="J55" s="359" t="str">
        <f>IF('Employee Detail FY25'!J55="","",'Employee Detail FY25'!J55)</f>
        <v>FY23</v>
      </c>
      <c r="K55" s="359" t="str">
        <f>IF('Employee Detail FY25'!K55="","",'Employee Detail FY25'!K55)</f>
        <v>Support Staff</v>
      </c>
      <c r="L55" s="359" t="str">
        <f>IF('Employee Detail FY25'!L55="","",'Employee Detail FY25'!L55)</f>
        <v>BLENDED LEARNING TEACHER ASSISTANT</v>
      </c>
      <c r="M55" s="388" t="str">
        <f>IF('Employee Detail FY25'!M55="","",'Employee Detail FY25'!M55)</f>
        <v/>
      </c>
      <c r="N55" s="386" t="str">
        <f>IF('Employee Detail FY25'!N55="","",'Employee Detail FY25'!N55)</f>
        <v/>
      </c>
      <c r="O55" s="386" t="str">
        <f>IF('Employee Detail FY25'!O55="","",'Employee Detail FY25'!O55)</f>
        <v/>
      </c>
      <c r="P55" s="386" t="str">
        <f>IF('Employee Detail FY25'!P55="","",'Employee Detail FY25'!P55)</f>
        <v/>
      </c>
      <c r="Q55" s="386" t="str">
        <f>IF('Employee Detail FY25'!Q55="","",'Employee Detail FY25'!Q55)</f>
        <v/>
      </c>
      <c r="R55" s="386" t="str">
        <f>IF('Employee Detail FY25'!R55="","",'Employee Detail FY25'!R55)</f>
        <v/>
      </c>
      <c r="S55" s="386" t="str">
        <f>IF('Employee Detail FY25'!S55="","",'Employee Detail FY25'!S55)</f>
        <v/>
      </c>
      <c r="T55" s="263" t="str">
        <f t="shared" si="6"/>
        <v/>
      </c>
      <c r="U55" s="269">
        <f>IF('Employee Detail FY25'!U55="","",'Employee Detail FY25'!U55)</f>
        <v>31500</v>
      </c>
      <c r="V55" s="270">
        <f t="shared" si="7"/>
        <v>35280</v>
      </c>
      <c r="W55" s="270" t="str">
        <f t="shared" si="8"/>
        <v/>
      </c>
      <c r="X55" s="270" t="str">
        <f t="shared" si="9"/>
        <v/>
      </c>
      <c r="Y55" s="62">
        <v>0</v>
      </c>
      <c r="Z55" s="62">
        <v>0</v>
      </c>
      <c r="AA55" s="256">
        <f t="shared" si="10"/>
        <v>0</v>
      </c>
      <c r="AB55" s="3"/>
      <c r="AC55" s="62" t="str">
        <f t="shared" si="11"/>
        <v/>
      </c>
      <c r="AD55" s="62" t="str">
        <f t="shared" si="12"/>
        <v/>
      </c>
      <c r="AE55" s="62" t="str">
        <f t="shared" si="13"/>
        <v/>
      </c>
      <c r="AF55" s="62" t="str">
        <f t="shared" si="14"/>
        <v/>
      </c>
      <c r="AG55" s="192">
        <v>0</v>
      </c>
      <c r="AH55" s="62" t="str">
        <f t="shared" si="15"/>
        <v/>
      </c>
      <c r="AI55" s="62">
        <f t="shared" si="16"/>
        <v>0</v>
      </c>
      <c r="AJ55" s="62"/>
      <c r="AK55" s="62">
        <v>0</v>
      </c>
      <c r="AL55" s="256">
        <f t="shared" si="17"/>
        <v>0</v>
      </c>
      <c r="AM55" s="256">
        <f t="shared" si="18"/>
        <v>0</v>
      </c>
      <c r="AN55" s="256">
        <f t="shared" si="19"/>
        <v>0</v>
      </c>
    </row>
    <row r="56" spans="1:40" hidden="1" x14ac:dyDescent="0.2">
      <c r="A56" s="386" t="str">
        <f>IF('Employee Detail FY25'!A56="","",'Employee Detail FY25'!A56)</f>
        <v/>
      </c>
      <c r="B56" s="678" t="str">
        <f>IF('Employee Detail FY25'!B56="","",'Employee Detail FY25'!B56)</f>
        <v/>
      </c>
      <c r="C56" s="678" t="str">
        <f>IF('Employee Detail FY25'!C56="","",'Employee Detail FY25'!C56)</f>
        <v/>
      </c>
      <c r="D56" s="678"/>
      <c r="E56" s="678" t="str">
        <f>IF('Employee Detail FY25'!E56="","",'Employee Detail FY25'!E56)</f>
        <v/>
      </c>
      <c r="F56" s="678" t="str">
        <f>IF('Employee Detail FY25'!F56="","",'Employee Detail FY25'!F56)</f>
        <v/>
      </c>
      <c r="G56" s="678" t="str">
        <f>IF('Employee Detail FY25'!G56="","",'Employee Detail FY25'!G56)</f>
        <v/>
      </c>
      <c r="H56" s="678"/>
      <c r="I56" s="359" t="str">
        <f>IF('Employee Detail FY25'!I56="","",'Employee Detail FY25'!I56)</f>
        <v/>
      </c>
      <c r="J56" s="359" t="str">
        <f>IF('Employee Detail FY25'!J56="","",'Employee Detail FY25'!J56)</f>
        <v/>
      </c>
      <c r="K56" s="359" t="str">
        <f>IF('Employee Detail FY25'!K56="","",'Employee Detail FY25'!K56)</f>
        <v/>
      </c>
      <c r="L56" s="359" t="str">
        <f>IF('Employee Detail FY25'!L56="","",'Employee Detail FY25'!L56)</f>
        <v/>
      </c>
      <c r="M56" s="388" t="str">
        <f>IF('Employee Detail FY25'!M56="","",'Employee Detail FY25'!M56)</f>
        <v/>
      </c>
      <c r="N56" s="386" t="str">
        <f>IF('Employee Detail FY25'!N56="","",'Employee Detail FY25'!N56)</f>
        <v/>
      </c>
      <c r="O56" s="386" t="str">
        <f>IF('Employee Detail FY25'!O56="","",'Employee Detail FY25'!O56)</f>
        <v/>
      </c>
      <c r="P56" s="386" t="str">
        <f>IF('Employee Detail FY25'!P56="","",'Employee Detail FY25'!P56)</f>
        <v/>
      </c>
      <c r="Q56" s="386" t="str">
        <f>IF('Employee Detail FY25'!Q56="","",'Employee Detail FY25'!Q56)</f>
        <v/>
      </c>
      <c r="R56" s="386" t="str">
        <f>IF('Employee Detail FY25'!R56="","",'Employee Detail FY25'!R56)</f>
        <v/>
      </c>
      <c r="S56" s="386" t="str">
        <f>IF('Employee Detail FY25'!S56="","",'Employee Detail FY25'!S56)</f>
        <v/>
      </c>
      <c r="T56" s="263" t="str">
        <f t="shared" si="6"/>
        <v/>
      </c>
      <c r="U56" s="269" t="str">
        <f>IF('Employee Detail FY25'!U56="","",'Employee Detail FY25'!U56)</f>
        <v/>
      </c>
      <c r="V56" s="270" t="str">
        <f t="shared" si="7"/>
        <v/>
      </c>
      <c r="W56" s="270" t="str">
        <f t="shared" si="8"/>
        <v/>
      </c>
      <c r="X56" s="270" t="str">
        <f t="shared" si="9"/>
        <v/>
      </c>
      <c r="Y56" s="62">
        <v>0</v>
      </c>
      <c r="Z56" s="62">
        <v>0</v>
      </c>
      <c r="AA56" s="256">
        <f t="shared" si="10"/>
        <v>0</v>
      </c>
      <c r="AB56" s="3"/>
      <c r="AC56" s="62" t="str">
        <f t="shared" si="11"/>
        <v/>
      </c>
      <c r="AD56" s="62" t="str">
        <f t="shared" si="12"/>
        <v/>
      </c>
      <c r="AE56" s="62" t="str">
        <f t="shared" si="13"/>
        <v/>
      </c>
      <c r="AF56" s="62" t="str">
        <f t="shared" si="14"/>
        <v/>
      </c>
      <c r="AG56" s="192">
        <v>0</v>
      </c>
      <c r="AH56" s="62" t="str">
        <f t="shared" si="15"/>
        <v/>
      </c>
      <c r="AI56" s="62">
        <f t="shared" si="16"/>
        <v>0</v>
      </c>
      <c r="AJ56" s="62"/>
      <c r="AK56" s="62">
        <v>0</v>
      </c>
      <c r="AL56" s="256">
        <f t="shared" si="17"/>
        <v>0</v>
      </c>
      <c r="AM56" s="256">
        <f t="shared" si="18"/>
        <v>0</v>
      </c>
      <c r="AN56" s="256">
        <f t="shared" si="19"/>
        <v>0</v>
      </c>
    </row>
    <row r="57" spans="1:40" hidden="1" x14ac:dyDescent="0.2">
      <c r="A57" s="386" t="str">
        <f>IF('Employee Detail FY25'!A57="","",'Employee Detail FY25'!A57)</f>
        <v/>
      </c>
      <c r="B57" s="678">
        <f>IF('Employee Detail FY25'!B57="","",'Employee Detail FY25'!B57)</f>
        <v>100</v>
      </c>
      <c r="C57" s="678" t="str">
        <f>IF('Employee Detail FY25'!C57="","",'Employee Detail FY25'!C57)</f>
        <v>000</v>
      </c>
      <c r="D57" s="678"/>
      <c r="E57" s="678">
        <f>IF('Employee Detail FY25'!E57="","",'Employee Detail FY25'!E57)</f>
        <v>100</v>
      </c>
      <c r="F57" s="678" t="str">
        <f>IF('Employee Detail FY25'!F57="","",'Employee Detail FY25'!F57)</f>
        <v>2582</v>
      </c>
      <c r="G57" s="678" t="str">
        <f>IF('Employee Detail FY25'!G57="","",'Employee Detail FY25'!G57)</f>
        <v>0107</v>
      </c>
      <c r="H57" s="678"/>
      <c r="I57" s="359" t="str">
        <f>IF('Employee Detail FY25'!I57="","",'Employee Detail FY25'!I57)</f>
        <v>BROOKS</v>
      </c>
      <c r="J57" s="359" t="str">
        <f>IF('Employee Detail FY25'!J57="","",'Employee Detail FY25'!J57)</f>
        <v>LOLA</v>
      </c>
      <c r="K57" s="359" t="str">
        <f>IF('Employee Detail FY25'!K57="","",'Employee Detail FY25'!K57)</f>
        <v>Administration</v>
      </c>
      <c r="L57" s="359" t="str">
        <f>IF('Employee Detail FY25'!L57="","",'Employee Detail FY25'!L57)</f>
        <v>ASSESSMENT &amp; DATA COORDINATOR</v>
      </c>
      <c r="M57" s="388">
        <f>IF('Employee Detail FY25'!M57="","",'Employee Detail FY25'!M57)</f>
        <v>1</v>
      </c>
      <c r="N57" s="386" t="str">
        <f>IF('Employee Detail FY25'!N57="","",'Employee Detail FY25'!N57)</f>
        <v>S</v>
      </c>
      <c r="O57" s="386">
        <f>IF('Employee Detail FY25'!O57="","",'Employee Detail FY25'!O57)</f>
        <v>1</v>
      </c>
      <c r="P57" s="386" t="str">
        <f>IF('Employee Detail FY25'!P57="","",'Employee Detail FY25'!P57)</f>
        <v>EE</v>
      </c>
      <c r="Q57" s="386" t="str">
        <f>IF('Employee Detail FY25'!Q57="","",'Employee Detail FY25'!Q57)</f>
        <v/>
      </c>
      <c r="R57" s="386">
        <f>IF('Employee Detail FY25'!R57="","",'Employee Detail FY25'!R57)</f>
        <v>261</v>
      </c>
      <c r="S57" s="386">
        <f>IF('Employee Detail FY25'!S57="","",'Employee Detail FY25'!S57)</f>
        <v>8</v>
      </c>
      <c r="T57" s="263">
        <f t="shared" si="6"/>
        <v>2088</v>
      </c>
      <c r="U57" s="269">
        <f>IF('Employee Detail FY25'!U57="","",'Employee Detail FY25'!U57)</f>
        <v>68500</v>
      </c>
      <c r="V57" s="270">
        <f t="shared" si="7"/>
        <v>76720.000000000015</v>
      </c>
      <c r="W57" s="270">
        <f t="shared" si="8"/>
        <v>88503.117920000019</v>
      </c>
      <c r="X57" s="270">
        <f t="shared" si="9"/>
        <v>88503.117920000019</v>
      </c>
      <c r="Y57" s="62">
        <v>0</v>
      </c>
      <c r="Z57" s="62">
        <v>0</v>
      </c>
      <c r="AA57" s="256">
        <f t="shared" si="10"/>
        <v>88503.117920000019</v>
      </c>
      <c r="AB57" s="3"/>
      <c r="AC57" s="62">
        <f t="shared" si="11"/>
        <v>7943.76</v>
      </c>
      <c r="AD57" s="62" t="str">
        <f t="shared" si="12"/>
        <v/>
      </c>
      <c r="AE57" s="62">
        <f t="shared" si="13"/>
        <v>13496.725482800002</v>
      </c>
      <c r="AF57" s="62">
        <f t="shared" si="14"/>
        <v>1283.2952098400003</v>
      </c>
      <c r="AG57" s="192">
        <v>0</v>
      </c>
      <c r="AH57" s="62">
        <f t="shared" si="15"/>
        <v>805.58512581754815</v>
      </c>
      <c r="AI57" s="62">
        <f t="shared" si="16"/>
        <v>260.65926869930803</v>
      </c>
      <c r="AJ57" s="62"/>
      <c r="AK57" s="62">
        <v>0</v>
      </c>
      <c r="AL57" s="256">
        <f t="shared" si="17"/>
        <v>23790.025087156861</v>
      </c>
      <c r="AM57" s="256">
        <f t="shared" si="18"/>
        <v>88503.117920000019</v>
      </c>
      <c r="AN57" s="256">
        <f t="shared" si="19"/>
        <v>112293.14300715688</v>
      </c>
    </row>
    <row r="58" spans="1:40" hidden="1" x14ac:dyDescent="0.2">
      <c r="A58" s="386" t="str">
        <f>IF('Employee Detail FY25'!A58="","",'Employee Detail FY25'!A58)</f>
        <v/>
      </c>
      <c r="B58" s="678">
        <f>IF('Employee Detail FY25'!B58="","",'Employee Detail FY25'!B58)</f>
        <v>100</v>
      </c>
      <c r="C58" s="678" t="str">
        <f>IF('Employee Detail FY25'!C58="","",'Employee Detail FY25'!C58)</f>
        <v>000</v>
      </c>
      <c r="D58" s="678"/>
      <c r="E58" s="678">
        <f>IF('Employee Detail FY25'!E58="","",'Employee Detail FY25'!E58)</f>
        <v>100</v>
      </c>
      <c r="F58" s="678">
        <f>IF('Employee Detail FY25'!F58="","",'Employee Detail FY25'!F58)</f>
        <v>2580</v>
      </c>
      <c r="G58" s="678" t="str">
        <f>IF('Employee Detail FY25'!G58="","",'Employee Detail FY25'!G58)</f>
        <v>0107</v>
      </c>
      <c r="H58" s="678"/>
      <c r="I58" s="359" t="str">
        <f>IF('Employee Detail FY25'!I58="","",'Employee Detail FY25'!I58)</f>
        <v>BABJI</v>
      </c>
      <c r="J58" s="359" t="str">
        <f>IF('Employee Detail FY25'!J58="","",'Employee Detail FY25'!J58)</f>
        <v>NIKOLAS</v>
      </c>
      <c r="K58" s="359" t="str">
        <f>IF('Employee Detail FY25'!K58="","",'Employee Detail FY25'!K58)</f>
        <v>Support Staff</v>
      </c>
      <c r="L58" s="359" t="str">
        <f>IF('Employee Detail FY25'!L58="","",'Employee Detail FY25'!L58)</f>
        <v>IT SPECIALIST</v>
      </c>
      <c r="M58" s="388">
        <f>IF('Employee Detail FY25'!M58="","",'Employee Detail FY25'!M58)</f>
        <v>1</v>
      </c>
      <c r="N58" s="386" t="str">
        <f>IF('Employee Detail FY25'!N58="","",'Employee Detail FY25'!N58)</f>
        <v/>
      </c>
      <c r="O58" s="386">
        <f>IF('Employee Detail FY25'!O58="","",'Employee Detail FY25'!O58)</f>
        <v>26</v>
      </c>
      <c r="P58" s="386" t="str">
        <f>IF('Employee Detail FY25'!P58="","",'Employee Detail FY25'!P58)</f>
        <v>ER</v>
      </c>
      <c r="Q58" s="386" t="str">
        <f>IF('Employee Detail FY25'!Q58="","",'Employee Detail FY25'!Q58)</f>
        <v/>
      </c>
      <c r="R58" s="386">
        <f>IF('Employee Detail FY25'!R58="","",'Employee Detail FY25'!R58)</f>
        <v>261</v>
      </c>
      <c r="S58" s="386">
        <f>IF('Employee Detail FY25'!S58="","",'Employee Detail FY25'!S58)</f>
        <v>8</v>
      </c>
      <c r="T58" s="263">
        <f t="shared" si="6"/>
        <v>2088</v>
      </c>
      <c r="U58" s="269">
        <f>IF('Employee Detail FY25'!U58="","",'Employee Detail FY25'!U58)</f>
        <v>49000</v>
      </c>
      <c r="V58" s="270">
        <f t="shared" si="7"/>
        <v>54880.000000000007</v>
      </c>
      <c r="W58" s="270" t="str">
        <f t="shared" si="8"/>
        <v/>
      </c>
      <c r="X58" s="270">
        <f t="shared" si="9"/>
        <v>54880.000000000007</v>
      </c>
      <c r="Y58" s="62">
        <v>0</v>
      </c>
      <c r="Z58" s="62">
        <v>0</v>
      </c>
      <c r="AA58" s="256">
        <f t="shared" si="10"/>
        <v>54880.000000000007</v>
      </c>
      <c r="AB58" s="3"/>
      <c r="AC58" s="62">
        <f t="shared" si="11"/>
        <v>7943.76</v>
      </c>
      <c r="AD58" s="62" t="str">
        <f t="shared" si="12"/>
        <v/>
      </c>
      <c r="AE58" s="62">
        <f t="shared" si="13"/>
        <v>16052.400000000001</v>
      </c>
      <c r="AF58" s="62">
        <f t="shared" si="14"/>
        <v>795.7600000000001</v>
      </c>
      <c r="AG58" s="192">
        <v>0</v>
      </c>
      <c r="AH58" s="62">
        <f t="shared" si="15"/>
        <v>499.53620554735636</v>
      </c>
      <c r="AI58" s="62">
        <f t="shared" si="16"/>
        <v>161.63250518641189</v>
      </c>
      <c r="AJ58" s="62"/>
      <c r="AK58" s="62">
        <v>0</v>
      </c>
      <c r="AL58" s="256">
        <f t="shared" si="17"/>
        <v>25453.088710733769</v>
      </c>
      <c r="AM58" s="256">
        <f t="shared" si="18"/>
        <v>54880.000000000007</v>
      </c>
      <c r="AN58" s="256">
        <f t="shared" si="19"/>
        <v>80333.088710733777</v>
      </c>
    </row>
    <row r="59" spans="1:40" hidden="1" x14ac:dyDescent="0.2">
      <c r="A59" s="386" t="str">
        <f>IF('Employee Detail FY25'!A59="","",'Employee Detail FY25'!A59)</f>
        <v/>
      </c>
      <c r="B59" s="678">
        <f>IF('Employee Detail FY25'!B59="","",'Employee Detail FY25'!B59)</f>
        <v>100</v>
      </c>
      <c r="C59" s="678" t="str">
        <f>IF('Employee Detail FY25'!C59="","",'Employee Detail FY25'!C59)</f>
        <v>000</v>
      </c>
      <c r="D59" s="678"/>
      <c r="E59" s="678">
        <f>IF('Employee Detail FY25'!E59="","",'Employee Detail FY25'!E59)</f>
        <v>100</v>
      </c>
      <c r="F59" s="678" t="str">
        <f>IF('Employee Detail FY25'!F59="","",'Employee Detail FY25'!F59)</f>
        <v>2510</v>
      </c>
      <c r="G59" s="678" t="str">
        <f>IF('Employee Detail FY25'!G59="","",'Employee Detail FY25'!G59)</f>
        <v>0105</v>
      </c>
      <c r="H59" s="678"/>
      <c r="I59" s="359" t="str">
        <f>IF('Employee Detail FY25'!I59="","",'Employee Detail FY25'!I59)</f>
        <v>BELLINGER</v>
      </c>
      <c r="J59" s="359" t="str">
        <f>IF('Employee Detail FY25'!J59="","",'Employee Detail FY25'!J59)</f>
        <v>MARY KAY</v>
      </c>
      <c r="K59" s="359" t="str">
        <f>IF('Employee Detail FY25'!K59="","",'Employee Detail FY25'!K59)</f>
        <v>Support Staff</v>
      </c>
      <c r="L59" s="359" t="str">
        <f>IF('Employee Detail FY25'!L59="","",'Employee Detail FY25'!L59)</f>
        <v>OPERATIONS COORDINATOR</v>
      </c>
      <c r="M59" s="388">
        <f>IF('Employee Detail FY25'!M59="","",'Employee Detail FY25'!M59)</f>
        <v>1</v>
      </c>
      <c r="N59" s="386" t="str">
        <f>IF('Employee Detail FY25'!N59="","",'Employee Detail FY25'!N59)</f>
        <v>H</v>
      </c>
      <c r="O59" s="386">
        <f>IF('Employee Detail FY25'!O59="","",'Employee Detail FY25'!O59)</f>
        <v>1</v>
      </c>
      <c r="P59" s="386" t="str">
        <f>IF('Employee Detail FY25'!P59="","",'Employee Detail FY25'!P59)</f>
        <v>ER</v>
      </c>
      <c r="Q59" s="386" t="str">
        <f>IF('Employee Detail FY25'!Q59="","",'Employee Detail FY25'!Q59)</f>
        <v/>
      </c>
      <c r="R59" s="386">
        <f>IF('Employee Detail FY25'!R59="","",'Employee Detail FY25'!R59)</f>
        <v>261</v>
      </c>
      <c r="S59" s="386">
        <f>IF('Employee Detail FY25'!S59="","",'Employee Detail FY25'!S59)</f>
        <v>8</v>
      </c>
      <c r="T59" s="263">
        <f t="shared" si="6"/>
        <v>2088</v>
      </c>
      <c r="U59" s="269">
        <f>IF('Employee Detail FY25'!U59="","",'Employee Detail FY25'!U59)</f>
        <v>62000</v>
      </c>
      <c r="V59" s="270">
        <f t="shared" si="7"/>
        <v>69440</v>
      </c>
      <c r="W59" s="270" t="str">
        <f t="shared" si="8"/>
        <v/>
      </c>
      <c r="X59" s="270">
        <f t="shared" si="9"/>
        <v>69440</v>
      </c>
      <c r="Y59" s="62">
        <v>0</v>
      </c>
      <c r="Z59" s="62">
        <v>0</v>
      </c>
      <c r="AA59" s="256">
        <f t="shared" si="10"/>
        <v>69440</v>
      </c>
      <c r="AB59" s="3"/>
      <c r="AC59" s="62">
        <f t="shared" si="11"/>
        <v>7943.76</v>
      </c>
      <c r="AD59" s="62" t="str">
        <f t="shared" si="12"/>
        <v/>
      </c>
      <c r="AE59" s="62">
        <f t="shared" si="13"/>
        <v>20311.199999999997</v>
      </c>
      <c r="AF59" s="62">
        <f t="shared" si="14"/>
        <v>1006.88</v>
      </c>
      <c r="AG59" s="192">
        <v>0</v>
      </c>
      <c r="AH59" s="62">
        <f t="shared" si="15"/>
        <v>632.06621926400192</v>
      </c>
      <c r="AI59" s="62">
        <f t="shared" si="16"/>
        <v>204.51459839913338</v>
      </c>
      <c r="AJ59" s="62"/>
      <c r="AK59" s="62">
        <v>0</v>
      </c>
      <c r="AL59" s="256">
        <f t="shared" si="17"/>
        <v>30098.420817663136</v>
      </c>
      <c r="AM59" s="256">
        <f t="shared" si="18"/>
        <v>69440</v>
      </c>
      <c r="AN59" s="256">
        <f t="shared" si="19"/>
        <v>99538.420817663136</v>
      </c>
    </row>
    <row r="60" spans="1:40" hidden="1" x14ac:dyDescent="0.2">
      <c r="A60" s="386" t="str">
        <f>IF('Employee Detail FY25'!A60="","",'Employee Detail FY25'!A60)</f>
        <v/>
      </c>
      <c r="B60" s="678" t="str">
        <f>IF('Employee Detail FY25'!B60="","",'Employee Detail FY25'!B60)</f>
        <v/>
      </c>
      <c r="C60" s="678" t="str">
        <f>IF('Employee Detail FY25'!C60="","",'Employee Detail FY25'!C60)</f>
        <v/>
      </c>
      <c r="D60" s="678"/>
      <c r="E60" s="678" t="str">
        <f>IF('Employee Detail FY25'!E60="","",'Employee Detail FY25'!E60)</f>
        <v/>
      </c>
      <c r="F60" s="678" t="str">
        <f>IF('Employee Detail FY25'!F60="","",'Employee Detail FY25'!F60)</f>
        <v/>
      </c>
      <c r="G60" s="678" t="str">
        <f>IF('Employee Detail FY25'!G60="","",'Employee Detail FY25'!G60)</f>
        <v/>
      </c>
      <c r="H60" s="678"/>
      <c r="I60" s="359" t="str">
        <f>IF('Employee Detail FY25'!I60="","",'Employee Detail FY25'!I60)</f>
        <v/>
      </c>
      <c r="J60" s="359" t="str">
        <f>IF('Employee Detail FY25'!J60="","",'Employee Detail FY25'!J60)</f>
        <v/>
      </c>
      <c r="K60" s="359" t="str">
        <f>IF('Employee Detail FY25'!K60="","",'Employee Detail FY25'!K60)</f>
        <v/>
      </c>
      <c r="L60" s="359" t="str">
        <f>IF('Employee Detail FY25'!L60="","",'Employee Detail FY25'!L60)</f>
        <v/>
      </c>
      <c r="M60" s="388" t="str">
        <f>IF('Employee Detail FY25'!M60="","",'Employee Detail FY25'!M60)</f>
        <v/>
      </c>
      <c r="N60" s="386" t="str">
        <f>IF('Employee Detail FY25'!N60="","",'Employee Detail FY25'!N60)</f>
        <v/>
      </c>
      <c r="O60" s="386" t="str">
        <f>IF('Employee Detail FY25'!O60="","",'Employee Detail FY25'!O60)</f>
        <v/>
      </c>
      <c r="P60" s="386" t="str">
        <f>IF('Employee Detail FY25'!P60="","",'Employee Detail FY25'!P60)</f>
        <v/>
      </c>
      <c r="Q60" s="386" t="str">
        <f>IF('Employee Detail FY25'!Q60="","",'Employee Detail FY25'!Q60)</f>
        <v/>
      </c>
      <c r="R60" s="386" t="str">
        <f>IF('Employee Detail FY25'!R60="","",'Employee Detail FY25'!R60)</f>
        <v/>
      </c>
      <c r="S60" s="386" t="str">
        <f>IF('Employee Detail FY25'!S60="","",'Employee Detail FY25'!S60)</f>
        <v/>
      </c>
      <c r="T60" s="263" t="str">
        <f t="shared" si="6"/>
        <v/>
      </c>
      <c r="U60" s="269" t="str">
        <f>IF('Employee Detail FY25'!U60="","",'Employee Detail FY25'!U60)</f>
        <v/>
      </c>
      <c r="V60" s="270" t="str">
        <f t="shared" si="7"/>
        <v/>
      </c>
      <c r="W60" s="270" t="str">
        <f t="shared" si="8"/>
        <v/>
      </c>
      <c r="X60" s="270" t="str">
        <f t="shared" si="9"/>
        <v/>
      </c>
      <c r="Y60" s="62">
        <v>0</v>
      </c>
      <c r="Z60" s="62">
        <v>0</v>
      </c>
      <c r="AA60" s="256">
        <f t="shared" si="10"/>
        <v>0</v>
      </c>
      <c r="AB60" s="3"/>
      <c r="AC60" s="62" t="str">
        <f t="shared" si="11"/>
        <v/>
      </c>
      <c r="AD60" s="62" t="str">
        <f t="shared" si="12"/>
        <v/>
      </c>
      <c r="AE60" s="62" t="str">
        <f t="shared" si="13"/>
        <v/>
      </c>
      <c r="AF60" s="62" t="str">
        <f t="shared" si="14"/>
        <v/>
      </c>
      <c r="AG60" s="192">
        <v>0</v>
      </c>
      <c r="AH60" s="62" t="str">
        <f t="shared" si="15"/>
        <v/>
      </c>
      <c r="AI60" s="62">
        <f t="shared" si="16"/>
        <v>0</v>
      </c>
      <c r="AJ60" s="62"/>
      <c r="AK60" s="62">
        <v>0</v>
      </c>
      <c r="AL60" s="256">
        <f t="shared" si="17"/>
        <v>0</v>
      </c>
      <c r="AM60" s="256">
        <f t="shared" si="18"/>
        <v>0</v>
      </c>
      <c r="AN60" s="256">
        <f t="shared" si="19"/>
        <v>0</v>
      </c>
    </row>
    <row r="61" spans="1:40" hidden="1" x14ac:dyDescent="0.2">
      <c r="A61" s="386" t="str">
        <f>IF('Employee Detail FY25'!A61="","",'Employee Detail FY25'!A61)</f>
        <v>CSP</v>
      </c>
      <c r="B61" s="678" t="str">
        <f>IF('Employee Detail FY25'!B61="","",'Employee Detail FY25'!B61)</f>
        <v>100</v>
      </c>
      <c r="C61" s="678" t="str">
        <f>IF('Employee Detail FY25'!C61="","",'Employee Detail FY25'!C61)</f>
        <v>000</v>
      </c>
      <c r="D61" s="678"/>
      <c r="E61" s="678">
        <f>IF('Employee Detail FY25'!E61="","",'Employee Detail FY25'!E61)</f>
        <v>100</v>
      </c>
      <c r="F61" s="678">
        <f>IF('Employee Detail FY25'!F61="","",'Employee Detail FY25'!F61)</f>
        <v>2110</v>
      </c>
      <c r="G61" s="678" t="str">
        <f>IF('Employee Detail FY25'!G61="","",'Employee Detail FY25'!G61)</f>
        <v>0107</v>
      </c>
      <c r="H61" s="678"/>
      <c r="I61" s="359" t="str">
        <f>IF('Employee Detail FY25'!I61="","",'Employee Detail FY25'!I61)</f>
        <v>CAMARILLO</v>
      </c>
      <c r="J61" s="359" t="str">
        <f>IF('Employee Detail FY25'!J61="","",'Employee Detail FY25'!J61)</f>
        <v>GLENDI</v>
      </c>
      <c r="K61" s="359" t="str">
        <f>IF('Employee Detail FY25'!K61="","",'Employee Detail FY25'!K61)</f>
        <v>Support Staff</v>
      </c>
      <c r="L61" s="359" t="str">
        <f>IF('Employee Detail FY25'!L61="","",'Employee Detail FY25'!L61)</f>
        <v>STUDENT PERSISTENCE ASSISTANT</v>
      </c>
      <c r="M61" s="388">
        <f>IF('Employee Detail FY25'!M61="","",'Employee Detail FY25'!M61)</f>
        <v>1</v>
      </c>
      <c r="N61" s="386">
        <f>IF('Employee Detail FY25'!N61="","",'Employee Detail FY25'!N61)</f>
        <v>12</v>
      </c>
      <c r="O61" s="386">
        <f>IF('Employee Detail FY25'!O61="","",'Employee Detail FY25'!O61)</f>
        <v>24</v>
      </c>
      <c r="P61" s="386" t="str">
        <f>IF('Employee Detail FY25'!P61="","",'Employee Detail FY25'!P61)</f>
        <v>ER</v>
      </c>
      <c r="Q61" s="386">
        <f>IF('Employee Detail FY25'!Q61="","",'Employee Detail FY25'!Q61)</f>
        <v>19.88</v>
      </c>
      <c r="R61" s="386">
        <f>IF('Employee Detail FY25'!R61="","",'Employee Detail FY25'!R61)</f>
        <v>260</v>
      </c>
      <c r="S61" s="386">
        <f>IF('Employee Detail FY25'!S61="","",'Employee Detail FY25'!S61)</f>
        <v>8</v>
      </c>
      <c r="T61" s="263">
        <f>+IF(R61="","",R61*S61)</f>
        <v>2080</v>
      </c>
      <c r="U61" s="269">
        <f>IF('Employee Detail FY25'!U61="","",'Employee Detail FY25'!U61)</f>
        <v>41350.400000000001</v>
      </c>
      <c r="V61" s="270">
        <f>IF($U61="","",$U61*(1+$V$1))</f>
        <v>46312.448000000004</v>
      </c>
      <c r="W61" s="270" t="str">
        <f>+IF(P61="EE",+V61*$W$1,"")</f>
        <v/>
      </c>
      <c r="X61" s="270">
        <f>_xlfn.IFS(P61="ER",V61,P61="EE",W61,P61="N",V61,P61="","")</f>
        <v>46312.448000000004</v>
      </c>
      <c r="Y61" s="62">
        <v>0</v>
      </c>
      <c r="Z61" s="62">
        <v>0</v>
      </c>
      <c r="AA61" s="256">
        <f>SUM(X61:Z61)</f>
        <v>46312.448000000004</v>
      </c>
      <c r="AB61" s="3"/>
      <c r="AC61" s="62">
        <f>IF(AND(M61=1,P61&lt;&gt;"N"),$AC$1,"")</f>
        <v>7943.76</v>
      </c>
      <c r="AD61" s="62" t="str">
        <f>_xlfn.IFS(P61="N",$AD$1*AA61,P61="EE","",P61="ER","",P61="","")</f>
        <v/>
      </c>
      <c r="AE61" s="62">
        <f>_xlfn.IFS(P61="EE",X61*$AE$1,P61="ER",X61*$AE$2,P61="N","",P61="","")</f>
        <v>13546.39104</v>
      </c>
      <c r="AF61" s="62">
        <f>+IF(AA61&gt;1,AA61*$AF$1,"")</f>
        <v>671.53049600000008</v>
      </c>
      <c r="AG61" s="192">
        <v>0</v>
      </c>
      <c r="AH61" s="62">
        <f>+IF(AA61&gt;1,AA61*$AH$1,"")</f>
        <v>421.5514676299062</v>
      </c>
      <c r="AI61" s="62">
        <f>+_xlfn.IFS(F61&lt;2300,(AA61*$AI$1),F61&gt;=2300,(AA61*$AI$2),F61="","")</f>
        <v>136.39936209102461</v>
      </c>
      <c r="AJ61" s="62"/>
      <c r="AK61" s="62">
        <v>0</v>
      </c>
      <c r="AL61" s="256">
        <f>SUM(AC61:AK61)</f>
        <v>22719.632365720932</v>
      </c>
      <c r="AM61" s="256">
        <f>AA61</f>
        <v>46312.448000000004</v>
      </c>
      <c r="AN61" s="256">
        <f>SUM(AL61:AM61)</f>
        <v>69032.080365720933</v>
      </c>
    </row>
    <row r="62" spans="1:40" hidden="1" x14ac:dyDescent="0.2">
      <c r="A62" s="386" t="str">
        <f>IF('Employee Detail FY25'!A62="","",'Employee Detail FY25'!A62)</f>
        <v/>
      </c>
      <c r="B62" s="678" t="str">
        <f>IF('Employee Detail FY25'!B62="","",'Employee Detail FY25'!B62)</f>
        <v/>
      </c>
      <c r="C62" s="678" t="str">
        <f>IF('Employee Detail FY25'!C62="","",'Employee Detail FY25'!C62)</f>
        <v/>
      </c>
      <c r="D62" s="678"/>
      <c r="E62" s="678" t="str">
        <f>IF('Employee Detail FY25'!E62="","",'Employee Detail FY25'!E62)</f>
        <v/>
      </c>
      <c r="F62" s="678" t="str">
        <f>IF('Employee Detail FY25'!F62="","",'Employee Detail FY25'!F62)</f>
        <v/>
      </c>
      <c r="G62" s="678" t="str">
        <f>IF('Employee Detail FY25'!G62="","",'Employee Detail FY25'!G62)</f>
        <v/>
      </c>
      <c r="H62" s="678"/>
      <c r="I62" s="359" t="str">
        <f>IF('Employee Detail FY25'!I62="","",'Employee Detail FY25'!I62)</f>
        <v/>
      </c>
      <c r="J62" s="359" t="str">
        <f>IF('Employee Detail FY25'!J62="","",'Employee Detail FY25'!J62)</f>
        <v/>
      </c>
      <c r="K62" s="359" t="str">
        <f>IF('Employee Detail FY25'!K62="","",'Employee Detail FY25'!K62)</f>
        <v/>
      </c>
      <c r="L62" s="359" t="str">
        <f>IF('Employee Detail FY25'!L62="","",'Employee Detail FY25'!L62)</f>
        <v/>
      </c>
      <c r="M62" s="388" t="str">
        <f>IF('Employee Detail FY25'!M62="","",'Employee Detail FY25'!M62)</f>
        <v/>
      </c>
      <c r="N62" s="386" t="str">
        <f>IF('Employee Detail FY25'!N62="","",'Employee Detail FY25'!N62)</f>
        <v/>
      </c>
      <c r="O62" s="386" t="str">
        <f>IF('Employee Detail FY25'!O62="","",'Employee Detail FY25'!O62)</f>
        <v/>
      </c>
      <c r="P62" s="386" t="str">
        <f>IF('Employee Detail FY25'!P62="","",'Employee Detail FY25'!P62)</f>
        <v/>
      </c>
      <c r="Q62" s="386" t="str">
        <f>IF('Employee Detail FY25'!Q62="","",'Employee Detail FY25'!Q62)</f>
        <v/>
      </c>
      <c r="R62" s="386" t="str">
        <f>IF('Employee Detail FY25'!R62="","",'Employee Detail FY25'!R62)</f>
        <v/>
      </c>
      <c r="S62" s="386" t="str">
        <f>IF('Employee Detail FY25'!S62="","",'Employee Detail FY25'!S62)</f>
        <v/>
      </c>
      <c r="T62" s="263" t="str">
        <f>+IF(R62="","",R62*S62)</f>
        <v/>
      </c>
      <c r="U62" s="269">
        <f>IF('Employee Detail FY25'!U62="","",'Employee Detail FY25'!U62)</f>
        <v>0</v>
      </c>
      <c r="V62" s="270">
        <f>IF($U62="","",$U62*(1+$V$1))</f>
        <v>0</v>
      </c>
      <c r="W62" s="270" t="str">
        <f>+IF(P62="EE",+V62*$W$1,"")</f>
        <v/>
      </c>
      <c r="X62" s="270" t="str">
        <f>_xlfn.IFS(P62="ER",V62,P62="EE",W62,P62="N",V62,P62="","")</f>
        <v/>
      </c>
      <c r="Y62" s="62">
        <v>0</v>
      </c>
      <c r="Z62" s="62">
        <v>0</v>
      </c>
      <c r="AA62" s="256">
        <f>SUM(X62:Z62)</f>
        <v>0</v>
      </c>
      <c r="AB62" s="3"/>
      <c r="AC62" s="62" t="str">
        <f>IF(AND(M62=1,P62&lt;&gt;"N"),$AC$1,"")</f>
        <v/>
      </c>
      <c r="AD62" s="62" t="str">
        <f>_xlfn.IFS(P62="N",$AD$1*AA62,P62="EE","",P62="ER","",P62="","")</f>
        <v/>
      </c>
      <c r="AE62" s="62" t="str">
        <f>_xlfn.IFS(P62="EE",X62*$AE$1,P62="ER",X62*$AE$2,P62="N","",P62="","")</f>
        <v/>
      </c>
      <c r="AF62" s="62" t="str">
        <f>+IF(AA62&gt;1,AA62*$AF$1,"")</f>
        <v/>
      </c>
      <c r="AG62" s="192">
        <v>0</v>
      </c>
      <c r="AH62" s="62" t="str">
        <f>+IF(AA62&gt;1,AA62*$AH$1,"")</f>
        <v/>
      </c>
      <c r="AI62" s="62">
        <f>+_xlfn.IFS(F62&lt;2300,(AA62*$AI$1),F62&gt;=2300,(AA62*$AI$2),F62="","")</f>
        <v>0</v>
      </c>
      <c r="AJ62" s="62"/>
      <c r="AK62" s="62">
        <v>0</v>
      </c>
      <c r="AL62" s="256">
        <f>SUM(AC62:AK62)</f>
        <v>0</v>
      </c>
      <c r="AM62" s="256">
        <f>AA62</f>
        <v>0</v>
      </c>
      <c r="AN62" s="256">
        <f>SUM(AL62:AM62)</f>
        <v>0</v>
      </c>
    </row>
    <row r="63" spans="1:40" hidden="1" x14ac:dyDescent="0.2">
      <c r="A63" s="386" t="str">
        <f>IF('Employee Detail FY25'!A63="","",'Employee Detail FY25'!A63)</f>
        <v/>
      </c>
      <c r="B63" s="678">
        <f>IF('Employee Detail FY25'!B63="","",'Employee Detail FY25'!B63)</f>
        <v>100</v>
      </c>
      <c r="C63" s="678" t="str">
        <f>IF('Employee Detail FY25'!C63="","",'Employee Detail FY25'!C63)</f>
        <v>000</v>
      </c>
      <c r="D63" s="678"/>
      <c r="E63" s="678">
        <f>IF('Employee Detail FY25'!E63="","",'Employee Detail FY25'!E63)</f>
        <v>100</v>
      </c>
      <c r="F63" s="678">
        <f>IF('Employee Detail FY25'!F63="","",'Employee Detail FY25'!F63)</f>
        <v>2212</v>
      </c>
      <c r="G63" s="678" t="str">
        <f>IF('Employee Detail FY25'!G63="","",'Employee Detail FY25'!G63)</f>
        <v>0107</v>
      </c>
      <c r="H63" s="678"/>
      <c r="I63" s="359" t="str">
        <f>IF('Employee Detail FY25'!I63="","",'Employee Detail FY25'!I63)</f>
        <v>HERNANDEZ</v>
      </c>
      <c r="J63" s="359" t="str">
        <f>IF('Employee Detail FY25'!J63="","",'Employee Detail FY25'!J63)</f>
        <v>BRISSELLE</v>
      </c>
      <c r="K63" s="359" t="str">
        <f>IF('Employee Detail FY25'!K63="","",'Employee Detail FY25'!K63)</f>
        <v>Support Staff</v>
      </c>
      <c r="L63" s="359" t="str">
        <f>IF('Employee Detail FY25'!L63="","",'Employee Detail FY25'!L63)</f>
        <v>INSTRUCTIONAL DESIGNER</v>
      </c>
      <c r="M63" s="388">
        <f>IF('Employee Detail FY25'!M63="","",'Employee Detail FY25'!M63)</f>
        <v>1</v>
      </c>
      <c r="N63" s="386" t="str">
        <f>IF('Employee Detail FY25'!N63="","",'Employee Detail FY25'!N63)</f>
        <v/>
      </c>
      <c r="O63" s="386">
        <f>IF('Employee Detail FY25'!O63="","",'Employee Detail FY25'!O63)</f>
        <v>26</v>
      </c>
      <c r="P63" s="386" t="str">
        <f>IF('Employee Detail FY25'!P63="","",'Employee Detail FY25'!P63)</f>
        <v>EE</v>
      </c>
      <c r="Q63" s="386">
        <f>IF('Employee Detail FY25'!Q63="","",'Employee Detail FY25'!Q63)</f>
        <v>20</v>
      </c>
      <c r="R63" s="386">
        <f>IF('Employee Detail FY25'!R63="","",'Employee Detail FY25'!R63)</f>
        <v>261</v>
      </c>
      <c r="S63" s="386">
        <f>IF('Employee Detail FY25'!S63="","",'Employee Detail FY25'!S63)</f>
        <v>8</v>
      </c>
      <c r="T63" s="263">
        <f t="shared" si="6"/>
        <v>2088</v>
      </c>
      <c r="U63" s="269">
        <f>IF('Employee Detail FY25'!U63="","",'Employee Detail FY25'!U63)</f>
        <v>42600</v>
      </c>
      <c r="V63" s="270">
        <f t="shared" si="7"/>
        <v>47712.000000000007</v>
      </c>
      <c r="W63" s="270">
        <f t="shared" si="8"/>
        <v>55039.89523200001</v>
      </c>
      <c r="X63" s="270">
        <f t="shared" si="9"/>
        <v>55039.89523200001</v>
      </c>
      <c r="Y63" s="62">
        <v>0</v>
      </c>
      <c r="Z63" s="62">
        <v>0</v>
      </c>
      <c r="AA63" s="256">
        <f t="shared" si="10"/>
        <v>55039.89523200001</v>
      </c>
      <c r="AB63" s="3"/>
      <c r="AC63" s="62">
        <f t="shared" si="11"/>
        <v>7943.76</v>
      </c>
      <c r="AD63" s="62" t="str">
        <f t="shared" si="12"/>
        <v/>
      </c>
      <c r="AE63" s="62">
        <f t="shared" si="13"/>
        <v>8393.5840228800007</v>
      </c>
      <c r="AF63" s="62">
        <f t="shared" si="14"/>
        <v>798.0784808640002</v>
      </c>
      <c r="AG63" s="192">
        <v>0</v>
      </c>
      <c r="AH63" s="62">
        <f t="shared" si="15"/>
        <v>500.99162569091317</v>
      </c>
      <c r="AI63" s="62">
        <f t="shared" si="16"/>
        <v>162.10342841737986</v>
      </c>
      <c r="AJ63" s="62"/>
      <c r="AK63" s="62">
        <v>0</v>
      </c>
      <c r="AL63" s="256">
        <f t="shared" si="17"/>
        <v>17798.517557852294</v>
      </c>
      <c r="AM63" s="256">
        <f t="shared" si="18"/>
        <v>55039.89523200001</v>
      </c>
      <c r="AN63" s="256">
        <f t="shared" si="19"/>
        <v>72838.4127898523</v>
      </c>
    </row>
    <row r="64" spans="1:40" hidden="1" x14ac:dyDescent="0.2">
      <c r="A64" s="386" t="str">
        <f>IF('Employee Detail FY25'!A64="","",'Employee Detail FY25'!A64)</f>
        <v/>
      </c>
      <c r="B64" s="678">
        <f>IF('Employee Detail FY25'!B64="","",'Employee Detail FY25'!B64)</f>
        <v>100</v>
      </c>
      <c r="C64" s="678" t="str">
        <f>IF('Employee Detail FY25'!C64="","",'Employee Detail FY25'!C64)</f>
        <v>000</v>
      </c>
      <c r="D64" s="678"/>
      <c r="E64" s="678">
        <f>IF('Employee Detail FY25'!E64="","",'Employee Detail FY25'!E64)</f>
        <v>100</v>
      </c>
      <c r="F64" s="678" t="str">
        <f>IF('Employee Detail FY25'!F64="","",'Employee Detail FY25'!F64)</f>
        <v>2410</v>
      </c>
      <c r="G64" s="678" t="str">
        <f>IF('Employee Detail FY25'!G64="","",'Employee Detail FY25'!G64)</f>
        <v>0107</v>
      </c>
      <c r="H64" s="678"/>
      <c r="I64" s="359" t="str">
        <f>IF('Employee Detail FY25'!I64="","",'Employee Detail FY25'!I64)</f>
        <v>RUIZ</v>
      </c>
      <c r="J64" s="359" t="str">
        <f>IF('Employee Detail FY25'!J64="","",'Employee Detail FY25'!J64)</f>
        <v>ANNETTE</v>
      </c>
      <c r="K64" s="359" t="str">
        <f>IF('Employee Detail FY25'!K64="","",'Employee Detail FY25'!K64)</f>
        <v>Support Staff</v>
      </c>
      <c r="L64" s="359" t="str">
        <f>IF('Employee Detail FY25'!L64="","",'Employee Detail FY25'!L64)</f>
        <v>REGISTRAR</v>
      </c>
      <c r="M64" s="388">
        <f>IF('Employee Detail FY25'!M64="","",'Employee Detail FY25'!M64)</f>
        <v>1</v>
      </c>
      <c r="N64" s="386" t="str">
        <f>IF('Employee Detail FY25'!N64="","",'Employee Detail FY25'!N64)</f>
        <v>H</v>
      </c>
      <c r="O64" s="386">
        <f>IF('Employee Detail FY25'!O64="","",'Employee Detail FY25'!O64)</f>
        <v>1</v>
      </c>
      <c r="P64" s="386" t="str">
        <f>IF('Employee Detail FY25'!P64="","",'Employee Detail FY25'!P64)</f>
        <v>EE</v>
      </c>
      <c r="Q64" s="386" t="str">
        <f>IF('Employee Detail FY25'!Q64="","",'Employee Detail FY25'!Q64)</f>
        <v/>
      </c>
      <c r="R64" s="386">
        <f>IF('Employee Detail FY25'!R64="","",'Employee Detail FY25'!R64)</f>
        <v>261</v>
      </c>
      <c r="S64" s="386">
        <f>IF('Employee Detail FY25'!S64="","",'Employee Detail FY25'!S64)</f>
        <v>8</v>
      </c>
      <c r="T64" s="263">
        <f t="shared" si="6"/>
        <v>2088</v>
      </c>
      <c r="U64" s="269">
        <f>IF('Employee Detail FY25'!U64="","",'Employee Detail FY25'!U64)</f>
        <v>43000</v>
      </c>
      <c r="V64" s="270">
        <f t="shared" si="7"/>
        <v>48160.000000000007</v>
      </c>
      <c r="W64" s="270">
        <f t="shared" si="8"/>
        <v>55556.701760000011</v>
      </c>
      <c r="X64" s="270">
        <f t="shared" si="9"/>
        <v>55556.701760000011</v>
      </c>
      <c r="Y64" s="62">
        <v>0</v>
      </c>
      <c r="Z64" s="62">
        <v>0</v>
      </c>
      <c r="AA64" s="256">
        <f t="shared" si="10"/>
        <v>55556.701760000011</v>
      </c>
      <c r="AB64" s="3"/>
      <c r="AC64" s="62">
        <f t="shared" si="11"/>
        <v>7943.76</v>
      </c>
      <c r="AD64" s="62" t="str">
        <f t="shared" si="12"/>
        <v/>
      </c>
      <c r="AE64" s="62">
        <f t="shared" si="13"/>
        <v>8472.3970184000009</v>
      </c>
      <c r="AF64" s="62">
        <f t="shared" si="14"/>
        <v>805.5721755200002</v>
      </c>
      <c r="AG64" s="192">
        <v>0</v>
      </c>
      <c r="AH64" s="62">
        <f t="shared" si="15"/>
        <v>505.69577241101564</v>
      </c>
      <c r="AI64" s="62">
        <f t="shared" si="16"/>
        <v>163.62552633679189</v>
      </c>
      <c r="AJ64" s="62"/>
      <c r="AK64" s="62">
        <v>0</v>
      </c>
      <c r="AL64" s="256">
        <f t="shared" si="17"/>
        <v>17891.050492667808</v>
      </c>
      <c r="AM64" s="256">
        <f t="shared" si="18"/>
        <v>55556.701760000011</v>
      </c>
      <c r="AN64" s="256">
        <f t="shared" si="19"/>
        <v>73447.752252667822</v>
      </c>
    </row>
    <row r="65" spans="1:40" hidden="1" x14ac:dyDescent="0.2">
      <c r="A65" s="386" t="str">
        <f>IF('Employee Detail FY25'!A65="","",'Employee Detail FY25'!A65)</f>
        <v>CSP</v>
      </c>
      <c r="B65" s="678" t="str">
        <f>IF('Employee Detail FY25'!B65="","",'Employee Detail FY25'!B65)</f>
        <v>100</v>
      </c>
      <c r="C65" s="678" t="str">
        <f>IF('Employee Detail FY25'!C65="","",'Employee Detail FY25'!C65)</f>
        <v>000</v>
      </c>
      <c r="D65" s="678"/>
      <c r="E65" s="678">
        <f>IF('Employee Detail FY25'!E65="","",'Employee Detail FY25'!E65)</f>
        <v>100</v>
      </c>
      <c r="F65" s="678">
        <f>IF('Employee Detail FY25'!F65="","",'Employee Detail FY25'!F65)</f>
        <v>2410</v>
      </c>
      <c r="G65" s="678" t="str">
        <f>IF('Employee Detail FY25'!G65="","",'Employee Detail FY25'!G65)</f>
        <v>0107</v>
      </c>
      <c r="H65" s="678"/>
      <c r="I65" s="359" t="str">
        <f>IF('Employee Detail FY25'!I65="","",'Employee Detail FY25'!I65)</f>
        <v>ZEIDLER</v>
      </c>
      <c r="J65" s="359" t="str">
        <f>IF('Employee Detail FY25'!J65="","",'Employee Detail FY25'!J65)</f>
        <v>LINDA</v>
      </c>
      <c r="K65" s="359" t="str">
        <f>IF('Employee Detail FY25'!K65="","",'Employee Detail FY25'!K65)</f>
        <v>Support Staff</v>
      </c>
      <c r="L65" s="359" t="str">
        <f>IF('Employee Detail FY25'!L65="","",'Employee Detail FY25'!L65)</f>
        <v>RECORDS &amp; ENROLLMENT COORDINATOR</v>
      </c>
      <c r="M65" s="388">
        <f>IF('Employee Detail FY25'!M65="","",'Employee Detail FY25'!M65)</f>
        <v>1</v>
      </c>
      <c r="N65" s="386" t="str">
        <f>IF('Employee Detail FY25'!N65="","",'Employee Detail FY25'!N65)</f>
        <v/>
      </c>
      <c r="O65" s="386">
        <f>IF('Employee Detail FY25'!O65="","",'Employee Detail FY25'!O65)</f>
        <v>26</v>
      </c>
      <c r="P65" s="386" t="str">
        <f>IF('Employee Detail FY25'!P65="","",'Employee Detail FY25'!P65)</f>
        <v>ER</v>
      </c>
      <c r="Q65" s="386" t="str">
        <f>IF('Employee Detail FY25'!Q65="","",'Employee Detail FY25'!Q65)</f>
        <v/>
      </c>
      <c r="R65" s="386">
        <f>IF('Employee Detail FY25'!R65="","",'Employee Detail FY25'!R65)</f>
        <v>200</v>
      </c>
      <c r="S65" s="386">
        <f>IF('Employee Detail FY25'!S65="","",'Employee Detail FY25'!S65)</f>
        <v>8</v>
      </c>
      <c r="T65" s="263">
        <f t="shared" si="6"/>
        <v>1600</v>
      </c>
      <c r="U65" s="269">
        <f>IF('Employee Detail FY25'!U65="","",'Employee Detail FY25'!U65)</f>
        <v>70000</v>
      </c>
      <c r="V65" s="270">
        <f t="shared" si="7"/>
        <v>78400.000000000015</v>
      </c>
      <c r="W65" s="270" t="str">
        <f t="shared" si="8"/>
        <v/>
      </c>
      <c r="X65" s="270">
        <f t="shared" si="9"/>
        <v>78400.000000000015</v>
      </c>
      <c r="Y65" s="62">
        <v>0</v>
      </c>
      <c r="Z65" s="62">
        <v>0</v>
      </c>
      <c r="AA65" s="256">
        <f t="shared" si="10"/>
        <v>78400.000000000015</v>
      </c>
      <c r="AB65" s="3"/>
      <c r="AC65" s="62">
        <f t="shared" si="11"/>
        <v>7943.76</v>
      </c>
      <c r="AD65" s="62" t="str">
        <f t="shared" si="12"/>
        <v/>
      </c>
      <c r="AE65" s="62">
        <f t="shared" si="13"/>
        <v>22932.000000000004</v>
      </c>
      <c r="AF65" s="62">
        <f t="shared" si="14"/>
        <v>1136.8000000000002</v>
      </c>
      <c r="AG65" s="192">
        <v>0</v>
      </c>
      <c r="AH65" s="62">
        <f t="shared" si="15"/>
        <v>713.62315078193774</v>
      </c>
      <c r="AI65" s="62">
        <f t="shared" si="16"/>
        <v>230.90357883773129</v>
      </c>
      <c r="AJ65" s="62"/>
      <c r="AK65" s="62">
        <v>0</v>
      </c>
      <c r="AL65" s="256">
        <f t="shared" si="17"/>
        <v>32957.086729619674</v>
      </c>
      <c r="AM65" s="256">
        <f t="shared" si="18"/>
        <v>78400.000000000015</v>
      </c>
      <c r="AN65" s="256">
        <f t="shared" si="19"/>
        <v>111357.08672961968</v>
      </c>
    </row>
    <row r="66" spans="1:40" hidden="1" x14ac:dyDescent="0.2">
      <c r="A66" s="386" t="str">
        <f>IF('Employee Detail FY25'!A66="","",'Employee Detail FY25'!A66)</f>
        <v/>
      </c>
      <c r="B66" s="678">
        <f>IF('Employee Detail FY25'!B66="","",'Employee Detail FY25'!B66)</f>
        <v>100</v>
      </c>
      <c r="C66" s="678" t="str">
        <f>IF('Employee Detail FY25'!C66="","",'Employee Detail FY25'!C66)</f>
        <v>000</v>
      </c>
      <c r="D66" s="678"/>
      <c r="E66" s="678">
        <f>IF('Employee Detail FY25'!E66="","",'Employee Detail FY25'!E66)</f>
        <v>100</v>
      </c>
      <c r="F66" s="678" t="str">
        <f>IF('Employee Detail FY25'!F66="","",'Employee Detail FY25'!F66)</f>
        <v>2410</v>
      </c>
      <c r="G66" s="678" t="str">
        <f>IF('Employee Detail FY25'!G66="","",'Employee Detail FY25'!G66)</f>
        <v>0107</v>
      </c>
      <c r="H66" s="678"/>
      <c r="I66" s="359" t="str">
        <f>IF('Employee Detail FY25'!I66="","",'Employee Detail FY25'!I66)</f>
        <v>GARCIA</v>
      </c>
      <c r="J66" s="359" t="str">
        <f>IF('Employee Detail FY25'!J66="","",'Employee Detail FY25'!J66)</f>
        <v>BELINDA</v>
      </c>
      <c r="K66" s="359" t="str">
        <f>IF('Employee Detail FY25'!K66="","",'Employee Detail FY25'!K66)</f>
        <v>Support Staff</v>
      </c>
      <c r="L66" s="359" t="str">
        <f>IF('Employee Detail FY25'!L66="","",'Employee Detail FY25'!L66)</f>
        <v>RECEPTIONIST</v>
      </c>
      <c r="M66" s="388">
        <f>IF('Employee Detail FY25'!M66="","",'Employee Detail FY25'!M66)</f>
        <v>1</v>
      </c>
      <c r="N66" s="386" t="str">
        <f>IF('Employee Detail FY25'!N66="","",'Employee Detail FY25'!N66)</f>
        <v>12</v>
      </c>
      <c r="O66" s="386">
        <f>IF('Employee Detail FY25'!O66="","",'Employee Detail FY25'!O66)</f>
        <v>22.5</v>
      </c>
      <c r="P66" s="386" t="str">
        <f>IF('Employee Detail FY25'!P66="","",'Employee Detail FY25'!P66)</f>
        <v>ER</v>
      </c>
      <c r="Q66" s="386">
        <f>IF('Employee Detail FY25'!Q66="","",'Employee Detail FY25'!Q66)</f>
        <v>15.95</v>
      </c>
      <c r="R66" s="386">
        <f>IF('Employee Detail FY25'!R66="","",'Employee Detail FY25'!R66)</f>
        <v>260</v>
      </c>
      <c r="S66" s="386">
        <f>IF('Employee Detail FY25'!S66="","",'Employee Detail FY25'!S66)</f>
        <v>8</v>
      </c>
      <c r="T66" s="263">
        <f t="shared" si="6"/>
        <v>2080</v>
      </c>
      <c r="U66" s="269">
        <f>IF('Employee Detail FY25'!U66="","",'Employee Detail FY25'!U66)</f>
        <v>33176</v>
      </c>
      <c r="V66" s="270">
        <f t="shared" si="7"/>
        <v>37157.120000000003</v>
      </c>
      <c r="W66" s="270" t="str">
        <f t="shared" si="8"/>
        <v/>
      </c>
      <c r="X66" s="270">
        <f t="shared" si="9"/>
        <v>37157.120000000003</v>
      </c>
      <c r="Y66" s="62">
        <v>0</v>
      </c>
      <c r="Z66" s="62">
        <v>0</v>
      </c>
      <c r="AA66" s="256">
        <f t="shared" si="10"/>
        <v>37157.120000000003</v>
      </c>
      <c r="AB66" s="3"/>
      <c r="AC66" s="62">
        <f t="shared" si="11"/>
        <v>7943.76</v>
      </c>
      <c r="AD66" s="62" t="str">
        <f t="shared" si="12"/>
        <v/>
      </c>
      <c r="AE66" s="62">
        <f t="shared" si="13"/>
        <v>10868.4576</v>
      </c>
      <c r="AF66" s="62">
        <f t="shared" si="14"/>
        <v>538.7782400000001</v>
      </c>
      <c r="AG66" s="192">
        <v>0</v>
      </c>
      <c r="AH66" s="62">
        <f t="shared" si="15"/>
        <v>338.21659500487948</v>
      </c>
      <c r="AI66" s="62">
        <f t="shared" si="16"/>
        <v>109.43510187886531</v>
      </c>
      <c r="AJ66" s="62"/>
      <c r="AK66" s="62">
        <v>0</v>
      </c>
      <c r="AL66" s="256">
        <f t="shared" si="17"/>
        <v>19798.647536883745</v>
      </c>
      <c r="AM66" s="256">
        <f t="shared" si="18"/>
        <v>37157.120000000003</v>
      </c>
      <c r="AN66" s="256">
        <f t="shared" si="19"/>
        <v>56955.767536883752</v>
      </c>
    </row>
    <row r="67" spans="1:40" hidden="1" x14ac:dyDescent="0.2">
      <c r="A67" s="386" t="str">
        <f>IF('Employee Detail FY25'!A67="","",'Employee Detail FY25'!A67)</f>
        <v/>
      </c>
      <c r="B67" s="678">
        <f>IF('Employee Detail FY25'!B67="","",'Employee Detail FY25'!B67)</f>
        <v>250</v>
      </c>
      <c r="C67" s="678">
        <f>IF('Employee Detail FY25'!C67="","",'Employee Detail FY25'!C67)</f>
        <v>205</v>
      </c>
      <c r="D67" s="678"/>
      <c r="E67" s="678">
        <f>IF('Employee Detail FY25'!E67="","",'Employee Detail FY25'!E67)</f>
        <v>200</v>
      </c>
      <c r="F67" s="678">
        <f>IF('Employee Detail FY25'!F67="","",'Employee Detail FY25'!F67)</f>
        <v>2410</v>
      </c>
      <c r="G67" s="678" t="str">
        <f>IF('Employee Detail FY25'!G67="","",'Employee Detail FY25'!G67)</f>
        <v>0107</v>
      </c>
      <c r="H67" s="678"/>
      <c r="I67" s="359" t="str">
        <f>IF('Employee Detail FY25'!I67="","",'Employee Detail FY25'!I67)</f>
        <v>CLADERA RABELO</v>
      </c>
      <c r="J67" s="359" t="str">
        <f>IF('Employee Detail FY25'!J67="","",'Employee Detail FY25'!J67)</f>
        <v>REDYANE</v>
      </c>
      <c r="K67" s="359" t="str">
        <f>IF('Employee Detail FY25'!K67="","",'Employee Detail FY25'!K67)</f>
        <v>Support Staff</v>
      </c>
      <c r="L67" s="359" t="str">
        <f>IF('Employee Detail FY25'!L67="","",'Employee Detail FY25'!L67)</f>
        <v>SPED ADMIN ASSISTANT</v>
      </c>
      <c r="M67" s="388">
        <f>IF('Employee Detail FY25'!M67="","",'Employee Detail FY25'!M67)</f>
        <v>1</v>
      </c>
      <c r="N67" s="386" t="str">
        <f>IF('Employee Detail FY25'!N67="","",'Employee Detail FY25'!N67)</f>
        <v>12</v>
      </c>
      <c r="O67" s="386">
        <f>IF('Employee Detail FY25'!O67="","",'Employee Detail FY25'!O67)</f>
        <v>24</v>
      </c>
      <c r="P67" s="386" t="str">
        <f>IF('Employee Detail FY25'!P67="","",'Employee Detail FY25'!P67)</f>
        <v>EE</v>
      </c>
      <c r="Q67" s="386">
        <f>IF('Employee Detail FY25'!Q67="","",'Employee Detail FY25'!Q67)</f>
        <v>19.350000000000001</v>
      </c>
      <c r="R67" s="386">
        <f>IF('Employee Detail FY25'!R67="","",'Employee Detail FY25'!R67)</f>
        <v>260</v>
      </c>
      <c r="S67" s="386">
        <f>IF('Employee Detail FY25'!S67="","",'Employee Detail FY25'!S67)</f>
        <v>8</v>
      </c>
      <c r="T67" s="263">
        <f t="shared" si="6"/>
        <v>2080</v>
      </c>
      <c r="U67" s="269">
        <f>IF('Employee Detail FY25'!U67="","",'Employee Detail FY25'!U67)</f>
        <v>40248</v>
      </c>
      <c r="V67" s="270">
        <f t="shared" si="7"/>
        <v>45077.760000000002</v>
      </c>
      <c r="W67" s="270">
        <f t="shared" si="8"/>
        <v>52001.072847360003</v>
      </c>
      <c r="X67" s="270">
        <f t="shared" si="9"/>
        <v>52001.072847360003</v>
      </c>
      <c r="Y67" s="62">
        <v>0</v>
      </c>
      <c r="Z67" s="62">
        <v>0</v>
      </c>
      <c r="AA67" s="256">
        <f t="shared" si="10"/>
        <v>52001.072847360003</v>
      </c>
      <c r="AB67" s="3"/>
      <c r="AC67" s="62">
        <f t="shared" si="11"/>
        <v>7943.76</v>
      </c>
      <c r="AD67" s="62" t="str">
        <f t="shared" si="12"/>
        <v/>
      </c>
      <c r="AE67" s="62">
        <f t="shared" si="13"/>
        <v>7930.1636092223998</v>
      </c>
      <c r="AF67" s="62">
        <f t="shared" si="14"/>
        <v>754.01555628672008</v>
      </c>
      <c r="AG67" s="192">
        <v>0</v>
      </c>
      <c r="AH67" s="62">
        <f t="shared" si="15"/>
        <v>473.33124297671054</v>
      </c>
      <c r="AI67" s="62">
        <f t="shared" si="16"/>
        <v>153.1534926512372</v>
      </c>
      <c r="AJ67" s="62"/>
      <c r="AK67" s="62">
        <v>0</v>
      </c>
      <c r="AL67" s="256">
        <f t="shared" si="17"/>
        <v>17254.423901137066</v>
      </c>
      <c r="AM67" s="256">
        <f t="shared" si="18"/>
        <v>52001.072847360003</v>
      </c>
      <c r="AN67" s="256">
        <f t="shared" si="19"/>
        <v>69255.496748497069</v>
      </c>
    </row>
    <row r="68" spans="1:40" hidden="1" x14ac:dyDescent="0.2">
      <c r="A68" s="386" t="str">
        <f>IF('Employee Detail FY25'!A68="","",'Employee Detail FY25'!A68)</f>
        <v/>
      </c>
      <c r="B68" s="678">
        <f>IF('Employee Detail FY25'!B68="","",'Employee Detail FY25'!B68)</f>
        <v>100</v>
      </c>
      <c r="C68" s="678" t="str">
        <f>IF('Employee Detail FY25'!C68="","",'Employee Detail FY25'!C68)</f>
        <v>000</v>
      </c>
      <c r="D68" s="678"/>
      <c r="E68" s="678">
        <f>IF('Employee Detail FY25'!E68="","",'Employee Detail FY25'!E68)</f>
        <v>100</v>
      </c>
      <c r="F68" s="678">
        <f>IF('Employee Detail FY25'!F68="","",'Employee Detail FY25'!F68)</f>
        <v>2410</v>
      </c>
      <c r="G68" s="678" t="str">
        <f>IF('Employee Detail FY25'!G68="","",'Employee Detail FY25'!G68)</f>
        <v>0107</v>
      </c>
      <c r="H68" s="678"/>
      <c r="I68" s="359" t="str">
        <f>IF('Employee Detail FY25'!I68="","",'Employee Detail FY25'!I68)</f>
        <v>PINEDO</v>
      </c>
      <c r="J68" s="359" t="str">
        <f>IF('Employee Detail FY25'!J68="","",'Employee Detail FY25'!J68)</f>
        <v>Adylene</v>
      </c>
      <c r="K68" s="359" t="str">
        <f>IF('Employee Detail FY25'!K68="","",'Employee Detail FY25'!K68)</f>
        <v>Support Staff</v>
      </c>
      <c r="L68" s="359" t="str">
        <f>IF('Employee Detail FY25'!L68="","",'Employee Detail FY25'!L68)</f>
        <v>Enrollment Specialist</v>
      </c>
      <c r="M68" s="388">
        <f>IF('Employee Detail FY25'!M68="","",'Employee Detail FY25'!M68)</f>
        <v>1</v>
      </c>
      <c r="N68" s="386" t="str">
        <f>IF('Employee Detail FY25'!N68="","",'Employee Detail FY25'!N68)</f>
        <v/>
      </c>
      <c r="O68" s="386">
        <f>IF('Employee Detail FY25'!O68="","",'Employee Detail FY25'!O68)</f>
        <v>26</v>
      </c>
      <c r="P68" s="386" t="str">
        <f>IF('Employee Detail FY25'!P68="","",'Employee Detail FY25'!P68)</f>
        <v>EE</v>
      </c>
      <c r="Q68" s="386">
        <f>IF('Employee Detail FY25'!Q68="","",'Employee Detail FY25'!Q68)</f>
        <v>14.5</v>
      </c>
      <c r="R68" s="386">
        <f>IF('Employee Detail FY25'!R68="","",'Employee Detail FY25'!R68)</f>
        <v>261</v>
      </c>
      <c r="S68" s="386">
        <f>IF('Employee Detail FY25'!S68="","",'Employee Detail FY25'!S68)</f>
        <v>8</v>
      </c>
      <c r="T68" s="263">
        <f t="shared" si="6"/>
        <v>2088</v>
      </c>
      <c r="U68" s="269">
        <f>IF('Employee Detail FY25'!U68="","",'Employee Detail FY25'!U68)</f>
        <v>45000</v>
      </c>
      <c r="V68" s="270">
        <f t="shared" si="7"/>
        <v>50400.000000000007</v>
      </c>
      <c r="W68" s="270">
        <f t="shared" si="8"/>
        <v>58140.734400000008</v>
      </c>
      <c r="X68" s="270">
        <f t="shared" si="9"/>
        <v>58140.734400000008</v>
      </c>
      <c r="Y68" s="62">
        <v>0</v>
      </c>
      <c r="Z68" s="62">
        <v>0</v>
      </c>
      <c r="AA68" s="256">
        <f t="shared" si="10"/>
        <v>58140.734400000008</v>
      </c>
      <c r="AB68" s="3"/>
      <c r="AC68" s="62">
        <f t="shared" si="11"/>
        <v>7943.76</v>
      </c>
      <c r="AD68" s="62" t="str">
        <f t="shared" si="12"/>
        <v/>
      </c>
      <c r="AE68" s="62">
        <f t="shared" si="13"/>
        <v>8866.4619960000018</v>
      </c>
      <c r="AF68" s="62">
        <f t="shared" si="14"/>
        <v>843.04064880000021</v>
      </c>
      <c r="AG68" s="192">
        <v>0</v>
      </c>
      <c r="AH68" s="62">
        <f t="shared" si="15"/>
        <v>529.21650601152794</v>
      </c>
      <c r="AI68" s="62">
        <f t="shared" si="16"/>
        <v>171.23601593385197</v>
      </c>
      <c r="AJ68" s="62"/>
      <c r="AK68" s="62">
        <v>0</v>
      </c>
      <c r="AL68" s="256">
        <f t="shared" si="17"/>
        <v>18353.715166745384</v>
      </c>
      <c r="AM68" s="256">
        <f t="shared" si="18"/>
        <v>58140.734400000008</v>
      </c>
      <c r="AN68" s="256">
        <f t="shared" si="19"/>
        <v>76494.449566745388</v>
      </c>
    </row>
    <row r="69" spans="1:40" hidden="1" x14ac:dyDescent="0.2">
      <c r="A69" s="386" t="str">
        <f>IF('Employee Detail FY25'!A69="","",'Employee Detail FY25'!A69)</f>
        <v>VACANT</v>
      </c>
      <c r="B69" s="678">
        <f>IF('Employee Detail FY25'!B69="","",'Employee Detail FY25'!B69)</f>
        <v>100</v>
      </c>
      <c r="C69" s="678" t="str">
        <f>IF('Employee Detail FY25'!C69="","",'Employee Detail FY25'!C69)</f>
        <v>000</v>
      </c>
      <c r="D69" s="678"/>
      <c r="E69" s="678">
        <f>IF('Employee Detail FY25'!E69="","",'Employee Detail FY25'!E69)</f>
        <v>100</v>
      </c>
      <c r="F69" s="678" t="str">
        <f>IF('Employee Detail FY25'!F69="","",'Employee Detail FY25'!F69)</f>
        <v>2410</v>
      </c>
      <c r="G69" s="678" t="str">
        <f>IF('Employee Detail FY25'!G69="","",'Employee Detail FY25'!G69)</f>
        <v>0107</v>
      </c>
      <c r="H69" s="678"/>
      <c r="I69" s="359" t="str">
        <f>IF('Employee Detail FY25'!I69="","",'Employee Detail FY25'!I69)</f>
        <v>VACANT</v>
      </c>
      <c r="J69" s="359" t="str">
        <f>IF('Employee Detail FY25'!J69="","",'Employee Detail FY25'!J69)</f>
        <v>FY23</v>
      </c>
      <c r="K69" s="359" t="str">
        <f>IF('Employee Detail FY25'!K69="","",'Employee Detail FY25'!K69)</f>
        <v>Support Staff</v>
      </c>
      <c r="L69" s="359" t="str">
        <f>IF('Employee Detail FY25'!L69="","",'Employee Detail FY25'!L69)</f>
        <v>ENROLLMENT SPECIALIST</v>
      </c>
      <c r="M69" s="388">
        <f>IF('Employee Detail FY25'!M69="","",'Employee Detail FY25'!M69)</f>
        <v>1</v>
      </c>
      <c r="N69" s="386" t="str">
        <f>IF('Employee Detail FY25'!N69="","",'Employee Detail FY25'!N69)</f>
        <v/>
      </c>
      <c r="O69" s="386" t="str">
        <f>IF('Employee Detail FY25'!O69="","",'Employee Detail FY25'!O69)</f>
        <v/>
      </c>
      <c r="P69" s="386" t="str">
        <f>IF('Employee Detail FY25'!P69="","",'Employee Detail FY25'!P69)</f>
        <v>ER</v>
      </c>
      <c r="Q69" s="386" t="str">
        <f>IF('Employee Detail FY25'!Q69="","",'Employee Detail FY25'!Q69)</f>
        <v/>
      </c>
      <c r="R69" s="386" t="str">
        <f>IF('Employee Detail FY25'!R69="","",'Employee Detail FY25'!R69)</f>
        <v/>
      </c>
      <c r="S69" s="386" t="str">
        <f>IF('Employee Detail FY25'!S69="","",'Employee Detail FY25'!S69)</f>
        <v/>
      </c>
      <c r="T69" s="263" t="str">
        <f t="shared" ref="T69:T95" si="20">+IF(R69="","",R69*S69)</f>
        <v/>
      </c>
      <c r="U69" s="269">
        <f>IF('Employee Detail FY25'!U69="","",'Employee Detail FY25'!U69)</f>
        <v>40000</v>
      </c>
      <c r="V69" s="270">
        <f t="shared" ref="V69:V104" si="21">IF($U69="","",$U69*(1+$V$1))</f>
        <v>44800.000000000007</v>
      </c>
      <c r="W69" s="270" t="str">
        <f t="shared" ref="W69:W95" si="22">+IF(P69="EE",+V69*$W$1,"")</f>
        <v/>
      </c>
      <c r="X69" s="270">
        <f t="shared" ref="X69:X95" si="23">_xlfn.IFS(P69="ER",V69,P69="EE",W69,P69="N",V69,P69="","")</f>
        <v>44800.000000000007</v>
      </c>
      <c r="Y69" s="62">
        <v>0</v>
      </c>
      <c r="Z69" s="62">
        <v>0</v>
      </c>
      <c r="AA69" s="256">
        <f t="shared" ref="AA69:AA95" si="24">SUM(X69:Z69)</f>
        <v>44800.000000000007</v>
      </c>
      <c r="AB69" s="3"/>
      <c r="AC69" s="62">
        <f t="shared" ref="AC69:AC95" si="25">IF(AND(M69=1,P69&lt;&gt;"N"),$AC$1,"")</f>
        <v>7943.76</v>
      </c>
      <c r="AD69" s="62" t="str">
        <f t="shared" ref="AD69:AD95" si="26">_xlfn.IFS(P69="N",$AD$1*AA69,P69="EE","",P69="ER","",P69="","")</f>
        <v/>
      </c>
      <c r="AE69" s="62">
        <f t="shared" ref="AE69:AE95" si="27">_xlfn.IFS(P69="EE",X69*$AE$1,P69="ER",X69*$AE$2,P69="N","",P69="","")</f>
        <v>13104.000000000002</v>
      </c>
      <c r="AF69" s="62">
        <f t="shared" ref="AF69:AF95" si="28">+IF(AA69&gt;1,AA69*$AF$1,"")</f>
        <v>649.60000000000014</v>
      </c>
      <c r="AG69" s="192">
        <v>0</v>
      </c>
      <c r="AH69" s="62">
        <f t="shared" ref="AH69:AH95" si="29">+IF(AA69&gt;1,AA69*$AH$1,"")</f>
        <v>407.78465758967872</v>
      </c>
      <c r="AI69" s="62">
        <f t="shared" ref="AI69:AI95" si="30">+_xlfn.IFS(F69&lt;2300,(AA69*$AI$1),F69&gt;=2300,(AA69*$AI$2),F69="","")</f>
        <v>131.9449021929893</v>
      </c>
      <c r="AJ69" s="62"/>
      <c r="AK69" s="62">
        <v>0</v>
      </c>
      <c r="AL69" s="256">
        <f t="shared" ref="AL69:AL95" si="31">SUM(AC69:AK69)</f>
        <v>22237.089559782671</v>
      </c>
      <c r="AM69" s="256">
        <f t="shared" ref="AM69:AM95" si="32">AA69</f>
        <v>44800.000000000007</v>
      </c>
      <c r="AN69" s="256">
        <f t="shared" ref="AN69:AN95" si="33">SUM(AL69:AM69)</f>
        <v>67037.089559782675</v>
      </c>
    </row>
    <row r="70" spans="1:40" hidden="1" x14ac:dyDescent="0.2">
      <c r="A70" s="386" t="str">
        <f>IF('Employee Detail FY25'!A70="","",'Employee Detail FY25'!A70)</f>
        <v>VACANT</v>
      </c>
      <c r="B70" s="678">
        <f>IF('Employee Detail FY25'!B70="","",'Employee Detail FY25'!B70)</f>
        <v>100</v>
      </c>
      <c r="C70" s="678" t="str">
        <f>IF('Employee Detail FY25'!C70="","",'Employee Detail FY25'!C70)</f>
        <v>000</v>
      </c>
      <c r="D70" s="678"/>
      <c r="E70" s="678">
        <f>IF('Employee Detail FY25'!E70="","",'Employee Detail FY25'!E70)</f>
        <v>100</v>
      </c>
      <c r="F70" s="678">
        <f>IF('Employee Detail FY25'!F70="","",'Employee Detail FY25'!F70)</f>
        <v>2410</v>
      </c>
      <c r="G70" s="678" t="str">
        <f>IF('Employee Detail FY25'!G70="","",'Employee Detail FY25'!G70)</f>
        <v>0107</v>
      </c>
      <c r="H70" s="678"/>
      <c r="I70" s="359" t="str">
        <f>IF('Employee Detail FY25'!I70="","",'Employee Detail FY25'!I70)</f>
        <v>VACANT</v>
      </c>
      <c r="J70" s="359" t="str">
        <f>IF('Employee Detail FY25'!J70="","",'Employee Detail FY25'!J70)</f>
        <v>FY23</v>
      </c>
      <c r="K70" s="359" t="str">
        <f>IF('Employee Detail FY25'!K70="","",'Employee Detail FY25'!K70)</f>
        <v>Support Staff</v>
      </c>
      <c r="L70" s="359" t="str">
        <f>IF('Employee Detail FY25'!L70="","",'Employee Detail FY25'!L70)</f>
        <v>School Operations Support Staff</v>
      </c>
      <c r="M70" s="388">
        <f>IF('Employee Detail FY25'!M70="","",'Employee Detail FY25'!M70)</f>
        <v>1</v>
      </c>
      <c r="N70" s="386" t="str">
        <f>IF('Employee Detail FY25'!N70="","",'Employee Detail FY25'!N70)</f>
        <v/>
      </c>
      <c r="O70" s="386" t="str">
        <f>IF('Employee Detail FY25'!O70="","",'Employee Detail FY25'!O70)</f>
        <v/>
      </c>
      <c r="P70" s="386" t="str">
        <f>IF('Employee Detail FY25'!P70="","",'Employee Detail FY25'!P70)</f>
        <v>ER</v>
      </c>
      <c r="Q70" s="386" t="str">
        <f>IF('Employee Detail FY25'!Q70="","",'Employee Detail FY25'!Q70)</f>
        <v/>
      </c>
      <c r="R70" s="386" t="str">
        <f>IF('Employee Detail FY25'!R70="","",'Employee Detail FY25'!R70)</f>
        <v/>
      </c>
      <c r="S70" s="386" t="str">
        <f>IF('Employee Detail FY25'!S70="","",'Employee Detail FY25'!S70)</f>
        <v/>
      </c>
      <c r="T70" s="263" t="str">
        <f>+IF(R70="","",R70*S70)</f>
        <v/>
      </c>
      <c r="U70" s="269">
        <f>IF('Employee Detail FY25'!U70="","",'Employee Detail FY25'!U70)</f>
        <v>45000</v>
      </c>
      <c r="V70" s="270">
        <f>IF($U70="","",$U70*(1+$V$1))</f>
        <v>50400.000000000007</v>
      </c>
      <c r="W70" s="270" t="str">
        <f>+IF(P70="EE",+V70*$W$1,"")</f>
        <v/>
      </c>
      <c r="X70" s="270">
        <f>_xlfn.IFS(P70="ER",V70,P70="EE",W70,P70="N",V70,P70="","")</f>
        <v>50400.000000000007</v>
      </c>
      <c r="Y70" s="62">
        <v>0</v>
      </c>
      <c r="Z70" s="62">
        <v>0</v>
      </c>
      <c r="AA70" s="256">
        <f>SUM(X70:Z70)</f>
        <v>50400.000000000007</v>
      </c>
      <c r="AB70" s="3"/>
      <c r="AC70" s="62">
        <f>IF(AND(M70=1,P70&lt;&gt;"N"),$AC$1,"")</f>
        <v>7943.76</v>
      </c>
      <c r="AD70" s="62" t="str">
        <f>_xlfn.IFS(P70="N",$AD$1*AA70,P70="EE","",P70="ER","",P70="","")</f>
        <v/>
      </c>
      <c r="AE70" s="62">
        <f>_xlfn.IFS(P70="EE",X70*$AE$1,P70="ER",X70*$AE$2,P70="N","",P70="","")</f>
        <v>14742.000000000002</v>
      </c>
      <c r="AF70" s="62">
        <f>+IF(AA70&gt;1,AA70*$AF$1,"")</f>
        <v>730.80000000000018</v>
      </c>
      <c r="AG70" s="192">
        <v>0</v>
      </c>
      <c r="AH70" s="62">
        <f>+IF(AA70&gt;1,AA70*$AH$1,"")</f>
        <v>458.75773978838851</v>
      </c>
      <c r="AI70" s="62">
        <f>+_xlfn.IFS(F70&lt;2300,(AA70*$AI$1),F70&gt;=2300,(AA70*$AI$2),F70="","")</f>
        <v>148.43801496711296</v>
      </c>
      <c r="AJ70" s="62"/>
      <c r="AK70" s="62">
        <v>0</v>
      </c>
      <c r="AL70" s="256">
        <f>SUM(AC70:AK70)</f>
        <v>24023.755754755501</v>
      </c>
      <c r="AM70" s="256">
        <f>AA70</f>
        <v>50400.000000000007</v>
      </c>
      <c r="AN70" s="256">
        <f>SUM(AL70:AM70)</f>
        <v>74423.755754755504</v>
      </c>
    </row>
    <row r="71" spans="1:40" hidden="1" x14ac:dyDescent="0.2">
      <c r="A71" s="386" t="str">
        <f>IF('Employee Detail FY25'!A72="","",'Employee Detail FY25'!A72)</f>
        <v/>
      </c>
      <c r="B71" s="678" t="str">
        <f>IF('Employee Detail FY25'!B72="","",'Employee Detail FY25'!B72)</f>
        <v/>
      </c>
      <c r="C71" s="678" t="str">
        <f>IF('Employee Detail FY25'!C72="","",'Employee Detail FY25'!C72)</f>
        <v/>
      </c>
      <c r="D71" s="678"/>
      <c r="E71" s="678" t="str">
        <f>IF('Employee Detail FY25'!E72="","",'Employee Detail FY25'!E72)</f>
        <v/>
      </c>
      <c r="F71" s="678" t="str">
        <f>IF('Employee Detail FY25'!F72="","",'Employee Detail FY25'!F72)</f>
        <v/>
      </c>
      <c r="G71" s="678" t="str">
        <f>IF('Employee Detail FY25'!G72="","",'Employee Detail FY25'!G72)</f>
        <v/>
      </c>
      <c r="H71" s="678"/>
      <c r="I71" s="359" t="str">
        <f>IF('Employee Detail FY25'!I72="","",'Employee Detail FY25'!I72)</f>
        <v/>
      </c>
      <c r="J71" s="359" t="str">
        <f>IF('Employee Detail FY25'!J72="","",'Employee Detail FY25'!J72)</f>
        <v/>
      </c>
      <c r="K71" s="359" t="str">
        <f>IF('Employee Detail FY25'!K72="","",'Employee Detail FY25'!K72)</f>
        <v/>
      </c>
      <c r="L71" s="359" t="str">
        <f>IF('Employee Detail FY25'!L72="","",'Employee Detail FY25'!L72)</f>
        <v/>
      </c>
      <c r="M71" s="388">
        <f>IF('Employee Detail FY25'!M71="","",'Employee Detail FY25'!M71)</f>
        <v>1</v>
      </c>
      <c r="N71" s="386" t="str">
        <f>IF('Employee Detail FY25'!N72="","",'Employee Detail FY25'!N72)</f>
        <v/>
      </c>
      <c r="O71" s="386" t="str">
        <f>IF('Employee Detail FY25'!O72="","",'Employee Detail FY25'!O72)</f>
        <v/>
      </c>
      <c r="P71" s="386" t="str">
        <f>IF('Employee Detail FY25'!P72="","",'Employee Detail FY25'!P72)</f>
        <v/>
      </c>
      <c r="Q71" s="386" t="str">
        <f>IF('Employee Detail FY25'!Q72="","",'Employee Detail FY25'!Q72)</f>
        <v/>
      </c>
      <c r="R71" s="386" t="str">
        <f>IF('Employee Detail FY25'!R72="","",'Employee Detail FY25'!R72)</f>
        <v/>
      </c>
      <c r="S71" s="386" t="str">
        <f>IF('Employee Detail FY25'!S72="","",'Employee Detail FY25'!S72)</f>
        <v/>
      </c>
      <c r="T71" s="263" t="str">
        <f>+IF(R71="","",R71*S71)</f>
        <v/>
      </c>
      <c r="U71" s="269" t="str">
        <f>IF('Employee Detail FY25'!U72="","",'Employee Detail FY25'!U72)</f>
        <v/>
      </c>
      <c r="V71" s="270" t="str">
        <f>IF($U71="","",$U71*(1+$V$1))</f>
        <v/>
      </c>
      <c r="W71" s="270" t="str">
        <f>+IF(P71="EE",+V71*$W$1,"")</f>
        <v/>
      </c>
      <c r="X71" s="270" t="str">
        <f>_xlfn.IFS(P71="ER",V71,P71="EE",W71,P71="N",V71,P71="","")</f>
        <v/>
      </c>
      <c r="Y71" s="62">
        <v>0</v>
      </c>
      <c r="Z71" s="62">
        <v>0</v>
      </c>
      <c r="AA71" s="256">
        <f>SUM(X71:Z71)</f>
        <v>0</v>
      </c>
      <c r="AB71" s="3"/>
      <c r="AC71" s="62">
        <f>IF(AND(M71=1,P71&lt;&gt;"N"),$AC$1,"")</f>
        <v>7943.76</v>
      </c>
      <c r="AD71" s="62" t="str">
        <f>_xlfn.IFS(P71="N",$AD$1*AA71,P71="EE","",P71="ER","",P71="","")</f>
        <v/>
      </c>
      <c r="AE71" s="62" t="str">
        <f>_xlfn.IFS(P71="EE",X71*$AE$1,P71="ER",X71*$AE$2,P71="N","",P71="","")</f>
        <v/>
      </c>
      <c r="AF71" s="62" t="str">
        <f>+IF(AA71&gt;1,AA71*$AF$1,"")</f>
        <v/>
      </c>
      <c r="AG71" s="192">
        <v>0</v>
      </c>
      <c r="AH71" s="62" t="str">
        <f>+IF(AA71&gt;1,AA71*$AH$1,"")</f>
        <v/>
      </c>
      <c r="AI71" s="62">
        <f>+_xlfn.IFS(F71&lt;2300,(AA71*$AI$1),F71&gt;=2300,(AA71*$AI$2),F71="","")</f>
        <v>0</v>
      </c>
      <c r="AJ71" s="62"/>
      <c r="AK71" s="62">
        <v>0</v>
      </c>
      <c r="AL71" s="256">
        <f>SUM(AC71:AK71)</f>
        <v>7943.76</v>
      </c>
      <c r="AM71" s="256">
        <f>AA71</f>
        <v>0</v>
      </c>
      <c r="AN71" s="256">
        <f>SUM(AL71:AM71)</f>
        <v>7943.76</v>
      </c>
    </row>
    <row r="72" spans="1:40" hidden="1" x14ac:dyDescent="0.2">
      <c r="A72" s="386" t="str">
        <f>IF('Employee Detail FY25'!A72="","",'Employee Detail FY25'!A72)</f>
        <v/>
      </c>
      <c r="B72" s="678" t="str">
        <f>IF('Employee Detail FY25'!B72="","",'Employee Detail FY25'!B72)</f>
        <v/>
      </c>
      <c r="C72" s="678" t="str">
        <f>IF('Employee Detail FY25'!C72="","",'Employee Detail FY25'!C72)</f>
        <v/>
      </c>
      <c r="D72" s="678"/>
      <c r="E72" s="678" t="str">
        <f>IF('Employee Detail FY25'!E72="","",'Employee Detail FY25'!E72)</f>
        <v/>
      </c>
      <c r="F72" s="678" t="str">
        <f>IF('Employee Detail FY25'!F72="","",'Employee Detail FY25'!F72)</f>
        <v/>
      </c>
      <c r="G72" s="678" t="str">
        <f>IF('Employee Detail FY25'!G72="","",'Employee Detail FY25'!G72)</f>
        <v/>
      </c>
      <c r="H72" s="678"/>
      <c r="I72" s="359" t="str">
        <f>IF('Employee Detail FY25'!I72="","",'Employee Detail FY25'!I72)</f>
        <v/>
      </c>
      <c r="J72" s="359" t="str">
        <f>IF('Employee Detail FY25'!J72="","",'Employee Detail FY25'!J72)</f>
        <v/>
      </c>
      <c r="K72" s="359" t="str">
        <f>IF('Employee Detail FY25'!K72="","",'Employee Detail FY25'!K72)</f>
        <v/>
      </c>
      <c r="L72" s="359" t="str">
        <f>IF('Employee Detail FY25'!L72="","",'Employee Detail FY25'!L72)</f>
        <v/>
      </c>
      <c r="M72" s="388" t="str">
        <f>IF('Employee Detail FY25'!M72="","",'Employee Detail FY25'!M72)</f>
        <v/>
      </c>
      <c r="N72" s="386" t="str">
        <f>IF('Employee Detail FY25'!N72="","",'Employee Detail FY25'!N72)</f>
        <v/>
      </c>
      <c r="O72" s="386" t="str">
        <f>IF('Employee Detail FY25'!O72="","",'Employee Detail FY25'!O72)</f>
        <v/>
      </c>
      <c r="P72" s="386" t="str">
        <f>IF('Employee Detail FY25'!P72="","",'Employee Detail FY25'!P72)</f>
        <v/>
      </c>
      <c r="Q72" s="386" t="str">
        <f>IF('Employee Detail FY25'!Q72="","",'Employee Detail FY25'!Q72)</f>
        <v/>
      </c>
      <c r="R72" s="386" t="str">
        <f>IF('Employee Detail FY25'!R72="","",'Employee Detail FY25'!R72)</f>
        <v/>
      </c>
      <c r="S72" s="386" t="str">
        <f>IF('Employee Detail FY25'!S72="","",'Employee Detail FY25'!S72)</f>
        <v/>
      </c>
      <c r="T72" s="263" t="str">
        <f t="shared" si="20"/>
        <v/>
      </c>
      <c r="U72" s="269" t="str">
        <f>IF('Employee Detail FY25'!U72="","",'Employee Detail FY25'!U72)</f>
        <v/>
      </c>
      <c r="V72" s="270" t="str">
        <f t="shared" si="21"/>
        <v/>
      </c>
      <c r="W72" s="270" t="str">
        <f t="shared" si="22"/>
        <v/>
      </c>
      <c r="X72" s="270" t="str">
        <f t="shared" si="23"/>
        <v/>
      </c>
      <c r="Y72" s="62">
        <v>0</v>
      </c>
      <c r="Z72" s="62">
        <v>0</v>
      </c>
      <c r="AA72" s="256">
        <f t="shared" si="24"/>
        <v>0</v>
      </c>
      <c r="AB72" s="3"/>
      <c r="AC72" s="62" t="str">
        <f t="shared" si="25"/>
        <v/>
      </c>
      <c r="AD72" s="62" t="str">
        <f t="shared" si="26"/>
        <v/>
      </c>
      <c r="AE72" s="62" t="str">
        <f t="shared" si="27"/>
        <v/>
      </c>
      <c r="AF72" s="62" t="str">
        <f t="shared" si="28"/>
        <v/>
      </c>
      <c r="AG72" s="192">
        <v>0</v>
      </c>
      <c r="AH72" s="62" t="str">
        <f t="shared" si="29"/>
        <v/>
      </c>
      <c r="AI72" s="62">
        <f t="shared" si="30"/>
        <v>0</v>
      </c>
      <c r="AJ72" s="62"/>
      <c r="AK72" s="62">
        <v>0</v>
      </c>
      <c r="AL72" s="256">
        <f t="shared" si="31"/>
        <v>0</v>
      </c>
      <c r="AM72" s="256">
        <f t="shared" si="32"/>
        <v>0</v>
      </c>
      <c r="AN72" s="256">
        <f t="shared" si="33"/>
        <v>0</v>
      </c>
    </row>
    <row r="73" spans="1:40" hidden="1" x14ac:dyDescent="0.2">
      <c r="A73" s="386" t="str">
        <f>IF('Employee Detail FY25'!A73="","",'Employee Detail FY25'!A73)</f>
        <v/>
      </c>
      <c r="B73" s="678">
        <f>IF('Employee Detail FY25'!B73="","",'Employee Detail FY25'!B73)</f>
        <v>280</v>
      </c>
      <c r="C73" s="678">
        <f>IF('Employee Detail FY25'!C73="","",'Employee Detail FY25'!C73)</f>
        <v>658</v>
      </c>
      <c r="D73" s="678"/>
      <c r="E73" s="678">
        <f>IF('Employee Detail FY25'!E73="","",'Employee Detail FY25'!E73)</f>
        <v>420</v>
      </c>
      <c r="F73" s="678">
        <f>IF('Employee Detail FY25'!F73="","",'Employee Detail FY25'!F73)</f>
        <v>2120</v>
      </c>
      <c r="G73" s="678" t="str">
        <f>IF('Employee Detail FY25'!G73="","",'Employee Detail FY25'!G73)</f>
        <v>0107</v>
      </c>
      <c r="H73" s="678"/>
      <c r="I73" s="359" t="str">
        <f>IF('Employee Detail FY25'!I73="","",'Employee Detail FY25'!I73)</f>
        <v>GRIMM</v>
      </c>
      <c r="J73" s="359" t="str">
        <f>IF('Employee Detail FY25'!J73="","",'Employee Detail FY25'!J73)</f>
        <v>KELLI</v>
      </c>
      <c r="K73" s="359" t="str">
        <f>IF('Employee Detail FY25'!K73="","",'Employee Detail FY25'!K73)</f>
        <v>Support Staff</v>
      </c>
      <c r="L73" s="359" t="str">
        <f>IF('Employee Detail FY25'!L73="","",'Employee Detail FY25'!L73)</f>
        <v>STUDENT SUPPORT TITLE III ELL</v>
      </c>
      <c r="M73" s="388" t="str">
        <f>IF('Employee Detail FY25'!M73="","",'Employee Detail FY25'!M73)</f>
        <v/>
      </c>
      <c r="N73" s="386" t="str">
        <f>IF('Employee Detail FY25'!N73="","",'Employee Detail FY25'!N73)</f>
        <v/>
      </c>
      <c r="O73" s="386" t="str">
        <f>IF('Employee Detail FY25'!O73="","",'Employee Detail FY25'!O73)</f>
        <v/>
      </c>
      <c r="P73" s="386" t="str">
        <f>IF('Employee Detail FY25'!P73="","",'Employee Detail FY25'!P73)</f>
        <v>N</v>
      </c>
      <c r="Q73" s="386" t="str">
        <f>IF('Employee Detail FY25'!Q73="","",'Employee Detail FY25'!Q73)</f>
        <v/>
      </c>
      <c r="R73" s="386" t="str">
        <f>IF('Employee Detail FY25'!R73="","",'Employee Detail FY25'!R73)</f>
        <v/>
      </c>
      <c r="S73" s="386" t="str">
        <f>IF('Employee Detail FY25'!S73="","",'Employee Detail FY25'!S73)</f>
        <v/>
      </c>
      <c r="T73" s="263" t="str">
        <f t="shared" si="20"/>
        <v/>
      </c>
      <c r="U73" s="269">
        <f>IF('Employee Detail FY25'!U73="","",'Employee Detail FY25'!U73)</f>
        <v>6683</v>
      </c>
      <c r="V73" s="270">
        <f t="shared" si="21"/>
        <v>7484.9600000000009</v>
      </c>
      <c r="W73" s="270" t="str">
        <f t="shared" si="22"/>
        <v/>
      </c>
      <c r="X73" s="270">
        <f t="shared" si="23"/>
        <v>7484.9600000000009</v>
      </c>
      <c r="Y73" s="62">
        <v>0</v>
      </c>
      <c r="Z73" s="62">
        <v>0</v>
      </c>
      <c r="AA73" s="256">
        <f t="shared" si="24"/>
        <v>7484.9600000000009</v>
      </c>
      <c r="AB73" s="3"/>
      <c r="AC73" s="62" t="str">
        <f t="shared" si="25"/>
        <v/>
      </c>
      <c r="AD73" s="62">
        <f t="shared" si="26"/>
        <v>464.06752000000006</v>
      </c>
      <c r="AE73" s="62" t="str">
        <f t="shared" si="27"/>
        <v/>
      </c>
      <c r="AF73" s="62">
        <f t="shared" si="28"/>
        <v>108.53192000000001</v>
      </c>
      <c r="AG73" s="192">
        <v>0</v>
      </c>
      <c r="AH73" s="62">
        <f t="shared" si="29"/>
        <v>68.130621666795562</v>
      </c>
      <c r="AI73" s="62">
        <f t="shared" si="30"/>
        <v>22.044694533893686</v>
      </c>
      <c r="AJ73" s="62"/>
      <c r="AK73" s="62">
        <v>0</v>
      </c>
      <c r="AL73" s="256">
        <f t="shared" si="31"/>
        <v>662.77475620068935</v>
      </c>
      <c r="AM73" s="256">
        <f t="shared" si="32"/>
        <v>7484.9600000000009</v>
      </c>
      <c r="AN73" s="256">
        <f t="shared" si="33"/>
        <v>8147.7347562006908</v>
      </c>
    </row>
    <row r="74" spans="1:40" hidden="1" x14ac:dyDescent="0.2">
      <c r="A74" s="386" t="str">
        <f>IF('Employee Detail FY25'!A74="","",'Employee Detail FY25'!A74)</f>
        <v/>
      </c>
      <c r="B74" s="678" t="str">
        <f>IF('Employee Detail FY25'!B74="","",'Employee Detail FY25'!B74)</f>
        <v/>
      </c>
      <c r="C74" s="678" t="str">
        <f>IF('Employee Detail FY25'!C74="","",'Employee Detail FY25'!C74)</f>
        <v/>
      </c>
      <c r="D74" s="678"/>
      <c r="E74" s="678" t="str">
        <f>IF('Employee Detail FY25'!E74="","",'Employee Detail FY25'!E74)</f>
        <v/>
      </c>
      <c r="F74" s="678" t="str">
        <f>IF('Employee Detail FY25'!F74="","",'Employee Detail FY25'!F74)</f>
        <v/>
      </c>
      <c r="G74" s="678" t="str">
        <f>IF('Employee Detail FY25'!G74="","",'Employee Detail FY25'!G74)</f>
        <v/>
      </c>
      <c r="H74" s="678"/>
      <c r="I74" s="359" t="str">
        <f>IF('Employee Detail FY25'!I74="","",'Employee Detail FY25'!I74)</f>
        <v/>
      </c>
      <c r="J74" s="359" t="str">
        <f>IF('Employee Detail FY25'!J74="","",'Employee Detail FY25'!J74)</f>
        <v/>
      </c>
      <c r="K74" s="359" t="str">
        <f>IF('Employee Detail FY25'!K74="","",'Employee Detail FY25'!K74)</f>
        <v/>
      </c>
      <c r="L74" s="359" t="str">
        <f>IF('Employee Detail FY25'!L74="","",'Employee Detail FY25'!L74)</f>
        <v/>
      </c>
      <c r="M74" s="388" t="str">
        <f>IF('Employee Detail FY25'!M74="","",'Employee Detail FY25'!M74)</f>
        <v/>
      </c>
      <c r="N74" s="386" t="str">
        <f>IF('Employee Detail FY25'!N74="","",'Employee Detail FY25'!N74)</f>
        <v/>
      </c>
      <c r="O74" s="386" t="str">
        <f>IF('Employee Detail FY25'!O74="","",'Employee Detail FY25'!O74)</f>
        <v/>
      </c>
      <c r="P74" s="386" t="str">
        <f>IF('Employee Detail FY25'!P74="","",'Employee Detail FY25'!P74)</f>
        <v/>
      </c>
      <c r="Q74" s="386" t="str">
        <f>IF('Employee Detail FY25'!Q74="","",'Employee Detail FY25'!Q74)</f>
        <v/>
      </c>
      <c r="R74" s="386" t="str">
        <f>IF('Employee Detail FY25'!R74="","",'Employee Detail FY25'!R74)</f>
        <v/>
      </c>
      <c r="S74" s="386" t="str">
        <f>IF('Employee Detail FY25'!S74="","",'Employee Detail FY25'!S74)</f>
        <v/>
      </c>
      <c r="T74" s="263" t="str">
        <f t="shared" si="20"/>
        <v/>
      </c>
      <c r="U74" s="269" t="str">
        <f>IF('Employee Detail FY25'!U74="","",'Employee Detail FY25'!U74)</f>
        <v/>
      </c>
      <c r="V74" s="270" t="str">
        <f t="shared" si="21"/>
        <v/>
      </c>
      <c r="W74" s="270" t="str">
        <f t="shared" si="22"/>
        <v/>
      </c>
      <c r="X74" s="270" t="str">
        <f t="shared" si="23"/>
        <v/>
      </c>
      <c r="Y74" s="62">
        <v>0</v>
      </c>
      <c r="Z74" s="62">
        <v>0</v>
      </c>
      <c r="AA74" s="256">
        <f t="shared" si="24"/>
        <v>0</v>
      </c>
      <c r="AB74" s="3"/>
      <c r="AC74" s="62" t="str">
        <f t="shared" si="25"/>
        <v/>
      </c>
      <c r="AD74" s="62" t="str">
        <f t="shared" si="26"/>
        <v/>
      </c>
      <c r="AE74" s="62" t="str">
        <f t="shared" si="27"/>
        <v/>
      </c>
      <c r="AF74" s="62" t="str">
        <f t="shared" si="28"/>
        <v/>
      </c>
      <c r="AG74" s="192">
        <v>0</v>
      </c>
      <c r="AH74" s="62" t="str">
        <f t="shared" si="29"/>
        <v/>
      </c>
      <c r="AI74" s="62">
        <f t="shared" si="30"/>
        <v>0</v>
      </c>
      <c r="AJ74" s="62"/>
      <c r="AK74" s="62">
        <v>0</v>
      </c>
      <c r="AL74" s="256">
        <f t="shared" si="31"/>
        <v>0</v>
      </c>
      <c r="AM74" s="256">
        <f t="shared" si="32"/>
        <v>0</v>
      </c>
      <c r="AN74" s="256">
        <f t="shared" si="33"/>
        <v>0</v>
      </c>
    </row>
    <row r="75" spans="1:40" x14ac:dyDescent="0.2">
      <c r="A75" s="386" t="str">
        <f>IF('Employee Detail FY25'!A75="","",'Employee Detail FY25'!A75)</f>
        <v/>
      </c>
      <c r="B75" s="678" t="str">
        <f>IF('Employee Detail FY25'!B75="","",'Employee Detail FY25'!B75)</f>
        <v>100</v>
      </c>
      <c r="C75" s="678" t="str">
        <f>IF('Employee Detail FY25'!C75="","",'Employee Detail FY25'!C75)</f>
        <v>000</v>
      </c>
      <c r="D75" s="678"/>
      <c r="E75" s="678" t="str">
        <f>IF('Employee Detail FY25'!E75="","",'Employee Detail FY25'!E75)</f>
        <v>140</v>
      </c>
      <c r="F75" s="678" t="str">
        <f>IF('Employee Detail FY25'!F75="","",'Employee Detail FY25'!F75)</f>
        <v>1000</v>
      </c>
      <c r="G75" s="678" t="str">
        <f>IF('Employee Detail FY25'!G75="","",'Employee Detail FY25'!G75)</f>
        <v>0101</v>
      </c>
      <c r="H75" s="678"/>
      <c r="I75" s="359" t="str">
        <f>IF('Employee Detail FY25'!I75="","",'Employee Detail FY25'!I75)</f>
        <v>SUMMER SCHOOL</v>
      </c>
      <c r="J75" s="359" t="str">
        <f>IF('Employee Detail FY25'!J75="","",'Employee Detail FY25'!J75)</f>
        <v>SUMMER SCHOOL</v>
      </c>
      <c r="K75" s="359" t="str">
        <f>IF('Employee Detail FY25'!K75="","",'Employee Detail FY25'!K75)</f>
        <v>Licensed Staff</v>
      </c>
      <c r="L75" s="359" t="str">
        <f>IF('Employee Detail FY25'!L75="","",'Employee Detail FY25'!L75)</f>
        <v>SUMMER SCHOOL</v>
      </c>
      <c r="M75" s="388">
        <f>IF('Employee Detail FY25'!M75="","",'Employee Detail FY25'!M75)</f>
        <v>0</v>
      </c>
      <c r="N75" s="386" t="str">
        <f>IF('Employee Detail FY25'!N75="","",'Employee Detail FY25'!N75)</f>
        <v/>
      </c>
      <c r="O75" s="386" t="str">
        <f>IF('Employee Detail FY25'!O75="","",'Employee Detail FY25'!O75)</f>
        <v/>
      </c>
      <c r="P75" s="386" t="str">
        <f>IF('Employee Detail FY25'!P75="","",'Employee Detail FY25'!P75)</f>
        <v>N</v>
      </c>
      <c r="Q75" s="386" t="str">
        <f>IF('Employee Detail FY25'!Q75="","",'Employee Detail FY25'!Q75)</f>
        <v/>
      </c>
      <c r="R75" s="386" t="str">
        <f>IF('Employee Detail FY25'!R75="","",'Employee Detail FY25'!R75)</f>
        <v/>
      </c>
      <c r="S75" s="386" t="str">
        <f>IF('Employee Detail FY25'!S75="","",'Employee Detail FY25'!S75)</f>
        <v/>
      </c>
      <c r="T75" s="263" t="str">
        <f t="shared" si="20"/>
        <v/>
      </c>
      <c r="U75" s="269">
        <f>IF('Employee Detail FY25'!U75="","",'Employee Detail FY25'!U75)</f>
        <v>0</v>
      </c>
      <c r="V75" s="270">
        <f t="shared" si="21"/>
        <v>0</v>
      </c>
      <c r="W75" s="270" t="str">
        <f t="shared" si="22"/>
        <v/>
      </c>
      <c r="X75" s="270">
        <f t="shared" si="23"/>
        <v>0</v>
      </c>
      <c r="Y75" s="62">
        <v>0</v>
      </c>
      <c r="Z75" s="62">
        <v>0</v>
      </c>
      <c r="AA75" s="256">
        <f t="shared" si="24"/>
        <v>0</v>
      </c>
      <c r="AB75" s="3"/>
      <c r="AC75" s="62" t="str">
        <f t="shared" si="25"/>
        <v/>
      </c>
      <c r="AD75" s="62">
        <f t="shared" si="26"/>
        <v>0</v>
      </c>
      <c r="AE75" s="62" t="str">
        <f t="shared" si="27"/>
        <v/>
      </c>
      <c r="AF75" s="62" t="str">
        <f t="shared" si="28"/>
        <v/>
      </c>
      <c r="AG75" s="192">
        <v>0</v>
      </c>
      <c r="AH75" s="62" t="str">
        <f t="shared" si="29"/>
        <v/>
      </c>
      <c r="AI75" s="62">
        <f t="shared" si="30"/>
        <v>0</v>
      </c>
      <c r="AJ75" s="62"/>
      <c r="AK75" s="62">
        <v>0</v>
      </c>
      <c r="AL75" s="256">
        <f t="shared" si="31"/>
        <v>0</v>
      </c>
      <c r="AM75" s="256">
        <f t="shared" si="32"/>
        <v>0</v>
      </c>
      <c r="AN75" s="256">
        <f t="shared" si="33"/>
        <v>0</v>
      </c>
    </row>
    <row r="76" spans="1:40" x14ac:dyDescent="0.2">
      <c r="A76" s="386" t="str">
        <f>IF('Employee Detail FY25'!A76="","",'Employee Detail FY25'!A76)</f>
        <v/>
      </c>
      <c r="B76" s="678" t="str">
        <f>IF('Employee Detail FY25'!B76="","",'Employee Detail FY25'!B76)</f>
        <v>280</v>
      </c>
      <c r="C76" s="678" t="str">
        <f>IF('Employee Detail FY25'!C76="","",'Employee Detail FY25'!C76)</f>
        <v>639</v>
      </c>
      <c r="D76" s="678"/>
      <c r="E76" s="678" t="str">
        <f>IF('Employee Detail FY25'!E76="","",'Employee Detail FY25'!E76)</f>
        <v>240</v>
      </c>
      <c r="F76" s="678" t="str">
        <f>IF('Employee Detail FY25'!F76="","",'Employee Detail FY25'!F76)</f>
        <v>1000</v>
      </c>
      <c r="G76" s="678" t="str">
        <f>IF('Employee Detail FY25'!G76="","",'Employee Detail FY25'!G76)</f>
        <v>0101</v>
      </c>
      <c r="H76" s="678"/>
      <c r="I76" s="359" t="str">
        <f>IF('Employee Detail FY25'!I76="","",'Employee Detail FY25'!I76)</f>
        <v>SUMMER SCHOOL</v>
      </c>
      <c r="J76" s="359" t="str">
        <f>IF('Employee Detail FY25'!J76="","",'Employee Detail FY25'!J76)</f>
        <v>EXTENDED SCHOOL YEAR</v>
      </c>
      <c r="K76" s="359" t="str">
        <f>IF('Employee Detail FY25'!K76="","",'Employee Detail FY25'!K76)</f>
        <v>Licensed Staff</v>
      </c>
      <c r="L76" s="359" t="str">
        <f>IF('Employee Detail FY25'!L76="","",'Employee Detail FY25'!L76)</f>
        <v>SUMMER SCHOOL EXTENDED SCHOOL YEAR</v>
      </c>
      <c r="M76" s="388">
        <f>IF('Employee Detail FY25'!M76="","",'Employee Detail FY25'!M76)</f>
        <v>0</v>
      </c>
      <c r="N76" s="386" t="str">
        <f>IF('Employee Detail FY25'!N76="","",'Employee Detail FY25'!N76)</f>
        <v/>
      </c>
      <c r="O76" s="386" t="str">
        <f>IF('Employee Detail FY25'!O76="","",'Employee Detail FY25'!O76)</f>
        <v/>
      </c>
      <c r="P76" s="386" t="str">
        <f>IF('Employee Detail FY25'!P76="","",'Employee Detail FY25'!P76)</f>
        <v>N</v>
      </c>
      <c r="Q76" s="386" t="str">
        <f>IF('Employee Detail FY25'!Q76="","",'Employee Detail FY25'!Q76)</f>
        <v/>
      </c>
      <c r="R76" s="386" t="str">
        <f>IF('Employee Detail FY25'!R76="","",'Employee Detail FY25'!R76)</f>
        <v/>
      </c>
      <c r="S76" s="386" t="str">
        <f>IF('Employee Detail FY25'!S76="","",'Employee Detail FY25'!S76)</f>
        <v/>
      </c>
      <c r="T76" s="263" t="str">
        <f t="shared" si="20"/>
        <v/>
      </c>
      <c r="U76" s="269">
        <f>IF('Employee Detail FY25'!U76="","",'Employee Detail FY25'!U76)</f>
        <v>0</v>
      </c>
      <c r="V76" s="270">
        <f t="shared" si="21"/>
        <v>0</v>
      </c>
      <c r="W76" s="270" t="str">
        <f t="shared" si="22"/>
        <v/>
      </c>
      <c r="X76" s="270">
        <f t="shared" si="23"/>
        <v>0</v>
      </c>
      <c r="Y76" s="62">
        <v>0</v>
      </c>
      <c r="Z76" s="62">
        <v>0</v>
      </c>
      <c r="AA76" s="256">
        <f t="shared" si="24"/>
        <v>0</v>
      </c>
      <c r="AB76" s="3"/>
      <c r="AC76" s="62" t="str">
        <f t="shared" si="25"/>
        <v/>
      </c>
      <c r="AD76" s="62">
        <f t="shared" si="26"/>
        <v>0</v>
      </c>
      <c r="AE76" s="62" t="str">
        <f t="shared" si="27"/>
        <v/>
      </c>
      <c r="AF76" s="62" t="str">
        <f t="shared" si="28"/>
        <v/>
      </c>
      <c r="AG76" s="192">
        <v>0</v>
      </c>
      <c r="AH76" s="62" t="str">
        <f t="shared" si="29"/>
        <v/>
      </c>
      <c r="AI76" s="62">
        <f t="shared" si="30"/>
        <v>0</v>
      </c>
      <c r="AJ76" s="62"/>
      <c r="AK76" s="62">
        <v>0</v>
      </c>
      <c r="AL76" s="256">
        <f t="shared" si="31"/>
        <v>0</v>
      </c>
      <c r="AM76" s="256">
        <f t="shared" si="32"/>
        <v>0</v>
      </c>
      <c r="AN76" s="256">
        <f t="shared" si="33"/>
        <v>0</v>
      </c>
    </row>
    <row r="77" spans="1:40" x14ac:dyDescent="0.2">
      <c r="A77" s="386" t="str">
        <f>IF('Employee Detail FY25'!A77="","",'Employee Detail FY25'!A77)</f>
        <v/>
      </c>
      <c r="B77" s="678" t="str">
        <f>IF('Employee Detail FY25'!B77="","",'Employee Detail FY25'!B77)</f>
        <v>100</v>
      </c>
      <c r="C77" s="678" t="str">
        <f>IF('Employee Detail FY25'!C77="","",'Employee Detail FY25'!C77)</f>
        <v>000</v>
      </c>
      <c r="D77" s="678"/>
      <c r="E77" s="678" t="str">
        <f>IF('Employee Detail FY25'!E77="","",'Employee Detail FY25'!E77)</f>
        <v>100</v>
      </c>
      <c r="F77" s="678" t="str">
        <f>IF('Employee Detail FY25'!F77="","",'Employee Detail FY25'!F77)</f>
        <v>1000</v>
      </c>
      <c r="G77" s="678" t="str">
        <f>IF('Employee Detail FY25'!G77="","",'Employee Detail FY25'!G77)</f>
        <v>0103</v>
      </c>
      <c r="H77" s="678"/>
      <c r="I77" s="359" t="str">
        <f>IF('Employee Detail FY25'!I77="","",'Employee Detail FY25'!I77)</f>
        <v>SUBSTITUTE</v>
      </c>
      <c r="J77" s="359" t="str">
        <f>IF('Employee Detail FY25'!J77="","",'Employee Detail FY25'!J77)</f>
        <v>SUBSTITUTE</v>
      </c>
      <c r="K77" s="359" t="str">
        <f>IF('Employee Detail FY25'!K77="","",'Employee Detail FY25'!K77)</f>
        <v>Licensed Staff</v>
      </c>
      <c r="L77" s="359" t="str">
        <f>IF('Employee Detail FY25'!L77="","",'Employee Detail FY25'!L77)</f>
        <v>SUBSTITUTE</v>
      </c>
      <c r="M77" s="388">
        <f>IF('Employee Detail FY25'!M77="","",'Employee Detail FY25'!M77)</f>
        <v>0</v>
      </c>
      <c r="N77" s="386" t="str">
        <f>IF('Employee Detail FY25'!N77="","",'Employee Detail FY25'!N77)</f>
        <v/>
      </c>
      <c r="O77" s="386" t="str">
        <f>IF('Employee Detail FY25'!O77="","",'Employee Detail FY25'!O77)</f>
        <v/>
      </c>
      <c r="P77" s="386" t="str">
        <f>IF('Employee Detail FY25'!P77="","",'Employee Detail FY25'!P77)</f>
        <v>N</v>
      </c>
      <c r="Q77" s="386" t="str">
        <f>IF('Employee Detail FY25'!Q77="","",'Employee Detail FY25'!Q77)</f>
        <v/>
      </c>
      <c r="R77" s="386" t="str">
        <f>IF('Employee Detail FY25'!R77="","",'Employee Detail FY25'!R77)</f>
        <v/>
      </c>
      <c r="S77" s="386" t="str">
        <f>IF('Employee Detail FY25'!S77="","",'Employee Detail FY25'!S77)</f>
        <v/>
      </c>
      <c r="T77" s="263" t="str">
        <f t="shared" si="20"/>
        <v/>
      </c>
      <c r="U77" s="269">
        <f>IF('Employee Detail FY25'!U77="","",'Employee Detail FY25'!U77)</f>
        <v>0</v>
      </c>
      <c r="V77" s="270">
        <f t="shared" si="21"/>
        <v>0</v>
      </c>
      <c r="W77" s="270" t="str">
        <f t="shared" si="22"/>
        <v/>
      </c>
      <c r="X77" s="270">
        <f t="shared" si="23"/>
        <v>0</v>
      </c>
      <c r="Y77" s="62">
        <v>0</v>
      </c>
      <c r="Z77" s="62">
        <v>0</v>
      </c>
      <c r="AA77" s="256">
        <f t="shared" si="24"/>
        <v>0</v>
      </c>
      <c r="AB77" s="3"/>
      <c r="AC77" s="62" t="str">
        <f t="shared" si="25"/>
        <v/>
      </c>
      <c r="AD77" s="62">
        <f t="shared" si="26"/>
        <v>0</v>
      </c>
      <c r="AE77" s="62" t="str">
        <f t="shared" si="27"/>
        <v/>
      </c>
      <c r="AF77" s="62" t="str">
        <f t="shared" si="28"/>
        <v/>
      </c>
      <c r="AG77" s="192">
        <v>0</v>
      </c>
      <c r="AH77" s="62" t="str">
        <f t="shared" si="29"/>
        <v/>
      </c>
      <c r="AI77" s="62">
        <f t="shared" si="30"/>
        <v>0</v>
      </c>
      <c r="AJ77" s="62"/>
      <c r="AK77" s="62">
        <v>0</v>
      </c>
      <c r="AL77" s="256">
        <f t="shared" si="31"/>
        <v>0</v>
      </c>
      <c r="AM77" s="256">
        <f t="shared" si="32"/>
        <v>0</v>
      </c>
      <c r="AN77" s="256">
        <f t="shared" si="33"/>
        <v>0</v>
      </c>
    </row>
    <row r="78" spans="1:40" hidden="1" x14ac:dyDescent="0.2">
      <c r="A78" s="386" t="str">
        <f>IF('Employee Detail FY25'!A78="","",'Employee Detail FY25'!A78)</f>
        <v/>
      </c>
      <c r="B78" s="678" t="str">
        <f>IF('Employee Detail FY25'!B78="","",'Employee Detail FY25'!B78)</f>
        <v/>
      </c>
      <c r="C78" s="678" t="str">
        <f>IF('Employee Detail FY25'!C78="","",'Employee Detail FY25'!C78)</f>
        <v/>
      </c>
      <c r="D78" s="678"/>
      <c r="E78" s="678" t="str">
        <f>IF('Employee Detail FY25'!E78="","",'Employee Detail FY25'!E78)</f>
        <v/>
      </c>
      <c r="F78" s="678" t="str">
        <f>IF('Employee Detail FY25'!F78="","",'Employee Detail FY25'!F78)</f>
        <v/>
      </c>
      <c r="G78" s="678" t="str">
        <f>IF('Employee Detail FY25'!G78="","",'Employee Detail FY25'!G78)</f>
        <v/>
      </c>
      <c r="H78" s="678"/>
      <c r="I78" s="359" t="str">
        <f>IF('Employee Detail FY25'!I78="","",'Employee Detail FY25'!I78)</f>
        <v/>
      </c>
      <c r="J78" s="359" t="str">
        <f>IF('Employee Detail FY25'!J78="","",'Employee Detail FY25'!J78)</f>
        <v/>
      </c>
      <c r="K78" s="359" t="str">
        <f>IF('Employee Detail FY25'!K78="","",'Employee Detail FY25'!K78)</f>
        <v/>
      </c>
      <c r="L78" s="359" t="str">
        <f>IF('Employee Detail FY25'!L78="","",'Employee Detail FY25'!L78)</f>
        <v/>
      </c>
      <c r="M78" s="388" t="str">
        <f>IF('Employee Detail FY25'!M78="","",'Employee Detail FY25'!M78)</f>
        <v/>
      </c>
      <c r="N78" s="386" t="str">
        <f>IF('Employee Detail FY25'!N78="","",'Employee Detail FY25'!N78)</f>
        <v/>
      </c>
      <c r="O78" s="386" t="str">
        <f>IF('Employee Detail FY25'!O78="","",'Employee Detail FY25'!O78)</f>
        <v/>
      </c>
      <c r="P78" s="386" t="str">
        <f>IF('Employee Detail FY25'!P78="","",'Employee Detail FY25'!P78)</f>
        <v/>
      </c>
      <c r="Q78" s="386" t="str">
        <f>IF('Employee Detail FY25'!Q78="","",'Employee Detail FY25'!Q78)</f>
        <v/>
      </c>
      <c r="R78" s="386" t="str">
        <f>IF('Employee Detail FY25'!R78="","",'Employee Detail FY25'!R78)</f>
        <v/>
      </c>
      <c r="S78" s="386" t="str">
        <f>IF('Employee Detail FY25'!S78="","",'Employee Detail FY25'!S78)</f>
        <v/>
      </c>
      <c r="T78" s="263" t="str">
        <f t="shared" si="20"/>
        <v/>
      </c>
      <c r="U78" s="269">
        <f>IF('Employee Detail FY25'!U78="","",'Employee Detail FY25'!U78)</f>
        <v>0</v>
      </c>
      <c r="V78" s="270">
        <f t="shared" si="21"/>
        <v>0</v>
      </c>
      <c r="W78" s="270" t="str">
        <f t="shared" si="22"/>
        <v/>
      </c>
      <c r="X78" s="270" t="str">
        <f t="shared" si="23"/>
        <v/>
      </c>
      <c r="Y78" s="62">
        <v>0</v>
      </c>
      <c r="Z78" s="62">
        <v>0</v>
      </c>
      <c r="AA78" s="256">
        <f t="shared" si="24"/>
        <v>0</v>
      </c>
      <c r="AB78" s="3"/>
      <c r="AC78" s="62" t="str">
        <f t="shared" si="25"/>
        <v/>
      </c>
      <c r="AD78" s="62" t="str">
        <f t="shared" si="26"/>
        <v/>
      </c>
      <c r="AE78" s="62" t="str">
        <f t="shared" si="27"/>
        <v/>
      </c>
      <c r="AF78" s="62" t="str">
        <f t="shared" si="28"/>
        <v/>
      </c>
      <c r="AG78" s="192">
        <v>0</v>
      </c>
      <c r="AH78" s="62" t="str">
        <f t="shared" si="29"/>
        <v/>
      </c>
      <c r="AI78" s="62">
        <f t="shared" si="30"/>
        <v>0</v>
      </c>
      <c r="AJ78" s="62"/>
      <c r="AK78" s="62">
        <v>0</v>
      </c>
      <c r="AL78" s="256">
        <f t="shared" si="31"/>
        <v>0</v>
      </c>
      <c r="AM78" s="256">
        <f t="shared" si="32"/>
        <v>0</v>
      </c>
      <c r="AN78" s="256">
        <f t="shared" si="33"/>
        <v>0</v>
      </c>
    </row>
    <row r="79" spans="1:40" x14ac:dyDescent="0.2">
      <c r="A79" s="386" t="str">
        <f>IF('Employee Detail FY25'!A79="","",'Employee Detail FY25'!A79)</f>
        <v/>
      </c>
      <c r="B79" s="678" t="str">
        <f>IF('Employee Detail FY25'!B79="","",'Employee Detail FY25'!B79)</f>
        <v>280</v>
      </c>
      <c r="C79" s="678" t="str">
        <f>IF('Employee Detail FY25'!C79="","",'Employee Detail FY25'!C79)</f>
        <v>709</v>
      </c>
      <c r="D79" s="678"/>
      <c r="E79" s="678" t="str">
        <f>IF('Employee Detail FY25'!E79="","",'Employee Detail FY25'!E79)</f>
        <v>100</v>
      </c>
      <c r="F79" s="678" t="str">
        <f>IF('Employee Detail FY25'!F79="","",'Employee Detail FY25'!F79)</f>
        <v>1000</v>
      </c>
      <c r="G79" s="678" t="str">
        <f>IF('Employee Detail FY25'!G79="","",'Employee Detail FY25'!G79)</f>
        <v>0151</v>
      </c>
      <c r="H79" s="678"/>
      <c r="I79" s="359" t="str">
        <f>IF('Employee Detail FY25'!I79="","",'Employee Detail FY25'!I79)</f>
        <v>TITLE IIA</v>
      </c>
      <c r="J79" s="359" t="str">
        <f>IF('Employee Detail FY25'!J79="","",'Employee Detail FY25'!J79)</f>
        <v/>
      </c>
      <c r="K79" s="359" t="str">
        <f>IF('Employee Detail FY25'!K79="","",'Employee Detail FY25'!K79)</f>
        <v/>
      </c>
      <c r="L79" s="359" t="str">
        <f>IF('Employee Detail FY25'!L79="","",'Employee Detail FY25'!L79)</f>
        <v>TITLE IIA</v>
      </c>
      <c r="M79" s="388">
        <f>IF('Employee Detail FY25'!M79="","",'Employee Detail FY25'!M79)</f>
        <v>0</v>
      </c>
      <c r="N79" s="386" t="str">
        <f>IF('Employee Detail FY25'!N79="","",'Employee Detail FY25'!N79)</f>
        <v/>
      </c>
      <c r="O79" s="386" t="str">
        <f>IF('Employee Detail FY25'!O79="","",'Employee Detail FY25'!O79)</f>
        <v/>
      </c>
      <c r="P79" s="386" t="str">
        <f>IF('Employee Detail FY25'!P79="","",'Employee Detail FY25'!P79)</f>
        <v>N</v>
      </c>
      <c r="Q79" s="386" t="str">
        <f>IF('Employee Detail FY25'!Q79="","",'Employee Detail FY25'!Q79)</f>
        <v/>
      </c>
      <c r="R79" s="386" t="str">
        <f>IF('Employee Detail FY25'!R79="","",'Employee Detail FY25'!R79)</f>
        <v/>
      </c>
      <c r="S79" s="386" t="str">
        <f>IF('Employee Detail FY25'!S79="","",'Employee Detail FY25'!S79)</f>
        <v/>
      </c>
      <c r="T79" s="263" t="str">
        <f t="shared" si="20"/>
        <v/>
      </c>
      <c r="U79" s="269">
        <f>IF('Employee Detail FY25'!U79="","",'Employee Detail FY25'!U79)</f>
        <v>0</v>
      </c>
      <c r="V79" s="270">
        <f t="shared" si="21"/>
        <v>0</v>
      </c>
      <c r="W79" s="270" t="str">
        <f t="shared" si="22"/>
        <v/>
      </c>
      <c r="X79" s="270">
        <f t="shared" si="23"/>
        <v>0</v>
      </c>
      <c r="Y79" s="62">
        <v>0</v>
      </c>
      <c r="Z79" s="62">
        <v>0</v>
      </c>
      <c r="AA79" s="256">
        <f t="shared" si="24"/>
        <v>0</v>
      </c>
      <c r="AB79" s="3"/>
      <c r="AC79" s="62" t="str">
        <f t="shared" si="25"/>
        <v/>
      </c>
      <c r="AD79" s="62">
        <f t="shared" si="26"/>
        <v>0</v>
      </c>
      <c r="AE79" s="62" t="str">
        <f t="shared" si="27"/>
        <v/>
      </c>
      <c r="AF79" s="62" t="str">
        <f t="shared" si="28"/>
        <v/>
      </c>
      <c r="AG79" s="192">
        <v>0</v>
      </c>
      <c r="AH79" s="62" t="str">
        <f t="shared" si="29"/>
        <v/>
      </c>
      <c r="AI79" s="62">
        <f t="shared" si="30"/>
        <v>0</v>
      </c>
      <c r="AJ79" s="62"/>
      <c r="AK79" s="62">
        <v>0</v>
      </c>
      <c r="AL79" s="256">
        <f t="shared" si="31"/>
        <v>0</v>
      </c>
      <c r="AM79" s="256">
        <f t="shared" si="32"/>
        <v>0</v>
      </c>
      <c r="AN79" s="256">
        <f t="shared" si="33"/>
        <v>0</v>
      </c>
    </row>
    <row r="80" spans="1:40" hidden="1" x14ac:dyDescent="0.2">
      <c r="A80" s="386" t="str">
        <f>IF('Employee Detail FY25'!A80="","",'Employee Detail FY25'!A80)</f>
        <v/>
      </c>
      <c r="B80" s="678" t="str">
        <f>IF('Employee Detail FY25'!B80="","",'Employee Detail FY25'!B80)</f>
        <v/>
      </c>
      <c r="C80" s="678" t="str">
        <f>IF('Employee Detail FY25'!C80="","",'Employee Detail FY25'!C80)</f>
        <v/>
      </c>
      <c r="D80" s="678"/>
      <c r="E80" s="678" t="str">
        <f>IF('Employee Detail FY25'!E80="","",'Employee Detail FY25'!E80)</f>
        <v/>
      </c>
      <c r="F80" s="678" t="str">
        <f>IF('Employee Detail FY25'!F80="","",'Employee Detail FY25'!F80)</f>
        <v/>
      </c>
      <c r="G80" s="678" t="str">
        <f>IF('Employee Detail FY25'!G80="","",'Employee Detail FY25'!G80)</f>
        <v/>
      </c>
      <c r="H80" s="678"/>
      <c r="I80" s="359" t="str">
        <f>IF('Employee Detail FY25'!I80="","",'Employee Detail FY25'!I80)</f>
        <v/>
      </c>
      <c r="J80" s="359" t="str">
        <f>IF('Employee Detail FY25'!J80="","",'Employee Detail FY25'!J80)</f>
        <v/>
      </c>
      <c r="K80" s="359" t="str">
        <f>IF('Employee Detail FY25'!K80="","",'Employee Detail FY25'!K80)</f>
        <v/>
      </c>
      <c r="L80" s="359" t="str">
        <f>IF('Employee Detail FY25'!L80="","",'Employee Detail FY25'!L80)</f>
        <v/>
      </c>
      <c r="M80" s="388" t="str">
        <f>IF('Employee Detail FY25'!M80="","",'Employee Detail FY25'!M80)</f>
        <v/>
      </c>
      <c r="N80" s="386" t="str">
        <f>IF('Employee Detail FY25'!N80="","",'Employee Detail FY25'!N80)</f>
        <v/>
      </c>
      <c r="O80" s="386" t="str">
        <f>IF('Employee Detail FY25'!O80="","",'Employee Detail FY25'!O80)</f>
        <v/>
      </c>
      <c r="P80" s="386" t="str">
        <f>IF('Employee Detail FY25'!P80="","",'Employee Detail FY25'!P80)</f>
        <v/>
      </c>
      <c r="Q80" s="386" t="str">
        <f>IF('Employee Detail FY25'!Q80="","",'Employee Detail FY25'!Q80)</f>
        <v/>
      </c>
      <c r="R80" s="386" t="str">
        <f>IF('Employee Detail FY25'!R80="","",'Employee Detail FY25'!R80)</f>
        <v/>
      </c>
      <c r="S80" s="386" t="str">
        <f>IF('Employee Detail FY25'!S80="","",'Employee Detail FY25'!S80)</f>
        <v/>
      </c>
      <c r="T80" s="263" t="str">
        <f t="shared" si="20"/>
        <v/>
      </c>
      <c r="U80" s="269" t="str">
        <f>IF('Employee Detail FY25'!U80="","",'Employee Detail FY25'!U80)</f>
        <v/>
      </c>
      <c r="V80" s="270" t="str">
        <f t="shared" si="21"/>
        <v/>
      </c>
      <c r="W80" s="270" t="str">
        <f t="shared" si="22"/>
        <v/>
      </c>
      <c r="X80" s="270" t="str">
        <f t="shared" si="23"/>
        <v/>
      </c>
      <c r="Y80" s="62">
        <v>0</v>
      </c>
      <c r="Z80" s="62">
        <v>0</v>
      </c>
      <c r="AA80" s="256">
        <f t="shared" si="24"/>
        <v>0</v>
      </c>
      <c r="AB80" s="3"/>
      <c r="AC80" s="62" t="str">
        <f t="shared" si="25"/>
        <v/>
      </c>
      <c r="AD80" s="62" t="str">
        <f t="shared" si="26"/>
        <v/>
      </c>
      <c r="AE80" s="62" t="str">
        <f t="shared" si="27"/>
        <v/>
      </c>
      <c r="AF80" s="62" t="str">
        <f t="shared" si="28"/>
        <v/>
      </c>
      <c r="AG80" s="192">
        <v>0</v>
      </c>
      <c r="AH80" s="62" t="str">
        <f t="shared" si="29"/>
        <v/>
      </c>
      <c r="AI80" s="62">
        <f t="shared" si="30"/>
        <v>0</v>
      </c>
      <c r="AJ80" s="62"/>
      <c r="AK80" s="62">
        <v>0</v>
      </c>
      <c r="AL80" s="256">
        <f t="shared" si="31"/>
        <v>0</v>
      </c>
      <c r="AM80" s="256">
        <f t="shared" si="32"/>
        <v>0</v>
      </c>
      <c r="AN80" s="256">
        <f t="shared" si="33"/>
        <v>0</v>
      </c>
    </row>
    <row r="81" spans="1:40" hidden="1" x14ac:dyDescent="0.2">
      <c r="A81" s="386" t="str">
        <f>IF('Employee Detail FY25'!A81="","",'Employee Detail FY25'!A81)</f>
        <v/>
      </c>
      <c r="B81" s="678" t="str">
        <f>IF('Employee Detail FY25'!B81="","",'Employee Detail FY25'!B81)</f>
        <v>280</v>
      </c>
      <c r="C81" s="678" t="str">
        <f>IF('Employee Detail FY25'!C81="","",'Employee Detail FY25'!C81)</f>
        <v>658</v>
      </c>
      <c r="D81" s="678"/>
      <c r="E81" s="678" t="str">
        <f>IF('Employee Detail FY25'!E81="","",'Employee Detail FY25'!E81)</f>
        <v>420</v>
      </c>
      <c r="F81" s="678" t="str">
        <f>IF('Employee Detail FY25'!F81="","",'Employee Detail FY25'!F81)</f>
        <v>2212</v>
      </c>
      <c r="G81" s="678" t="str">
        <f>IF('Employee Detail FY25'!G81="","",'Employee Detail FY25'!G81)</f>
        <v>0157</v>
      </c>
      <c r="H81" s="678"/>
      <c r="I81" s="359" t="str">
        <f>IF('Employee Detail FY25'!I81="","",'Employee Detail FY25'!I81)</f>
        <v>TITLE III</v>
      </c>
      <c r="J81" s="359" t="str">
        <f>IF('Employee Detail FY25'!J81="","",'Employee Detail FY25'!J81)</f>
        <v/>
      </c>
      <c r="K81" s="359" t="str">
        <f>IF('Employee Detail FY25'!K81="","",'Employee Detail FY25'!K81)</f>
        <v/>
      </c>
      <c r="L81" s="359" t="str">
        <f>IF('Employee Detail FY25'!L81="","",'Employee Detail FY25'!L81)</f>
        <v>TITLE III</v>
      </c>
      <c r="M81" s="388">
        <f>IF('Employee Detail FY25'!M81="","",'Employee Detail FY25'!M81)</f>
        <v>0</v>
      </c>
      <c r="N81" s="386" t="str">
        <f>IF('Employee Detail FY25'!N81="","",'Employee Detail FY25'!N81)</f>
        <v/>
      </c>
      <c r="O81" s="386" t="str">
        <f>IF('Employee Detail FY25'!O81="","",'Employee Detail FY25'!O81)</f>
        <v/>
      </c>
      <c r="P81" s="386" t="str">
        <f>IF('Employee Detail FY25'!P81="","",'Employee Detail FY25'!P81)</f>
        <v>N</v>
      </c>
      <c r="Q81" s="386" t="str">
        <f>IF('Employee Detail FY25'!Q81="","",'Employee Detail FY25'!Q81)</f>
        <v/>
      </c>
      <c r="R81" s="386" t="str">
        <f>IF('Employee Detail FY25'!R81="","",'Employee Detail FY25'!R81)</f>
        <v/>
      </c>
      <c r="S81" s="386" t="str">
        <f>IF('Employee Detail FY25'!S81="","",'Employee Detail FY25'!S81)</f>
        <v/>
      </c>
      <c r="T81" s="263" t="str">
        <f t="shared" si="20"/>
        <v/>
      </c>
      <c r="U81" s="269">
        <f>IF('Employee Detail FY25'!U81="","",'Employee Detail FY25'!U81)</f>
        <v>0</v>
      </c>
      <c r="V81" s="270">
        <f t="shared" si="21"/>
        <v>0</v>
      </c>
      <c r="W81" s="270" t="str">
        <f t="shared" si="22"/>
        <v/>
      </c>
      <c r="X81" s="270">
        <f t="shared" si="23"/>
        <v>0</v>
      </c>
      <c r="Y81" s="62">
        <v>0</v>
      </c>
      <c r="Z81" s="62">
        <v>0</v>
      </c>
      <c r="AA81" s="256">
        <f t="shared" si="24"/>
        <v>0</v>
      </c>
      <c r="AB81" s="3"/>
      <c r="AC81" s="62" t="str">
        <f t="shared" si="25"/>
        <v/>
      </c>
      <c r="AD81" s="62">
        <f t="shared" si="26"/>
        <v>0</v>
      </c>
      <c r="AE81" s="62" t="str">
        <f t="shared" si="27"/>
        <v/>
      </c>
      <c r="AF81" s="62" t="str">
        <f t="shared" si="28"/>
        <v/>
      </c>
      <c r="AG81" s="192">
        <v>0</v>
      </c>
      <c r="AH81" s="62" t="str">
        <f t="shared" si="29"/>
        <v/>
      </c>
      <c r="AI81" s="62">
        <f t="shared" si="30"/>
        <v>0</v>
      </c>
      <c r="AJ81" s="62"/>
      <c r="AK81" s="62">
        <v>0</v>
      </c>
      <c r="AL81" s="256">
        <f t="shared" si="31"/>
        <v>0</v>
      </c>
      <c r="AM81" s="256">
        <f t="shared" si="32"/>
        <v>0</v>
      </c>
      <c r="AN81" s="256">
        <f t="shared" si="33"/>
        <v>0</v>
      </c>
    </row>
    <row r="82" spans="1:40" hidden="1" x14ac:dyDescent="0.2">
      <c r="A82" s="386" t="str">
        <f>IF('Employee Detail FY25'!A82="","",'Employee Detail FY25'!A82)</f>
        <v/>
      </c>
      <c r="B82" s="678" t="str">
        <f>IF('Employee Detail FY25'!B82="","",'Employee Detail FY25'!B82)</f>
        <v>280</v>
      </c>
      <c r="C82" s="678" t="str">
        <f>IF('Employee Detail FY25'!C82="","",'Employee Detail FY25'!C82)</f>
        <v>658</v>
      </c>
      <c r="D82" s="678"/>
      <c r="E82" s="678" t="str">
        <f>IF('Employee Detail FY25'!E82="","",'Employee Detail FY25'!E82)</f>
        <v>420</v>
      </c>
      <c r="F82" s="678" t="str">
        <f>IF('Employee Detail FY25'!F82="","",'Employee Detail FY25'!F82)</f>
        <v>2110</v>
      </c>
      <c r="G82" s="678" t="str">
        <f>IF('Employee Detail FY25'!G82="","",'Employee Detail FY25'!G82)</f>
        <v>0157</v>
      </c>
      <c r="H82" s="678"/>
      <c r="I82" s="359" t="str">
        <f>IF('Employee Detail FY25'!I82="","",'Employee Detail FY25'!I82)</f>
        <v>TITLE III</v>
      </c>
      <c r="J82" s="359" t="str">
        <f>IF('Employee Detail FY25'!J82="","",'Employee Detail FY25'!J82)</f>
        <v/>
      </c>
      <c r="K82" s="359" t="str">
        <f>IF('Employee Detail FY25'!K82="","",'Employee Detail FY25'!K82)</f>
        <v/>
      </c>
      <c r="L82" s="359" t="str">
        <f>IF('Employee Detail FY25'!L82="","",'Employee Detail FY25'!L82)</f>
        <v>TITLE III</v>
      </c>
      <c r="M82" s="388">
        <f>IF('Employee Detail FY25'!M82="","",'Employee Detail FY25'!M82)</f>
        <v>0</v>
      </c>
      <c r="N82" s="386" t="str">
        <f>IF('Employee Detail FY25'!N82="","",'Employee Detail FY25'!N82)</f>
        <v/>
      </c>
      <c r="O82" s="386" t="str">
        <f>IF('Employee Detail FY25'!O82="","",'Employee Detail FY25'!O82)</f>
        <v/>
      </c>
      <c r="P82" s="386" t="str">
        <f>IF('Employee Detail FY25'!P82="","",'Employee Detail FY25'!P82)</f>
        <v>N</v>
      </c>
      <c r="Q82" s="386" t="str">
        <f>IF('Employee Detail FY25'!Q82="","",'Employee Detail FY25'!Q82)</f>
        <v/>
      </c>
      <c r="R82" s="386" t="str">
        <f>IF('Employee Detail FY25'!R82="","",'Employee Detail FY25'!R82)</f>
        <v/>
      </c>
      <c r="S82" s="386" t="str">
        <f>IF('Employee Detail FY25'!S82="","",'Employee Detail FY25'!S82)</f>
        <v/>
      </c>
      <c r="T82" s="263" t="str">
        <f t="shared" si="20"/>
        <v/>
      </c>
      <c r="U82" s="269">
        <f>IF('Employee Detail FY25'!U82="","",'Employee Detail FY25'!U82)</f>
        <v>0</v>
      </c>
      <c r="V82" s="270">
        <f t="shared" si="21"/>
        <v>0</v>
      </c>
      <c r="W82" s="270" t="str">
        <f t="shared" si="22"/>
        <v/>
      </c>
      <c r="X82" s="270">
        <f t="shared" si="23"/>
        <v>0</v>
      </c>
      <c r="Y82" s="62">
        <v>0</v>
      </c>
      <c r="Z82" s="62">
        <v>0</v>
      </c>
      <c r="AA82" s="256">
        <f t="shared" si="24"/>
        <v>0</v>
      </c>
      <c r="AB82" s="3"/>
      <c r="AC82" s="62" t="str">
        <f t="shared" si="25"/>
        <v/>
      </c>
      <c r="AD82" s="62">
        <f t="shared" si="26"/>
        <v>0</v>
      </c>
      <c r="AE82" s="62" t="str">
        <f t="shared" si="27"/>
        <v/>
      </c>
      <c r="AF82" s="62" t="str">
        <f t="shared" si="28"/>
        <v/>
      </c>
      <c r="AG82" s="192">
        <v>0</v>
      </c>
      <c r="AH82" s="62" t="str">
        <f t="shared" si="29"/>
        <v/>
      </c>
      <c r="AI82" s="62">
        <f t="shared" si="30"/>
        <v>0</v>
      </c>
      <c r="AJ82" s="62"/>
      <c r="AK82" s="62">
        <v>0</v>
      </c>
      <c r="AL82" s="256">
        <f t="shared" si="31"/>
        <v>0</v>
      </c>
      <c r="AM82" s="256">
        <f t="shared" si="32"/>
        <v>0</v>
      </c>
      <c r="AN82" s="256">
        <f t="shared" si="33"/>
        <v>0</v>
      </c>
    </row>
    <row r="83" spans="1:40" hidden="1" x14ac:dyDescent="0.2">
      <c r="A83" s="386" t="str">
        <f>IF('Employee Detail FY25'!A83="","",'Employee Detail FY25'!A83)</f>
        <v/>
      </c>
      <c r="B83" s="678" t="str">
        <f>IF('Employee Detail FY25'!B83="","",'Employee Detail FY25'!B83)</f>
        <v/>
      </c>
      <c r="C83" s="678" t="str">
        <f>IF('Employee Detail FY25'!C83="","",'Employee Detail FY25'!C83)</f>
        <v/>
      </c>
      <c r="D83" s="678"/>
      <c r="E83" s="678" t="str">
        <f>IF('Employee Detail FY25'!E83="","",'Employee Detail FY25'!E83)</f>
        <v/>
      </c>
      <c r="F83" s="678" t="str">
        <f>IF('Employee Detail FY25'!F83="","",'Employee Detail FY25'!F83)</f>
        <v/>
      </c>
      <c r="G83" s="678" t="str">
        <f>IF('Employee Detail FY25'!G83="","",'Employee Detail FY25'!G83)</f>
        <v/>
      </c>
      <c r="H83" s="678"/>
      <c r="I83" s="359" t="str">
        <f>IF('Employee Detail FY25'!I83="","",'Employee Detail FY25'!I83)</f>
        <v/>
      </c>
      <c r="J83" s="359" t="str">
        <f>IF('Employee Detail FY25'!J83="","",'Employee Detail FY25'!J83)</f>
        <v/>
      </c>
      <c r="K83" s="359" t="str">
        <f>IF('Employee Detail FY25'!K83="","",'Employee Detail FY25'!K83)</f>
        <v/>
      </c>
      <c r="L83" s="359" t="str">
        <f>IF('Employee Detail FY25'!L83="","",'Employee Detail FY25'!L83)</f>
        <v/>
      </c>
      <c r="M83" s="388" t="str">
        <f>IF('Employee Detail FY25'!M83="","",'Employee Detail FY25'!M83)</f>
        <v/>
      </c>
      <c r="N83" s="386" t="str">
        <f>IF('Employee Detail FY25'!N83="","",'Employee Detail FY25'!N83)</f>
        <v/>
      </c>
      <c r="O83" s="386" t="str">
        <f>IF('Employee Detail FY25'!O83="","",'Employee Detail FY25'!O83)</f>
        <v/>
      </c>
      <c r="P83" s="386" t="str">
        <f>IF('Employee Detail FY25'!P83="","",'Employee Detail FY25'!P83)</f>
        <v/>
      </c>
      <c r="Q83" s="386" t="str">
        <f>IF('Employee Detail FY25'!Q83="","",'Employee Detail FY25'!Q83)</f>
        <v/>
      </c>
      <c r="R83" s="386" t="str">
        <f>IF('Employee Detail FY25'!R83="","",'Employee Detail FY25'!R83)</f>
        <v/>
      </c>
      <c r="S83" s="386" t="str">
        <f>IF('Employee Detail FY25'!S83="","",'Employee Detail FY25'!S83)</f>
        <v/>
      </c>
      <c r="T83" s="263" t="str">
        <f t="shared" si="20"/>
        <v/>
      </c>
      <c r="U83" s="269">
        <f>IF('Employee Detail FY25'!U83="","",'Employee Detail FY25'!U83)</f>
        <v>0</v>
      </c>
      <c r="V83" s="270">
        <f t="shared" si="21"/>
        <v>0</v>
      </c>
      <c r="W83" s="270" t="str">
        <f t="shared" si="22"/>
        <v/>
      </c>
      <c r="X83" s="270" t="str">
        <f t="shared" si="23"/>
        <v/>
      </c>
      <c r="Y83" s="62">
        <v>0</v>
      </c>
      <c r="Z83" s="62">
        <v>0</v>
      </c>
      <c r="AA83" s="256">
        <f t="shared" si="24"/>
        <v>0</v>
      </c>
      <c r="AB83" s="3"/>
      <c r="AC83" s="62" t="str">
        <f t="shared" si="25"/>
        <v/>
      </c>
      <c r="AD83" s="62" t="str">
        <f t="shared" si="26"/>
        <v/>
      </c>
      <c r="AE83" s="62" t="str">
        <f t="shared" si="27"/>
        <v/>
      </c>
      <c r="AF83" s="62" t="str">
        <f t="shared" si="28"/>
        <v/>
      </c>
      <c r="AG83" s="192">
        <v>0</v>
      </c>
      <c r="AH83" s="62" t="str">
        <f t="shared" si="29"/>
        <v/>
      </c>
      <c r="AI83" s="62">
        <f t="shared" si="30"/>
        <v>0</v>
      </c>
      <c r="AJ83" s="62"/>
      <c r="AK83" s="62">
        <v>0</v>
      </c>
      <c r="AL83" s="256">
        <f t="shared" si="31"/>
        <v>0</v>
      </c>
      <c r="AM83" s="256">
        <f t="shared" si="32"/>
        <v>0</v>
      </c>
      <c r="AN83" s="256">
        <f t="shared" si="33"/>
        <v>0</v>
      </c>
    </row>
    <row r="84" spans="1:40" x14ac:dyDescent="0.2">
      <c r="A84" s="386" t="str">
        <f>IF('Employee Detail FY25'!A84="","",'Employee Detail FY25'!A84)</f>
        <v/>
      </c>
      <c r="B84" s="678" t="str">
        <f>IF('Employee Detail FY25'!B84="","",'Employee Detail FY25'!B84)</f>
        <v>280</v>
      </c>
      <c r="C84" s="678" t="str">
        <f>IF('Employee Detail FY25'!C84="","",'Employee Detail FY25'!C84)</f>
        <v>624</v>
      </c>
      <c r="D84" s="678"/>
      <c r="E84" s="678" t="str">
        <f>IF('Employee Detail FY25'!E84="","",'Employee Detail FY25'!E84)</f>
        <v>430</v>
      </c>
      <c r="F84" s="678" t="str">
        <f>IF('Employee Detail FY25'!F84="","",'Employee Detail FY25'!F84)</f>
        <v>1000</v>
      </c>
      <c r="G84" s="678" t="str">
        <f>IF('Employee Detail FY25'!G84="","",'Employee Detail FY25'!G84)</f>
        <v>0151</v>
      </c>
      <c r="H84" s="678"/>
      <c r="I84" s="359" t="str">
        <f>IF('Employee Detail FY25'!I84="","",'Employee Detail FY25'!I84)</f>
        <v>TITLE I 1003A</v>
      </c>
      <c r="J84" s="359" t="str">
        <f>IF('Employee Detail FY25'!J84="","",'Employee Detail FY25'!J84)</f>
        <v>PD</v>
      </c>
      <c r="K84" s="359" t="str">
        <f>IF('Employee Detail FY25'!K84="","",'Employee Detail FY25'!K84)</f>
        <v/>
      </c>
      <c r="L84" s="359" t="str">
        <f>IF('Employee Detail FY25'!L84="","",'Employee Detail FY25'!L84)</f>
        <v>TITLE I 1003A PD</v>
      </c>
      <c r="M84" s="388">
        <f>IF('Employee Detail FY25'!M84="","",'Employee Detail FY25'!M84)</f>
        <v>0</v>
      </c>
      <c r="N84" s="386" t="str">
        <f>IF('Employee Detail FY25'!N84="","",'Employee Detail FY25'!N84)</f>
        <v/>
      </c>
      <c r="O84" s="386" t="str">
        <f>IF('Employee Detail FY25'!O84="","",'Employee Detail FY25'!O84)</f>
        <v/>
      </c>
      <c r="P84" s="386" t="str">
        <f>IF('Employee Detail FY25'!P84="","",'Employee Detail FY25'!P84)</f>
        <v>N</v>
      </c>
      <c r="Q84" s="386" t="str">
        <f>IF('Employee Detail FY25'!Q84="","",'Employee Detail FY25'!Q84)</f>
        <v/>
      </c>
      <c r="R84" s="386" t="str">
        <f>IF('Employee Detail FY25'!R84="","",'Employee Detail FY25'!R84)</f>
        <v/>
      </c>
      <c r="S84" s="386" t="str">
        <f>IF('Employee Detail FY25'!S84="","",'Employee Detail FY25'!S84)</f>
        <v/>
      </c>
      <c r="T84" s="263" t="str">
        <f t="shared" si="20"/>
        <v/>
      </c>
      <c r="U84" s="269">
        <f>IF('Employee Detail FY25'!U84="","",'Employee Detail FY25'!U84)</f>
        <v>0</v>
      </c>
      <c r="V84" s="270">
        <f t="shared" si="21"/>
        <v>0</v>
      </c>
      <c r="W84" s="270" t="str">
        <f t="shared" si="22"/>
        <v/>
      </c>
      <c r="X84" s="270">
        <f t="shared" si="23"/>
        <v>0</v>
      </c>
      <c r="Y84" s="62">
        <v>0</v>
      </c>
      <c r="Z84" s="62">
        <v>0</v>
      </c>
      <c r="AA84" s="256">
        <f t="shared" si="24"/>
        <v>0</v>
      </c>
      <c r="AB84" s="3"/>
      <c r="AC84" s="62" t="str">
        <f t="shared" si="25"/>
        <v/>
      </c>
      <c r="AD84" s="62">
        <f t="shared" si="26"/>
        <v>0</v>
      </c>
      <c r="AE84" s="62" t="str">
        <f t="shared" si="27"/>
        <v/>
      </c>
      <c r="AF84" s="62" t="str">
        <f t="shared" si="28"/>
        <v/>
      </c>
      <c r="AG84" s="192">
        <v>0</v>
      </c>
      <c r="AH84" s="62" t="str">
        <f t="shared" si="29"/>
        <v/>
      </c>
      <c r="AI84" s="62">
        <f t="shared" si="30"/>
        <v>0</v>
      </c>
      <c r="AJ84" s="62"/>
      <c r="AK84" s="62">
        <v>0</v>
      </c>
      <c r="AL84" s="256">
        <f t="shared" si="31"/>
        <v>0</v>
      </c>
      <c r="AM84" s="256">
        <f t="shared" si="32"/>
        <v>0</v>
      </c>
      <c r="AN84" s="256">
        <f t="shared" si="33"/>
        <v>0</v>
      </c>
    </row>
    <row r="85" spans="1:40" hidden="1" x14ac:dyDescent="0.2">
      <c r="A85" s="386" t="str">
        <f>IF('Employee Detail FY25'!A85="","",'Employee Detail FY25'!A85)</f>
        <v/>
      </c>
      <c r="B85" s="678" t="str">
        <f>IF('Employee Detail FY25'!B85="","",'Employee Detail FY25'!B85)</f>
        <v>280</v>
      </c>
      <c r="C85" s="678" t="str">
        <f>IF('Employee Detail FY25'!C85="","",'Employee Detail FY25'!C85)</f>
        <v>624</v>
      </c>
      <c r="D85" s="678"/>
      <c r="E85" s="678" t="str">
        <f>IF('Employee Detail FY25'!E85="","",'Employee Detail FY25'!E85)</f>
        <v>430</v>
      </c>
      <c r="F85" s="678" t="str">
        <f>IF('Employee Detail FY25'!F85="","",'Employee Detail FY25'!F85)</f>
        <v>2210</v>
      </c>
      <c r="G85" s="678" t="str">
        <f>IF('Employee Detail FY25'!G85="","",'Employee Detail FY25'!G85)</f>
        <v>0151</v>
      </c>
      <c r="H85" s="678"/>
      <c r="I85" s="359" t="str">
        <f>IF('Employee Detail FY25'!I85="","",'Employee Detail FY25'!I85)</f>
        <v>TITLE I 1003A</v>
      </c>
      <c r="J85" s="359" t="str">
        <f>IF('Employee Detail FY25'!J85="","",'Employee Detail FY25'!J85)</f>
        <v>PD</v>
      </c>
      <c r="K85" s="359" t="str">
        <f>IF('Employee Detail FY25'!K85="","",'Employee Detail FY25'!K85)</f>
        <v/>
      </c>
      <c r="L85" s="359" t="str">
        <f>IF('Employee Detail FY25'!L85="","",'Employee Detail FY25'!L85)</f>
        <v>TITLE I 1003A PD</v>
      </c>
      <c r="M85" s="388">
        <f>IF('Employee Detail FY25'!M85="","",'Employee Detail FY25'!M85)</f>
        <v>0</v>
      </c>
      <c r="N85" s="386" t="str">
        <f>IF('Employee Detail FY25'!N85="","",'Employee Detail FY25'!N85)</f>
        <v/>
      </c>
      <c r="O85" s="386" t="str">
        <f>IF('Employee Detail FY25'!O85="","",'Employee Detail FY25'!O85)</f>
        <v/>
      </c>
      <c r="P85" s="386" t="str">
        <f>IF('Employee Detail FY25'!P85="","",'Employee Detail FY25'!P85)</f>
        <v>N</v>
      </c>
      <c r="Q85" s="386" t="str">
        <f>IF('Employee Detail FY25'!Q85="","",'Employee Detail FY25'!Q85)</f>
        <v/>
      </c>
      <c r="R85" s="386" t="str">
        <f>IF('Employee Detail FY25'!R85="","",'Employee Detail FY25'!R85)</f>
        <v/>
      </c>
      <c r="S85" s="386" t="str">
        <f>IF('Employee Detail FY25'!S85="","",'Employee Detail FY25'!S85)</f>
        <v/>
      </c>
      <c r="T85" s="263" t="str">
        <f t="shared" si="20"/>
        <v/>
      </c>
      <c r="U85" s="269">
        <f>IF('Employee Detail FY25'!U85="","",'Employee Detail FY25'!U85)</f>
        <v>0</v>
      </c>
      <c r="V85" s="270">
        <f t="shared" si="21"/>
        <v>0</v>
      </c>
      <c r="W85" s="270" t="str">
        <f t="shared" si="22"/>
        <v/>
      </c>
      <c r="X85" s="270">
        <f t="shared" si="23"/>
        <v>0</v>
      </c>
      <c r="Y85" s="62">
        <v>0</v>
      </c>
      <c r="Z85" s="62">
        <v>0</v>
      </c>
      <c r="AA85" s="256">
        <f t="shared" si="24"/>
        <v>0</v>
      </c>
      <c r="AB85" s="3"/>
      <c r="AC85" s="62" t="str">
        <f t="shared" si="25"/>
        <v/>
      </c>
      <c r="AD85" s="62">
        <f t="shared" si="26"/>
        <v>0</v>
      </c>
      <c r="AE85" s="62" t="str">
        <f t="shared" si="27"/>
        <v/>
      </c>
      <c r="AF85" s="62" t="str">
        <f t="shared" si="28"/>
        <v/>
      </c>
      <c r="AG85" s="192">
        <v>0</v>
      </c>
      <c r="AH85" s="62" t="str">
        <f t="shared" si="29"/>
        <v/>
      </c>
      <c r="AI85" s="62">
        <f t="shared" si="30"/>
        <v>0</v>
      </c>
      <c r="AJ85" s="62"/>
      <c r="AK85" s="62">
        <v>0</v>
      </c>
      <c r="AL85" s="256">
        <f t="shared" si="31"/>
        <v>0</v>
      </c>
      <c r="AM85" s="256">
        <f t="shared" si="32"/>
        <v>0</v>
      </c>
      <c r="AN85" s="256">
        <f t="shared" si="33"/>
        <v>0</v>
      </c>
    </row>
    <row r="86" spans="1:40" x14ac:dyDescent="0.2">
      <c r="A86" s="386" t="str">
        <f>IF('Employee Detail FY25'!A86="","",'Employee Detail FY25'!A86)</f>
        <v/>
      </c>
      <c r="B86" s="678" t="str">
        <f>IF('Employee Detail FY25'!B86="","",'Employee Detail FY25'!B86)</f>
        <v>280</v>
      </c>
      <c r="C86" s="678" t="str">
        <f>IF('Employee Detail FY25'!C86="","",'Employee Detail FY25'!C86)</f>
        <v>624</v>
      </c>
      <c r="D86" s="678"/>
      <c r="E86" s="678" t="str">
        <f>IF('Employee Detail FY25'!E86="","",'Employee Detail FY25'!E86)</f>
        <v>430</v>
      </c>
      <c r="F86" s="678" t="str">
        <f>IF('Employee Detail FY25'!F86="","",'Employee Detail FY25'!F86)</f>
        <v>1000</v>
      </c>
      <c r="G86" s="678" t="str">
        <f>IF('Employee Detail FY25'!G86="","",'Employee Detail FY25'!G86)</f>
        <v>0152</v>
      </c>
      <c r="H86" s="678"/>
      <c r="I86" s="359" t="str">
        <f>IF('Employee Detail FY25'!I86="","",'Employee Detail FY25'!I86)</f>
        <v>TITLE I 1003A</v>
      </c>
      <c r="J86" s="359" t="str">
        <f>IF('Employee Detail FY25'!J86="","",'Employee Detail FY25'!J86)</f>
        <v>PD</v>
      </c>
      <c r="K86" s="359" t="str">
        <f>IF('Employee Detail FY25'!K86="","",'Employee Detail FY25'!K86)</f>
        <v/>
      </c>
      <c r="L86" s="359" t="str">
        <f>IF('Employee Detail FY25'!L86="","",'Employee Detail FY25'!L86)</f>
        <v>TITLE I 1003A PD</v>
      </c>
      <c r="M86" s="388">
        <f>IF('Employee Detail FY25'!M86="","",'Employee Detail FY25'!M86)</f>
        <v>0</v>
      </c>
      <c r="N86" s="386" t="str">
        <f>IF('Employee Detail FY25'!N86="","",'Employee Detail FY25'!N86)</f>
        <v/>
      </c>
      <c r="O86" s="386" t="str">
        <f>IF('Employee Detail FY25'!O86="","",'Employee Detail FY25'!O86)</f>
        <v/>
      </c>
      <c r="P86" s="386" t="str">
        <f>IF('Employee Detail FY25'!P86="","",'Employee Detail FY25'!P86)</f>
        <v>N</v>
      </c>
      <c r="Q86" s="386" t="str">
        <f>IF('Employee Detail FY25'!Q86="","",'Employee Detail FY25'!Q86)</f>
        <v/>
      </c>
      <c r="R86" s="386" t="str">
        <f>IF('Employee Detail FY25'!R86="","",'Employee Detail FY25'!R86)</f>
        <v/>
      </c>
      <c r="S86" s="386" t="str">
        <f>IF('Employee Detail FY25'!S86="","",'Employee Detail FY25'!S86)</f>
        <v/>
      </c>
      <c r="T86" s="263" t="str">
        <f t="shared" si="20"/>
        <v/>
      </c>
      <c r="U86" s="269">
        <f>IF('Employee Detail FY25'!U86="","",'Employee Detail FY25'!U86)</f>
        <v>0</v>
      </c>
      <c r="V86" s="270">
        <f t="shared" si="21"/>
        <v>0</v>
      </c>
      <c r="W86" s="270" t="str">
        <f t="shared" si="22"/>
        <v/>
      </c>
      <c r="X86" s="270">
        <f t="shared" si="23"/>
        <v>0</v>
      </c>
      <c r="Y86" s="62">
        <v>0</v>
      </c>
      <c r="Z86" s="62">
        <v>0</v>
      </c>
      <c r="AA86" s="256">
        <f t="shared" si="24"/>
        <v>0</v>
      </c>
      <c r="AB86" s="3"/>
      <c r="AC86" s="62" t="str">
        <f t="shared" si="25"/>
        <v/>
      </c>
      <c r="AD86" s="62">
        <f t="shared" si="26"/>
        <v>0</v>
      </c>
      <c r="AE86" s="62" t="str">
        <f t="shared" si="27"/>
        <v/>
      </c>
      <c r="AF86" s="62" t="str">
        <f t="shared" si="28"/>
        <v/>
      </c>
      <c r="AG86" s="192">
        <v>0</v>
      </c>
      <c r="AH86" s="62" t="str">
        <f t="shared" si="29"/>
        <v/>
      </c>
      <c r="AI86" s="62">
        <f t="shared" si="30"/>
        <v>0</v>
      </c>
      <c r="AJ86" s="62"/>
      <c r="AK86" s="62">
        <v>0</v>
      </c>
      <c r="AL86" s="256">
        <f t="shared" si="31"/>
        <v>0</v>
      </c>
      <c r="AM86" s="256">
        <f t="shared" si="32"/>
        <v>0</v>
      </c>
      <c r="AN86" s="256">
        <f t="shared" si="33"/>
        <v>0</v>
      </c>
    </row>
    <row r="87" spans="1:40" hidden="1" x14ac:dyDescent="0.2">
      <c r="A87" s="386" t="str">
        <f>IF('Employee Detail FY25'!A87="","",'Employee Detail FY25'!A87)</f>
        <v/>
      </c>
      <c r="B87" s="678" t="str">
        <f>IF('Employee Detail FY25'!B87="","",'Employee Detail FY25'!B87)</f>
        <v>280</v>
      </c>
      <c r="C87" s="678" t="str">
        <f>IF('Employee Detail FY25'!C87="","",'Employee Detail FY25'!C87)</f>
        <v>624</v>
      </c>
      <c r="D87" s="678"/>
      <c r="E87" s="678" t="str">
        <f>IF('Employee Detail FY25'!E87="","",'Employee Detail FY25'!E87)</f>
        <v>430</v>
      </c>
      <c r="F87" s="678">
        <f>IF('Employee Detail FY25'!F87="","",'Employee Detail FY25'!F87)</f>
        <v>2410</v>
      </c>
      <c r="G87" s="678" t="str">
        <f>IF('Employee Detail FY25'!G87="","",'Employee Detail FY25'!G87)</f>
        <v>0154</v>
      </c>
      <c r="H87" s="678"/>
      <c r="I87" s="359" t="str">
        <f>IF('Employee Detail FY25'!I87="","",'Employee Detail FY25'!I87)</f>
        <v>TITLE I 1003A</v>
      </c>
      <c r="J87" s="359" t="str">
        <f>IF('Employee Detail FY25'!J87="","",'Employee Detail FY25'!J87)</f>
        <v>PD</v>
      </c>
      <c r="K87" s="359" t="str">
        <f>IF('Employee Detail FY25'!K87="","",'Employee Detail FY25'!K87)</f>
        <v/>
      </c>
      <c r="L87" s="359" t="str">
        <f>IF('Employee Detail FY25'!L87="","",'Employee Detail FY25'!L87)</f>
        <v>TITLE I 1003A PD</v>
      </c>
      <c r="M87" s="388">
        <f>IF('Employee Detail FY25'!M87="","",'Employee Detail FY25'!M87)</f>
        <v>0</v>
      </c>
      <c r="N87" s="386" t="str">
        <f>IF('Employee Detail FY25'!N87="","",'Employee Detail FY25'!N87)</f>
        <v/>
      </c>
      <c r="O87" s="386" t="str">
        <f>IF('Employee Detail FY25'!O87="","",'Employee Detail FY25'!O87)</f>
        <v/>
      </c>
      <c r="P87" s="386" t="str">
        <f>IF('Employee Detail FY25'!P87="","",'Employee Detail FY25'!P87)</f>
        <v>N</v>
      </c>
      <c r="Q87" s="386" t="str">
        <f>IF('Employee Detail FY25'!Q87="","",'Employee Detail FY25'!Q87)</f>
        <v/>
      </c>
      <c r="R87" s="386" t="str">
        <f>IF('Employee Detail FY25'!R87="","",'Employee Detail FY25'!R87)</f>
        <v/>
      </c>
      <c r="S87" s="386" t="str">
        <f>IF('Employee Detail FY25'!S87="","",'Employee Detail FY25'!S87)</f>
        <v/>
      </c>
      <c r="T87" s="263" t="str">
        <f t="shared" si="20"/>
        <v/>
      </c>
      <c r="U87" s="269">
        <f>IF('Employee Detail FY25'!U87="","",'Employee Detail FY25'!U87)</f>
        <v>0</v>
      </c>
      <c r="V87" s="270">
        <f t="shared" si="21"/>
        <v>0</v>
      </c>
      <c r="W87" s="270" t="str">
        <f t="shared" si="22"/>
        <v/>
      </c>
      <c r="X87" s="270">
        <f t="shared" si="23"/>
        <v>0</v>
      </c>
      <c r="Y87" s="62">
        <v>0</v>
      </c>
      <c r="Z87" s="62">
        <v>0</v>
      </c>
      <c r="AA87" s="256">
        <f t="shared" si="24"/>
        <v>0</v>
      </c>
      <c r="AB87" s="3"/>
      <c r="AC87" s="62" t="str">
        <f t="shared" si="25"/>
        <v/>
      </c>
      <c r="AD87" s="62">
        <f t="shared" si="26"/>
        <v>0</v>
      </c>
      <c r="AE87" s="62" t="str">
        <f t="shared" si="27"/>
        <v/>
      </c>
      <c r="AF87" s="62" t="str">
        <f t="shared" si="28"/>
        <v/>
      </c>
      <c r="AG87" s="192">
        <v>0</v>
      </c>
      <c r="AH87" s="62" t="str">
        <f t="shared" si="29"/>
        <v/>
      </c>
      <c r="AI87" s="62">
        <f t="shared" si="30"/>
        <v>0</v>
      </c>
      <c r="AJ87" s="62"/>
      <c r="AK87" s="62">
        <v>0</v>
      </c>
      <c r="AL87" s="256">
        <f t="shared" si="31"/>
        <v>0</v>
      </c>
      <c r="AM87" s="256">
        <f t="shared" si="32"/>
        <v>0</v>
      </c>
      <c r="AN87" s="256">
        <f t="shared" si="33"/>
        <v>0</v>
      </c>
    </row>
    <row r="88" spans="1:40" hidden="1" x14ac:dyDescent="0.2">
      <c r="A88" s="386" t="str">
        <f>IF('Employee Detail FY25'!A88="","",'Employee Detail FY25'!A88)</f>
        <v/>
      </c>
      <c r="B88" s="678" t="str">
        <f>IF('Employee Detail FY25'!B88="","",'Employee Detail FY25'!B88)</f>
        <v>280</v>
      </c>
      <c r="C88" s="678" t="str">
        <f>IF('Employee Detail FY25'!C88="","",'Employee Detail FY25'!C88)</f>
        <v>624</v>
      </c>
      <c r="D88" s="678"/>
      <c r="E88" s="678" t="str">
        <f>IF('Employee Detail FY25'!E88="","",'Employee Detail FY25'!E88)</f>
        <v>430</v>
      </c>
      <c r="F88" s="678" t="str">
        <f>IF('Employee Detail FY25'!F88="","",'Employee Detail FY25'!F88)</f>
        <v>2120</v>
      </c>
      <c r="G88" s="678" t="str">
        <f>IF('Employee Detail FY25'!G88="","",'Employee Detail FY25'!G88)</f>
        <v>0156</v>
      </c>
      <c r="H88" s="678"/>
      <c r="I88" s="359" t="str">
        <f>IF('Employee Detail FY25'!I88="","",'Employee Detail FY25'!I88)</f>
        <v>TITLE I 1003A</v>
      </c>
      <c r="J88" s="359" t="str">
        <f>IF('Employee Detail FY25'!J88="","",'Employee Detail FY25'!J88)</f>
        <v>PD</v>
      </c>
      <c r="K88" s="359" t="str">
        <f>IF('Employee Detail FY25'!K88="","",'Employee Detail FY25'!K88)</f>
        <v/>
      </c>
      <c r="L88" s="359" t="str">
        <f>IF('Employee Detail FY25'!L88="","",'Employee Detail FY25'!L88)</f>
        <v>TITLE I 1003A PD</v>
      </c>
      <c r="M88" s="388">
        <f>IF('Employee Detail FY25'!M88="","",'Employee Detail FY25'!M88)</f>
        <v>0</v>
      </c>
      <c r="N88" s="386" t="str">
        <f>IF('Employee Detail FY25'!N88="","",'Employee Detail FY25'!N88)</f>
        <v/>
      </c>
      <c r="O88" s="386" t="str">
        <f>IF('Employee Detail FY25'!O88="","",'Employee Detail FY25'!O88)</f>
        <v/>
      </c>
      <c r="P88" s="386" t="str">
        <f>IF('Employee Detail FY25'!P88="","",'Employee Detail FY25'!P88)</f>
        <v>N</v>
      </c>
      <c r="Q88" s="386" t="str">
        <f>IF('Employee Detail FY25'!Q88="","",'Employee Detail FY25'!Q88)</f>
        <v/>
      </c>
      <c r="R88" s="386" t="str">
        <f>IF('Employee Detail FY25'!R88="","",'Employee Detail FY25'!R88)</f>
        <v/>
      </c>
      <c r="S88" s="386" t="str">
        <f>IF('Employee Detail FY25'!S88="","",'Employee Detail FY25'!S88)</f>
        <v/>
      </c>
      <c r="T88" s="263" t="str">
        <f t="shared" si="20"/>
        <v/>
      </c>
      <c r="U88" s="269">
        <f>IF('Employee Detail FY25'!U88="","",'Employee Detail FY25'!U88)</f>
        <v>0</v>
      </c>
      <c r="V88" s="270">
        <f t="shared" si="21"/>
        <v>0</v>
      </c>
      <c r="W88" s="270" t="str">
        <f t="shared" si="22"/>
        <v/>
      </c>
      <c r="X88" s="270">
        <f t="shared" si="23"/>
        <v>0</v>
      </c>
      <c r="Y88" s="62">
        <v>0</v>
      </c>
      <c r="Z88" s="62">
        <v>0</v>
      </c>
      <c r="AA88" s="256">
        <f t="shared" si="24"/>
        <v>0</v>
      </c>
      <c r="AB88" s="3"/>
      <c r="AC88" s="62" t="str">
        <f t="shared" si="25"/>
        <v/>
      </c>
      <c r="AD88" s="62">
        <f t="shared" si="26"/>
        <v>0</v>
      </c>
      <c r="AE88" s="62" t="str">
        <f t="shared" si="27"/>
        <v/>
      </c>
      <c r="AF88" s="62" t="str">
        <f t="shared" si="28"/>
        <v/>
      </c>
      <c r="AG88" s="192">
        <v>0</v>
      </c>
      <c r="AH88" s="62" t="str">
        <f t="shared" si="29"/>
        <v/>
      </c>
      <c r="AI88" s="62">
        <f t="shared" si="30"/>
        <v>0</v>
      </c>
      <c r="AJ88" s="62"/>
      <c r="AK88" s="62">
        <v>0</v>
      </c>
      <c r="AL88" s="256">
        <f t="shared" si="31"/>
        <v>0</v>
      </c>
      <c r="AM88" s="256">
        <f t="shared" si="32"/>
        <v>0</v>
      </c>
      <c r="AN88" s="256">
        <f t="shared" si="33"/>
        <v>0</v>
      </c>
    </row>
    <row r="89" spans="1:40" hidden="1" x14ac:dyDescent="0.2">
      <c r="A89" s="386" t="str">
        <f>IF('Employee Detail FY25'!A89="","",'Employee Detail FY25'!A89)</f>
        <v/>
      </c>
      <c r="B89" s="678" t="str">
        <f>IF('Employee Detail FY25'!B89="","",'Employee Detail FY25'!B89)</f>
        <v>280</v>
      </c>
      <c r="C89" s="678" t="str">
        <f>IF('Employee Detail FY25'!C89="","",'Employee Detail FY25'!C89)</f>
        <v>624</v>
      </c>
      <c r="D89" s="678"/>
      <c r="E89" s="678" t="str">
        <f>IF('Employee Detail FY25'!E89="","",'Employee Detail FY25'!E89)</f>
        <v>430</v>
      </c>
      <c r="F89" s="678" t="str">
        <f>IF('Employee Detail FY25'!F89="","",'Employee Detail FY25'!F89)</f>
        <v>2140</v>
      </c>
      <c r="G89" s="678" t="str">
        <f>IF('Employee Detail FY25'!G89="","",'Employee Detail FY25'!G89)</f>
        <v>0156</v>
      </c>
      <c r="H89" s="678"/>
      <c r="I89" s="359" t="str">
        <f>IF('Employee Detail FY25'!I89="","",'Employee Detail FY25'!I89)</f>
        <v>TITLE I 1003A</v>
      </c>
      <c r="J89" s="359" t="str">
        <f>IF('Employee Detail FY25'!J89="","",'Employee Detail FY25'!J89)</f>
        <v>PD</v>
      </c>
      <c r="K89" s="359" t="str">
        <f>IF('Employee Detail FY25'!K89="","",'Employee Detail FY25'!K89)</f>
        <v/>
      </c>
      <c r="L89" s="359" t="str">
        <f>IF('Employee Detail FY25'!L89="","",'Employee Detail FY25'!L89)</f>
        <v>TITLE I 1003A PD</v>
      </c>
      <c r="M89" s="388">
        <f>IF('Employee Detail FY25'!M89="","",'Employee Detail FY25'!M89)</f>
        <v>0</v>
      </c>
      <c r="N89" s="386" t="str">
        <f>IF('Employee Detail FY25'!N89="","",'Employee Detail FY25'!N89)</f>
        <v/>
      </c>
      <c r="O89" s="386" t="str">
        <f>IF('Employee Detail FY25'!O89="","",'Employee Detail FY25'!O89)</f>
        <v/>
      </c>
      <c r="P89" s="386" t="str">
        <f>IF('Employee Detail FY25'!P89="","",'Employee Detail FY25'!P89)</f>
        <v>N</v>
      </c>
      <c r="Q89" s="386" t="str">
        <f>IF('Employee Detail FY25'!Q89="","",'Employee Detail FY25'!Q89)</f>
        <v/>
      </c>
      <c r="R89" s="386" t="str">
        <f>IF('Employee Detail FY25'!R89="","",'Employee Detail FY25'!R89)</f>
        <v/>
      </c>
      <c r="S89" s="386" t="str">
        <f>IF('Employee Detail FY25'!S89="","",'Employee Detail FY25'!S89)</f>
        <v/>
      </c>
      <c r="T89" s="263" t="str">
        <f t="shared" si="20"/>
        <v/>
      </c>
      <c r="U89" s="269">
        <f>IF('Employee Detail FY25'!U89="","",'Employee Detail FY25'!U89)</f>
        <v>0</v>
      </c>
      <c r="V89" s="270">
        <f t="shared" si="21"/>
        <v>0</v>
      </c>
      <c r="W89" s="270" t="str">
        <f t="shared" si="22"/>
        <v/>
      </c>
      <c r="X89" s="270">
        <f t="shared" si="23"/>
        <v>0</v>
      </c>
      <c r="Y89" s="62">
        <v>0</v>
      </c>
      <c r="Z89" s="62">
        <v>0</v>
      </c>
      <c r="AA89" s="256">
        <f t="shared" si="24"/>
        <v>0</v>
      </c>
      <c r="AB89" s="3"/>
      <c r="AC89" s="62" t="str">
        <f t="shared" si="25"/>
        <v/>
      </c>
      <c r="AD89" s="62">
        <f t="shared" si="26"/>
        <v>0</v>
      </c>
      <c r="AE89" s="62" t="str">
        <f t="shared" si="27"/>
        <v/>
      </c>
      <c r="AF89" s="62" t="str">
        <f t="shared" si="28"/>
        <v/>
      </c>
      <c r="AG89" s="192">
        <v>0</v>
      </c>
      <c r="AH89" s="62" t="str">
        <f t="shared" si="29"/>
        <v/>
      </c>
      <c r="AI89" s="62">
        <f t="shared" si="30"/>
        <v>0</v>
      </c>
      <c r="AJ89" s="62"/>
      <c r="AK89" s="62">
        <v>0</v>
      </c>
      <c r="AL89" s="256">
        <f t="shared" si="31"/>
        <v>0</v>
      </c>
      <c r="AM89" s="256">
        <f t="shared" si="32"/>
        <v>0</v>
      </c>
      <c r="AN89" s="256">
        <f t="shared" si="33"/>
        <v>0</v>
      </c>
    </row>
    <row r="90" spans="1:40" hidden="1" x14ac:dyDescent="0.2">
      <c r="A90" s="386" t="str">
        <f>IF('Employee Detail FY25'!A90="","",'Employee Detail FY25'!A90)</f>
        <v/>
      </c>
      <c r="B90" s="678" t="str">
        <f>IF('Employee Detail FY25'!B90="","",'Employee Detail FY25'!B90)</f>
        <v>280</v>
      </c>
      <c r="C90" s="678" t="str">
        <f>IF('Employee Detail FY25'!C90="","",'Employee Detail FY25'!C90)</f>
        <v>624</v>
      </c>
      <c r="D90" s="678"/>
      <c r="E90" s="678" t="str">
        <f>IF('Employee Detail FY25'!E90="","",'Employee Detail FY25'!E90)</f>
        <v>430</v>
      </c>
      <c r="F90" s="678" t="str">
        <f>IF('Employee Detail FY25'!F90="","",'Employee Detail FY25'!F90)</f>
        <v>2110</v>
      </c>
      <c r="G90" s="678" t="str">
        <f>IF('Employee Detail FY25'!G90="","",'Employee Detail FY25'!G90)</f>
        <v>0157</v>
      </c>
      <c r="H90" s="678"/>
      <c r="I90" s="359" t="str">
        <f>IF('Employee Detail FY25'!I90="","",'Employee Detail FY25'!I90)</f>
        <v>TITLE I 1003A</v>
      </c>
      <c r="J90" s="359" t="str">
        <f>IF('Employee Detail FY25'!J90="","",'Employee Detail FY25'!J90)</f>
        <v>PD</v>
      </c>
      <c r="K90" s="359" t="str">
        <f>IF('Employee Detail FY25'!K90="","",'Employee Detail FY25'!K90)</f>
        <v/>
      </c>
      <c r="L90" s="359" t="str">
        <f>IF('Employee Detail FY25'!L90="","",'Employee Detail FY25'!L90)</f>
        <v>TITLE I 1003A PD</v>
      </c>
      <c r="M90" s="388">
        <f>IF('Employee Detail FY25'!M90="","",'Employee Detail FY25'!M90)</f>
        <v>0</v>
      </c>
      <c r="N90" s="386" t="str">
        <f>IF('Employee Detail FY25'!N90="","",'Employee Detail FY25'!N90)</f>
        <v/>
      </c>
      <c r="O90" s="386" t="str">
        <f>IF('Employee Detail FY25'!O90="","",'Employee Detail FY25'!O90)</f>
        <v/>
      </c>
      <c r="P90" s="386" t="str">
        <f>IF('Employee Detail FY25'!P90="","",'Employee Detail FY25'!P90)</f>
        <v>N</v>
      </c>
      <c r="Q90" s="386" t="str">
        <f>IF('Employee Detail FY25'!Q90="","",'Employee Detail FY25'!Q90)</f>
        <v/>
      </c>
      <c r="R90" s="386" t="str">
        <f>IF('Employee Detail FY25'!R90="","",'Employee Detail FY25'!R90)</f>
        <v/>
      </c>
      <c r="S90" s="386" t="str">
        <f>IF('Employee Detail FY25'!S90="","",'Employee Detail FY25'!S90)</f>
        <v/>
      </c>
      <c r="T90" s="263" t="str">
        <f t="shared" si="20"/>
        <v/>
      </c>
      <c r="U90" s="269">
        <f>IF('Employee Detail FY25'!U90="","",'Employee Detail FY25'!U90)</f>
        <v>0</v>
      </c>
      <c r="V90" s="270">
        <f t="shared" si="21"/>
        <v>0</v>
      </c>
      <c r="W90" s="270" t="str">
        <f t="shared" si="22"/>
        <v/>
      </c>
      <c r="X90" s="270">
        <f t="shared" si="23"/>
        <v>0</v>
      </c>
      <c r="Y90" s="62">
        <v>0</v>
      </c>
      <c r="Z90" s="62">
        <v>0</v>
      </c>
      <c r="AA90" s="256">
        <f t="shared" si="24"/>
        <v>0</v>
      </c>
      <c r="AB90" s="3"/>
      <c r="AC90" s="62" t="str">
        <f t="shared" si="25"/>
        <v/>
      </c>
      <c r="AD90" s="62">
        <f t="shared" si="26"/>
        <v>0</v>
      </c>
      <c r="AE90" s="62" t="str">
        <f t="shared" si="27"/>
        <v/>
      </c>
      <c r="AF90" s="62" t="str">
        <f t="shared" si="28"/>
        <v/>
      </c>
      <c r="AG90" s="192">
        <v>0</v>
      </c>
      <c r="AH90" s="62" t="str">
        <f t="shared" si="29"/>
        <v/>
      </c>
      <c r="AI90" s="62">
        <f t="shared" si="30"/>
        <v>0</v>
      </c>
      <c r="AJ90" s="62"/>
      <c r="AK90" s="62">
        <v>0</v>
      </c>
      <c r="AL90" s="256">
        <f t="shared" si="31"/>
        <v>0</v>
      </c>
      <c r="AM90" s="256">
        <f t="shared" si="32"/>
        <v>0</v>
      </c>
      <c r="AN90" s="256">
        <f t="shared" si="33"/>
        <v>0</v>
      </c>
    </row>
    <row r="91" spans="1:40" hidden="1" x14ac:dyDescent="0.2">
      <c r="A91" s="386" t="str">
        <f>IF('Employee Detail FY25'!A91="","",'Employee Detail FY25'!A91)</f>
        <v/>
      </c>
      <c r="B91" s="678" t="str">
        <f>IF('Employee Detail FY25'!B91="","",'Employee Detail FY25'!B91)</f>
        <v>280</v>
      </c>
      <c r="C91" s="678" t="str">
        <f>IF('Employee Detail FY25'!C91="","",'Employee Detail FY25'!C91)</f>
        <v>624</v>
      </c>
      <c r="D91" s="678"/>
      <c r="E91" s="678" t="str">
        <f>IF('Employee Detail FY25'!E91="","",'Employee Detail FY25'!E91)</f>
        <v>430</v>
      </c>
      <c r="F91" s="678" t="str">
        <f>IF('Employee Detail FY25'!F91="","",'Employee Detail FY25'!F91)</f>
        <v>2212</v>
      </c>
      <c r="G91" s="678" t="str">
        <f>IF('Employee Detail FY25'!G91="","",'Employee Detail FY25'!G91)</f>
        <v>0157</v>
      </c>
      <c r="H91" s="678"/>
      <c r="I91" s="359" t="str">
        <f>IF('Employee Detail FY25'!I91="","",'Employee Detail FY25'!I91)</f>
        <v>TITLE I 1003A</v>
      </c>
      <c r="J91" s="359" t="str">
        <f>IF('Employee Detail FY25'!J91="","",'Employee Detail FY25'!J91)</f>
        <v>PD</v>
      </c>
      <c r="K91" s="359" t="str">
        <f>IF('Employee Detail FY25'!K91="","",'Employee Detail FY25'!K91)</f>
        <v/>
      </c>
      <c r="L91" s="359" t="str">
        <f>IF('Employee Detail FY25'!L91="","",'Employee Detail FY25'!L91)</f>
        <v>TITLE I 1003A PD</v>
      </c>
      <c r="M91" s="388">
        <f>IF('Employee Detail FY25'!M91="","",'Employee Detail FY25'!M91)</f>
        <v>0</v>
      </c>
      <c r="N91" s="386" t="str">
        <f>IF('Employee Detail FY25'!N91="","",'Employee Detail FY25'!N91)</f>
        <v/>
      </c>
      <c r="O91" s="386" t="str">
        <f>IF('Employee Detail FY25'!O91="","",'Employee Detail FY25'!O91)</f>
        <v/>
      </c>
      <c r="P91" s="386" t="str">
        <f>IF('Employee Detail FY25'!P91="","",'Employee Detail FY25'!P91)</f>
        <v>N</v>
      </c>
      <c r="Q91" s="386" t="str">
        <f>IF('Employee Detail FY25'!Q91="","",'Employee Detail FY25'!Q91)</f>
        <v/>
      </c>
      <c r="R91" s="386" t="str">
        <f>IF('Employee Detail FY25'!R91="","",'Employee Detail FY25'!R91)</f>
        <v/>
      </c>
      <c r="S91" s="386" t="str">
        <f>IF('Employee Detail FY25'!S91="","",'Employee Detail FY25'!S91)</f>
        <v/>
      </c>
      <c r="T91" s="263" t="str">
        <f t="shared" si="20"/>
        <v/>
      </c>
      <c r="U91" s="269">
        <f>IF('Employee Detail FY25'!U91="","",'Employee Detail FY25'!U91)</f>
        <v>0</v>
      </c>
      <c r="V91" s="270">
        <f t="shared" si="21"/>
        <v>0</v>
      </c>
      <c r="W91" s="270" t="str">
        <f t="shared" si="22"/>
        <v/>
      </c>
      <c r="X91" s="270">
        <f t="shared" si="23"/>
        <v>0</v>
      </c>
      <c r="Y91" s="62">
        <v>0</v>
      </c>
      <c r="Z91" s="62">
        <v>0</v>
      </c>
      <c r="AA91" s="256">
        <f t="shared" si="24"/>
        <v>0</v>
      </c>
      <c r="AB91" s="3"/>
      <c r="AC91" s="62" t="str">
        <f t="shared" si="25"/>
        <v/>
      </c>
      <c r="AD91" s="62">
        <f t="shared" si="26"/>
        <v>0</v>
      </c>
      <c r="AE91" s="62" t="str">
        <f t="shared" si="27"/>
        <v/>
      </c>
      <c r="AF91" s="62" t="str">
        <f t="shared" si="28"/>
        <v/>
      </c>
      <c r="AG91" s="192">
        <v>0</v>
      </c>
      <c r="AH91" s="62" t="str">
        <f t="shared" si="29"/>
        <v/>
      </c>
      <c r="AI91" s="62">
        <f t="shared" si="30"/>
        <v>0</v>
      </c>
      <c r="AJ91" s="62"/>
      <c r="AK91" s="62">
        <v>0</v>
      </c>
      <c r="AL91" s="256">
        <f t="shared" si="31"/>
        <v>0</v>
      </c>
      <c r="AM91" s="256">
        <f t="shared" si="32"/>
        <v>0</v>
      </c>
      <c r="AN91" s="256">
        <f t="shared" si="33"/>
        <v>0</v>
      </c>
    </row>
    <row r="92" spans="1:40" hidden="1" x14ac:dyDescent="0.2">
      <c r="A92" s="386" t="str">
        <f>IF('Employee Detail FY25'!A92="","",'Employee Detail FY25'!A92)</f>
        <v/>
      </c>
      <c r="B92" s="678" t="str">
        <f>IF('Employee Detail FY25'!B92="","",'Employee Detail FY25'!B92)</f>
        <v/>
      </c>
      <c r="C92" s="678" t="str">
        <f>IF('Employee Detail FY25'!C92="","",'Employee Detail FY25'!C92)</f>
        <v/>
      </c>
      <c r="D92" s="678"/>
      <c r="E92" s="678" t="str">
        <f>IF('Employee Detail FY25'!E92="","",'Employee Detail FY25'!E92)</f>
        <v/>
      </c>
      <c r="F92" s="678" t="str">
        <f>IF('Employee Detail FY25'!F92="","",'Employee Detail FY25'!F92)</f>
        <v/>
      </c>
      <c r="G92" s="678" t="str">
        <f>IF('Employee Detail FY25'!G92="","",'Employee Detail FY25'!G92)</f>
        <v/>
      </c>
      <c r="H92" s="678"/>
      <c r="I92" s="359" t="str">
        <f>IF('Employee Detail FY25'!I92="","",'Employee Detail FY25'!I92)</f>
        <v/>
      </c>
      <c r="J92" s="359" t="str">
        <f>IF('Employee Detail FY25'!J92="","",'Employee Detail FY25'!J92)</f>
        <v/>
      </c>
      <c r="K92" s="359" t="str">
        <f>IF('Employee Detail FY25'!K92="","",'Employee Detail FY25'!K92)</f>
        <v/>
      </c>
      <c r="L92" s="359" t="str">
        <f>IF('Employee Detail FY25'!L92="","",'Employee Detail FY25'!L92)</f>
        <v/>
      </c>
      <c r="M92" s="388" t="str">
        <f>IF('Employee Detail FY25'!M92="","",'Employee Detail FY25'!M92)</f>
        <v/>
      </c>
      <c r="N92" s="386" t="str">
        <f>IF('Employee Detail FY25'!N92="","",'Employee Detail FY25'!N92)</f>
        <v/>
      </c>
      <c r="O92" s="386" t="str">
        <f>IF('Employee Detail FY25'!O92="","",'Employee Detail FY25'!O92)</f>
        <v/>
      </c>
      <c r="P92" s="386" t="str">
        <f>IF('Employee Detail FY25'!P92="","",'Employee Detail FY25'!P92)</f>
        <v/>
      </c>
      <c r="Q92" s="386" t="str">
        <f>IF('Employee Detail FY25'!Q92="","",'Employee Detail FY25'!Q92)</f>
        <v/>
      </c>
      <c r="R92" s="386" t="str">
        <f>IF('Employee Detail FY25'!R92="","",'Employee Detail FY25'!R92)</f>
        <v/>
      </c>
      <c r="S92" s="386" t="str">
        <f>IF('Employee Detail FY25'!S92="","",'Employee Detail FY25'!S92)</f>
        <v/>
      </c>
      <c r="T92" s="263" t="str">
        <f t="shared" si="20"/>
        <v/>
      </c>
      <c r="U92" s="269">
        <f>IF('Employee Detail FY25'!U92="","",'Employee Detail FY25'!U92)</f>
        <v>0</v>
      </c>
      <c r="V92" s="270">
        <f t="shared" si="21"/>
        <v>0</v>
      </c>
      <c r="W92" s="270" t="str">
        <f t="shared" si="22"/>
        <v/>
      </c>
      <c r="X92" s="270" t="str">
        <f t="shared" si="23"/>
        <v/>
      </c>
      <c r="Y92" s="62">
        <v>0</v>
      </c>
      <c r="Z92" s="62">
        <v>0</v>
      </c>
      <c r="AA92" s="256">
        <f t="shared" si="24"/>
        <v>0</v>
      </c>
      <c r="AB92" s="3"/>
      <c r="AC92" s="62" t="str">
        <f t="shared" si="25"/>
        <v/>
      </c>
      <c r="AD92" s="62" t="str">
        <f t="shared" si="26"/>
        <v/>
      </c>
      <c r="AE92" s="62" t="str">
        <f t="shared" si="27"/>
        <v/>
      </c>
      <c r="AF92" s="62" t="str">
        <f t="shared" si="28"/>
        <v/>
      </c>
      <c r="AG92" s="192">
        <v>0</v>
      </c>
      <c r="AH92" s="62" t="str">
        <f t="shared" si="29"/>
        <v/>
      </c>
      <c r="AI92" s="62">
        <f t="shared" si="30"/>
        <v>0</v>
      </c>
      <c r="AJ92" s="62"/>
      <c r="AK92" s="62">
        <v>0</v>
      </c>
      <c r="AL92" s="256">
        <f t="shared" si="31"/>
        <v>0</v>
      </c>
      <c r="AM92" s="256">
        <f t="shared" si="32"/>
        <v>0</v>
      </c>
      <c r="AN92" s="256">
        <f t="shared" si="33"/>
        <v>0</v>
      </c>
    </row>
    <row r="93" spans="1:40" x14ac:dyDescent="0.2">
      <c r="A93" s="386" t="str">
        <f>IF('Employee Detail FY25'!A93="","",'Employee Detail FY25'!A93)</f>
        <v>CSP</v>
      </c>
      <c r="B93" s="678" t="str">
        <f>IF('Employee Detail FY25'!B93="","",'Employee Detail FY25'!B93)</f>
        <v>100</v>
      </c>
      <c r="C93" s="678" t="str">
        <f>IF('Employee Detail FY25'!C93="","",'Employee Detail FY25'!C93)</f>
        <v>000</v>
      </c>
      <c r="D93" s="678"/>
      <c r="E93" s="678">
        <f>IF('Employee Detail FY25'!E93="","",'Employee Detail FY25'!E93)</f>
        <v>100</v>
      </c>
      <c r="F93" s="678" t="str">
        <f>IF('Employee Detail FY25'!F93="","",'Employee Detail FY25'!F93)</f>
        <v>1000</v>
      </c>
      <c r="G93" s="678" t="str">
        <f>IF('Employee Detail FY25'!G93="","",'Employee Detail FY25'!G93)</f>
        <v>0151</v>
      </c>
      <c r="H93" s="678"/>
      <c r="I93" s="359" t="str">
        <f>IF('Employee Detail FY25'!I93="","",'Employee Detail FY25'!I93)</f>
        <v>CSP PROFESSIONAL DEVELOPMENT</v>
      </c>
      <c r="J93" s="359" t="str">
        <f>IF('Employee Detail FY25'!J93="","",'Employee Detail FY25'!J93)</f>
        <v/>
      </c>
      <c r="K93" s="359" t="str">
        <f>IF('Employee Detail FY25'!K93="","",'Employee Detail FY25'!K93)</f>
        <v/>
      </c>
      <c r="L93" s="359" t="str">
        <f>IF('Employee Detail FY25'!L93="","",'Employee Detail FY25'!L93)</f>
        <v>CSP PROFESSIONAL DEVELOPMENT</v>
      </c>
      <c r="M93" s="388">
        <f>IF('Employee Detail FY25'!M93="","",'Employee Detail FY25'!M93)</f>
        <v>0</v>
      </c>
      <c r="N93" s="386" t="str">
        <f>IF('Employee Detail FY25'!N93="","",'Employee Detail FY25'!N93)</f>
        <v/>
      </c>
      <c r="O93" s="386" t="str">
        <f>IF('Employee Detail FY25'!O93="","",'Employee Detail FY25'!O93)</f>
        <v/>
      </c>
      <c r="P93" s="386" t="str">
        <f>IF('Employee Detail FY25'!P93="","",'Employee Detail FY25'!P93)</f>
        <v>N</v>
      </c>
      <c r="Q93" s="386" t="str">
        <f>IF('Employee Detail FY25'!Q93="","",'Employee Detail FY25'!Q93)</f>
        <v/>
      </c>
      <c r="R93" s="386" t="str">
        <f>IF('Employee Detail FY25'!R93="","",'Employee Detail FY25'!R93)</f>
        <v/>
      </c>
      <c r="S93" s="386" t="str">
        <f>IF('Employee Detail FY25'!S93="","",'Employee Detail FY25'!S93)</f>
        <v/>
      </c>
      <c r="T93" s="263" t="str">
        <f t="shared" si="20"/>
        <v/>
      </c>
      <c r="U93" s="269">
        <f>IF('Employee Detail FY25'!U93="","",'Employee Detail FY25'!U93)</f>
        <v>0</v>
      </c>
      <c r="V93" s="270">
        <f t="shared" si="21"/>
        <v>0</v>
      </c>
      <c r="W93" s="270" t="str">
        <f t="shared" si="22"/>
        <v/>
      </c>
      <c r="X93" s="270">
        <f t="shared" si="23"/>
        <v>0</v>
      </c>
      <c r="Y93" s="62">
        <v>0</v>
      </c>
      <c r="Z93" s="62">
        <v>0</v>
      </c>
      <c r="AA93" s="256">
        <f t="shared" si="24"/>
        <v>0</v>
      </c>
      <c r="AB93" s="3"/>
      <c r="AC93" s="62" t="str">
        <f t="shared" si="25"/>
        <v/>
      </c>
      <c r="AD93" s="62">
        <f t="shared" si="26"/>
        <v>0</v>
      </c>
      <c r="AE93" s="62" t="str">
        <f t="shared" si="27"/>
        <v/>
      </c>
      <c r="AF93" s="62" t="str">
        <f t="shared" si="28"/>
        <v/>
      </c>
      <c r="AG93" s="192">
        <v>0</v>
      </c>
      <c r="AH93" s="62" t="str">
        <f t="shared" si="29"/>
        <v/>
      </c>
      <c r="AI93" s="62">
        <f t="shared" si="30"/>
        <v>0</v>
      </c>
      <c r="AJ93" s="62"/>
      <c r="AK93" s="62">
        <v>0</v>
      </c>
      <c r="AL93" s="256">
        <f t="shared" si="31"/>
        <v>0</v>
      </c>
      <c r="AM93" s="256">
        <f t="shared" si="32"/>
        <v>0</v>
      </c>
      <c r="AN93" s="256">
        <f t="shared" si="33"/>
        <v>0</v>
      </c>
    </row>
    <row r="94" spans="1:40" x14ac:dyDescent="0.2">
      <c r="A94" s="386" t="str">
        <f>IF('Employee Detail FY25'!A94="","",'Employee Detail FY25'!A94)</f>
        <v>CSP</v>
      </c>
      <c r="B94" s="678" t="str">
        <f>IF('Employee Detail FY25'!B94="","",'Employee Detail FY25'!B94)</f>
        <v>100</v>
      </c>
      <c r="C94" s="678" t="str">
        <f>IF('Employee Detail FY25'!C94="","",'Employee Detail FY25'!C94)</f>
        <v>000</v>
      </c>
      <c r="D94" s="678"/>
      <c r="E94" s="678">
        <f>IF('Employee Detail FY25'!E94="","",'Employee Detail FY25'!E94)</f>
        <v>100</v>
      </c>
      <c r="F94" s="678" t="str">
        <f>IF('Employee Detail FY25'!F94="","",'Employee Detail FY25'!F94)</f>
        <v>1000</v>
      </c>
      <c r="G94" s="678" t="str">
        <f>IF('Employee Detail FY25'!G94="","",'Employee Detail FY25'!G94)</f>
        <v>0151</v>
      </c>
      <c r="H94" s="678"/>
      <c r="I94" s="359" t="str">
        <f>IF('Employee Detail FY25'!I94="","",'Employee Detail FY25'!I94)</f>
        <v>CSP PROFESSIONAL DEVELOPMENT</v>
      </c>
      <c r="J94" s="359" t="str">
        <f>IF('Employee Detail FY25'!J94="","",'Employee Detail FY25'!J94)</f>
        <v/>
      </c>
      <c r="K94" s="359" t="str">
        <f>IF('Employee Detail FY25'!K94="","",'Employee Detail FY25'!K94)</f>
        <v/>
      </c>
      <c r="L94" s="359" t="str">
        <f>IF('Employee Detail FY25'!L94="","",'Employee Detail FY25'!L94)</f>
        <v>CSP PROFESSIONAL DEVELOPMENT</v>
      </c>
      <c r="M94" s="388">
        <f>IF('Employee Detail FY25'!M94="","",'Employee Detail FY25'!M94)</f>
        <v>0</v>
      </c>
      <c r="N94" s="386" t="str">
        <f>IF('Employee Detail FY25'!N94="","",'Employee Detail FY25'!N94)</f>
        <v/>
      </c>
      <c r="O94" s="386" t="str">
        <f>IF('Employee Detail FY25'!O94="","",'Employee Detail FY25'!O94)</f>
        <v/>
      </c>
      <c r="P94" s="386" t="str">
        <f>IF('Employee Detail FY25'!P94="","",'Employee Detail FY25'!P94)</f>
        <v>N</v>
      </c>
      <c r="Q94" s="386" t="str">
        <f>IF('Employee Detail FY25'!Q94="","",'Employee Detail FY25'!Q94)</f>
        <v/>
      </c>
      <c r="R94" s="386" t="str">
        <f>IF('Employee Detail FY25'!R94="","",'Employee Detail FY25'!R94)</f>
        <v/>
      </c>
      <c r="S94" s="386" t="str">
        <f>IF('Employee Detail FY25'!S94="","",'Employee Detail FY25'!S94)</f>
        <v/>
      </c>
      <c r="T94" s="263" t="str">
        <f t="shared" si="20"/>
        <v/>
      </c>
      <c r="U94" s="269">
        <f>IF('Employee Detail FY25'!U94="","",'Employee Detail FY25'!U94)</f>
        <v>0</v>
      </c>
      <c r="V94" s="270">
        <f t="shared" si="21"/>
        <v>0</v>
      </c>
      <c r="W94" s="270" t="str">
        <f t="shared" si="22"/>
        <v/>
      </c>
      <c r="X94" s="270">
        <f t="shared" si="23"/>
        <v>0</v>
      </c>
      <c r="Y94" s="62">
        <v>0</v>
      </c>
      <c r="Z94" s="62">
        <v>0</v>
      </c>
      <c r="AA94" s="256">
        <f t="shared" si="24"/>
        <v>0</v>
      </c>
      <c r="AB94" s="3"/>
      <c r="AC94" s="62" t="str">
        <f t="shared" si="25"/>
        <v/>
      </c>
      <c r="AD94" s="62">
        <f t="shared" si="26"/>
        <v>0</v>
      </c>
      <c r="AE94" s="62" t="str">
        <f t="shared" si="27"/>
        <v/>
      </c>
      <c r="AF94" s="62" t="str">
        <f t="shared" si="28"/>
        <v/>
      </c>
      <c r="AG94" s="192">
        <v>0</v>
      </c>
      <c r="AH94" s="62" t="str">
        <f t="shared" si="29"/>
        <v/>
      </c>
      <c r="AI94" s="62">
        <f t="shared" si="30"/>
        <v>0</v>
      </c>
      <c r="AJ94" s="62"/>
      <c r="AK94" s="62">
        <v>0</v>
      </c>
      <c r="AL94" s="256">
        <f t="shared" si="31"/>
        <v>0</v>
      </c>
      <c r="AM94" s="256">
        <f t="shared" si="32"/>
        <v>0</v>
      </c>
      <c r="AN94" s="256">
        <f t="shared" si="33"/>
        <v>0</v>
      </c>
    </row>
    <row r="95" spans="1:40" x14ac:dyDescent="0.2">
      <c r="A95" s="386" t="str">
        <f>IF('Employee Detail FY25'!A95="","",'Employee Detail FY25'!A95)</f>
        <v>CSP</v>
      </c>
      <c r="B95" s="678" t="str">
        <f>IF('Employee Detail FY25'!B95="","",'Employee Detail FY25'!B95)</f>
        <v>100</v>
      </c>
      <c r="C95" s="678" t="str">
        <f>IF('Employee Detail FY25'!C95="","",'Employee Detail FY25'!C95)</f>
        <v>000</v>
      </c>
      <c r="D95" s="678"/>
      <c r="E95" s="678">
        <f>IF('Employee Detail FY25'!E95="","",'Employee Detail FY25'!E95)</f>
        <v>100</v>
      </c>
      <c r="F95" s="678" t="str">
        <f>IF('Employee Detail FY25'!F95="","",'Employee Detail FY25'!F95)</f>
        <v>1000</v>
      </c>
      <c r="G95" s="678" t="str">
        <f>IF('Employee Detail FY25'!G95="","",'Employee Detail FY25'!G95)</f>
        <v>0151</v>
      </c>
      <c r="H95" s="678"/>
      <c r="I95" s="359" t="str">
        <f>IF('Employee Detail FY25'!I95="","",'Employee Detail FY25'!I95)</f>
        <v>CSP PROFESSIONAL DEVELOPMENT</v>
      </c>
      <c r="J95" s="359" t="str">
        <f>IF('Employee Detail FY25'!J95="","",'Employee Detail FY25'!J95)</f>
        <v/>
      </c>
      <c r="K95" s="359" t="str">
        <f>IF('Employee Detail FY25'!K95="","",'Employee Detail FY25'!K95)</f>
        <v/>
      </c>
      <c r="L95" s="359" t="str">
        <f>IF('Employee Detail FY25'!L95="","",'Employee Detail FY25'!L95)</f>
        <v>CSP PROFESSIONAL DEVELOPMENT</v>
      </c>
      <c r="M95" s="388">
        <f>IF('Employee Detail FY25'!M95="","",'Employee Detail FY25'!M95)</f>
        <v>0</v>
      </c>
      <c r="N95" s="386" t="str">
        <f>IF('Employee Detail FY25'!N95="","",'Employee Detail FY25'!N95)</f>
        <v/>
      </c>
      <c r="O95" s="386" t="str">
        <f>IF('Employee Detail FY25'!O95="","",'Employee Detail FY25'!O95)</f>
        <v/>
      </c>
      <c r="P95" s="386" t="str">
        <f>IF('Employee Detail FY25'!P95="","",'Employee Detail FY25'!P95)</f>
        <v>N</v>
      </c>
      <c r="Q95" s="386" t="str">
        <f>IF('Employee Detail FY25'!Q95="","",'Employee Detail FY25'!Q95)</f>
        <v/>
      </c>
      <c r="R95" s="386" t="str">
        <f>IF('Employee Detail FY25'!R95="","",'Employee Detail FY25'!R95)</f>
        <v/>
      </c>
      <c r="S95" s="386" t="str">
        <f>IF('Employee Detail FY25'!S95="","",'Employee Detail FY25'!S95)</f>
        <v/>
      </c>
      <c r="T95" s="263" t="str">
        <f t="shared" si="20"/>
        <v/>
      </c>
      <c r="U95" s="269">
        <f>IF('Employee Detail FY25'!U95="","",'Employee Detail FY25'!U95)</f>
        <v>0</v>
      </c>
      <c r="V95" s="270">
        <f t="shared" si="21"/>
        <v>0</v>
      </c>
      <c r="W95" s="270" t="str">
        <f t="shared" si="22"/>
        <v/>
      </c>
      <c r="X95" s="270">
        <f t="shared" si="23"/>
        <v>0</v>
      </c>
      <c r="Y95" s="62">
        <v>0</v>
      </c>
      <c r="Z95" s="62">
        <v>0</v>
      </c>
      <c r="AA95" s="256">
        <f t="shared" si="24"/>
        <v>0</v>
      </c>
      <c r="AB95" s="3"/>
      <c r="AC95" s="62" t="str">
        <f t="shared" si="25"/>
        <v/>
      </c>
      <c r="AD95" s="62">
        <f t="shared" si="26"/>
        <v>0</v>
      </c>
      <c r="AE95" s="62" t="str">
        <f t="shared" si="27"/>
        <v/>
      </c>
      <c r="AF95" s="62" t="str">
        <f t="shared" si="28"/>
        <v/>
      </c>
      <c r="AG95" s="192">
        <v>0</v>
      </c>
      <c r="AH95" s="62" t="str">
        <f t="shared" si="29"/>
        <v/>
      </c>
      <c r="AI95" s="62">
        <f t="shared" si="30"/>
        <v>0</v>
      </c>
      <c r="AJ95" s="62"/>
      <c r="AK95" s="62">
        <v>0</v>
      </c>
      <c r="AL95" s="256">
        <f t="shared" si="31"/>
        <v>0</v>
      </c>
      <c r="AM95" s="256">
        <f t="shared" si="32"/>
        <v>0</v>
      </c>
      <c r="AN95" s="256">
        <f t="shared" si="33"/>
        <v>0</v>
      </c>
    </row>
    <row r="96" spans="1:40" hidden="1" x14ac:dyDescent="0.2">
      <c r="A96" s="386" t="str">
        <f>IF('Employee Detail FY25'!A96="","",'Employee Detail FY25'!A96)</f>
        <v/>
      </c>
      <c r="B96" s="678" t="str">
        <f>IF('Employee Detail FY25'!B96="","",'Employee Detail FY25'!B96)</f>
        <v/>
      </c>
      <c r="C96" s="678" t="str">
        <f>IF('Employee Detail FY25'!C96="","",'Employee Detail FY25'!C96)</f>
        <v/>
      </c>
      <c r="D96" s="678"/>
      <c r="E96" s="678" t="str">
        <f>IF('Employee Detail FY25'!E96="","",'Employee Detail FY25'!E96)</f>
        <v/>
      </c>
      <c r="F96" s="678" t="str">
        <f>IF('Employee Detail FY25'!F96="","",'Employee Detail FY25'!F96)</f>
        <v/>
      </c>
      <c r="G96" s="678" t="str">
        <f>IF('Employee Detail FY25'!G96="","",'Employee Detail FY25'!G96)</f>
        <v/>
      </c>
      <c r="H96" s="678"/>
      <c r="I96" s="359" t="str">
        <f>IF('Employee Detail FY25'!I96="","",'Employee Detail FY25'!I96)</f>
        <v/>
      </c>
      <c r="J96" s="359" t="str">
        <f>IF('Employee Detail FY25'!J96="","",'Employee Detail FY25'!J96)</f>
        <v/>
      </c>
      <c r="K96" s="359" t="str">
        <f>IF('Employee Detail FY25'!K96="","",'Employee Detail FY25'!K96)</f>
        <v/>
      </c>
      <c r="L96" s="359" t="str">
        <f>IF('Employee Detail FY25'!L96="","",'Employee Detail FY25'!L96)</f>
        <v/>
      </c>
      <c r="M96" s="388" t="str">
        <f>IF('Employee Detail FY25'!M96="","",'Employee Detail FY25'!M96)</f>
        <v/>
      </c>
      <c r="N96" s="386" t="str">
        <f>IF('Employee Detail FY25'!N96="","",'Employee Detail FY25'!N96)</f>
        <v/>
      </c>
      <c r="O96" s="386" t="str">
        <f>IF('Employee Detail FY25'!O96="","",'Employee Detail FY25'!O96)</f>
        <v/>
      </c>
      <c r="P96" s="386" t="str">
        <f>IF('Employee Detail FY25'!P96="","",'Employee Detail FY25'!P96)</f>
        <v/>
      </c>
      <c r="Q96" s="386" t="str">
        <f>IF('Employee Detail FY25'!Q96="","",'Employee Detail FY25'!Q96)</f>
        <v/>
      </c>
      <c r="R96" s="386" t="str">
        <f>IF('Employee Detail FY25'!R96="","",'Employee Detail FY25'!R96)</f>
        <v/>
      </c>
      <c r="S96" s="386" t="str">
        <f>IF('Employee Detail FY25'!S96="","",'Employee Detail FY25'!S96)</f>
        <v/>
      </c>
      <c r="T96" s="263" t="str">
        <f t="shared" ref="T96:T104" si="34">+IF(R96="","",R96*S96)</f>
        <v/>
      </c>
      <c r="U96" s="269">
        <f>IF('Employee Detail FY25'!U96="","",'Employee Detail FY25'!U96)</f>
        <v>0</v>
      </c>
      <c r="V96" s="270">
        <f t="shared" si="21"/>
        <v>0</v>
      </c>
      <c r="W96" s="270" t="str">
        <f t="shared" ref="W96:W104" si="35">+IF(P96="EE",+V96*$W$1,"")</f>
        <v/>
      </c>
      <c r="X96" s="270" t="str">
        <f t="shared" ref="X96:X104" si="36">_xlfn.IFS(P96="ER",V96,P96="EE",W96,P96="N",V96,P96="","")</f>
        <v/>
      </c>
      <c r="Y96" s="62">
        <v>0</v>
      </c>
      <c r="Z96" s="62">
        <v>0</v>
      </c>
      <c r="AA96" s="256">
        <f t="shared" ref="AA96:AA104" si="37">SUM(X96:Z96)</f>
        <v>0</v>
      </c>
      <c r="AB96" s="3"/>
      <c r="AC96" s="62" t="str">
        <f t="shared" ref="AC96:AC104" si="38">IF(AND(M96=1,P96&lt;&gt;"N"),$AC$1,"")</f>
        <v/>
      </c>
      <c r="AD96" s="62" t="str">
        <f t="shared" ref="AD96:AD104" si="39">_xlfn.IFS(P96="N",$AD$1*AA96,P96="EE","",P96="ER","",P96="","")</f>
        <v/>
      </c>
      <c r="AE96" s="62" t="str">
        <f t="shared" ref="AE96:AE104" si="40">_xlfn.IFS(P96="EE",X96*$AE$1,P96="ER",X96*$AE$2,P96="N","",P96="","")</f>
        <v/>
      </c>
      <c r="AF96" s="62" t="str">
        <f t="shared" ref="AF96:AF104" si="41">+IF(AA96&gt;1,AA96*$AF$1,"")</f>
        <v/>
      </c>
      <c r="AG96" s="192">
        <v>0</v>
      </c>
      <c r="AH96" s="62" t="str">
        <f t="shared" ref="AH96:AH104" si="42">+IF(AA96&gt;1,AA96*$AH$1,"")</f>
        <v/>
      </c>
      <c r="AI96" s="62">
        <f t="shared" ref="AI96:AI104" si="43">+_xlfn.IFS(F96&lt;2300,(AA96*$AI$1),F96&gt;=2300,(AA96*$AI$2),F96="","")</f>
        <v>0</v>
      </c>
      <c r="AJ96" s="62"/>
      <c r="AK96" s="62">
        <v>0</v>
      </c>
      <c r="AL96" s="256">
        <f t="shared" ref="AL96:AL104" si="44">SUM(AC96:AK96)</f>
        <v>0</v>
      </c>
      <c r="AM96" s="256">
        <f t="shared" ref="AM96:AM104" si="45">AA96</f>
        <v>0</v>
      </c>
      <c r="AN96" s="256">
        <f t="shared" ref="AN96:AN104" si="46">SUM(AL96:AM96)</f>
        <v>0</v>
      </c>
    </row>
    <row r="97" spans="1:40" hidden="1" x14ac:dyDescent="0.2">
      <c r="A97" s="386" t="str">
        <f>IF('Employee Detail FY25'!A97="","",'Employee Detail FY25'!A97)</f>
        <v/>
      </c>
      <c r="B97" s="678" t="str">
        <f>IF('Employee Detail FY25'!B97="","",'Employee Detail FY25'!B97)</f>
        <v/>
      </c>
      <c r="C97" s="678" t="str">
        <f>IF('Employee Detail FY25'!C97="","",'Employee Detail FY25'!C97)</f>
        <v/>
      </c>
      <c r="D97" s="678"/>
      <c r="E97" s="678" t="str">
        <f>IF('Employee Detail FY25'!E97="","",'Employee Detail FY25'!E97)</f>
        <v/>
      </c>
      <c r="F97" s="678" t="str">
        <f>IF('Employee Detail FY25'!F97="","",'Employee Detail FY25'!F97)</f>
        <v/>
      </c>
      <c r="G97" s="678" t="str">
        <f>IF('Employee Detail FY25'!G97="","",'Employee Detail FY25'!G97)</f>
        <v/>
      </c>
      <c r="H97" s="678"/>
      <c r="I97" s="359" t="str">
        <f>IF('Employee Detail FY25'!I97="","",'Employee Detail FY25'!I97)</f>
        <v/>
      </c>
      <c r="J97" s="359" t="str">
        <f>IF('Employee Detail FY25'!J97="","",'Employee Detail FY25'!J97)</f>
        <v/>
      </c>
      <c r="K97" s="359" t="str">
        <f>IF('Employee Detail FY25'!K97="","",'Employee Detail FY25'!K97)</f>
        <v/>
      </c>
      <c r="L97" s="359" t="str">
        <f>IF('Employee Detail FY25'!L97="","",'Employee Detail FY25'!L97)</f>
        <v/>
      </c>
      <c r="M97" s="388" t="str">
        <f>IF('Employee Detail FY25'!M97="","",'Employee Detail FY25'!M97)</f>
        <v/>
      </c>
      <c r="N97" s="386" t="str">
        <f>IF('Employee Detail FY25'!N97="","",'Employee Detail FY25'!N97)</f>
        <v/>
      </c>
      <c r="O97" s="386" t="str">
        <f>IF('Employee Detail FY25'!O97="","",'Employee Detail FY25'!O97)</f>
        <v/>
      </c>
      <c r="P97" s="386" t="str">
        <f>IF('Employee Detail FY25'!P97="","",'Employee Detail FY25'!P97)</f>
        <v/>
      </c>
      <c r="Q97" s="386" t="str">
        <f>IF('Employee Detail FY25'!Q97="","",'Employee Detail FY25'!Q97)</f>
        <v/>
      </c>
      <c r="R97" s="386" t="str">
        <f>IF('Employee Detail FY25'!R97="","",'Employee Detail FY25'!R97)</f>
        <v/>
      </c>
      <c r="S97" s="386" t="str">
        <f>IF('Employee Detail FY25'!S97="","",'Employee Detail FY25'!S97)</f>
        <v/>
      </c>
      <c r="T97" s="263" t="str">
        <f t="shared" si="34"/>
        <v/>
      </c>
      <c r="U97" s="269">
        <f>IF('Employee Detail FY25'!U97="","",'Employee Detail FY25'!U97)</f>
        <v>0</v>
      </c>
      <c r="V97" s="270">
        <f t="shared" si="21"/>
        <v>0</v>
      </c>
      <c r="W97" s="270" t="str">
        <f t="shared" si="35"/>
        <v/>
      </c>
      <c r="X97" s="270" t="str">
        <f t="shared" si="36"/>
        <v/>
      </c>
      <c r="Y97" s="62">
        <v>0</v>
      </c>
      <c r="Z97" s="62">
        <v>0</v>
      </c>
      <c r="AA97" s="256">
        <f t="shared" si="37"/>
        <v>0</v>
      </c>
      <c r="AB97" s="3"/>
      <c r="AC97" s="62" t="str">
        <f t="shared" si="38"/>
        <v/>
      </c>
      <c r="AD97" s="62" t="str">
        <f t="shared" si="39"/>
        <v/>
      </c>
      <c r="AE97" s="62" t="str">
        <f t="shared" si="40"/>
        <v/>
      </c>
      <c r="AF97" s="62" t="str">
        <f t="shared" si="41"/>
        <v/>
      </c>
      <c r="AG97" s="192">
        <v>0</v>
      </c>
      <c r="AH97" s="62" t="str">
        <f t="shared" si="42"/>
        <v/>
      </c>
      <c r="AI97" s="62">
        <f t="shared" si="43"/>
        <v>0</v>
      </c>
      <c r="AJ97" s="62"/>
      <c r="AK97" s="62">
        <v>0</v>
      </c>
      <c r="AL97" s="256">
        <f t="shared" si="44"/>
        <v>0</v>
      </c>
      <c r="AM97" s="256">
        <f t="shared" si="45"/>
        <v>0</v>
      </c>
      <c r="AN97" s="256">
        <f t="shared" si="46"/>
        <v>0</v>
      </c>
    </row>
    <row r="98" spans="1:40" hidden="1" x14ac:dyDescent="0.2">
      <c r="A98" s="386" t="str">
        <f>IF('Employee Detail FY25'!A98="","",'Employee Detail FY25'!A98)</f>
        <v/>
      </c>
      <c r="B98" s="678" t="str">
        <f>IF('Employee Detail FY25'!B98="","",'Employee Detail FY25'!B98)</f>
        <v/>
      </c>
      <c r="C98" s="678" t="str">
        <f>IF('Employee Detail FY25'!C98="","",'Employee Detail FY25'!C98)</f>
        <v/>
      </c>
      <c r="D98" s="678"/>
      <c r="E98" s="678" t="str">
        <f>IF('Employee Detail FY25'!E98="","",'Employee Detail FY25'!E98)</f>
        <v/>
      </c>
      <c r="F98" s="678" t="str">
        <f>IF('Employee Detail FY25'!F98="","",'Employee Detail FY25'!F98)</f>
        <v/>
      </c>
      <c r="G98" s="678" t="str">
        <f>IF('Employee Detail FY25'!G98="","",'Employee Detail FY25'!G98)</f>
        <v/>
      </c>
      <c r="H98" s="678"/>
      <c r="I98" s="359" t="str">
        <f>IF('Employee Detail FY25'!I98="","",'Employee Detail FY25'!I98)</f>
        <v/>
      </c>
      <c r="J98" s="359" t="str">
        <f>IF('Employee Detail FY25'!J98="","",'Employee Detail FY25'!J98)</f>
        <v/>
      </c>
      <c r="K98" s="359" t="str">
        <f>IF('Employee Detail FY25'!K98="","",'Employee Detail FY25'!K98)</f>
        <v/>
      </c>
      <c r="L98" s="359" t="str">
        <f>IF('Employee Detail FY25'!L98="","",'Employee Detail FY25'!L98)</f>
        <v/>
      </c>
      <c r="M98" s="388" t="str">
        <f>IF('Employee Detail FY25'!M98="","",'Employee Detail FY25'!M98)</f>
        <v/>
      </c>
      <c r="N98" s="386" t="str">
        <f>IF('Employee Detail FY25'!N98="","",'Employee Detail FY25'!N98)</f>
        <v/>
      </c>
      <c r="O98" s="386" t="str">
        <f>IF('Employee Detail FY25'!O98="","",'Employee Detail FY25'!O98)</f>
        <v/>
      </c>
      <c r="P98" s="386" t="str">
        <f>IF('Employee Detail FY25'!P98="","",'Employee Detail FY25'!P98)</f>
        <v/>
      </c>
      <c r="Q98" s="386" t="str">
        <f>IF('Employee Detail FY25'!Q98="","",'Employee Detail FY25'!Q98)</f>
        <v/>
      </c>
      <c r="R98" s="386" t="str">
        <f>IF('Employee Detail FY25'!R98="","",'Employee Detail FY25'!R98)</f>
        <v/>
      </c>
      <c r="S98" s="386" t="str">
        <f>IF('Employee Detail FY25'!S98="","",'Employee Detail FY25'!S98)</f>
        <v/>
      </c>
      <c r="T98" s="263" t="str">
        <f t="shared" si="34"/>
        <v/>
      </c>
      <c r="U98" s="269">
        <f>IF('Employee Detail FY25'!U98="","",'Employee Detail FY25'!U98)</f>
        <v>0</v>
      </c>
      <c r="V98" s="270">
        <f t="shared" si="21"/>
        <v>0</v>
      </c>
      <c r="W98" s="270" t="str">
        <f t="shared" si="35"/>
        <v/>
      </c>
      <c r="X98" s="270" t="str">
        <f t="shared" si="36"/>
        <v/>
      </c>
      <c r="Y98" s="62">
        <v>0</v>
      </c>
      <c r="Z98" s="62">
        <v>0</v>
      </c>
      <c r="AA98" s="256">
        <f t="shared" si="37"/>
        <v>0</v>
      </c>
      <c r="AB98" s="3"/>
      <c r="AC98" s="62" t="str">
        <f t="shared" si="38"/>
        <v/>
      </c>
      <c r="AD98" s="62" t="str">
        <f t="shared" si="39"/>
        <v/>
      </c>
      <c r="AE98" s="62" t="str">
        <f t="shared" si="40"/>
        <v/>
      </c>
      <c r="AF98" s="62" t="str">
        <f t="shared" si="41"/>
        <v/>
      </c>
      <c r="AG98" s="192">
        <v>0</v>
      </c>
      <c r="AH98" s="62" t="str">
        <f t="shared" si="42"/>
        <v/>
      </c>
      <c r="AI98" s="62">
        <f t="shared" si="43"/>
        <v>0</v>
      </c>
      <c r="AJ98" s="62"/>
      <c r="AK98" s="62">
        <v>0</v>
      </c>
      <c r="AL98" s="256">
        <f t="shared" si="44"/>
        <v>0</v>
      </c>
      <c r="AM98" s="256">
        <f t="shared" si="45"/>
        <v>0</v>
      </c>
      <c r="AN98" s="256">
        <f t="shared" si="46"/>
        <v>0</v>
      </c>
    </row>
    <row r="99" spans="1:40" hidden="1" x14ac:dyDescent="0.2">
      <c r="A99" s="386" t="str">
        <f>IF('Employee Detail FY25'!A99="","",'Employee Detail FY25'!A99)</f>
        <v/>
      </c>
      <c r="B99" s="678" t="str">
        <f>IF('Employee Detail FY25'!B99="","",'Employee Detail FY25'!B99)</f>
        <v/>
      </c>
      <c r="C99" s="678" t="str">
        <f>IF('Employee Detail FY25'!C99="","",'Employee Detail FY25'!C99)</f>
        <v/>
      </c>
      <c r="D99" s="678"/>
      <c r="E99" s="678" t="str">
        <f>IF('Employee Detail FY25'!E99="","",'Employee Detail FY25'!E99)</f>
        <v/>
      </c>
      <c r="F99" s="678" t="str">
        <f>IF('Employee Detail FY25'!F99="","",'Employee Detail FY25'!F99)</f>
        <v/>
      </c>
      <c r="G99" s="678" t="str">
        <f>IF('Employee Detail FY25'!G99="","",'Employee Detail FY25'!G99)</f>
        <v/>
      </c>
      <c r="H99" s="678"/>
      <c r="I99" s="359" t="str">
        <f>IF('Employee Detail FY25'!I99="","",'Employee Detail FY25'!I99)</f>
        <v/>
      </c>
      <c r="J99" s="359" t="str">
        <f>IF('Employee Detail FY25'!J99="","",'Employee Detail FY25'!J99)</f>
        <v/>
      </c>
      <c r="K99" s="359" t="str">
        <f>IF('Employee Detail FY25'!K99="","",'Employee Detail FY25'!K99)</f>
        <v/>
      </c>
      <c r="L99" s="359" t="str">
        <f>IF('Employee Detail FY25'!L99="","",'Employee Detail FY25'!L99)</f>
        <v/>
      </c>
      <c r="M99" s="388" t="str">
        <f>IF('Employee Detail FY25'!M99="","",'Employee Detail FY25'!M99)</f>
        <v/>
      </c>
      <c r="N99" s="386" t="str">
        <f>IF('Employee Detail FY25'!N99="","",'Employee Detail FY25'!N99)</f>
        <v/>
      </c>
      <c r="O99" s="386" t="str">
        <f>IF('Employee Detail FY25'!O99="","",'Employee Detail FY25'!O99)</f>
        <v/>
      </c>
      <c r="P99" s="386" t="str">
        <f>IF('Employee Detail FY25'!P99="","",'Employee Detail FY25'!P99)</f>
        <v/>
      </c>
      <c r="Q99" s="386" t="str">
        <f>IF('Employee Detail FY25'!Q99="","",'Employee Detail FY25'!Q99)</f>
        <v/>
      </c>
      <c r="R99" s="386" t="str">
        <f>IF('Employee Detail FY25'!R99="","",'Employee Detail FY25'!R99)</f>
        <v/>
      </c>
      <c r="S99" s="386" t="str">
        <f>IF('Employee Detail FY25'!S99="","",'Employee Detail FY25'!S99)</f>
        <v/>
      </c>
      <c r="T99" s="263" t="str">
        <f t="shared" si="34"/>
        <v/>
      </c>
      <c r="U99" s="269">
        <f>IF('Employee Detail FY25'!U99="","",'Employee Detail FY25'!U99)</f>
        <v>0</v>
      </c>
      <c r="V99" s="270">
        <f t="shared" si="21"/>
        <v>0</v>
      </c>
      <c r="W99" s="270" t="str">
        <f t="shared" si="35"/>
        <v/>
      </c>
      <c r="X99" s="270" t="str">
        <f t="shared" si="36"/>
        <v/>
      </c>
      <c r="Y99" s="62">
        <v>0</v>
      </c>
      <c r="Z99" s="62">
        <v>0</v>
      </c>
      <c r="AA99" s="256">
        <f t="shared" si="37"/>
        <v>0</v>
      </c>
      <c r="AB99" s="3"/>
      <c r="AC99" s="62" t="str">
        <f t="shared" si="38"/>
        <v/>
      </c>
      <c r="AD99" s="62" t="str">
        <f t="shared" si="39"/>
        <v/>
      </c>
      <c r="AE99" s="62" t="str">
        <f t="shared" si="40"/>
        <v/>
      </c>
      <c r="AF99" s="62" t="str">
        <f t="shared" si="41"/>
        <v/>
      </c>
      <c r="AG99" s="192">
        <v>0</v>
      </c>
      <c r="AH99" s="62" t="str">
        <f t="shared" si="42"/>
        <v/>
      </c>
      <c r="AI99" s="62">
        <f t="shared" si="43"/>
        <v>0</v>
      </c>
      <c r="AJ99" s="62"/>
      <c r="AK99" s="62">
        <v>0</v>
      </c>
      <c r="AL99" s="256">
        <f t="shared" si="44"/>
        <v>0</v>
      </c>
      <c r="AM99" s="256">
        <f t="shared" si="45"/>
        <v>0</v>
      </c>
      <c r="AN99" s="256">
        <f t="shared" si="46"/>
        <v>0</v>
      </c>
    </row>
    <row r="100" spans="1:40" hidden="1" x14ac:dyDescent="0.2">
      <c r="A100" s="386" t="str">
        <f>IF('Employee Detail FY25'!A100="","",'Employee Detail FY25'!A100)</f>
        <v/>
      </c>
      <c r="B100" s="678" t="str">
        <f>IF('Employee Detail FY25'!B100="","",'Employee Detail FY25'!B100)</f>
        <v/>
      </c>
      <c r="C100" s="678" t="str">
        <f>IF('Employee Detail FY25'!C100="","",'Employee Detail FY25'!C100)</f>
        <v/>
      </c>
      <c r="D100" s="678"/>
      <c r="E100" s="678" t="str">
        <f>IF('Employee Detail FY25'!E100="","",'Employee Detail FY25'!E100)</f>
        <v/>
      </c>
      <c r="F100" s="678" t="str">
        <f>IF('Employee Detail FY25'!F100="","",'Employee Detail FY25'!F100)</f>
        <v/>
      </c>
      <c r="G100" s="678" t="str">
        <f>IF('Employee Detail FY25'!G100="","",'Employee Detail FY25'!G100)</f>
        <v/>
      </c>
      <c r="H100" s="678"/>
      <c r="I100" s="359" t="str">
        <f>IF('Employee Detail FY25'!I100="","",'Employee Detail FY25'!I100)</f>
        <v/>
      </c>
      <c r="J100" s="359" t="str">
        <f>IF('Employee Detail FY25'!J100="","",'Employee Detail FY25'!J100)</f>
        <v/>
      </c>
      <c r="K100" s="359" t="str">
        <f>IF('Employee Detail FY25'!K100="","",'Employee Detail FY25'!K100)</f>
        <v/>
      </c>
      <c r="L100" s="359" t="str">
        <f>IF('Employee Detail FY25'!L100="","",'Employee Detail FY25'!L100)</f>
        <v/>
      </c>
      <c r="M100" s="388" t="str">
        <f>IF('Employee Detail FY25'!M100="","",'Employee Detail FY25'!M100)</f>
        <v/>
      </c>
      <c r="N100" s="386" t="str">
        <f>IF('Employee Detail FY25'!N100="","",'Employee Detail FY25'!N100)</f>
        <v/>
      </c>
      <c r="O100" s="386" t="str">
        <f>IF('Employee Detail FY25'!O100="","",'Employee Detail FY25'!O100)</f>
        <v/>
      </c>
      <c r="P100" s="386" t="str">
        <f>IF('Employee Detail FY25'!P100="","",'Employee Detail FY25'!P100)</f>
        <v/>
      </c>
      <c r="Q100" s="386" t="str">
        <f>IF('Employee Detail FY25'!Q100="","",'Employee Detail FY25'!Q100)</f>
        <v/>
      </c>
      <c r="R100" s="386" t="str">
        <f>IF('Employee Detail FY25'!R100="","",'Employee Detail FY25'!R100)</f>
        <v/>
      </c>
      <c r="S100" s="386" t="str">
        <f>IF('Employee Detail FY25'!S100="","",'Employee Detail FY25'!S100)</f>
        <v/>
      </c>
      <c r="T100" s="263" t="str">
        <f t="shared" si="34"/>
        <v/>
      </c>
      <c r="U100" s="269">
        <f>IF('Employee Detail FY25'!U100="","",'Employee Detail FY25'!U100)</f>
        <v>0</v>
      </c>
      <c r="V100" s="270">
        <f t="shared" si="21"/>
        <v>0</v>
      </c>
      <c r="W100" s="270" t="str">
        <f t="shared" si="35"/>
        <v/>
      </c>
      <c r="X100" s="270" t="str">
        <f t="shared" si="36"/>
        <v/>
      </c>
      <c r="Y100" s="62">
        <v>0</v>
      </c>
      <c r="Z100" s="62">
        <v>0</v>
      </c>
      <c r="AA100" s="256">
        <f t="shared" si="37"/>
        <v>0</v>
      </c>
      <c r="AB100" s="3"/>
      <c r="AC100" s="62" t="str">
        <f t="shared" si="38"/>
        <v/>
      </c>
      <c r="AD100" s="62" t="str">
        <f t="shared" si="39"/>
        <v/>
      </c>
      <c r="AE100" s="62" t="str">
        <f t="shared" si="40"/>
        <v/>
      </c>
      <c r="AF100" s="62" t="str">
        <f t="shared" si="41"/>
        <v/>
      </c>
      <c r="AG100" s="192">
        <v>0</v>
      </c>
      <c r="AH100" s="62" t="str">
        <f t="shared" si="42"/>
        <v/>
      </c>
      <c r="AI100" s="62">
        <f t="shared" si="43"/>
        <v>0</v>
      </c>
      <c r="AJ100" s="62"/>
      <c r="AK100" s="62">
        <v>0</v>
      </c>
      <c r="AL100" s="256">
        <f t="shared" si="44"/>
        <v>0</v>
      </c>
      <c r="AM100" s="256">
        <f t="shared" si="45"/>
        <v>0</v>
      </c>
      <c r="AN100" s="256">
        <f t="shared" si="46"/>
        <v>0</v>
      </c>
    </row>
    <row r="101" spans="1:40" hidden="1" x14ac:dyDescent="0.2">
      <c r="A101" s="386" t="str">
        <f>IF('Employee Detail FY25'!A101="","",'Employee Detail FY25'!A101)</f>
        <v/>
      </c>
      <c r="B101" s="678" t="str">
        <f>IF('Employee Detail FY25'!B101="","",'Employee Detail FY25'!B101)</f>
        <v/>
      </c>
      <c r="C101" s="678" t="str">
        <f>IF('Employee Detail FY25'!C101="","",'Employee Detail FY25'!C101)</f>
        <v/>
      </c>
      <c r="D101" s="678"/>
      <c r="E101" s="678" t="str">
        <f>IF('Employee Detail FY25'!E101="","",'Employee Detail FY25'!E101)</f>
        <v/>
      </c>
      <c r="F101" s="678" t="str">
        <f>IF('Employee Detail FY25'!F101="","",'Employee Detail FY25'!F101)</f>
        <v/>
      </c>
      <c r="G101" s="678" t="str">
        <f>IF('Employee Detail FY25'!G101="","",'Employee Detail FY25'!G101)</f>
        <v/>
      </c>
      <c r="H101" s="678"/>
      <c r="I101" s="359" t="str">
        <f>IF('Employee Detail FY25'!I101="","",'Employee Detail FY25'!I101)</f>
        <v/>
      </c>
      <c r="J101" s="359" t="str">
        <f>IF('Employee Detail FY25'!J101="","",'Employee Detail FY25'!J101)</f>
        <v/>
      </c>
      <c r="K101" s="359" t="str">
        <f>IF('Employee Detail FY25'!K101="","",'Employee Detail FY25'!K101)</f>
        <v/>
      </c>
      <c r="L101" s="359" t="str">
        <f>IF('Employee Detail FY25'!L101="","",'Employee Detail FY25'!L101)</f>
        <v/>
      </c>
      <c r="M101" s="388" t="str">
        <f>IF('Employee Detail FY25'!M101="","",'Employee Detail FY25'!M101)</f>
        <v/>
      </c>
      <c r="N101" s="386" t="str">
        <f>IF('Employee Detail FY25'!N101="","",'Employee Detail FY25'!N101)</f>
        <v/>
      </c>
      <c r="O101" s="386" t="str">
        <f>IF('Employee Detail FY25'!O101="","",'Employee Detail FY25'!O101)</f>
        <v/>
      </c>
      <c r="P101" s="386" t="str">
        <f>IF('Employee Detail FY25'!P101="","",'Employee Detail FY25'!P101)</f>
        <v/>
      </c>
      <c r="Q101" s="386" t="str">
        <f>IF('Employee Detail FY25'!Q101="","",'Employee Detail FY25'!Q101)</f>
        <v/>
      </c>
      <c r="R101" s="386" t="str">
        <f>IF('Employee Detail FY25'!R101="","",'Employee Detail FY25'!R101)</f>
        <v/>
      </c>
      <c r="S101" s="386" t="str">
        <f>IF('Employee Detail FY25'!S101="","",'Employee Detail FY25'!S101)</f>
        <v/>
      </c>
      <c r="T101" s="263" t="str">
        <f t="shared" si="34"/>
        <v/>
      </c>
      <c r="U101" s="269">
        <f>IF('Employee Detail FY25'!U101="","",'Employee Detail FY25'!U101)</f>
        <v>0</v>
      </c>
      <c r="V101" s="270">
        <f t="shared" si="21"/>
        <v>0</v>
      </c>
      <c r="W101" s="270" t="str">
        <f t="shared" si="35"/>
        <v/>
      </c>
      <c r="X101" s="270" t="str">
        <f t="shared" si="36"/>
        <v/>
      </c>
      <c r="Y101" s="62">
        <v>0</v>
      </c>
      <c r="Z101" s="62">
        <v>0</v>
      </c>
      <c r="AA101" s="256">
        <f t="shared" si="37"/>
        <v>0</v>
      </c>
      <c r="AB101" s="3"/>
      <c r="AC101" s="62" t="str">
        <f t="shared" si="38"/>
        <v/>
      </c>
      <c r="AD101" s="62" t="str">
        <f t="shared" si="39"/>
        <v/>
      </c>
      <c r="AE101" s="62" t="str">
        <f t="shared" si="40"/>
        <v/>
      </c>
      <c r="AF101" s="62" t="str">
        <f t="shared" si="41"/>
        <v/>
      </c>
      <c r="AG101" s="192">
        <v>0</v>
      </c>
      <c r="AH101" s="62" t="str">
        <f t="shared" si="42"/>
        <v/>
      </c>
      <c r="AI101" s="62">
        <f t="shared" si="43"/>
        <v>0</v>
      </c>
      <c r="AJ101" s="62"/>
      <c r="AK101" s="62">
        <v>0</v>
      </c>
      <c r="AL101" s="256">
        <f t="shared" si="44"/>
        <v>0</v>
      </c>
      <c r="AM101" s="256">
        <f t="shared" si="45"/>
        <v>0</v>
      </c>
      <c r="AN101" s="256">
        <f t="shared" si="46"/>
        <v>0</v>
      </c>
    </row>
    <row r="102" spans="1:40" hidden="1" x14ac:dyDescent="0.2">
      <c r="A102" s="386" t="str">
        <f>IF('Employee Detail FY25'!A102="","",'Employee Detail FY25'!A102)</f>
        <v/>
      </c>
      <c r="B102" s="678" t="str">
        <f>IF('Employee Detail FY25'!B102="","",'Employee Detail FY25'!B102)</f>
        <v/>
      </c>
      <c r="C102" s="678" t="str">
        <f>IF('Employee Detail FY25'!C102="","",'Employee Detail FY25'!C102)</f>
        <v/>
      </c>
      <c r="D102" s="678"/>
      <c r="E102" s="678" t="str">
        <f>IF('Employee Detail FY25'!E102="","",'Employee Detail FY25'!E102)</f>
        <v/>
      </c>
      <c r="F102" s="678" t="str">
        <f>IF('Employee Detail FY25'!F102="","",'Employee Detail FY25'!F102)</f>
        <v/>
      </c>
      <c r="G102" s="678" t="str">
        <f>IF('Employee Detail FY25'!G102="","",'Employee Detail FY25'!G102)</f>
        <v/>
      </c>
      <c r="H102" s="678"/>
      <c r="I102" s="359" t="str">
        <f>IF('Employee Detail FY25'!I102="","",'Employee Detail FY25'!I102)</f>
        <v/>
      </c>
      <c r="J102" s="359" t="str">
        <f>IF('Employee Detail FY25'!J102="","",'Employee Detail FY25'!J102)</f>
        <v/>
      </c>
      <c r="K102" s="359" t="str">
        <f>IF('Employee Detail FY25'!K102="","",'Employee Detail FY25'!K102)</f>
        <v/>
      </c>
      <c r="L102" s="359" t="str">
        <f>IF('Employee Detail FY25'!L102="","",'Employee Detail FY25'!L102)</f>
        <v/>
      </c>
      <c r="M102" s="388" t="str">
        <f>IF('Employee Detail FY25'!M102="","",'Employee Detail FY25'!M102)</f>
        <v/>
      </c>
      <c r="N102" s="386" t="str">
        <f>IF('Employee Detail FY25'!N102="","",'Employee Detail FY25'!N102)</f>
        <v/>
      </c>
      <c r="O102" s="386" t="str">
        <f>IF('Employee Detail FY25'!O102="","",'Employee Detail FY25'!O102)</f>
        <v/>
      </c>
      <c r="P102" s="386" t="str">
        <f>IF('Employee Detail FY25'!P102="","",'Employee Detail FY25'!P102)</f>
        <v/>
      </c>
      <c r="Q102" s="386" t="str">
        <f>IF('Employee Detail FY25'!Q102="","",'Employee Detail FY25'!Q102)</f>
        <v/>
      </c>
      <c r="R102" s="386" t="str">
        <f>IF('Employee Detail FY25'!R102="","",'Employee Detail FY25'!R102)</f>
        <v/>
      </c>
      <c r="S102" s="386" t="str">
        <f>IF('Employee Detail FY25'!S102="","",'Employee Detail FY25'!S102)</f>
        <v/>
      </c>
      <c r="T102" s="263" t="str">
        <f t="shared" si="34"/>
        <v/>
      </c>
      <c r="U102" s="269">
        <f>IF('Employee Detail FY25'!U102="","",'Employee Detail FY25'!U102)</f>
        <v>0</v>
      </c>
      <c r="V102" s="270">
        <f t="shared" si="21"/>
        <v>0</v>
      </c>
      <c r="W102" s="270" t="str">
        <f t="shared" si="35"/>
        <v/>
      </c>
      <c r="X102" s="270" t="str">
        <f t="shared" si="36"/>
        <v/>
      </c>
      <c r="Y102" s="62">
        <v>0</v>
      </c>
      <c r="Z102" s="62">
        <v>0</v>
      </c>
      <c r="AA102" s="256">
        <f t="shared" si="37"/>
        <v>0</v>
      </c>
      <c r="AB102" s="3"/>
      <c r="AC102" s="62" t="str">
        <f t="shared" si="38"/>
        <v/>
      </c>
      <c r="AD102" s="62" t="str">
        <f t="shared" si="39"/>
        <v/>
      </c>
      <c r="AE102" s="62" t="str">
        <f t="shared" si="40"/>
        <v/>
      </c>
      <c r="AF102" s="62" t="str">
        <f t="shared" si="41"/>
        <v/>
      </c>
      <c r="AG102" s="192">
        <v>0</v>
      </c>
      <c r="AH102" s="62" t="str">
        <f t="shared" si="42"/>
        <v/>
      </c>
      <c r="AI102" s="62">
        <f t="shared" si="43"/>
        <v>0</v>
      </c>
      <c r="AJ102" s="62"/>
      <c r="AK102" s="62">
        <v>0</v>
      </c>
      <c r="AL102" s="256">
        <f t="shared" si="44"/>
        <v>0</v>
      </c>
      <c r="AM102" s="256">
        <f t="shared" si="45"/>
        <v>0</v>
      </c>
      <c r="AN102" s="256">
        <f t="shared" si="46"/>
        <v>0</v>
      </c>
    </row>
    <row r="103" spans="1:40" hidden="1" x14ac:dyDescent="0.2">
      <c r="A103" s="386" t="str">
        <f>IF('Employee Detail FY25'!A103="","",'Employee Detail FY25'!A103)</f>
        <v/>
      </c>
      <c r="B103" s="678" t="str">
        <f>IF('Employee Detail FY25'!B103="","",'Employee Detail FY25'!B103)</f>
        <v/>
      </c>
      <c r="C103" s="678" t="str">
        <f>IF('Employee Detail FY25'!C103="","",'Employee Detail FY25'!C103)</f>
        <v/>
      </c>
      <c r="D103" s="678"/>
      <c r="E103" s="678" t="str">
        <f>IF('Employee Detail FY25'!E103="","",'Employee Detail FY25'!E103)</f>
        <v/>
      </c>
      <c r="F103" s="678" t="str">
        <f>IF('Employee Detail FY25'!F103="","",'Employee Detail FY25'!F103)</f>
        <v/>
      </c>
      <c r="G103" s="678" t="str">
        <f>IF('Employee Detail FY25'!G103="","",'Employee Detail FY25'!G103)</f>
        <v/>
      </c>
      <c r="H103" s="678"/>
      <c r="I103" s="359" t="str">
        <f>IF('Employee Detail FY25'!I103="","",'Employee Detail FY25'!I103)</f>
        <v/>
      </c>
      <c r="J103" s="359" t="str">
        <f>IF('Employee Detail FY25'!J103="","",'Employee Detail FY25'!J103)</f>
        <v/>
      </c>
      <c r="K103" s="359" t="str">
        <f>IF('Employee Detail FY25'!K103="","",'Employee Detail FY25'!K103)</f>
        <v/>
      </c>
      <c r="L103" s="359" t="str">
        <f>IF('Employee Detail FY25'!L103="","",'Employee Detail FY25'!L103)</f>
        <v/>
      </c>
      <c r="M103" s="388" t="str">
        <f>IF('Employee Detail FY25'!M103="","",'Employee Detail FY25'!M103)</f>
        <v/>
      </c>
      <c r="N103" s="386" t="str">
        <f>IF('Employee Detail FY25'!N103="","",'Employee Detail FY25'!N103)</f>
        <v/>
      </c>
      <c r="O103" s="386" t="str">
        <f>IF('Employee Detail FY25'!O103="","",'Employee Detail FY25'!O103)</f>
        <v/>
      </c>
      <c r="P103" s="386" t="str">
        <f>IF('Employee Detail FY25'!P103="","",'Employee Detail FY25'!P103)</f>
        <v/>
      </c>
      <c r="Q103" s="386" t="str">
        <f>IF('Employee Detail FY25'!Q103="","",'Employee Detail FY25'!Q103)</f>
        <v/>
      </c>
      <c r="R103" s="386" t="str">
        <f>IF('Employee Detail FY25'!R103="","",'Employee Detail FY25'!R103)</f>
        <v/>
      </c>
      <c r="S103" s="386" t="str">
        <f>IF('Employee Detail FY25'!S103="","",'Employee Detail FY25'!S103)</f>
        <v/>
      </c>
      <c r="T103" s="263" t="str">
        <f t="shared" si="34"/>
        <v/>
      </c>
      <c r="U103" s="269">
        <f>IF('Employee Detail FY25'!U103="","",'Employee Detail FY25'!U103)</f>
        <v>0</v>
      </c>
      <c r="V103" s="270">
        <f t="shared" si="21"/>
        <v>0</v>
      </c>
      <c r="W103" s="270" t="str">
        <f t="shared" si="35"/>
        <v/>
      </c>
      <c r="X103" s="270" t="str">
        <f t="shared" si="36"/>
        <v/>
      </c>
      <c r="Y103" s="62">
        <v>0</v>
      </c>
      <c r="Z103" s="62">
        <v>0</v>
      </c>
      <c r="AA103" s="256">
        <f t="shared" si="37"/>
        <v>0</v>
      </c>
      <c r="AB103" s="3"/>
      <c r="AC103" s="62" t="str">
        <f t="shared" si="38"/>
        <v/>
      </c>
      <c r="AD103" s="62" t="str">
        <f t="shared" si="39"/>
        <v/>
      </c>
      <c r="AE103" s="62" t="str">
        <f t="shared" si="40"/>
        <v/>
      </c>
      <c r="AF103" s="62" t="str">
        <f t="shared" si="41"/>
        <v/>
      </c>
      <c r="AG103" s="192">
        <v>0</v>
      </c>
      <c r="AH103" s="62" t="str">
        <f t="shared" si="42"/>
        <v/>
      </c>
      <c r="AI103" s="62">
        <f t="shared" si="43"/>
        <v>0</v>
      </c>
      <c r="AJ103" s="62"/>
      <c r="AK103" s="62">
        <v>0</v>
      </c>
      <c r="AL103" s="256">
        <f t="shared" si="44"/>
        <v>0</v>
      </c>
      <c r="AM103" s="256">
        <f t="shared" si="45"/>
        <v>0</v>
      </c>
      <c r="AN103" s="256">
        <f t="shared" si="46"/>
        <v>0</v>
      </c>
    </row>
    <row r="104" spans="1:40" hidden="1" x14ac:dyDescent="0.2">
      <c r="A104" s="386" t="str">
        <f>IF('Employee Detail FY25'!A104="","",'Employee Detail FY25'!A104)</f>
        <v/>
      </c>
      <c r="B104" s="678" t="str">
        <f>IF('Employee Detail FY25'!B104="","",'Employee Detail FY25'!B104)</f>
        <v/>
      </c>
      <c r="C104" s="678" t="str">
        <f>IF('Employee Detail FY25'!C104="","",'Employee Detail FY25'!C104)</f>
        <v/>
      </c>
      <c r="D104" s="678"/>
      <c r="E104" s="678" t="str">
        <f>IF('Employee Detail FY25'!E104="","",'Employee Detail FY25'!E104)</f>
        <v/>
      </c>
      <c r="F104" s="678" t="str">
        <f>IF('Employee Detail FY25'!F104="","",'Employee Detail FY25'!F104)</f>
        <v/>
      </c>
      <c r="G104" s="678" t="str">
        <f>IF('Employee Detail FY25'!G104="","",'Employee Detail FY25'!G104)</f>
        <v/>
      </c>
      <c r="H104" s="678"/>
      <c r="I104" s="359" t="str">
        <f>IF('Employee Detail FY25'!I104="","",'Employee Detail FY25'!I104)</f>
        <v/>
      </c>
      <c r="J104" s="359" t="str">
        <f>IF('Employee Detail FY25'!J104="","",'Employee Detail FY25'!J104)</f>
        <v/>
      </c>
      <c r="K104" s="359" t="str">
        <f>IF('Employee Detail FY25'!K104="","",'Employee Detail FY25'!K104)</f>
        <v/>
      </c>
      <c r="L104" s="359" t="str">
        <f>IF('Employee Detail FY25'!L104="","",'Employee Detail FY25'!L104)</f>
        <v/>
      </c>
      <c r="M104" s="388" t="str">
        <f>IF('Employee Detail FY25'!M104="","",'Employee Detail FY25'!M104)</f>
        <v/>
      </c>
      <c r="N104" s="386" t="str">
        <f>IF('Employee Detail FY25'!N104="","",'Employee Detail FY25'!N104)</f>
        <v/>
      </c>
      <c r="O104" s="386" t="str">
        <f>IF('Employee Detail FY25'!O104="","",'Employee Detail FY25'!O104)</f>
        <v/>
      </c>
      <c r="P104" s="386" t="str">
        <f>IF('Employee Detail FY25'!P104="","",'Employee Detail FY25'!P104)</f>
        <v/>
      </c>
      <c r="Q104" s="386" t="str">
        <f>IF('Employee Detail FY25'!Q104="","",'Employee Detail FY25'!Q104)</f>
        <v/>
      </c>
      <c r="R104" s="386" t="str">
        <f>IF('Employee Detail FY25'!R104="","",'Employee Detail FY25'!R104)</f>
        <v/>
      </c>
      <c r="S104" s="386" t="str">
        <f>IF('Employee Detail FY25'!S104="","",'Employee Detail FY25'!S104)</f>
        <v/>
      </c>
      <c r="T104" s="263" t="str">
        <f t="shared" si="34"/>
        <v/>
      </c>
      <c r="U104" s="269">
        <f>IF('Employee Detail FY25'!U104="","",'Employee Detail FY25'!U104)</f>
        <v>0</v>
      </c>
      <c r="V104" s="270">
        <f t="shared" si="21"/>
        <v>0</v>
      </c>
      <c r="W104" s="270" t="str">
        <f t="shared" si="35"/>
        <v/>
      </c>
      <c r="X104" s="270" t="str">
        <f t="shared" si="36"/>
        <v/>
      </c>
      <c r="Y104" s="62">
        <v>0</v>
      </c>
      <c r="Z104" s="62">
        <v>0</v>
      </c>
      <c r="AA104" s="256">
        <f t="shared" si="37"/>
        <v>0</v>
      </c>
      <c r="AB104" s="3"/>
      <c r="AC104" s="62" t="str">
        <f t="shared" si="38"/>
        <v/>
      </c>
      <c r="AD104" s="62" t="str">
        <f t="shared" si="39"/>
        <v/>
      </c>
      <c r="AE104" s="62" t="str">
        <f t="shared" si="40"/>
        <v/>
      </c>
      <c r="AF104" s="62" t="str">
        <f t="shared" si="41"/>
        <v/>
      </c>
      <c r="AG104" s="192">
        <v>0</v>
      </c>
      <c r="AH104" s="62" t="str">
        <f t="shared" si="42"/>
        <v/>
      </c>
      <c r="AI104" s="62">
        <f t="shared" si="43"/>
        <v>0</v>
      </c>
      <c r="AJ104" s="62"/>
      <c r="AK104" s="62">
        <v>0</v>
      </c>
      <c r="AL104" s="256">
        <f t="shared" si="44"/>
        <v>0</v>
      </c>
      <c r="AM104" s="256">
        <f t="shared" si="45"/>
        <v>0</v>
      </c>
      <c r="AN104" s="256">
        <f t="shared" si="46"/>
        <v>0</v>
      </c>
    </row>
    <row r="105" spans="1:40" hidden="1" x14ac:dyDescent="0.2">
      <c r="A105" s="474"/>
      <c r="B105" s="789"/>
      <c r="C105" s="789"/>
      <c r="D105" s="789"/>
      <c r="E105" s="789"/>
      <c r="F105" s="789"/>
      <c r="G105" s="789"/>
      <c r="H105" s="789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263" t="str">
        <f t="shared" ref="T105:T128" si="47">+IF(R105="","",R105*S105)</f>
        <v/>
      </c>
      <c r="U105" s="269" t="str">
        <f>IF('Employee Detail FY25'!U105="","",'Employee Detail FY25'!U105)</f>
        <v/>
      </c>
      <c r="V105" s="270" t="str">
        <f t="shared" ref="V105:V130" si="48">IF($U105="","",$U105*(1+$V$1))</f>
        <v/>
      </c>
      <c r="W105" s="270" t="str">
        <f t="shared" ref="W105:W128" si="49">+IF(P105="EE",+V105*$W$1,"")</f>
        <v/>
      </c>
      <c r="X105" s="270" t="str">
        <f t="shared" ref="X105:X128" si="50">_xlfn.IFS(P105="ER",V105,P105="EE",W105,P105="N",V105,P105="","")</f>
        <v/>
      </c>
      <c r="Y105" s="62">
        <v>0</v>
      </c>
      <c r="Z105" s="62">
        <v>0</v>
      </c>
      <c r="AA105" s="256">
        <f t="shared" ref="AA105:AA128" si="51">SUM(X105:Z105)</f>
        <v>0</v>
      </c>
      <c r="AB105" s="3"/>
      <c r="AC105" s="62" t="str">
        <f t="shared" ref="AC105:AC130" si="52">IF(AND(M105=1,P105&lt;&gt;"N"),$AC$1,"")</f>
        <v/>
      </c>
      <c r="AD105" s="62" t="str">
        <f t="shared" ref="AD105:AD128" si="53">_xlfn.IFS(P105="N",$AD$1*AA105,P105="EE","",P105="ER","",P105="","")</f>
        <v/>
      </c>
      <c r="AE105" s="62" t="str">
        <f t="shared" ref="AE105:AE128" si="54">_xlfn.IFS(P105="EE",X105*$AE$1,P105="ER",X105*$AE$2,P105="N","",P105="","")</f>
        <v/>
      </c>
      <c r="AF105" s="62" t="str">
        <f t="shared" ref="AF105:AF128" si="55">+IF(AA105&gt;1,AA105*$AF$1,"")</f>
        <v/>
      </c>
      <c r="AG105" s="192">
        <v>0</v>
      </c>
      <c r="AH105" s="62" t="str">
        <f t="shared" ref="AH105:AH128" si="56">+IF(AA105&gt;1,AA105*$AH$1,"")</f>
        <v/>
      </c>
      <c r="AI105" s="62">
        <f t="shared" ref="AI105:AI128" si="57">+_xlfn.IFS(F105&lt;2300,(AA105*$AI$1),F105&gt;=2300,(AA105*$AI$2),F105="","")</f>
        <v>0</v>
      </c>
      <c r="AJ105" s="62"/>
      <c r="AK105" s="62">
        <v>0</v>
      </c>
      <c r="AL105" s="256">
        <f t="shared" ref="AL105:AL128" si="58">SUM(AC105:AK105)</f>
        <v>0</v>
      </c>
      <c r="AM105" s="256">
        <f t="shared" ref="AM105:AM128" si="59">AA105</f>
        <v>0</v>
      </c>
      <c r="AN105" s="256">
        <f t="shared" ref="AN105:AN128" si="60">SUM(AL105:AM105)</f>
        <v>0</v>
      </c>
    </row>
    <row r="106" spans="1:40" x14ac:dyDescent="0.2">
      <c r="A106" s="311" t="s">
        <v>1149</v>
      </c>
      <c r="B106" s="380">
        <v>100</v>
      </c>
      <c r="C106" s="380" t="s">
        <v>145</v>
      </c>
      <c r="D106" s="380"/>
      <c r="E106" s="380">
        <v>100</v>
      </c>
      <c r="F106" s="380">
        <v>1000</v>
      </c>
      <c r="G106" s="380" t="s">
        <v>161</v>
      </c>
      <c r="H106" s="380" t="s">
        <v>497</v>
      </c>
      <c r="I106" s="312" t="str">
        <f>IF('Employee Detail FY25'!I106="","",'Employee Detail FY25'!I106)</f>
        <v>VACANT</v>
      </c>
      <c r="J106" s="311" t="s">
        <v>506</v>
      </c>
      <c r="K106" s="311" t="s">
        <v>389</v>
      </c>
      <c r="L106" s="311" t="s">
        <v>498</v>
      </c>
      <c r="M106" s="313">
        <v>1</v>
      </c>
      <c r="N106" s="311"/>
      <c r="O106" s="311"/>
      <c r="P106" s="311" t="s">
        <v>342</v>
      </c>
      <c r="Q106" s="311" t="s">
        <v>386</v>
      </c>
      <c r="R106" s="311" t="s">
        <v>386</v>
      </c>
      <c r="S106" s="311" t="s">
        <v>386</v>
      </c>
      <c r="T106" s="263" t="str">
        <f>+IF(R106="","",R106*S106)</f>
        <v/>
      </c>
      <c r="U106" s="269">
        <v>45000</v>
      </c>
      <c r="V106" s="270">
        <f t="shared" ref="V106:V121" si="61">IF($U106="","",$U106*(1+$V$1))</f>
        <v>50400.000000000007</v>
      </c>
      <c r="W106" s="270" t="str">
        <f t="shared" ref="W106:W122" si="62">+IF(P106="EE",+V106*$W$1,"")</f>
        <v/>
      </c>
      <c r="X106" s="270">
        <f t="shared" ref="X106:X122" si="63">_xlfn.IFS(P106="ER",V106,P106="EE",W106,P106="N",V106,P106="","")</f>
        <v>50400.000000000007</v>
      </c>
      <c r="Y106" s="62">
        <v>0</v>
      </c>
      <c r="Z106" s="62">
        <v>0</v>
      </c>
      <c r="AA106" s="256">
        <f t="shared" ref="AA106:AA122" si="64">SUM(X106:Z106)</f>
        <v>50400.000000000007</v>
      </c>
      <c r="AB106" s="3"/>
      <c r="AC106" s="62">
        <f t="shared" ref="AC106:AC122" si="65">IF(AND(M106=1,P106&lt;&gt;"N"),$AC$1,"")</f>
        <v>7943.76</v>
      </c>
      <c r="AD106" s="62" t="str">
        <f t="shared" ref="AD106:AD122" si="66">_xlfn.IFS(P106="N",$AD$1*AA106,P106="EE","",P106="ER","",P106="","")</f>
        <v/>
      </c>
      <c r="AE106" s="62">
        <f t="shared" ref="AE106:AE122" si="67">_xlfn.IFS(P106="EE",X106*$AE$1,P106="ER",X106*$AE$2,P106="N","",P106="","")</f>
        <v>14742.000000000002</v>
      </c>
      <c r="AF106" s="62">
        <f t="shared" ref="AF106:AF122" si="68">+IF(AA106&gt;1,AA106*$AF$1,"")</f>
        <v>730.80000000000018</v>
      </c>
      <c r="AG106" s="192">
        <v>0</v>
      </c>
      <c r="AH106" s="62">
        <f t="shared" ref="AH106:AH122" si="69">+IF(AA106&gt;1,AA106*$AH$1,"")</f>
        <v>458.75773978838851</v>
      </c>
      <c r="AI106" s="62">
        <f t="shared" ref="AI106:AI122" si="70">+_xlfn.IFS(F106&lt;2300,(AA106*$AI$1),F106&gt;=2300,(AA106*$AI$2),F106="","")</f>
        <v>148.43801496711296</v>
      </c>
      <c r="AJ106" s="62"/>
      <c r="AK106" s="62">
        <v>0</v>
      </c>
      <c r="AL106" s="256">
        <f t="shared" ref="AL106:AL122" si="71">SUM(AC106:AK106)</f>
        <v>24023.755754755501</v>
      </c>
      <c r="AM106" s="256">
        <f t="shared" ref="AM106:AM122" si="72">AA106</f>
        <v>50400.000000000007</v>
      </c>
      <c r="AN106" s="256">
        <f t="shared" ref="AN106:AN122" si="73">SUM(AL106:AM106)</f>
        <v>74423.755754755504</v>
      </c>
    </row>
    <row r="107" spans="1:40" x14ac:dyDescent="0.2">
      <c r="A107" s="311" t="str">
        <f>IF('Employee Detail FY25'!A107="","",'Employee Detail FY25'!A107)</f>
        <v>VACANT</v>
      </c>
      <c r="B107" s="798">
        <f>IF('Employee Detail FY25'!B107="","",'Employee Detail FY25'!B107)</f>
        <v>250</v>
      </c>
      <c r="C107" s="798" t="str">
        <f>IF('Employee Detail FY25'!C107="","",'Employee Detail FY25'!C107)</f>
        <v>000</v>
      </c>
      <c r="D107" s="798"/>
      <c r="E107" s="798">
        <f>IF('Employee Detail FY25'!E107="","",'Employee Detail FY25'!E107)</f>
        <v>200</v>
      </c>
      <c r="F107" s="798">
        <f>IF('Employee Detail FY25'!F107="","",'Employee Detail FY25'!F107)</f>
        <v>1000</v>
      </c>
      <c r="G107" s="798" t="str">
        <f>IF('Employee Detail FY25'!G107="","",'Employee Detail FY25'!G107)</f>
        <v>0101</v>
      </c>
      <c r="H107" s="798"/>
      <c r="I107" s="312" t="str">
        <f>IF('Employee Detail FY25'!I107="","",'Employee Detail FY25'!I107)</f>
        <v>VACANT</v>
      </c>
      <c r="J107" s="312" t="str">
        <f>IF('Employee Detail FY25'!J107="","",'Employee Detail FY25'!J107)</f>
        <v>FY24</v>
      </c>
      <c r="K107" s="312" t="str">
        <f>IF('Employee Detail FY25'!K107="","",'Employee Detail FY25'!K107)</f>
        <v>Licensed Staff</v>
      </c>
      <c r="L107" s="312" t="str">
        <f>IF('Employee Detail FY25'!L107="","",'Employee Detail FY25'!L107)</f>
        <v>SPED TEACHER</v>
      </c>
      <c r="M107" s="313">
        <v>1</v>
      </c>
      <c r="N107" s="311"/>
      <c r="O107" s="311"/>
      <c r="P107" s="311" t="s">
        <v>342</v>
      </c>
      <c r="Q107" s="311"/>
      <c r="R107" s="311"/>
      <c r="S107" s="311"/>
      <c r="T107" s="263"/>
      <c r="U107" s="269">
        <f>IF('Employee Detail FY25'!U107="","",'Employee Detail FY25'!U107)</f>
        <v>45500</v>
      </c>
      <c r="V107" s="270">
        <f t="shared" si="61"/>
        <v>50960.000000000007</v>
      </c>
      <c r="W107" s="270" t="str">
        <f t="shared" si="62"/>
        <v/>
      </c>
      <c r="X107" s="270">
        <f t="shared" si="63"/>
        <v>50960.000000000007</v>
      </c>
      <c r="Y107" s="62">
        <v>0</v>
      </c>
      <c r="Z107" s="62">
        <v>0</v>
      </c>
      <c r="AA107" s="256">
        <f t="shared" si="64"/>
        <v>50960.000000000007</v>
      </c>
      <c r="AB107" s="3"/>
      <c r="AC107" s="62">
        <f t="shared" si="65"/>
        <v>7943.76</v>
      </c>
      <c r="AD107" s="62" t="str">
        <f t="shared" si="66"/>
        <v/>
      </c>
      <c r="AE107" s="62">
        <f t="shared" si="67"/>
        <v>14905.800000000001</v>
      </c>
      <c r="AF107" s="62">
        <f t="shared" si="68"/>
        <v>738.92000000000019</v>
      </c>
      <c r="AG107" s="192">
        <v>0</v>
      </c>
      <c r="AH107" s="62">
        <f t="shared" si="69"/>
        <v>463.85504800825947</v>
      </c>
      <c r="AI107" s="62">
        <f t="shared" si="70"/>
        <v>150.08732624452531</v>
      </c>
      <c r="AJ107" s="62"/>
      <c r="AK107" s="62">
        <v>0</v>
      </c>
      <c r="AL107" s="256">
        <f t="shared" si="71"/>
        <v>24202.422374252787</v>
      </c>
      <c r="AM107" s="256">
        <f t="shared" si="72"/>
        <v>50960.000000000007</v>
      </c>
      <c r="AN107" s="256">
        <f t="shared" si="73"/>
        <v>75162.422374252797</v>
      </c>
    </row>
    <row r="108" spans="1:40" x14ac:dyDescent="0.2">
      <c r="A108" s="311" t="s">
        <v>1149</v>
      </c>
      <c r="B108" s="798">
        <v>100</v>
      </c>
      <c r="C108" s="798" t="s">
        <v>145</v>
      </c>
      <c r="D108" s="798"/>
      <c r="E108" s="798">
        <v>100</v>
      </c>
      <c r="F108" s="798">
        <v>1000</v>
      </c>
      <c r="G108" s="798" t="s">
        <v>169</v>
      </c>
      <c r="H108" s="798"/>
      <c r="I108" s="312" t="s">
        <v>1149</v>
      </c>
      <c r="J108" s="312" t="s">
        <v>506</v>
      </c>
      <c r="K108" s="312" t="s">
        <v>384</v>
      </c>
      <c r="L108" s="312" t="s">
        <v>989</v>
      </c>
      <c r="M108" s="313">
        <v>1</v>
      </c>
      <c r="N108" s="311"/>
      <c r="O108" s="311"/>
      <c r="P108" s="311" t="s">
        <v>342</v>
      </c>
      <c r="Q108" s="311"/>
      <c r="R108" s="311"/>
      <c r="S108" s="311"/>
      <c r="T108" s="263" t="str">
        <f t="shared" ref="T108:T114" si="74">+IF(R108="","",R108*S108)</f>
        <v/>
      </c>
      <c r="U108" s="269">
        <v>31500</v>
      </c>
      <c r="V108" s="270">
        <f t="shared" si="61"/>
        <v>35280</v>
      </c>
      <c r="W108" s="270" t="str">
        <f t="shared" si="62"/>
        <v/>
      </c>
      <c r="X108" s="270">
        <f t="shared" si="63"/>
        <v>35280</v>
      </c>
      <c r="Y108" s="62">
        <v>0</v>
      </c>
      <c r="Z108" s="62">
        <v>0</v>
      </c>
      <c r="AA108" s="256">
        <f t="shared" si="64"/>
        <v>35280</v>
      </c>
      <c r="AB108" s="3"/>
      <c r="AC108" s="62">
        <f t="shared" si="65"/>
        <v>7943.76</v>
      </c>
      <c r="AD108" s="62" t="str">
        <f t="shared" si="66"/>
        <v/>
      </c>
      <c r="AE108" s="62">
        <f t="shared" si="67"/>
        <v>10319.4</v>
      </c>
      <c r="AF108" s="62">
        <f t="shared" si="68"/>
        <v>511.56</v>
      </c>
      <c r="AG108" s="192">
        <v>0</v>
      </c>
      <c r="AH108" s="62">
        <f t="shared" si="69"/>
        <v>321.13041785187193</v>
      </c>
      <c r="AI108" s="62">
        <f t="shared" si="70"/>
        <v>103.90661047697905</v>
      </c>
      <c r="AJ108" s="62"/>
      <c r="AK108" s="62">
        <v>0</v>
      </c>
      <c r="AL108" s="256">
        <f t="shared" si="71"/>
        <v>19199.757028328855</v>
      </c>
      <c r="AM108" s="256">
        <f t="shared" si="72"/>
        <v>35280</v>
      </c>
      <c r="AN108" s="256">
        <f t="shared" si="73"/>
        <v>54479.757028328851</v>
      </c>
    </row>
    <row r="109" spans="1:40" x14ac:dyDescent="0.2">
      <c r="A109" s="311" t="str">
        <f>IF('Employee Detail FY25'!A109="","",'Employee Detail FY25'!A109)</f>
        <v>VACANT</v>
      </c>
      <c r="B109" s="798">
        <f>IF('Employee Detail FY25'!B109="","",'Employee Detail FY25'!B109)</f>
        <v>250</v>
      </c>
      <c r="C109" s="798" t="str">
        <f>IF('Employee Detail FY25'!C109="","",'Employee Detail FY25'!C109)</f>
        <v>000</v>
      </c>
      <c r="D109" s="798"/>
      <c r="E109" s="798">
        <f>IF('Employee Detail FY25'!E109="","",'Employee Detail FY25'!E109)</f>
        <v>200</v>
      </c>
      <c r="F109" s="798">
        <f>IF('Employee Detail FY25'!F109="","",'Employee Detail FY25'!F109)</f>
        <v>1000</v>
      </c>
      <c r="G109" s="798" t="str">
        <f>IF('Employee Detail FY25'!G109="","",'Employee Detail FY25'!G109)</f>
        <v>0101</v>
      </c>
      <c r="H109" s="798"/>
      <c r="I109" s="312" t="str">
        <f>IF('Employee Detail FY25'!I109="","",'Employee Detail FY25'!I109)</f>
        <v>VACANT</v>
      </c>
      <c r="J109" s="312" t="s">
        <v>506</v>
      </c>
      <c r="K109" s="312" t="str">
        <f>IF('Employee Detail FY25'!K109="","",'Employee Detail FY25'!K109)</f>
        <v>Licensed Staff</v>
      </c>
      <c r="L109" s="312" t="str">
        <f>IF('Employee Detail FY25'!L109="","",'Employee Detail FY25'!L109)</f>
        <v>RtI Facilitators</v>
      </c>
      <c r="M109" s="313">
        <v>1</v>
      </c>
      <c r="N109" s="311"/>
      <c r="O109" s="311"/>
      <c r="P109" s="311" t="s">
        <v>342</v>
      </c>
      <c r="Q109" s="311"/>
      <c r="R109" s="311" t="str">
        <f>IF('Employee Detail FY25'!R109="","",'Employee Detail FY25'!R109)</f>
        <v/>
      </c>
      <c r="S109" s="311" t="str">
        <f>IF('Employee Detail FY25'!S109="","",'Employee Detail FY25'!S109)</f>
        <v/>
      </c>
      <c r="T109" s="263" t="str">
        <f t="shared" si="74"/>
        <v/>
      </c>
      <c r="U109" s="269">
        <f>IF('Employee Detail FY25'!U109="","",'Employee Detail FY25'!U109)</f>
        <v>45000</v>
      </c>
      <c r="V109" s="270">
        <f t="shared" si="61"/>
        <v>50400.000000000007</v>
      </c>
      <c r="W109" s="270" t="str">
        <f t="shared" si="62"/>
        <v/>
      </c>
      <c r="X109" s="270">
        <f t="shared" si="63"/>
        <v>50400.000000000007</v>
      </c>
      <c r="Y109" s="62">
        <v>0</v>
      </c>
      <c r="Z109" s="62">
        <v>0</v>
      </c>
      <c r="AA109" s="256">
        <f t="shared" si="64"/>
        <v>50400.000000000007</v>
      </c>
      <c r="AB109" s="3"/>
      <c r="AC109" s="62">
        <f t="shared" si="65"/>
        <v>7943.76</v>
      </c>
      <c r="AD109" s="62" t="str">
        <f t="shared" si="66"/>
        <v/>
      </c>
      <c r="AE109" s="62">
        <f t="shared" si="67"/>
        <v>14742.000000000002</v>
      </c>
      <c r="AF109" s="62">
        <f t="shared" si="68"/>
        <v>730.80000000000018</v>
      </c>
      <c r="AG109" s="192">
        <v>0</v>
      </c>
      <c r="AH109" s="62">
        <f t="shared" si="69"/>
        <v>458.75773978838851</v>
      </c>
      <c r="AI109" s="62">
        <f t="shared" si="70"/>
        <v>148.43801496711296</v>
      </c>
      <c r="AJ109" s="62"/>
      <c r="AK109" s="62">
        <v>0</v>
      </c>
      <c r="AL109" s="256">
        <f t="shared" si="71"/>
        <v>24023.755754755501</v>
      </c>
      <c r="AM109" s="256">
        <f t="shared" si="72"/>
        <v>50400.000000000007</v>
      </c>
      <c r="AN109" s="256">
        <f t="shared" si="73"/>
        <v>74423.755754755504</v>
      </c>
    </row>
    <row r="110" spans="1:40" hidden="1" x14ac:dyDescent="0.2">
      <c r="A110" s="311" t="str">
        <f>IF('Employee Detail FY25'!A110="","",'Employee Detail FY25'!A110)</f>
        <v>VACANT</v>
      </c>
      <c r="B110" s="798" t="str">
        <f>IF('Employee Detail FY25'!B110="","",'Employee Detail FY25'!B110)</f>
        <v>100</v>
      </c>
      <c r="C110" s="798" t="str">
        <f>IF('Employee Detail FY25'!C110="","",'Employee Detail FY25'!C110)</f>
        <v>000</v>
      </c>
      <c r="D110" s="798"/>
      <c r="E110" s="798" t="str">
        <f>IF('Employee Detail FY25'!E110="","",'Employee Detail FY25'!E110)</f>
        <v>100</v>
      </c>
      <c r="F110" s="798" t="str">
        <f>IF('Employee Detail FY25'!F110="","",'Employee Detail FY25'!F110)</f>
        <v>2120</v>
      </c>
      <c r="G110" s="798" t="str">
        <f>IF('Employee Detail FY25'!G110="","",'Employee Detail FY25'!G110)</f>
        <v>0106</v>
      </c>
      <c r="H110" s="798"/>
      <c r="I110" s="312" t="str">
        <f>IF('Employee Detail FY25'!I110="","",'Employee Detail FY25'!I110)</f>
        <v>VACANT</v>
      </c>
      <c r="J110" s="312" t="str">
        <f>IF('Employee Detail FY25'!J110="","",'Employee Detail FY25'!J110)</f>
        <v>FY24</v>
      </c>
      <c r="K110" s="311" t="s">
        <v>389</v>
      </c>
      <c r="L110" s="312" t="str">
        <f>IF('Employee Detail FY25'!L110="","",'Employee Detail FY25'!L110)</f>
        <v>CAREER PATHWAYS COORDINATOR</v>
      </c>
      <c r="M110" s="313">
        <v>1</v>
      </c>
      <c r="N110" s="311"/>
      <c r="O110" s="311"/>
      <c r="P110" s="311" t="s">
        <v>342</v>
      </c>
      <c r="Q110" s="311" t="str">
        <f>IF('Employee Detail FY25'!Q110="","",'Employee Detail FY25'!Q110)</f>
        <v/>
      </c>
      <c r="R110" s="311" t="str">
        <f>IF('Employee Detail FY25'!R110="","",'Employee Detail FY25'!R110)</f>
        <v/>
      </c>
      <c r="S110" s="311" t="str">
        <f>IF('Employee Detail FY25'!S110="","",'Employee Detail FY25'!S110)</f>
        <v/>
      </c>
      <c r="T110" s="263" t="str">
        <f t="shared" si="74"/>
        <v/>
      </c>
      <c r="U110" s="269">
        <v>35000</v>
      </c>
      <c r="V110" s="270">
        <f t="shared" si="61"/>
        <v>39200.000000000007</v>
      </c>
      <c r="W110" s="270" t="str">
        <f t="shared" si="62"/>
        <v/>
      </c>
      <c r="X110" s="270">
        <f t="shared" si="63"/>
        <v>39200.000000000007</v>
      </c>
      <c r="Y110" s="62">
        <v>0</v>
      </c>
      <c r="Z110" s="62">
        <v>0</v>
      </c>
      <c r="AA110" s="256">
        <f t="shared" si="64"/>
        <v>39200.000000000007</v>
      </c>
      <c r="AB110" s="3"/>
      <c r="AC110" s="62">
        <f t="shared" si="65"/>
        <v>7943.76</v>
      </c>
      <c r="AD110" s="62" t="str">
        <f t="shared" si="66"/>
        <v/>
      </c>
      <c r="AE110" s="62">
        <f t="shared" si="67"/>
        <v>11466.000000000002</v>
      </c>
      <c r="AF110" s="62">
        <f t="shared" si="68"/>
        <v>568.40000000000009</v>
      </c>
      <c r="AG110" s="192">
        <v>0</v>
      </c>
      <c r="AH110" s="62">
        <f t="shared" si="69"/>
        <v>356.81157539096887</v>
      </c>
      <c r="AI110" s="62">
        <f t="shared" si="70"/>
        <v>115.45178941886564</v>
      </c>
      <c r="AJ110" s="62"/>
      <c r="AK110" s="62">
        <v>0</v>
      </c>
      <c r="AL110" s="256">
        <f t="shared" si="71"/>
        <v>20450.423364809838</v>
      </c>
      <c r="AM110" s="256">
        <f t="shared" si="72"/>
        <v>39200.000000000007</v>
      </c>
      <c r="AN110" s="256">
        <f t="shared" si="73"/>
        <v>59650.423364809845</v>
      </c>
    </row>
    <row r="111" spans="1:40" hidden="1" x14ac:dyDescent="0.2">
      <c r="A111" s="311" t="str">
        <f>IF('Employee Detail FY23'!A142="","",'Employee Detail FY23'!A142)</f>
        <v/>
      </c>
      <c r="B111" s="798" t="str">
        <f>IF('Employee Detail FY23'!B142="","",'Employee Detail FY23'!B142)</f>
        <v/>
      </c>
      <c r="C111" s="798" t="str">
        <f>IF('Employee Detail FY23'!C142="","",'Employee Detail FY23'!C142)</f>
        <v/>
      </c>
      <c r="D111" s="798"/>
      <c r="E111" s="798" t="str">
        <f>IF('Employee Detail FY23'!E142="","",'Employee Detail FY23'!E142)</f>
        <v/>
      </c>
      <c r="F111" s="798" t="str">
        <f>IF('Employee Detail FY23'!F142="","",'Employee Detail FY23'!F142)</f>
        <v/>
      </c>
      <c r="G111" s="798" t="str">
        <f>IF('Employee Detail FY23'!G142="","",'Employee Detail FY23'!G142)</f>
        <v/>
      </c>
      <c r="H111" s="798"/>
      <c r="I111" s="312" t="str">
        <f>IF('Employee Detail FY23'!I142="","",'Employee Detail FY23'!I142)</f>
        <v/>
      </c>
      <c r="J111" s="312" t="str">
        <f>IF('Employee Detail FY23'!J142="","",'Employee Detail FY23'!J142)</f>
        <v/>
      </c>
      <c r="K111" s="312" t="str">
        <f>IF('Employee Detail FY23'!K142="","",'Employee Detail FY23'!K142)</f>
        <v/>
      </c>
      <c r="L111" s="312" t="str">
        <f>IF('Employee Detail FY23'!L142="","",'Employee Detail FY23'!L142)</f>
        <v/>
      </c>
      <c r="M111" s="313"/>
      <c r="N111" s="311"/>
      <c r="O111" s="311"/>
      <c r="P111" s="311"/>
      <c r="Q111" s="311" t="str">
        <f>IF('Employee Detail FY23'!Q142="","",'Employee Detail FY23'!Q142)</f>
        <v/>
      </c>
      <c r="R111" s="311" t="str">
        <f>IF('Employee Detail FY23'!R142="","",'Employee Detail FY23'!R142)</f>
        <v/>
      </c>
      <c r="S111" s="311" t="str">
        <f>IF('Employee Detail FY23'!S142="","",'Employee Detail FY23'!S142)</f>
        <v/>
      </c>
      <c r="T111" s="263" t="str">
        <f t="shared" si="74"/>
        <v/>
      </c>
      <c r="U111" s="269" t="str">
        <f>IF('Employee Detail FY23'!U142="","",'Employee Detail FY23'!U142)</f>
        <v/>
      </c>
      <c r="V111" s="270" t="str">
        <f t="shared" si="61"/>
        <v/>
      </c>
      <c r="W111" s="270" t="str">
        <f t="shared" si="62"/>
        <v/>
      </c>
      <c r="X111" s="270" t="str">
        <f t="shared" si="63"/>
        <v/>
      </c>
      <c r="Y111" s="62">
        <v>0</v>
      </c>
      <c r="Z111" s="62">
        <v>0</v>
      </c>
      <c r="AA111" s="256">
        <f t="shared" si="64"/>
        <v>0</v>
      </c>
      <c r="AB111" s="3"/>
      <c r="AC111" s="62" t="str">
        <f t="shared" si="65"/>
        <v/>
      </c>
      <c r="AD111" s="62" t="str">
        <f t="shared" si="66"/>
        <v/>
      </c>
      <c r="AE111" s="62" t="str">
        <f t="shared" si="67"/>
        <v/>
      </c>
      <c r="AF111" s="62" t="str">
        <f t="shared" si="68"/>
        <v/>
      </c>
      <c r="AG111" s="192">
        <v>0</v>
      </c>
      <c r="AH111" s="62" t="str">
        <f t="shared" si="69"/>
        <v/>
      </c>
      <c r="AI111" s="62">
        <f t="shared" si="70"/>
        <v>0</v>
      </c>
      <c r="AJ111" s="62"/>
      <c r="AK111" s="62">
        <v>0</v>
      </c>
      <c r="AL111" s="256">
        <f t="shared" si="71"/>
        <v>0</v>
      </c>
      <c r="AM111" s="256">
        <f t="shared" si="72"/>
        <v>0</v>
      </c>
      <c r="AN111" s="256">
        <f t="shared" si="73"/>
        <v>0</v>
      </c>
    </row>
    <row r="112" spans="1:40" x14ac:dyDescent="0.2">
      <c r="A112" s="311" t="s">
        <v>1149</v>
      </c>
      <c r="B112" s="380">
        <v>100</v>
      </c>
      <c r="C112" s="380" t="s">
        <v>145</v>
      </c>
      <c r="D112" s="380"/>
      <c r="E112" s="380">
        <v>100</v>
      </c>
      <c r="F112" s="380">
        <v>1000</v>
      </c>
      <c r="G112" s="380" t="s">
        <v>161</v>
      </c>
      <c r="H112" s="380" t="s">
        <v>497</v>
      </c>
      <c r="I112" s="312" t="str">
        <f>IF('Employee Detail FY25'!I112="","",'Employee Detail FY25'!I112)</f>
        <v>VACANT</v>
      </c>
      <c r="J112" s="311" t="s">
        <v>508</v>
      </c>
      <c r="K112" s="311" t="s">
        <v>389</v>
      </c>
      <c r="L112" s="311" t="s">
        <v>498</v>
      </c>
      <c r="M112" s="313">
        <v>1</v>
      </c>
      <c r="N112" s="311"/>
      <c r="O112" s="311"/>
      <c r="P112" s="311" t="s">
        <v>342</v>
      </c>
      <c r="Q112" s="311" t="s">
        <v>386</v>
      </c>
      <c r="R112" s="311" t="s">
        <v>386</v>
      </c>
      <c r="S112" s="311" t="s">
        <v>386</v>
      </c>
      <c r="T112" s="263" t="str">
        <f t="shared" si="74"/>
        <v/>
      </c>
      <c r="U112" s="269">
        <v>45000</v>
      </c>
      <c r="V112" s="270">
        <f t="shared" si="61"/>
        <v>50400.000000000007</v>
      </c>
      <c r="W112" s="270" t="str">
        <f t="shared" si="62"/>
        <v/>
      </c>
      <c r="X112" s="270">
        <f t="shared" si="63"/>
        <v>50400.000000000007</v>
      </c>
      <c r="Y112" s="62">
        <v>0</v>
      </c>
      <c r="Z112" s="62">
        <v>0</v>
      </c>
      <c r="AA112" s="256">
        <f t="shared" si="64"/>
        <v>50400.000000000007</v>
      </c>
      <c r="AB112" s="3"/>
      <c r="AC112" s="62">
        <f t="shared" si="65"/>
        <v>7943.76</v>
      </c>
      <c r="AD112" s="62" t="str">
        <f t="shared" si="66"/>
        <v/>
      </c>
      <c r="AE112" s="62">
        <f t="shared" si="67"/>
        <v>14742.000000000002</v>
      </c>
      <c r="AF112" s="62">
        <f t="shared" si="68"/>
        <v>730.80000000000018</v>
      </c>
      <c r="AG112" s="192">
        <v>0</v>
      </c>
      <c r="AH112" s="62">
        <f t="shared" si="69"/>
        <v>458.75773978838851</v>
      </c>
      <c r="AI112" s="62">
        <f t="shared" si="70"/>
        <v>148.43801496711296</v>
      </c>
      <c r="AJ112" s="62"/>
      <c r="AK112" s="62">
        <v>0</v>
      </c>
      <c r="AL112" s="256">
        <f t="shared" si="71"/>
        <v>24023.755754755501</v>
      </c>
      <c r="AM112" s="256">
        <f t="shared" si="72"/>
        <v>50400.000000000007</v>
      </c>
      <c r="AN112" s="256">
        <f t="shared" si="73"/>
        <v>74423.755754755504</v>
      </c>
    </row>
    <row r="113" spans="1:40" x14ac:dyDescent="0.2">
      <c r="A113" s="311" t="s">
        <v>1149</v>
      </c>
      <c r="B113" s="380">
        <v>100</v>
      </c>
      <c r="C113" s="380" t="s">
        <v>145</v>
      </c>
      <c r="D113" s="380"/>
      <c r="E113" s="380">
        <v>100</v>
      </c>
      <c r="F113" s="380">
        <v>1000</v>
      </c>
      <c r="G113" s="380" t="s">
        <v>161</v>
      </c>
      <c r="H113" s="380" t="s">
        <v>497</v>
      </c>
      <c r="I113" s="312" t="str">
        <f>IF('Employee Detail FY25'!I113="","",'Employee Detail FY25'!I113)</f>
        <v>VACANT</v>
      </c>
      <c r="J113" s="311" t="s">
        <v>508</v>
      </c>
      <c r="K113" s="311" t="s">
        <v>389</v>
      </c>
      <c r="L113" s="311" t="s">
        <v>498</v>
      </c>
      <c r="M113" s="313">
        <v>1</v>
      </c>
      <c r="N113" s="311"/>
      <c r="O113" s="311"/>
      <c r="P113" s="311" t="s">
        <v>342</v>
      </c>
      <c r="Q113" s="311" t="s">
        <v>386</v>
      </c>
      <c r="R113" s="311" t="s">
        <v>386</v>
      </c>
      <c r="S113" s="311" t="s">
        <v>386</v>
      </c>
      <c r="T113" s="263" t="str">
        <f t="shared" si="74"/>
        <v/>
      </c>
      <c r="U113" s="269">
        <v>45000</v>
      </c>
      <c r="V113" s="270">
        <f t="shared" si="61"/>
        <v>50400.000000000007</v>
      </c>
      <c r="W113" s="270" t="str">
        <f t="shared" si="62"/>
        <v/>
      </c>
      <c r="X113" s="270">
        <f t="shared" si="63"/>
        <v>50400.000000000007</v>
      </c>
      <c r="Y113" s="62">
        <v>0</v>
      </c>
      <c r="Z113" s="62">
        <v>0</v>
      </c>
      <c r="AA113" s="256">
        <f t="shared" si="64"/>
        <v>50400.000000000007</v>
      </c>
      <c r="AB113" s="3"/>
      <c r="AC113" s="62">
        <f t="shared" si="65"/>
        <v>7943.76</v>
      </c>
      <c r="AD113" s="62" t="str">
        <f t="shared" si="66"/>
        <v/>
      </c>
      <c r="AE113" s="62">
        <f t="shared" si="67"/>
        <v>14742.000000000002</v>
      </c>
      <c r="AF113" s="62">
        <f t="shared" si="68"/>
        <v>730.80000000000018</v>
      </c>
      <c r="AG113" s="192">
        <v>0</v>
      </c>
      <c r="AH113" s="62">
        <f t="shared" si="69"/>
        <v>458.75773978838851</v>
      </c>
      <c r="AI113" s="62">
        <f t="shared" si="70"/>
        <v>148.43801496711296</v>
      </c>
      <c r="AJ113" s="62"/>
      <c r="AK113" s="62">
        <v>0</v>
      </c>
      <c r="AL113" s="256">
        <f t="shared" si="71"/>
        <v>24023.755754755501</v>
      </c>
      <c r="AM113" s="256">
        <f t="shared" si="72"/>
        <v>50400.000000000007</v>
      </c>
      <c r="AN113" s="256">
        <f t="shared" si="73"/>
        <v>74423.755754755504</v>
      </c>
    </row>
    <row r="114" spans="1:40" x14ac:dyDescent="0.2">
      <c r="A114" s="311" t="s">
        <v>1149</v>
      </c>
      <c r="B114" s="380">
        <v>250</v>
      </c>
      <c r="C114" s="380" t="s">
        <v>145</v>
      </c>
      <c r="D114" s="380"/>
      <c r="E114" s="380">
        <v>200</v>
      </c>
      <c r="F114" s="380">
        <v>1000</v>
      </c>
      <c r="G114" s="380" t="s">
        <v>161</v>
      </c>
      <c r="H114" s="380" t="s">
        <v>497</v>
      </c>
      <c r="I114" s="312" t="str">
        <f>IF('Employee Detail FY25'!I114="","",'Employee Detail FY25'!I114)</f>
        <v>VACANT</v>
      </c>
      <c r="J114" s="311" t="s">
        <v>508</v>
      </c>
      <c r="K114" s="311" t="s">
        <v>389</v>
      </c>
      <c r="L114" s="311" t="s">
        <v>495</v>
      </c>
      <c r="M114" s="313">
        <v>1</v>
      </c>
      <c r="N114" s="311"/>
      <c r="O114" s="311"/>
      <c r="P114" s="311" t="s">
        <v>342</v>
      </c>
      <c r="Q114" s="311" t="s">
        <v>386</v>
      </c>
      <c r="R114" s="311" t="s">
        <v>386</v>
      </c>
      <c r="S114" s="311" t="s">
        <v>386</v>
      </c>
      <c r="T114" s="263" t="str">
        <f t="shared" si="74"/>
        <v/>
      </c>
      <c r="U114" s="269">
        <v>45000</v>
      </c>
      <c r="V114" s="270">
        <f t="shared" si="61"/>
        <v>50400.000000000007</v>
      </c>
      <c r="W114" s="270" t="str">
        <f t="shared" si="62"/>
        <v/>
      </c>
      <c r="X114" s="270">
        <f t="shared" si="63"/>
        <v>50400.000000000007</v>
      </c>
      <c r="Y114" s="62">
        <v>0</v>
      </c>
      <c r="Z114" s="62">
        <v>0</v>
      </c>
      <c r="AA114" s="256">
        <f t="shared" si="64"/>
        <v>50400.000000000007</v>
      </c>
      <c r="AB114" s="3"/>
      <c r="AC114" s="62">
        <f t="shared" si="65"/>
        <v>7943.76</v>
      </c>
      <c r="AD114" s="62" t="str">
        <f t="shared" si="66"/>
        <v/>
      </c>
      <c r="AE114" s="62">
        <f t="shared" si="67"/>
        <v>14742.000000000002</v>
      </c>
      <c r="AF114" s="62">
        <f t="shared" si="68"/>
        <v>730.80000000000018</v>
      </c>
      <c r="AG114" s="192">
        <v>0</v>
      </c>
      <c r="AH114" s="62">
        <f t="shared" si="69"/>
        <v>458.75773978838851</v>
      </c>
      <c r="AI114" s="62">
        <f t="shared" si="70"/>
        <v>148.43801496711296</v>
      </c>
      <c r="AJ114" s="62"/>
      <c r="AK114" s="62">
        <v>0</v>
      </c>
      <c r="AL114" s="256">
        <f t="shared" si="71"/>
        <v>24023.755754755501</v>
      </c>
      <c r="AM114" s="256">
        <f t="shared" si="72"/>
        <v>50400.000000000007</v>
      </c>
      <c r="AN114" s="256">
        <f t="shared" si="73"/>
        <v>74423.755754755504</v>
      </c>
    </row>
    <row r="115" spans="1:40" x14ac:dyDescent="0.2">
      <c r="A115" s="311" t="s">
        <v>1149</v>
      </c>
      <c r="B115" s="798" t="s">
        <v>462</v>
      </c>
      <c r="C115" s="798" t="s">
        <v>145</v>
      </c>
      <c r="D115" s="798"/>
      <c r="E115" s="798" t="s">
        <v>463</v>
      </c>
      <c r="F115" s="798" t="s">
        <v>461</v>
      </c>
      <c r="G115" s="798" t="s">
        <v>161</v>
      </c>
      <c r="H115" s="798"/>
      <c r="I115" s="312" t="str">
        <f>IF('Employee Detail FY25'!I115="","",'Employee Detail FY25'!I115)</f>
        <v>VACANT</v>
      </c>
      <c r="J115" s="311" t="s">
        <v>508</v>
      </c>
      <c r="K115" s="312" t="s">
        <v>389</v>
      </c>
      <c r="L115" s="312" t="s">
        <v>896</v>
      </c>
      <c r="M115" s="313">
        <v>1</v>
      </c>
      <c r="N115" s="311"/>
      <c r="O115" s="311"/>
      <c r="P115" s="311" t="s">
        <v>342</v>
      </c>
      <c r="Q115" s="311" t="s">
        <v>386</v>
      </c>
      <c r="R115" s="311"/>
      <c r="S115" s="311"/>
      <c r="T115" s="263"/>
      <c r="U115" s="269">
        <v>65000</v>
      </c>
      <c r="V115" s="270">
        <f t="shared" si="61"/>
        <v>72800</v>
      </c>
      <c r="W115" s="270" t="str">
        <f t="shared" si="62"/>
        <v/>
      </c>
      <c r="X115" s="270">
        <f t="shared" si="63"/>
        <v>72800</v>
      </c>
      <c r="Y115" s="62">
        <v>0</v>
      </c>
      <c r="Z115" s="62">
        <v>0</v>
      </c>
      <c r="AA115" s="256">
        <f t="shared" si="64"/>
        <v>72800</v>
      </c>
      <c r="AB115" s="3"/>
      <c r="AC115" s="62">
        <f t="shared" si="65"/>
        <v>7943.76</v>
      </c>
      <c r="AD115" s="62" t="str">
        <f t="shared" si="66"/>
        <v/>
      </c>
      <c r="AE115" s="62">
        <f t="shared" si="67"/>
        <v>21294</v>
      </c>
      <c r="AF115" s="62">
        <f t="shared" si="68"/>
        <v>1055.6000000000001</v>
      </c>
      <c r="AG115" s="192">
        <v>0</v>
      </c>
      <c r="AH115" s="62">
        <f t="shared" si="69"/>
        <v>662.65006858322772</v>
      </c>
      <c r="AI115" s="62">
        <f t="shared" si="70"/>
        <v>214.41046606360757</v>
      </c>
      <c r="AJ115" s="62"/>
      <c r="AK115" s="62">
        <v>0</v>
      </c>
      <c r="AL115" s="256">
        <f t="shared" si="71"/>
        <v>31170.420534646837</v>
      </c>
      <c r="AM115" s="256">
        <f t="shared" si="72"/>
        <v>72800</v>
      </c>
      <c r="AN115" s="256">
        <f t="shared" si="73"/>
        <v>103970.42053464684</v>
      </c>
    </row>
    <row r="116" spans="1:40" hidden="1" x14ac:dyDescent="0.2">
      <c r="A116" s="311"/>
      <c r="B116" s="380"/>
      <c r="C116" s="380"/>
      <c r="D116" s="380"/>
      <c r="E116" s="380"/>
      <c r="F116" s="380"/>
      <c r="G116" s="380"/>
      <c r="H116" s="380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263" t="str">
        <f t="shared" ref="T116:T122" si="75">+IF(R116="","",R116*S116)</f>
        <v/>
      </c>
      <c r="U116" s="269"/>
      <c r="V116" s="270" t="str">
        <f t="shared" si="61"/>
        <v/>
      </c>
      <c r="W116" s="270" t="str">
        <f t="shared" si="62"/>
        <v/>
      </c>
      <c r="X116" s="270" t="str">
        <f t="shared" si="63"/>
        <v/>
      </c>
      <c r="Y116" s="62">
        <v>0</v>
      </c>
      <c r="Z116" s="62">
        <v>0</v>
      </c>
      <c r="AA116" s="256">
        <f t="shared" si="64"/>
        <v>0</v>
      </c>
      <c r="AB116" s="3"/>
      <c r="AC116" s="62" t="str">
        <f t="shared" si="65"/>
        <v/>
      </c>
      <c r="AD116" s="62" t="str">
        <f t="shared" si="66"/>
        <v/>
      </c>
      <c r="AE116" s="62" t="str">
        <f t="shared" si="67"/>
        <v/>
      </c>
      <c r="AF116" s="62" t="str">
        <f t="shared" si="68"/>
        <v/>
      </c>
      <c r="AG116" s="192">
        <v>0</v>
      </c>
      <c r="AH116" s="62" t="str">
        <f t="shared" si="69"/>
        <v/>
      </c>
      <c r="AI116" s="62">
        <f t="shared" si="70"/>
        <v>0</v>
      </c>
      <c r="AJ116" s="62"/>
      <c r="AK116" s="62">
        <v>0</v>
      </c>
      <c r="AL116" s="256">
        <f t="shared" si="71"/>
        <v>0</v>
      </c>
      <c r="AM116" s="256">
        <f t="shared" si="72"/>
        <v>0</v>
      </c>
      <c r="AN116" s="256">
        <f t="shared" si="73"/>
        <v>0</v>
      </c>
    </row>
    <row r="117" spans="1:40" x14ac:dyDescent="0.2">
      <c r="A117" s="311" t="s">
        <v>1149</v>
      </c>
      <c r="B117" s="380">
        <v>100</v>
      </c>
      <c r="C117" s="380" t="s">
        <v>145</v>
      </c>
      <c r="D117" s="380"/>
      <c r="E117" s="380">
        <v>100</v>
      </c>
      <c r="F117" s="380">
        <v>1000</v>
      </c>
      <c r="G117" s="380" t="s">
        <v>161</v>
      </c>
      <c r="H117" s="380" t="s">
        <v>497</v>
      </c>
      <c r="I117" s="312" t="str">
        <f>IF('Employee Detail FY25'!I117="","",'Employee Detail FY25'!I117)</f>
        <v>VACANT</v>
      </c>
      <c r="J117" s="311" t="s">
        <v>1262</v>
      </c>
      <c r="K117" s="311" t="s">
        <v>389</v>
      </c>
      <c r="L117" s="311" t="s">
        <v>498</v>
      </c>
      <c r="M117" s="313">
        <v>1</v>
      </c>
      <c r="N117" s="311"/>
      <c r="O117" s="311"/>
      <c r="P117" s="311" t="s">
        <v>342</v>
      </c>
      <c r="Q117" s="311" t="s">
        <v>386</v>
      </c>
      <c r="R117" s="311" t="s">
        <v>386</v>
      </c>
      <c r="S117" s="311" t="s">
        <v>386</v>
      </c>
      <c r="T117" s="263" t="str">
        <f t="shared" si="75"/>
        <v/>
      </c>
      <c r="U117" s="269">
        <v>45000</v>
      </c>
      <c r="V117" s="270">
        <f t="shared" si="61"/>
        <v>50400.000000000007</v>
      </c>
      <c r="W117" s="270" t="str">
        <f t="shared" si="62"/>
        <v/>
      </c>
      <c r="X117" s="270">
        <f t="shared" si="63"/>
        <v>50400.000000000007</v>
      </c>
      <c r="Y117" s="62">
        <v>0</v>
      </c>
      <c r="Z117" s="62">
        <v>0</v>
      </c>
      <c r="AA117" s="256">
        <f t="shared" si="64"/>
        <v>50400.000000000007</v>
      </c>
      <c r="AB117" s="3"/>
      <c r="AC117" s="62">
        <f t="shared" si="65"/>
        <v>7943.76</v>
      </c>
      <c r="AD117" s="62" t="str">
        <f t="shared" si="66"/>
        <v/>
      </c>
      <c r="AE117" s="62">
        <f t="shared" si="67"/>
        <v>14742.000000000002</v>
      </c>
      <c r="AF117" s="62">
        <f t="shared" si="68"/>
        <v>730.80000000000018</v>
      </c>
      <c r="AG117" s="192">
        <v>0</v>
      </c>
      <c r="AH117" s="62">
        <f t="shared" si="69"/>
        <v>458.75773978838851</v>
      </c>
      <c r="AI117" s="62">
        <f t="shared" si="70"/>
        <v>148.43801496711296</v>
      </c>
      <c r="AJ117" s="62"/>
      <c r="AK117" s="62">
        <v>0</v>
      </c>
      <c r="AL117" s="256">
        <f t="shared" si="71"/>
        <v>24023.755754755501</v>
      </c>
      <c r="AM117" s="256">
        <f t="shared" si="72"/>
        <v>50400.000000000007</v>
      </c>
      <c r="AN117" s="256">
        <f t="shared" si="73"/>
        <v>74423.755754755504</v>
      </c>
    </row>
    <row r="118" spans="1:40" x14ac:dyDescent="0.2">
      <c r="A118" s="311" t="s">
        <v>1149</v>
      </c>
      <c r="B118" s="380">
        <v>100</v>
      </c>
      <c r="C118" s="380" t="s">
        <v>145</v>
      </c>
      <c r="D118" s="380"/>
      <c r="E118" s="380">
        <v>100</v>
      </c>
      <c r="F118" s="380">
        <v>1000</v>
      </c>
      <c r="G118" s="380" t="s">
        <v>161</v>
      </c>
      <c r="H118" s="380" t="s">
        <v>497</v>
      </c>
      <c r="I118" s="312" t="str">
        <f>IF('Employee Detail FY25'!I118="","",'Employee Detail FY25'!I118)</f>
        <v>VACANT</v>
      </c>
      <c r="J118" s="311" t="s">
        <v>1262</v>
      </c>
      <c r="K118" s="311" t="s">
        <v>389</v>
      </c>
      <c r="L118" s="311" t="s">
        <v>498</v>
      </c>
      <c r="M118" s="313">
        <v>1</v>
      </c>
      <c r="N118" s="311"/>
      <c r="O118" s="311"/>
      <c r="P118" s="311" t="s">
        <v>342</v>
      </c>
      <c r="Q118" s="311" t="s">
        <v>386</v>
      </c>
      <c r="R118" s="311" t="s">
        <v>386</v>
      </c>
      <c r="S118" s="311" t="s">
        <v>386</v>
      </c>
      <c r="T118" s="263" t="str">
        <f t="shared" si="75"/>
        <v/>
      </c>
      <c r="U118" s="269">
        <v>45000</v>
      </c>
      <c r="V118" s="270">
        <f t="shared" si="61"/>
        <v>50400.000000000007</v>
      </c>
      <c r="W118" s="270" t="str">
        <f t="shared" si="62"/>
        <v/>
      </c>
      <c r="X118" s="270">
        <f t="shared" si="63"/>
        <v>50400.000000000007</v>
      </c>
      <c r="Y118" s="62">
        <v>0</v>
      </c>
      <c r="Z118" s="62">
        <v>0</v>
      </c>
      <c r="AA118" s="256">
        <f t="shared" si="64"/>
        <v>50400.000000000007</v>
      </c>
      <c r="AB118" s="3"/>
      <c r="AC118" s="62">
        <f t="shared" si="65"/>
        <v>7943.76</v>
      </c>
      <c r="AD118" s="62" t="str">
        <f t="shared" si="66"/>
        <v/>
      </c>
      <c r="AE118" s="62">
        <f t="shared" si="67"/>
        <v>14742.000000000002</v>
      </c>
      <c r="AF118" s="62">
        <f t="shared" si="68"/>
        <v>730.80000000000018</v>
      </c>
      <c r="AG118" s="192">
        <v>0</v>
      </c>
      <c r="AH118" s="62">
        <f t="shared" si="69"/>
        <v>458.75773978838851</v>
      </c>
      <c r="AI118" s="62">
        <f t="shared" si="70"/>
        <v>148.43801496711296</v>
      </c>
      <c r="AJ118" s="62"/>
      <c r="AK118" s="62">
        <v>0</v>
      </c>
      <c r="AL118" s="256">
        <f t="shared" si="71"/>
        <v>24023.755754755501</v>
      </c>
      <c r="AM118" s="256">
        <f t="shared" si="72"/>
        <v>50400.000000000007</v>
      </c>
      <c r="AN118" s="256">
        <f t="shared" si="73"/>
        <v>74423.755754755504</v>
      </c>
    </row>
    <row r="119" spans="1:40" x14ac:dyDescent="0.2">
      <c r="A119" s="311" t="s">
        <v>1149</v>
      </c>
      <c r="B119" s="380">
        <v>250</v>
      </c>
      <c r="C119" s="380" t="s">
        <v>145</v>
      </c>
      <c r="D119" s="380"/>
      <c r="E119" s="380">
        <v>200</v>
      </c>
      <c r="F119" s="380">
        <v>1000</v>
      </c>
      <c r="G119" s="380" t="s">
        <v>161</v>
      </c>
      <c r="H119" s="380" t="s">
        <v>497</v>
      </c>
      <c r="I119" s="312" t="str">
        <f>IF('Employee Detail FY25'!I119="","",'Employee Detail FY25'!I119)</f>
        <v>VACANT</v>
      </c>
      <c r="J119" s="311" t="s">
        <v>1262</v>
      </c>
      <c r="K119" s="311" t="s">
        <v>389</v>
      </c>
      <c r="L119" s="311" t="s">
        <v>495</v>
      </c>
      <c r="M119" s="313">
        <v>1</v>
      </c>
      <c r="N119" s="311"/>
      <c r="O119" s="311"/>
      <c r="P119" s="311" t="s">
        <v>342</v>
      </c>
      <c r="Q119" s="311" t="s">
        <v>386</v>
      </c>
      <c r="R119" s="311" t="s">
        <v>386</v>
      </c>
      <c r="S119" s="311" t="s">
        <v>386</v>
      </c>
      <c r="T119" s="263" t="str">
        <f t="shared" si="75"/>
        <v/>
      </c>
      <c r="U119" s="269">
        <v>45000</v>
      </c>
      <c r="V119" s="270">
        <f t="shared" si="61"/>
        <v>50400.000000000007</v>
      </c>
      <c r="W119" s="270" t="str">
        <f t="shared" si="62"/>
        <v/>
      </c>
      <c r="X119" s="270">
        <f t="shared" si="63"/>
        <v>50400.000000000007</v>
      </c>
      <c r="Y119" s="62">
        <v>0</v>
      </c>
      <c r="Z119" s="62">
        <v>0</v>
      </c>
      <c r="AA119" s="256">
        <f t="shared" si="64"/>
        <v>50400.000000000007</v>
      </c>
      <c r="AB119" s="3"/>
      <c r="AC119" s="62">
        <f t="shared" si="65"/>
        <v>7943.76</v>
      </c>
      <c r="AD119" s="62" t="str">
        <f t="shared" si="66"/>
        <v/>
      </c>
      <c r="AE119" s="62">
        <f t="shared" si="67"/>
        <v>14742.000000000002</v>
      </c>
      <c r="AF119" s="62">
        <f t="shared" si="68"/>
        <v>730.80000000000018</v>
      </c>
      <c r="AG119" s="192">
        <v>0</v>
      </c>
      <c r="AH119" s="62">
        <f t="shared" si="69"/>
        <v>458.75773978838851</v>
      </c>
      <c r="AI119" s="62">
        <f t="shared" si="70"/>
        <v>148.43801496711296</v>
      </c>
      <c r="AJ119" s="62"/>
      <c r="AK119" s="62">
        <v>0</v>
      </c>
      <c r="AL119" s="256">
        <f t="shared" si="71"/>
        <v>24023.755754755501</v>
      </c>
      <c r="AM119" s="256">
        <f t="shared" si="72"/>
        <v>50400.000000000007</v>
      </c>
      <c r="AN119" s="256">
        <f t="shared" si="73"/>
        <v>74423.755754755504</v>
      </c>
    </row>
    <row r="120" spans="1:40" x14ac:dyDescent="0.2">
      <c r="A120" s="311" t="s">
        <v>1149</v>
      </c>
      <c r="B120" s="798">
        <v>100</v>
      </c>
      <c r="C120" s="798" t="s">
        <v>145</v>
      </c>
      <c r="D120" s="798"/>
      <c r="E120" s="798">
        <v>100</v>
      </c>
      <c r="F120" s="798">
        <v>1000</v>
      </c>
      <c r="G120" s="798" t="s">
        <v>169</v>
      </c>
      <c r="H120" s="798"/>
      <c r="I120" s="312" t="s">
        <v>1149</v>
      </c>
      <c r="J120" s="312" t="s">
        <v>1262</v>
      </c>
      <c r="K120" s="312" t="s">
        <v>384</v>
      </c>
      <c r="L120" s="312" t="s">
        <v>989</v>
      </c>
      <c r="M120" s="313">
        <v>1</v>
      </c>
      <c r="N120" s="311"/>
      <c r="O120" s="311"/>
      <c r="P120" s="311" t="s">
        <v>342</v>
      </c>
      <c r="Q120" s="311"/>
      <c r="R120" s="311"/>
      <c r="S120" s="311"/>
      <c r="T120" s="263" t="str">
        <f t="shared" si="75"/>
        <v/>
      </c>
      <c r="U120" s="269">
        <v>31500</v>
      </c>
      <c r="V120" s="270">
        <f t="shared" si="61"/>
        <v>35280</v>
      </c>
      <c r="W120" s="270" t="str">
        <f t="shared" si="62"/>
        <v/>
      </c>
      <c r="X120" s="270">
        <f t="shared" si="63"/>
        <v>35280</v>
      </c>
      <c r="Y120" s="62">
        <v>0</v>
      </c>
      <c r="Z120" s="62">
        <v>0</v>
      </c>
      <c r="AA120" s="256">
        <f t="shared" si="64"/>
        <v>35280</v>
      </c>
      <c r="AB120" s="3"/>
      <c r="AC120" s="62">
        <f t="shared" si="65"/>
        <v>7943.76</v>
      </c>
      <c r="AD120" s="62" t="str">
        <f t="shared" si="66"/>
        <v/>
      </c>
      <c r="AE120" s="62">
        <f t="shared" si="67"/>
        <v>10319.4</v>
      </c>
      <c r="AF120" s="62">
        <f t="shared" si="68"/>
        <v>511.56</v>
      </c>
      <c r="AG120" s="192">
        <v>0</v>
      </c>
      <c r="AH120" s="62">
        <f t="shared" si="69"/>
        <v>321.13041785187193</v>
      </c>
      <c r="AI120" s="62">
        <f t="shared" si="70"/>
        <v>103.90661047697905</v>
      </c>
      <c r="AJ120" s="62"/>
      <c r="AK120" s="62">
        <v>0</v>
      </c>
      <c r="AL120" s="256">
        <f t="shared" si="71"/>
        <v>19199.757028328855</v>
      </c>
      <c r="AM120" s="256">
        <f t="shared" si="72"/>
        <v>35280</v>
      </c>
      <c r="AN120" s="256">
        <f t="shared" si="73"/>
        <v>54479.757028328851</v>
      </c>
    </row>
    <row r="121" spans="1:40" hidden="1" x14ac:dyDescent="0.2">
      <c r="A121" s="311" t="str">
        <f>IF('Employee Detail FY25'!A121="","",'Employee Detail FY25'!A121)</f>
        <v/>
      </c>
      <c r="B121" s="798" t="str">
        <f>IF('Employee Detail FY25'!B121="","",'Employee Detail FY25'!B121)</f>
        <v/>
      </c>
      <c r="C121" s="798" t="str">
        <f>IF('Employee Detail FY25'!C121="","",'Employee Detail FY25'!C121)</f>
        <v/>
      </c>
      <c r="D121" s="798"/>
      <c r="E121" s="798" t="str">
        <f>IF('Employee Detail FY25'!E121="","",'Employee Detail FY25'!E121)</f>
        <v/>
      </c>
      <c r="F121" s="798" t="str">
        <f>IF('Employee Detail FY25'!F121="","",'Employee Detail FY25'!F121)</f>
        <v/>
      </c>
      <c r="G121" s="798" t="str">
        <f>IF('Employee Detail FY25'!G121="","",'Employee Detail FY25'!G121)</f>
        <v/>
      </c>
      <c r="H121" s="798"/>
      <c r="I121" s="312" t="str">
        <f>IF('Employee Detail FY25'!I121="","",'Employee Detail FY25'!I121)</f>
        <v/>
      </c>
      <c r="J121" s="312" t="str">
        <f>IF('Employee Detail FY25'!J121="","",'Employee Detail FY25'!J121)</f>
        <v/>
      </c>
      <c r="K121" s="312" t="str">
        <f>IF('Employee Detail FY25'!K121="","",'Employee Detail FY25'!K121)</f>
        <v/>
      </c>
      <c r="L121" s="312" t="str">
        <f>IF('Employee Detail FY25'!L121="","",'Employee Detail FY25'!L121)</f>
        <v/>
      </c>
      <c r="M121" s="313"/>
      <c r="N121" s="311"/>
      <c r="O121" s="311"/>
      <c r="P121" s="311"/>
      <c r="Q121" s="311"/>
      <c r="R121" s="311"/>
      <c r="S121" s="311"/>
      <c r="T121" s="263" t="str">
        <f t="shared" si="75"/>
        <v/>
      </c>
      <c r="U121" s="269" t="str">
        <f>IF('Employee Detail FY25'!U121="","",'Employee Detail FY25'!U121)</f>
        <v/>
      </c>
      <c r="V121" s="270" t="str">
        <f t="shared" si="61"/>
        <v/>
      </c>
      <c r="W121" s="270" t="str">
        <f t="shared" si="62"/>
        <v/>
      </c>
      <c r="X121" s="270" t="str">
        <f t="shared" si="63"/>
        <v/>
      </c>
      <c r="Y121" s="62">
        <v>0</v>
      </c>
      <c r="Z121" s="62">
        <v>0</v>
      </c>
      <c r="AA121" s="256">
        <f t="shared" si="64"/>
        <v>0</v>
      </c>
      <c r="AB121" s="3"/>
      <c r="AC121" s="62" t="str">
        <f t="shared" si="65"/>
        <v/>
      </c>
      <c r="AD121" s="62" t="str">
        <f t="shared" si="66"/>
        <v/>
      </c>
      <c r="AE121" s="62" t="str">
        <f t="shared" si="67"/>
        <v/>
      </c>
      <c r="AF121" s="62" t="str">
        <f t="shared" si="68"/>
        <v/>
      </c>
      <c r="AG121" s="192">
        <v>0</v>
      </c>
      <c r="AH121" s="62" t="str">
        <f t="shared" si="69"/>
        <v/>
      </c>
      <c r="AI121" s="62">
        <f t="shared" si="70"/>
        <v>0</v>
      </c>
      <c r="AJ121" s="62"/>
      <c r="AK121" s="62">
        <v>0</v>
      </c>
      <c r="AL121" s="256">
        <f t="shared" si="71"/>
        <v>0</v>
      </c>
      <c r="AM121" s="256">
        <f t="shared" si="72"/>
        <v>0</v>
      </c>
      <c r="AN121" s="256">
        <f t="shared" si="73"/>
        <v>0</v>
      </c>
    </row>
    <row r="122" spans="1:40" x14ac:dyDescent="0.2">
      <c r="A122" s="311" t="s">
        <v>1149</v>
      </c>
      <c r="B122" s="380">
        <v>250</v>
      </c>
      <c r="C122" s="380" t="s">
        <v>145</v>
      </c>
      <c r="D122" s="380"/>
      <c r="E122" s="380">
        <v>200</v>
      </c>
      <c r="F122" s="380">
        <v>1000</v>
      </c>
      <c r="G122" s="380" t="s">
        <v>161</v>
      </c>
      <c r="H122" s="380" t="s">
        <v>497</v>
      </c>
      <c r="I122" s="312" t="str">
        <f>IF('Employee Detail FY25'!I122="","",'Employee Detail FY25'!I122)</f>
        <v>VACANT</v>
      </c>
      <c r="J122" s="311" t="s">
        <v>1263</v>
      </c>
      <c r="K122" s="311" t="s">
        <v>389</v>
      </c>
      <c r="L122" s="311" t="s">
        <v>495</v>
      </c>
      <c r="M122" s="313"/>
      <c r="N122" s="311"/>
      <c r="O122" s="311"/>
      <c r="P122" s="311"/>
      <c r="Q122" s="311" t="s">
        <v>386</v>
      </c>
      <c r="R122" s="311" t="s">
        <v>386</v>
      </c>
      <c r="S122" s="311" t="s">
        <v>386</v>
      </c>
      <c r="T122" s="263" t="str">
        <f t="shared" si="75"/>
        <v/>
      </c>
      <c r="U122" s="269">
        <v>45000</v>
      </c>
      <c r="V122" s="270"/>
      <c r="W122" s="270" t="str">
        <f t="shared" si="62"/>
        <v/>
      </c>
      <c r="X122" s="270" t="str">
        <f t="shared" si="63"/>
        <v/>
      </c>
      <c r="Y122" s="62">
        <v>0</v>
      </c>
      <c r="Z122" s="62">
        <v>0</v>
      </c>
      <c r="AA122" s="256">
        <f t="shared" si="64"/>
        <v>0</v>
      </c>
      <c r="AB122" s="3"/>
      <c r="AC122" s="62" t="str">
        <f t="shared" si="65"/>
        <v/>
      </c>
      <c r="AD122" s="62" t="str">
        <f t="shared" si="66"/>
        <v/>
      </c>
      <c r="AE122" s="62" t="str">
        <f t="shared" si="67"/>
        <v/>
      </c>
      <c r="AF122" s="62" t="str">
        <f t="shared" si="68"/>
        <v/>
      </c>
      <c r="AG122" s="192">
        <v>0</v>
      </c>
      <c r="AH122" s="62" t="str">
        <f t="shared" si="69"/>
        <v/>
      </c>
      <c r="AI122" s="62">
        <f t="shared" si="70"/>
        <v>0</v>
      </c>
      <c r="AJ122" s="62"/>
      <c r="AK122" s="62">
        <v>0</v>
      </c>
      <c r="AL122" s="256">
        <f t="shared" si="71"/>
        <v>0</v>
      </c>
      <c r="AM122" s="256">
        <f t="shared" si="72"/>
        <v>0</v>
      </c>
      <c r="AN122" s="256">
        <f t="shared" si="73"/>
        <v>0</v>
      </c>
    </row>
    <row r="123" spans="1:40" hidden="1" x14ac:dyDescent="0.2">
      <c r="A123" s="311" t="str">
        <f>IF('Employee Detail FY23'!A149="","",'Employee Detail FY23'!A149)</f>
        <v/>
      </c>
      <c r="B123" s="798" t="str">
        <f>IF('Employee Detail FY23'!B149="","",'Employee Detail FY23'!B149)</f>
        <v/>
      </c>
      <c r="C123" s="798" t="str">
        <f>IF('Employee Detail FY23'!C149="","",'Employee Detail FY23'!C149)</f>
        <v/>
      </c>
      <c r="D123" s="798"/>
      <c r="E123" s="798" t="str">
        <f>IF('Employee Detail FY23'!E149="","",'Employee Detail FY23'!E149)</f>
        <v/>
      </c>
      <c r="F123" s="798" t="str">
        <f>IF('Employee Detail FY23'!F149="","",'Employee Detail FY23'!F149)</f>
        <v/>
      </c>
      <c r="G123" s="798" t="str">
        <f>IF('Employee Detail FY23'!G149="","",'Employee Detail FY23'!G149)</f>
        <v/>
      </c>
      <c r="H123" s="798"/>
      <c r="I123" s="312" t="str">
        <f>IF('Employee Detail FY23'!I149="","",'Employee Detail FY23'!I149)</f>
        <v/>
      </c>
      <c r="J123" s="312" t="str">
        <f>IF('Employee Detail FY23'!J149="","",'Employee Detail FY23'!J149)</f>
        <v/>
      </c>
      <c r="K123" s="312" t="str">
        <f>IF('Employee Detail FY23'!K149="","",'Employee Detail FY23'!K149)</f>
        <v/>
      </c>
      <c r="L123" s="312" t="str">
        <f>IF('Employee Detail FY23'!L149="","",'Employee Detail FY23'!L149)</f>
        <v/>
      </c>
      <c r="M123" s="313"/>
      <c r="N123" s="311"/>
      <c r="O123" s="311"/>
      <c r="P123" s="311"/>
      <c r="Q123" s="311" t="str">
        <f>IF('Employee Detail FY23'!Q149="","",'Employee Detail FY23'!Q149)</f>
        <v/>
      </c>
      <c r="R123" s="311" t="str">
        <f>IF('Employee Detail FY23'!R149="","",'Employee Detail FY23'!R149)</f>
        <v/>
      </c>
      <c r="S123" s="311" t="str">
        <f>IF('Employee Detail FY23'!S149="","",'Employee Detail FY23'!S149)</f>
        <v/>
      </c>
      <c r="T123" s="263" t="str">
        <f t="shared" ref="T123" si="76">+IF(R123="","",R123*S123)</f>
        <v/>
      </c>
      <c r="U123" s="269" t="str">
        <f>IF('Employee Detail FY23'!U149="","",'Employee Detail FY23'!U149)</f>
        <v/>
      </c>
      <c r="V123" s="270" t="str">
        <f>IF($U123="","",$U123*(1+$V$1))</f>
        <v/>
      </c>
      <c r="W123" s="270" t="str">
        <f t="shared" ref="W123" si="77">+IF(P123="EE",+V123*$W$1,"")</f>
        <v/>
      </c>
      <c r="X123" s="270" t="str">
        <f t="shared" ref="X123" si="78">_xlfn.IFS(P123="ER",V123,P123="EE",W123,P123="N",V123,P123="","")</f>
        <v/>
      </c>
      <c r="Y123" s="62">
        <v>0</v>
      </c>
      <c r="Z123" s="62">
        <v>0</v>
      </c>
      <c r="AA123" s="256">
        <f t="shared" ref="AA123" si="79">SUM(X123:Z123)</f>
        <v>0</v>
      </c>
      <c r="AB123" s="3"/>
      <c r="AC123" s="62" t="str">
        <f t="shared" ref="AC123" si="80">IF(AND(M123=1,P123&lt;&gt;"N"),$AC$1,"")</f>
        <v/>
      </c>
      <c r="AD123" s="62" t="str">
        <f t="shared" ref="AD123" si="81">_xlfn.IFS(P123="N",$AD$1*AA123,P123="EE","",P123="ER","",P123="","")</f>
        <v/>
      </c>
      <c r="AE123" s="62" t="str">
        <f t="shared" ref="AE123" si="82">_xlfn.IFS(P123="EE",X123*$AE$1,P123="ER",X123*$AE$2,P123="N","",P123="","")</f>
        <v/>
      </c>
      <c r="AF123" s="62" t="str">
        <f t="shared" ref="AF123" si="83">+IF(AA123&gt;1,AA123*$AF$1,"")</f>
        <v/>
      </c>
      <c r="AG123" s="192">
        <v>0</v>
      </c>
      <c r="AH123" s="62" t="str">
        <f t="shared" ref="AH123" si="84">+IF(AA123&gt;1,AA123*$AH$1,"")</f>
        <v/>
      </c>
      <c r="AI123" s="62">
        <f t="shared" ref="AI123" si="85">+_xlfn.IFS(F123&lt;2300,(AA123*$AI$1),F123&gt;=2300,(AA123*$AI$2),F123="","")</f>
        <v>0</v>
      </c>
      <c r="AJ123" s="62"/>
      <c r="AK123" s="62">
        <v>0</v>
      </c>
      <c r="AL123" s="256">
        <f t="shared" ref="AL123" si="86">SUM(AC123:AK123)</f>
        <v>0</v>
      </c>
      <c r="AM123" s="256">
        <f t="shared" ref="AM123" si="87">AA123</f>
        <v>0</v>
      </c>
      <c r="AN123" s="256">
        <f t="shared" ref="AN123" si="88">SUM(AL123:AM123)</f>
        <v>0</v>
      </c>
    </row>
    <row r="124" spans="1:40" hidden="1" x14ac:dyDescent="0.2">
      <c r="A124" s="311"/>
      <c r="B124" s="380"/>
      <c r="C124" s="380"/>
      <c r="D124" s="380"/>
      <c r="E124" s="380"/>
      <c r="F124" s="380"/>
      <c r="G124" s="380"/>
      <c r="H124" s="380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263" t="str">
        <f>+IF(R124="","",R124*S124)</f>
        <v/>
      </c>
      <c r="U124" s="269" t="str">
        <f>IF('Employee Detail FY23'!U111="","",'Employee Detail FY23'!U111)</f>
        <v/>
      </c>
      <c r="V124" s="270" t="str">
        <f>IF($U124="","",$U124*(1+$V$1))</f>
        <v/>
      </c>
      <c r="W124" s="270" t="str">
        <f>+IF(P124="EE",+V124*$W$1,"")</f>
        <v/>
      </c>
      <c r="X124" s="270" t="str">
        <f>_xlfn.IFS(P124="ER",V124,P124="EE",W124,P124="N",V124,P124="","")</f>
        <v/>
      </c>
      <c r="Y124" s="62">
        <v>0</v>
      </c>
      <c r="Z124" s="62">
        <v>0</v>
      </c>
      <c r="AA124" s="256">
        <f>SUM(X124:Z124)</f>
        <v>0</v>
      </c>
      <c r="AB124" s="3"/>
      <c r="AC124" s="62" t="str">
        <f>IF(AND(M124=1,P124&lt;&gt;"N"),$AC$1,"")</f>
        <v/>
      </c>
      <c r="AD124" s="62" t="str">
        <f>_xlfn.IFS(P124="N",$AD$1*AA124,P124="EE","",P124="ER","",P124="","")</f>
        <v/>
      </c>
      <c r="AE124" s="62" t="str">
        <f>_xlfn.IFS(P124="EE",X124*$AE$1,P124="ER",X124*$AE$2,P124="N","",P124="","")</f>
        <v/>
      </c>
      <c r="AF124" s="62" t="str">
        <f>+IF(AA124&gt;1,AA124*$AF$1,"")</f>
        <v/>
      </c>
      <c r="AG124" s="192">
        <v>0</v>
      </c>
      <c r="AH124" s="62" t="str">
        <f>+IF(AA124&gt;1,AA124*$AH$1,"")</f>
        <v/>
      </c>
      <c r="AI124" s="62">
        <f>+_xlfn.IFS(F124&lt;2300,(AA124*$AI$1),F124&gt;=2300,(AA124*$AI$2),F124="","")</f>
        <v>0</v>
      </c>
      <c r="AJ124" s="62"/>
      <c r="AK124" s="62">
        <v>0</v>
      </c>
      <c r="AL124" s="256">
        <f>SUM(AC124:AK124)</f>
        <v>0</v>
      </c>
      <c r="AM124" s="256">
        <f>AA124</f>
        <v>0</v>
      </c>
      <c r="AN124" s="256">
        <f>SUM(AL124:AM124)</f>
        <v>0</v>
      </c>
    </row>
    <row r="125" spans="1:40" hidden="1" x14ac:dyDescent="0.2">
      <c r="A125" s="311" t="str">
        <f>IF('Employee Detail FY25'!A125="","",'Employee Detail FY25'!A125)</f>
        <v/>
      </c>
      <c r="B125" s="798" t="str">
        <f>IF('Employee Detail FY25'!B125="","",'Employee Detail FY25'!B125)</f>
        <v/>
      </c>
      <c r="C125" s="798" t="str">
        <f>IF('Employee Detail FY25'!C125="","",'Employee Detail FY25'!C125)</f>
        <v/>
      </c>
      <c r="D125" s="798"/>
      <c r="E125" s="798" t="str">
        <f>IF('Employee Detail FY25'!E125="","",'Employee Detail FY25'!E125)</f>
        <v/>
      </c>
      <c r="F125" s="798" t="str">
        <f>IF('Employee Detail FY25'!F125="","",'Employee Detail FY25'!F125)</f>
        <v/>
      </c>
      <c r="G125" s="798" t="str">
        <f>IF('Employee Detail FY25'!G125="","",'Employee Detail FY25'!G125)</f>
        <v/>
      </c>
      <c r="H125" s="798"/>
      <c r="I125" s="312" t="str">
        <f>IF('Employee Detail FY25'!I125="","",'Employee Detail FY25'!I125)</f>
        <v/>
      </c>
      <c r="J125" s="312" t="str">
        <f>IF('Employee Detail FY25'!J125="","",'Employee Detail FY25'!J125)</f>
        <v/>
      </c>
      <c r="K125" s="312" t="str">
        <f>IF('Employee Detail FY25'!K125="","",'Employee Detail FY25'!K125)</f>
        <v/>
      </c>
      <c r="L125" s="312" t="str">
        <f>IF('Employee Detail FY25'!L125="","",'Employee Detail FY25'!L125)</f>
        <v/>
      </c>
      <c r="M125" s="313"/>
      <c r="N125" s="311"/>
      <c r="O125" s="311"/>
      <c r="P125" s="311"/>
      <c r="Q125" s="311" t="str">
        <f>IF('Employee Detail FY25'!Q125="","",'Employee Detail FY25'!Q125)</f>
        <v/>
      </c>
      <c r="R125" s="311" t="str">
        <f>IF('Employee Detail FY25'!R125="","",'Employee Detail FY25'!R125)</f>
        <v/>
      </c>
      <c r="S125" s="311" t="str">
        <f>IF('Employee Detail FY25'!S125="","",'Employee Detail FY25'!S125)</f>
        <v/>
      </c>
      <c r="T125" s="263" t="str">
        <f>+IF(R125="","",R125*S125)</f>
        <v/>
      </c>
      <c r="U125" s="269" t="str">
        <f>IF('Employee Detail FY25'!U125="","",'Employee Detail FY25'!U125)</f>
        <v/>
      </c>
      <c r="V125" s="270" t="str">
        <f>IF($U125="","",$U125*(1+$V$1))</f>
        <v/>
      </c>
      <c r="W125" s="270" t="str">
        <f>+IF(P125="EE",+V125*$W$1,"")</f>
        <v/>
      </c>
      <c r="X125" s="270" t="str">
        <f>_xlfn.IFS(P125="ER",V125,P125="EE",W125,P125="N",V125,P125="","")</f>
        <v/>
      </c>
      <c r="Y125" s="62">
        <v>0</v>
      </c>
      <c r="Z125" s="62">
        <v>0</v>
      </c>
      <c r="AA125" s="256">
        <f>SUM(X125:Z125)</f>
        <v>0</v>
      </c>
      <c r="AB125" s="3"/>
      <c r="AC125" s="62" t="str">
        <f>IF(AND(M125=1,P125&lt;&gt;"N"),$AC$1,"")</f>
        <v/>
      </c>
      <c r="AD125" s="62" t="str">
        <f>_xlfn.IFS(P125="N",$AD$1*AA125,P125="EE","",P125="ER","",P125="","")</f>
        <v/>
      </c>
      <c r="AE125" s="62" t="str">
        <f>_xlfn.IFS(P125="EE",X125*$AE$1,P125="ER",X125*$AE$2,P125="N","",P125="","")</f>
        <v/>
      </c>
      <c r="AF125" s="62" t="str">
        <f>+IF(AA125&gt;1,AA125*$AF$1,"")</f>
        <v/>
      </c>
      <c r="AG125" s="192">
        <v>0</v>
      </c>
      <c r="AH125" s="62" t="str">
        <f>+IF(AA125&gt;1,AA125*$AH$1,"")</f>
        <v/>
      </c>
      <c r="AI125" s="62">
        <f>+_xlfn.IFS(F125&lt;2300,(AA125*$AI$1),F125&gt;=2300,(AA125*$AI$2),F125="","")</f>
        <v>0</v>
      </c>
      <c r="AJ125" s="62"/>
      <c r="AK125" s="62">
        <v>0</v>
      </c>
      <c r="AL125" s="256">
        <f>SUM(AC125:AK125)</f>
        <v>0</v>
      </c>
      <c r="AM125" s="256">
        <f>AA125</f>
        <v>0</v>
      </c>
      <c r="AN125" s="256">
        <f>SUM(AL125:AM125)</f>
        <v>0</v>
      </c>
    </row>
    <row r="126" spans="1:40" hidden="1" x14ac:dyDescent="0.2">
      <c r="A126" s="311"/>
      <c r="B126" s="380"/>
      <c r="C126" s="380"/>
      <c r="D126" s="380"/>
      <c r="E126" s="380"/>
      <c r="F126" s="380"/>
      <c r="G126" s="380"/>
      <c r="H126" s="380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263" t="str">
        <f t="shared" si="47"/>
        <v/>
      </c>
      <c r="U126" s="269"/>
      <c r="V126" s="270" t="str">
        <f t="shared" si="48"/>
        <v/>
      </c>
      <c r="W126" s="270" t="str">
        <f t="shared" si="49"/>
        <v/>
      </c>
      <c r="X126" s="270" t="str">
        <f t="shared" si="50"/>
        <v/>
      </c>
      <c r="Y126" s="62">
        <v>0</v>
      </c>
      <c r="Z126" s="62">
        <v>0</v>
      </c>
      <c r="AA126" s="256">
        <f t="shared" si="51"/>
        <v>0</v>
      </c>
      <c r="AB126" s="3"/>
      <c r="AC126" s="62" t="str">
        <f t="shared" si="52"/>
        <v/>
      </c>
      <c r="AD126" s="62" t="str">
        <f t="shared" si="53"/>
        <v/>
      </c>
      <c r="AE126" s="62" t="str">
        <f t="shared" si="54"/>
        <v/>
      </c>
      <c r="AF126" s="62" t="str">
        <f t="shared" si="55"/>
        <v/>
      </c>
      <c r="AG126" s="192">
        <v>0</v>
      </c>
      <c r="AH126" s="62" t="str">
        <f t="shared" si="56"/>
        <v/>
      </c>
      <c r="AI126" s="62">
        <f t="shared" si="57"/>
        <v>0</v>
      </c>
      <c r="AJ126" s="62"/>
      <c r="AK126" s="62">
        <v>0</v>
      </c>
      <c r="AL126" s="256">
        <f t="shared" si="58"/>
        <v>0</v>
      </c>
      <c r="AM126" s="256">
        <f t="shared" si="59"/>
        <v>0</v>
      </c>
      <c r="AN126" s="256">
        <f t="shared" si="60"/>
        <v>0</v>
      </c>
    </row>
    <row r="127" spans="1:40" hidden="1" x14ac:dyDescent="0.2">
      <c r="A127" s="311" t="str">
        <f>IF('Employee Detail FY23'!A144="","",'Employee Detail FY23'!A144)</f>
        <v/>
      </c>
      <c r="B127" s="798" t="str">
        <f>IF('Employee Detail FY23'!B144="","",'Employee Detail FY23'!B144)</f>
        <v/>
      </c>
      <c r="C127" s="798" t="str">
        <f>IF('Employee Detail FY23'!C144="","",'Employee Detail FY23'!C144)</f>
        <v/>
      </c>
      <c r="D127" s="798"/>
      <c r="E127" s="798" t="str">
        <f>IF('Employee Detail FY23'!E144="","",'Employee Detail FY23'!E144)</f>
        <v/>
      </c>
      <c r="F127" s="798" t="str">
        <f>IF('Employee Detail FY23'!F144="","",'Employee Detail FY23'!F144)</f>
        <v/>
      </c>
      <c r="G127" s="798" t="str">
        <f>IF('Employee Detail FY23'!G144="","",'Employee Detail FY23'!G144)</f>
        <v/>
      </c>
      <c r="H127" s="798"/>
      <c r="I127" s="312" t="str">
        <f>IF('Employee Detail FY23'!I144="","",'Employee Detail FY23'!I144)</f>
        <v/>
      </c>
      <c r="J127" s="312" t="str">
        <f>IF('Employee Detail FY23'!J144="","",'Employee Detail FY23'!J144)</f>
        <v/>
      </c>
      <c r="K127" s="312" t="str">
        <f>IF('Employee Detail FY23'!K144="","",'Employee Detail FY23'!K144)</f>
        <v/>
      </c>
      <c r="L127" s="312" t="str">
        <f>IF('Employee Detail FY23'!L144="","",'Employee Detail FY23'!L144)</f>
        <v/>
      </c>
      <c r="M127" s="313"/>
      <c r="N127" s="311"/>
      <c r="O127" s="311"/>
      <c r="P127" s="311"/>
      <c r="Q127" s="311" t="str">
        <f>IF('Employee Detail FY23'!Q144="","",'Employee Detail FY23'!Q144)</f>
        <v/>
      </c>
      <c r="R127" s="311" t="str">
        <f>IF('Employee Detail FY23'!R144="","",'Employee Detail FY23'!R144)</f>
        <v/>
      </c>
      <c r="S127" s="311" t="str">
        <f>IF('Employee Detail FY23'!S144="","",'Employee Detail FY23'!S144)</f>
        <v/>
      </c>
      <c r="T127" s="263" t="str">
        <f t="shared" ref="T127" si="89">+IF(R127="","",R127*S127)</f>
        <v/>
      </c>
      <c r="U127" s="269" t="str">
        <f>IF('Employee Detail FY23'!U144="","",'Employee Detail FY23'!U144)</f>
        <v/>
      </c>
      <c r="V127" s="270" t="str">
        <f t="shared" si="48"/>
        <v/>
      </c>
      <c r="W127" s="270" t="str">
        <f t="shared" ref="W127" si="90">+IF(P127="EE",+V127*$W$1,"")</f>
        <v/>
      </c>
      <c r="X127" s="270" t="str">
        <f t="shared" ref="X127" si="91">_xlfn.IFS(P127="ER",V127,P127="EE",W127,P127="N",V127,P127="","")</f>
        <v/>
      </c>
      <c r="Y127" s="62">
        <v>0</v>
      </c>
      <c r="Z127" s="62">
        <v>0</v>
      </c>
      <c r="AA127" s="256">
        <f t="shared" ref="AA127" si="92">SUM(X127:Z127)</f>
        <v>0</v>
      </c>
      <c r="AB127" s="3"/>
      <c r="AC127" s="62" t="str">
        <f t="shared" ref="AC127" si="93">IF(AND(M127=1,P127&lt;&gt;"N"),$AC$1,"")</f>
        <v/>
      </c>
      <c r="AD127" s="62" t="str">
        <f t="shared" ref="AD127" si="94">_xlfn.IFS(P127="N",$AD$1*AA127,P127="EE","",P127="ER","",P127="","")</f>
        <v/>
      </c>
      <c r="AE127" s="62" t="str">
        <f t="shared" ref="AE127" si="95">_xlfn.IFS(P127="EE",X127*$AE$1,P127="ER",X127*$AE$2,P127="N","",P127="","")</f>
        <v/>
      </c>
      <c r="AF127" s="62" t="str">
        <f t="shared" ref="AF127" si="96">+IF(AA127&gt;1,AA127*$AF$1,"")</f>
        <v/>
      </c>
      <c r="AG127" s="192">
        <v>0</v>
      </c>
      <c r="AH127" s="62" t="str">
        <f t="shared" ref="AH127" si="97">+IF(AA127&gt;1,AA127*$AH$1,"")</f>
        <v/>
      </c>
      <c r="AI127" s="62">
        <f t="shared" ref="AI127" si="98">+_xlfn.IFS(F127&lt;2300,(AA127*$AI$1),F127&gt;=2300,(AA127*$AI$2),F127="","")</f>
        <v>0</v>
      </c>
      <c r="AJ127" s="62"/>
      <c r="AK127" s="62">
        <v>0</v>
      </c>
      <c r="AL127" s="256">
        <f t="shared" ref="AL127" si="99">SUM(AC127:AK127)</f>
        <v>0</v>
      </c>
      <c r="AM127" s="256">
        <f t="shared" ref="AM127" si="100">AA127</f>
        <v>0</v>
      </c>
      <c r="AN127" s="256">
        <f t="shared" ref="AN127" si="101">SUM(AL127:AM127)</f>
        <v>0</v>
      </c>
    </row>
    <row r="128" spans="1:40" hidden="1" x14ac:dyDescent="0.2">
      <c r="A128" s="311"/>
      <c r="B128" s="380"/>
      <c r="C128" s="380"/>
      <c r="D128" s="380"/>
      <c r="E128" s="380"/>
      <c r="F128" s="380"/>
      <c r="G128" s="380"/>
      <c r="H128" s="380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263" t="str">
        <f t="shared" si="47"/>
        <v/>
      </c>
      <c r="U128" s="269"/>
      <c r="V128" s="270" t="str">
        <f t="shared" si="48"/>
        <v/>
      </c>
      <c r="W128" s="270" t="str">
        <f t="shared" si="49"/>
        <v/>
      </c>
      <c r="X128" s="270" t="str">
        <f t="shared" si="50"/>
        <v/>
      </c>
      <c r="Y128" s="62">
        <v>0</v>
      </c>
      <c r="Z128" s="62">
        <v>0</v>
      </c>
      <c r="AA128" s="256">
        <f t="shared" si="51"/>
        <v>0</v>
      </c>
      <c r="AB128" s="3"/>
      <c r="AC128" s="62" t="str">
        <f t="shared" si="52"/>
        <v/>
      </c>
      <c r="AD128" s="62" t="str">
        <f t="shared" si="53"/>
        <v/>
      </c>
      <c r="AE128" s="62" t="str">
        <f t="shared" si="54"/>
        <v/>
      </c>
      <c r="AF128" s="62" t="str">
        <f t="shared" si="55"/>
        <v/>
      </c>
      <c r="AG128" s="192">
        <v>0</v>
      </c>
      <c r="AH128" s="62" t="str">
        <f t="shared" si="56"/>
        <v/>
      </c>
      <c r="AI128" s="62">
        <f t="shared" si="57"/>
        <v>0</v>
      </c>
      <c r="AJ128" s="62"/>
      <c r="AK128" s="62">
        <v>0</v>
      </c>
      <c r="AL128" s="256">
        <f t="shared" si="58"/>
        <v>0</v>
      </c>
      <c r="AM128" s="256">
        <f t="shared" si="59"/>
        <v>0</v>
      </c>
      <c r="AN128" s="256">
        <f t="shared" si="60"/>
        <v>0</v>
      </c>
    </row>
    <row r="129" spans="1:40" hidden="1" x14ac:dyDescent="0.2">
      <c r="A129" s="311" t="str">
        <f>IF('Employee Detail FY23'!A152="","",'Employee Detail FY23'!A152)</f>
        <v/>
      </c>
      <c r="B129" s="798" t="str">
        <f>IF('Employee Detail FY23'!B152="","",'Employee Detail FY23'!B152)</f>
        <v/>
      </c>
      <c r="C129" s="798" t="str">
        <f>IF('Employee Detail FY23'!C152="","",'Employee Detail FY23'!C152)</f>
        <v/>
      </c>
      <c r="D129" s="798"/>
      <c r="E129" s="798" t="str">
        <f>IF('Employee Detail FY23'!E152="","",'Employee Detail FY23'!E152)</f>
        <v/>
      </c>
      <c r="F129" s="798" t="str">
        <f>IF('Employee Detail FY23'!F152="","",'Employee Detail FY23'!F152)</f>
        <v/>
      </c>
      <c r="G129" s="798" t="str">
        <f>IF('Employee Detail FY23'!G152="","",'Employee Detail FY23'!G152)</f>
        <v/>
      </c>
      <c r="H129" s="798"/>
      <c r="I129" s="312" t="str">
        <f>IF('Employee Detail FY23'!I152="","",'Employee Detail FY23'!I152)</f>
        <v/>
      </c>
      <c r="J129" s="312" t="str">
        <f>IF('Employee Detail FY23'!J152="","",'Employee Detail FY23'!J152)</f>
        <v/>
      </c>
      <c r="K129" s="312" t="str">
        <f>IF('Employee Detail FY23'!K152="","",'Employee Detail FY23'!K152)</f>
        <v/>
      </c>
      <c r="L129" s="312" t="str">
        <f>IF('Employee Detail FY23'!L152="","",'Employee Detail FY23'!L152)</f>
        <v/>
      </c>
      <c r="M129" s="313"/>
      <c r="N129" s="311"/>
      <c r="O129" s="311"/>
      <c r="P129" s="311"/>
      <c r="Q129" s="311" t="str">
        <f>IF('Employee Detail FY23'!Q152="","",'Employee Detail FY23'!Q152)</f>
        <v/>
      </c>
      <c r="R129" s="311" t="str">
        <f>IF('Employee Detail FY23'!R152="","",'Employee Detail FY23'!R152)</f>
        <v/>
      </c>
      <c r="S129" s="311" t="str">
        <f>IF('Employee Detail FY23'!S152="","",'Employee Detail FY23'!S152)</f>
        <v/>
      </c>
      <c r="T129" s="263" t="str">
        <f>+IF(R129="","",R129*S129)</f>
        <v/>
      </c>
      <c r="U129" s="269" t="str">
        <f>IF('Employee Detail FY23'!U152="","",'Employee Detail FY23'!U152)</f>
        <v/>
      </c>
      <c r="V129" s="270" t="str">
        <f>IF($U129="","",$U129*(1+$V$1))</f>
        <v/>
      </c>
      <c r="W129" s="270" t="str">
        <f>+IF(P129="EE",+V129*$W$1,"")</f>
        <v/>
      </c>
      <c r="X129" s="270" t="str">
        <f>_xlfn.IFS(P129="ER",V129,P129="EE",W129,P129="N",V129,P129="","")</f>
        <v/>
      </c>
      <c r="Y129" s="62">
        <v>0</v>
      </c>
      <c r="Z129" s="62">
        <v>0</v>
      </c>
      <c r="AA129" s="256">
        <f>SUM(X129:Z129)</f>
        <v>0</v>
      </c>
      <c r="AB129" s="3"/>
      <c r="AC129" s="62" t="str">
        <f>IF(AND(M129=1,P129&lt;&gt;"N"),$AC$1,"")</f>
        <v/>
      </c>
      <c r="AD129" s="62" t="str">
        <f>_xlfn.IFS(P129="N",$AD$1*AA129,P129="EE","",P129="ER","",P129="","")</f>
        <v/>
      </c>
      <c r="AE129" s="62" t="str">
        <f>_xlfn.IFS(P129="EE",X129*$AE$1,P129="ER",X129*$AE$2,P129="N","",P129="","")</f>
        <v/>
      </c>
      <c r="AF129" s="62" t="str">
        <f>+IF(AA129&gt;1,AA129*$AF$1,"")</f>
        <v/>
      </c>
      <c r="AG129" s="192">
        <v>0</v>
      </c>
      <c r="AH129" s="62" t="str">
        <f>+IF(AA129&gt;1,AA129*$AH$1,"")</f>
        <v/>
      </c>
      <c r="AI129" s="62">
        <f>+_xlfn.IFS(F129&lt;2300,(AA129*$AI$1),F129&gt;=2300,(AA129*$AI$2),F129="","")</f>
        <v>0</v>
      </c>
      <c r="AJ129" s="62"/>
      <c r="AK129" s="62">
        <v>0</v>
      </c>
      <c r="AL129" s="256">
        <f>SUM(AC129:AK129)</f>
        <v>0</v>
      </c>
      <c r="AM129" s="256">
        <f>AA129</f>
        <v>0</v>
      </c>
      <c r="AN129" s="256">
        <f>SUM(AL129:AM129)</f>
        <v>0</v>
      </c>
    </row>
    <row r="130" spans="1:40" hidden="1" x14ac:dyDescent="0.2">
      <c r="A130" s="264" t="str">
        <f>IF('Employee Detail FY25'!A130="","",'Employee Detail FY25'!A130)</f>
        <v/>
      </c>
      <c r="B130" s="787" t="str">
        <f>IF('Employee Detail FY25'!B130="","",'Employee Detail FY25'!B130)</f>
        <v/>
      </c>
      <c r="C130" s="787" t="str">
        <f>IF('Employee Detail FY25'!C130="","",'Employee Detail FY25'!C130)</f>
        <v/>
      </c>
      <c r="D130" s="787"/>
      <c r="E130" s="787" t="str">
        <f>IF('Employee Detail FY25'!E130="","",'Employee Detail FY25'!E130)</f>
        <v/>
      </c>
      <c r="F130" s="787" t="str">
        <f>IF('Employee Detail FY25'!F130="","",'Employee Detail FY25'!F130)</f>
        <v/>
      </c>
      <c r="G130" s="787" t="str">
        <f>IF('Employee Detail FY25'!G130="","",'Employee Detail FY25'!G130)</f>
        <v/>
      </c>
      <c r="H130" s="787"/>
      <c r="I130" s="265" t="str">
        <f>IF('Employee Detail FY25'!I130="","",'Employee Detail FY25'!I130)</f>
        <v/>
      </c>
      <c r="J130" s="265" t="str">
        <f>IF('Employee Detail FY25'!J130="","",'Employee Detail FY25'!J130)</f>
        <v/>
      </c>
      <c r="K130" s="265" t="str">
        <f>IF('Employee Detail FY25'!K130="","",'Employee Detail FY25'!K130)</f>
        <v/>
      </c>
      <c r="L130" s="265" t="str">
        <f>IF('Employee Detail FY25'!L130="","",'Employee Detail FY25'!L130)</f>
        <v/>
      </c>
      <c r="M130" s="267" t="str">
        <f>IF('Employee Detail FY25'!M130="","",'Employee Detail FY25'!M130)</f>
        <v/>
      </c>
      <c r="N130" s="264" t="str">
        <f>IF('Employee Detail FY25'!N130="","",'Employee Detail FY25'!N130)</f>
        <v/>
      </c>
      <c r="O130" s="264" t="str">
        <f>IF('Employee Detail FY25'!O130="","",'Employee Detail FY25'!O130)</f>
        <v/>
      </c>
      <c r="P130" s="264" t="str">
        <f>IF('Employee Detail FY25'!P130="","",'Employee Detail FY25'!P130)</f>
        <v/>
      </c>
      <c r="Q130" s="264" t="str">
        <f>IF('Employee Detail FY25'!Q130="","",'Employee Detail FY25'!Q130)</f>
        <v/>
      </c>
      <c r="R130" s="264" t="str">
        <f>IF('Employee Detail FY25'!R130="","",'Employee Detail FY25'!R130)</f>
        <v/>
      </c>
      <c r="S130" s="264" t="str">
        <f>IF('Employee Detail FY25'!S130="","",'Employee Detail FY25'!S130)</f>
        <v/>
      </c>
      <c r="T130" s="263" t="str">
        <f t="shared" ref="T130" si="102">+IF(R130="","",R130*S130)</f>
        <v/>
      </c>
      <c r="U130" s="269" t="str">
        <f>IF('Employee Detail FY25'!U130="","",'Employee Detail FY25'!U130)</f>
        <v/>
      </c>
      <c r="V130" s="270" t="str">
        <f t="shared" si="48"/>
        <v/>
      </c>
      <c r="W130" s="270" t="str">
        <f t="shared" ref="W130" si="103">+IF(P130="EE",+V130*$W$1,"")</f>
        <v/>
      </c>
      <c r="X130" s="270" t="str">
        <f t="shared" ref="X130" si="104">_xlfn.IFS(P130="ER",V130,P130="EE",W130,P130="N",V130,P130="","")</f>
        <v/>
      </c>
      <c r="Y130" s="62">
        <v>0</v>
      </c>
      <c r="Z130" s="62">
        <v>0</v>
      </c>
      <c r="AA130" s="256">
        <f t="shared" si="0"/>
        <v>0</v>
      </c>
      <c r="AB130" s="3"/>
      <c r="AC130" s="62" t="str">
        <f t="shared" si="52"/>
        <v/>
      </c>
      <c r="AD130" s="62" t="str">
        <f t="shared" si="1"/>
        <v/>
      </c>
      <c r="AE130" s="62" t="str">
        <f t="shared" si="2"/>
        <v/>
      </c>
      <c r="AF130" s="62" t="str">
        <f t="shared" si="3"/>
        <v/>
      </c>
      <c r="AG130" s="192">
        <v>0</v>
      </c>
      <c r="AH130" s="62" t="str">
        <f t="shared" si="4"/>
        <v/>
      </c>
      <c r="AI130" s="62">
        <f t="shared" si="5"/>
        <v>0</v>
      </c>
      <c r="AJ130" s="62"/>
      <c r="AK130" s="62">
        <v>0</v>
      </c>
      <c r="AL130" s="256">
        <f t="shared" ref="AL130" si="105">SUM(AC130:AK130)</f>
        <v>0</v>
      </c>
      <c r="AM130" s="256">
        <f t="shared" ref="AM130" si="106">AA130</f>
        <v>0</v>
      </c>
      <c r="AN130" s="256">
        <f t="shared" ref="AN130" si="107">SUM(AL130:AM130)</f>
        <v>0</v>
      </c>
    </row>
    <row r="131" spans="1:40" ht="13.5" thickBot="1" x14ac:dyDescent="0.25">
      <c r="A131" s="259"/>
      <c r="B131" s="259"/>
      <c r="C131" s="259"/>
      <c r="D131" s="259"/>
      <c r="E131" s="259"/>
      <c r="F131" s="259"/>
      <c r="G131" s="259"/>
      <c r="H131" s="259"/>
      <c r="I131" s="260"/>
      <c r="J131" s="260"/>
      <c r="K131" s="260"/>
      <c r="L131" s="260"/>
      <c r="M131" s="261">
        <f>SUM(M6:M130)</f>
        <v>59.5</v>
      </c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8">
        <f>SUM(Y6:Y130)</f>
        <v>0</v>
      </c>
      <c r="Z131" s="258">
        <f>SUM(Z6:Z130)</f>
        <v>0</v>
      </c>
      <c r="AA131" s="258">
        <f>SUM(AA6:AA130)</f>
        <v>3572410.7252421766</v>
      </c>
      <c r="AB131" s="5"/>
      <c r="AC131" s="257">
        <f t="shared" ref="AC131:AN131" si="108">SUM(AC6:AC130)</f>
        <v>468681.84000000037</v>
      </c>
      <c r="AD131" s="257">
        <f t="shared" si="108"/>
        <v>2910.0220800000002</v>
      </c>
      <c r="AE131" s="257">
        <f t="shared" si="108"/>
        <v>848638.39711943187</v>
      </c>
      <c r="AF131" s="257">
        <f t="shared" si="108"/>
        <v>51799.955516011578</v>
      </c>
      <c r="AG131" s="257">
        <f t="shared" si="108"/>
        <v>0</v>
      </c>
      <c r="AH131" s="257">
        <f t="shared" si="108"/>
        <v>32517.283133093217</v>
      </c>
      <c r="AI131" s="257">
        <f t="shared" si="108"/>
        <v>10521.459458376443</v>
      </c>
      <c r="AJ131" s="257">
        <f t="shared" si="108"/>
        <v>0</v>
      </c>
      <c r="AK131" s="257">
        <f t="shared" si="108"/>
        <v>0</v>
      </c>
      <c r="AL131" s="257">
        <f t="shared" si="108"/>
        <v>1415068.9573069143</v>
      </c>
      <c r="AM131" s="257">
        <f t="shared" si="108"/>
        <v>3572410.7252421766</v>
      </c>
      <c r="AN131" s="257">
        <f t="shared" si="108"/>
        <v>4987479.6825490892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255"/>
      <c r="J132" s="255"/>
      <c r="K132" s="255"/>
      <c r="L132" s="2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259"/>
      <c r="B133" s="259"/>
      <c r="C133" s="259"/>
      <c r="D133" s="259"/>
      <c r="E133" s="259"/>
      <c r="F133" s="259"/>
      <c r="G133" s="259"/>
      <c r="H133" s="259"/>
      <c r="I133" s="260"/>
      <c r="J133" s="260"/>
      <c r="K133" s="260"/>
      <c r="L133" s="260"/>
      <c r="M133" s="262">
        <f>SUBTOTAL(9,M6:M130)</f>
        <v>32</v>
      </c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5">
        <f t="shared" ref="Y133:AN133" si="109">SUBTOTAL(9,Y6:Y130)</f>
        <v>0</v>
      </c>
      <c r="Z133" s="5">
        <f t="shared" si="109"/>
        <v>0</v>
      </c>
      <c r="AA133" s="258">
        <f t="shared" si="109"/>
        <v>1699067.7161763203</v>
      </c>
      <c r="AB133" s="258">
        <f t="shared" si="109"/>
        <v>0</v>
      </c>
      <c r="AC133" s="258">
        <f t="shared" si="109"/>
        <v>254200.32000000012</v>
      </c>
      <c r="AD133" s="258">
        <f t="shared" si="109"/>
        <v>0</v>
      </c>
      <c r="AE133" s="258">
        <f t="shared" si="109"/>
        <v>442621.99951688893</v>
      </c>
      <c r="AF133" s="258">
        <f t="shared" si="109"/>
        <v>24636.481884556637</v>
      </c>
      <c r="AG133" s="258">
        <f t="shared" si="109"/>
        <v>0</v>
      </c>
      <c r="AH133" s="258">
        <f t="shared" si="109"/>
        <v>15465.485421041029</v>
      </c>
      <c r="AI133" s="258">
        <f t="shared" si="109"/>
        <v>5004.0920453158533</v>
      </c>
      <c r="AJ133" s="258">
        <f t="shared" si="109"/>
        <v>0</v>
      </c>
      <c r="AK133" s="258">
        <f t="shared" si="109"/>
        <v>0</v>
      </c>
      <c r="AL133" s="258">
        <f t="shared" si="109"/>
        <v>741928.37886780209</v>
      </c>
      <c r="AM133" s="258">
        <f t="shared" si="109"/>
        <v>1699067.7161763203</v>
      </c>
      <c r="AN133" s="258">
        <f t="shared" si="109"/>
        <v>2440996.0950441221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255"/>
      <c r="J134" s="255"/>
      <c r="K134" s="255"/>
      <c r="L134" s="2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3"/>
      <c r="B138" s="3"/>
      <c r="C138" s="3"/>
      <c r="D138" s="3"/>
      <c r="E138" s="3"/>
      <c r="F138" s="3"/>
      <c r="G138" s="3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">
      <c r="A139" s="3"/>
      <c r="B139" s="3"/>
      <c r="C139" s="3"/>
      <c r="D139" s="3"/>
      <c r="E139" s="3"/>
      <c r="F139" s="3"/>
      <c r="G139" s="3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">
      <c r="A140" s="3"/>
      <c r="B140" s="3"/>
      <c r="C140" s="3"/>
      <c r="D140" s="3"/>
      <c r="E140" s="3"/>
      <c r="F140" s="3"/>
      <c r="G140" s="3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">
      <c r="A141" s="3"/>
      <c r="B141" s="3"/>
      <c r="C141" s="3"/>
      <c r="D141" s="3"/>
      <c r="E141" s="3"/>
      <c r="F141" s="3"/>
      <c r="G141" s="3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">
      <c r="A142" s="3"/>
      <c r="B142" s="3"/>
      <c r="C142" s="3"/>
      <c r="D142" s="3"/>
      <c r="E142" s="3"/>
      <c r="F142" s="3"/>
      <c r="G142" s="3"/>
      <c r="H142" s="3"/>
      <c r="I142" s="255"/>
      <c r="J142" s="255"/>
      <c r="K142" s="255"/>
      <c r="L142" s="2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">
      <c r="A143" s="3"/>
      <c r="B143" s="3"/>
      <c r="C143" s="3"/>
      <c r="D143" s="3"/>
      <c r="E143" s="3"/>
      <c r="F143" s="3"/>
      <c r="G143" s="3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">
      <c r="A144" s="3"/>
      <c r="B144" s="3"/>
      <c r="C144" s="3"/>
      <c r="D144" s="3"/>
      <c r="E144" s="3"/>
      <c r="F144" s="3"/>
      <c r="G144" s="3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">
      <c r="A145" s="3"/>
      <c r="B145" s="3"/>
      <c r="C145" s="3"/>
      <c r="D145" s="3"/>
      <c r="E145" s="3"/>
      <c r="F145" s="3"/>
      <c r="G145" s="3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">
      <c r="A146" s="3"/>
      <c r="B146" s="3"/>
      <c r="C146" s="3"/>
      <c r="D146" s="3"/>
      <c r="E146" s="3"/>
      <c r="F146" s="3"/>
      <c r="G146" s="3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">
      <c r="A147" s="3"/>
      <c r="B147" s="3"/>
      <c r="C147" s="3"/>
      <c r="D147" s="3"/>
      <c r="E147" s="3"/>
      <c r="F147" s="3"/>
      <c r="G147" s="3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">
      <c r="A148" s="3"/>
      <c r="B148" s="3"/>
      <c r="C148" s="3"/>
      <c r="D148" s="3"/>
      <c r="E148" s="3"/>
      <c r="F148" s="3"/>
      <c r="G148" s="3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">
      <c r="A149" s="3"/>
      <c r="B149" s="3"/>
      <c r="C149" s="3"/>
      <c r="D149" s="3"/>
      <c r="E149" s="3"/>
      <c r="F149" s="3"/>
      <c r="G149" s="3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">
      <c r="A150" s="3"/>
      <c r="B150" s="3"/>
      <c r="C150" s="3"/>
      <c r="D150" s="3"/>
      <c r="E150" s="3"/>
      <c r="F150" s="3"/>
      <c r="G150" s="3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">
      <c r="A151" s="3"/>
      <c r="B151" s="3"/>
      <c r="C151" s="3"/>
      <c r="D151" s="3"/>
      <c r="E151" s="3"/>
      <c r="F151" s="3"/>
      <c r="G151" s="3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">
      <c r="A152" s="3"/>
      <c r="B152" s="3"/>
      <c r="C152" s="3"/>
      <c r="D152" s="3"/>
      <c r="E152" s="3"/>
      <c r="F152" s="3"/>
      <c r="G152" s="3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">
      <c r="A153" s="3"/>
      <c r="B153" s="3"/>
      <c r="C153" s="3"/>
      <c r="D153" s="3"/>
      <c r="E153" s="3"/>
      <c r="F153" s="3"/>
      <c r="G153" s="3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">
      <c r="A154" s="3"/>
      <c r="B154" s="3"/>
      <c r="C154" s="3"/>
      <c r="D154" s="3"/>
      <c r="E154" s="3"/>
      <c r="F154" s="3"/>
      <c r="G154" s="3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</sheetData>
  <autoFilter ref="B3:H130" xr:uid="{5C54DC30-6F20-449B-B78A-AA1FE0B50DE5}">
    <filterColumn colId="4">
      <filters>
        <filter val="1000"/>
      </filters>
    </filterColumn>
  </autoFilter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4597-803E-473A-B8AF-03BAA9AFB1B1}">
  <sheetPr codeName="Sheet22" filterMode="1"/>
  <dimension ref="A1:WWF154"/>
  <sheetViews>
    <sheetView workbookViewId="0">
      <pane xSplit="8" ySplit="5" topLeftCell="AF109" activePane="bottomRight" state="frozen"/>
      <selection activeCell="AN131" sqref="AN131"/>
      <selection pane="topRight" activeCell="AN131" sqref="AN131"/>
      <selection pane="bottomLeft" activeCell="AN131" sqref="AN131"/>
      <selection pane="bottomRight" activeCell="AN131" sqref="AN131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style="253" bestFit="1" customWidth="1"/>
    <col min="10" max="10" width="9.42578125" style="253" bestFit="1" customWidth="1"/>
    <col min="11" max="11" width="10.140625" style="253" bestFit="1" customWidth="1"/>
    <col min="12" max="12" width="49" style="253" bestFit="1" customWidth="1"/>
    <col min="13" max="13" width="9.140625" customWidth="1"/>
    <col min="16" max="16" width="11.140625" customWidth="1"/>
    <col min="21" max="22" width="11" bestFit="1" customWidth="1"/>
    <col min="23" max="23" width="10" bestFit="1" customWidth="1"/>
    <col min="24" max="24" width="11.28515625" bestFit="1" customWidth="1"/>
    <col min="25" max="25" width="12.28515625" customWidth="1"/>
    <col min="26" max="26" width="10" bestFit="1" customWidth="1"/>
    <col min="27" max="27" width="12.5703125" bestFit="1" customWidth="1"/>
    <col min="28" max="28" width="1.7109375" customWidth="1"/>
    <col min="29" max="29" width="11.140625" bestFit="1" customWidth="1"/>
    <col min="30" max="30" width="11.7109375" bestFit="1" customWidth="1"/>
    <col min="31" max="31" width="11.140625" bestFit="1" customWidth="1"/>
    <col min="32" max="32" width="10.140625" bestFit="1" customWidth="1"/>
    <col min="33" max="33" width="12.7109375" bestFit="1" customWidth="1"/>
    <col min="34" max="34" width="12.85546875" bestFit="1" customWidth="1"/>
    <col min="35" max="35" width="10.140625" bestFit="1" customWidth="1"/>
    <col min="36" max="36" width="8" bestFit="1" customWidth="1"/>
    <col min="37" max="37" width="7.5703125" bestFit="1" customWidth="1"/>
    <col min="38" max="38" width="12.5703125" bestFit="1" customWidth="1"/>
    <col min="39" max="40" width="12.85546875" customWidth="1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f>'Employee Detail FY26'!V1+0.03</f>
        <v>0.15</v>
      </c>
      <c r="W1" s="226">
        <f>IF('Employee Detail FY25'!W1="","",'Employee Detail FY25'!W1)</f>
        <v>1.153586</v>
      </c>
      <c r="X1" s="229"/>
      <c r="Y1" s="229"/>
      <c r="Z1" s="229"/>
      <c r="AA1" s="229"/>
      <c r="AB1" s="229"/>
      <c r="AC1" s="192">
        <f>IF('Employee Detail FY25'!AC1="","",'Employee Detail FY25'!AC1)</f>
        <v>7943.76</v>
      </c>
      <c r="AD1" s="232">
        <v>6.2E-2</v>
      </c>
      <c r="AE1" s="232">
        <v>0.1525</v>
      </c>
      <c r="AF1" s="232">
        <v>1.4500000000000001E-2</v>
      </c>
      <c r="AG1" s="229"/>
      <c r="AH1" s="281">
        <f>'Employee Detail FY21'!AH1</f>
        <v>9.1023361069124693E-3</v>
      </c>
      <c r="AI1" s="282">
        <f>'Employee Detail FY21'!AI1</f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Students'!H6</f>
        <v>FY2627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0.29249999999999998</v>
      </c>
      <c r="AF2" s="229"/>
      <c r="AG2" s="229"/>
      <c r="AH2" s="229"/>
      <c r="AI2" s="282">
        <f>'Employee Detail FY21'!AI2</f>
        <v>2.9451987096649392E-3</v>
      </c>
      <c r="AJ2" s="229"/>
      <c r="AK2" s="229"/>
      <c r="AL2" s="229"/>
      <c r="AM2" s="229"/>
      <c r="AN2" s="229"/>
    </row>
    <row r="3" spans="1:16152" s="243" customFormat="1" ht="40.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238" t="s">
        <v>339</v>
      </c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hidden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hidden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hidden="1" x14ac:dyDescent="0.2">
      <c r="A6" s="264" t="str">
        <f>IF('Employee Detail FY25'!A6="","",'Employee Detail FY25'!A6)</f>
        <v/>
      </c>
      <c r="B6" s="264" t="str">
        <f>IF('Employee Detail FY25'!B6="","",'Employee Detail FY25'!B6)</f>
        <v/>
      </c>
      <c r="C6" s="264" t="str">
        <f>IF('Employee Detail FY25'!C6="","",'Employee Detail FY25'!C6)</f>
        <v/>
      </c>
      <c r="D6" s="264"/>
      <c r="E6" s="264" t="str">
        <f>IF('Employee Detail FY25'!E6="","",'Employee Detail FY25'!E6)</f>
        <v/>
      </c>
      <c r="F6" s="264" t="str">
        <f>IF('Employee Detail FY25'!F6="","",'Employee Detail FY25'!F6)</f>
        <v/>
      </c>
      <c r="G6" s="264" t="str">
        <f>IF('Employee Detail FY25'!G6="","",'Employee Detail FY25'!G6)</f>
        <v/>
      </c>
      <c r="H6" s="264"/>
      <c r="I6" s="264" t="str">
        <f>IF('Employee Detail FY25'!I6="","",'Employee Detail FY25'!I6)</f>
        <v/>
      </c>
      <c r="J6" s="264" t="str">
        <f>IF('Employee Detail FY25'!J6="","",'Employee Detail FY25'!J6)</f>
        <v/>
      </c>
      <c r="K6" s="264" t="str">
        <f>IF('Employee Detail FY25'!K6="","",'Employee Detail FY25'!K6)</f>
        <v/>
      </c>
      <c r="L6" s="264" t="str">
        <f>IF('Employee Detail FY25'!L6="","",'Employee Detail FY25'!L6)</f>
        <v/>
      </c>
      <c r="M6" s="267" t="str">
        <f>IF('Employee Detail FY25'!M6="","",'Employee Detail FY25'!M6)</f>
        <v/>
      </c>
      <c r="N6" s="264" t="str">
        <f>IF('Employee Detail FY25'!N6="","",'Employee Detail FY25'!N6)</f>
        <v/>
      </c>
      <c r="O6" s="264" t="str">
        <f>IF('Employee Detail FY25'!O6="","",'Employee Detail FY25'!O6)</f>
        <v/>
      </c>
      <c r="P6" s="264" t="str">
        <f>IF('Employee Detail FY25'!P6="","",'Employee Detail FY25'!P6)</f>
        <v/>
      </c>
      <c r="Q6" s="264" t="str">
        <f>IF('Employee Detail FY25'!Q6="","",'Employee Detail FY25'!Q6)</f>
        <v/>
      </c>
      <c r="R6" s="264" t="str">
        <f>IF('Employee Detail FY25'!R6="","",'Employee Detail FY25'!R6)</f>
        <v/>
      </c>
      <c r="S6" s="264" t="str">
        <f>IF('Employee Detail FY25'!S6="","",'Employee Detail FY25'!S6)</f>
        <v/>
      </c>
      <c r="T6" s="263" t="str">
        <f>+IF(R6="","",R6*S6)</f>
        <v/>
      </c>
      <c r="U6" s="269" t="str">
        <f>IF('Employee Detail FY25'!U6="","",'Employee Detail FY25'!U6)</f>
        <v/>
      </c>
      <c r="V6" s="270" t="str">
        <f>IF($U6="","",$U6*(1+$V$1))</f>
        <v/>
      </c>
      <c r="W6" s="270" t="str">
        <f>+IF(P6="EE",+V6*$W$1,"")</f>
        <v/>
      </c>
      <c r="X6" s="270" t="str">
        <f>_xlfn.IFS(P6="ER",V6,P6="EE",W6,P6="N",V6,P6="","")</f>
        <v/>
      </c>
      <c r="Y6" s="62">
        <v>0</v>
      </c>
      <c r="Z6" s="62">
        <v>0</v>
      </c>
      <c r="AA6" s="256">
        <f t="shared" ref="AA6:AA130" si="0">SUM(X6:Z6)</f>
        <v>0</v>
      </c>
      <c r="AB6" s="3"/>
      <c r="AC6" s="62" t="str">
        <f>IF(AND(M6=1,P6&lt;&gt;"N"),$AC$1,"")</f>
        <v/>
      </c>
      <c r="AD6" s="62" t="str">
        <f t="shared" ref="AD6:AD130" si="1">_xlfn.IFS(P6="N",$AD$1*AA6,P6="EE","",P6="ER","",P6="","")</f>
        <v/>
      </c>
      <c r="AE6" s="62" t="str">
        <f t="shared" ref="AE6:AE130" si="2">_xlfn.IFS(P6="EE",X6*$AE$1,P6="ER",X6*$AE$2,P6="N","",P6="","")</f>
        <v/>
      </c>
      <c r="AF6" s="62" t="str">
        <f t="shared" ref="AF6:AF130" si="3">+IF(AA6&gt;1,AA6*$AF$1,"")</f>
        <v/>
      </c>
      <c r="AG6" s="192">
        <v>0</v>
      </c>
      <c r="AH6" s="62" t="str">
        <f t="shared" ref="AH6:AH130" si="4">+IF(AA6&gt;1,AA6*$AH$1,"")</f>
        <v/>
      </c>
      <c r="AI6" s="62">
        <f t="shared" ref="AI6:AI130" si="5">+_xlfn.IFS(F6&lt;2300,(AA6*$AI$1),F6&gt;=2300,(AA6*$AI$2),F6="","")</f>
        <v>0</v>
      </c>
      <c r="AJ6" s="62"/>
      <c r="AK6" s="62">
        <v>0</v>
      </c>
      <c r="AL6" s="256">
        <f>SUM(AC6:AK6)</f>
        <v>0</v>
      </c>
      <c r="AM6" s="256">
        <f>AA6</f>
        <v>0</v>
      </c>
      <c r="AN6" s="256">
        <f>SUM(AL6:AM6)</f>
        <v>0</v>
      </c>
    </row>
    <row r="7" spans="1:16152" hidden="1" x14ac:dyDescent="0.2">
      <c r="A7" s="3" t="str">
        <f>IF('Employee Detail FY26'!A7="","",'Employee Detail FY26'!A7)</f>
        <v/>
      </c>
      <c r="B7" s="3">
        <f>IF('Employee Detail FY26'!B7="","",'Employee Detail FY26'!B7)</f>
        <v>100</v>
      </c>
      <c r="C7" s="3" t="str">
        <f>IF('Employee Detail FY26'!C7="","",'Employee Detail FY26'!C7)</f>
        <v>000</v>
      </c>
      <c r="D7" s="3"/>
      <c r="E7" s="3">
        <f>IF('Employee Detail FY26'!E7="","",'Employee Detail FY26'!E7)</f>
        <v>100</v>
      </c>
      <c r="F7" s="3" t="str">
        <f>IF('Employee Detail FY26'!F7="","",'Employee Detail FY26'!F7)</f>
        <v>2320</v>
      </c>
      <c r="G7" s="3" t="str">
        <f>IF('Employee Detail FY26'!G7="","",'Employee Detail FY26'!G7)</f>
        <v>0104</v>
      </c>
      <c r="H7" s="3"/>
      <c r="I7" s="255" t="str">
        <f>IF('Employee Detail FY26'!I7="","",'Employee Detail FY26'!I7)</f>
        <v>DAMORE</v>
      </c>
      <c r="J7" s="255" t="str">
        <f>IF('Employee Detail FY26'!J7="","",'Employee Detail FY26'!J7)</f>
        <v>ANDREA</v>
      </c>
      <c r="K7" s="255" t="str">
        <f>IF('Employee Detail FY26'!K7="","",'Employee Detail FY26'!K7)</f>
        <v>Admnistration</v>
      </c>
      <c r="L7" s="255" t="str">
        <f>IF('Employee Detail FY26'!L7="","",'Employee Detail FY26'!L7)</f>
        <v>EXEC. DIR. ACADEMICS</v>
      </c>
      <c r="M7" s="92">
        <f>IF('Employee Detail FY26'!M7="","",'Employee Detail FY26'!M7)</f>
        <v>1</v>
      </c>
      <c r="N7" s="3" t="str">
        <f>IF('Employee Detail FY26'!N7="","",'Employee Detail FY26'!N7)</f>
        <v>S</v>
      </c>
      <c r="O7" s="3">
        <f>IF('Employee Detail FY26'!O7="","",'Employee Detail FY26'!O7)</f>
        <v>1</v>
      </c>
      <c r="P7" s="3" t="str">
        <f>IF('Employee Detail FY26'!P7="","",'Employee Detail FY26'!P7)</f>
        <v>ER</v>
      </c>
      <c r="Q7" s="3" t="str">
        <f>IF('Employee Detail FY26'!Q7="","",'Employee Detail FY26'!Q7)</f>
        <v/>
      </c>
      <c r="R7" s="3">
        <f>IF('Employee Detail FY26'!R7="","",'Employee Detail FY26'!R7)</f>
        <v>261</v>
      </c>
      <c r="S7" s="3">
        <f>IF('Employee Detail FY26'!S7="","",'Employee Detail FY26'!S7)</f>
        <v>8</v>
      </c>
      <c r="T7" s="263">
        <f t="shared" ref="T7:T68" si="6">+IF(R7="","",R7*S7)</f>
        <v>2088</v>
      </c>
      <c r="U7" s="269">
        <f>IF('Employee Detail FY26'!U7="","",'Employee Detail FY26'!U7)</f>
        <v>123000</v>
      </c>
      <c r="V7" s="270">
        <f t="shared" ref="V7:V68" si="7">IF($U7="","",$U7*(1+$V$1))</f>
        <v>141450</v>
      </c>
      <c r="W7" s="270" t="str">
        <f t="shared" ref="W7:W68" si="8">+IF(P7="EE",+V7*$W$1,"")</f>
        <v/>
      </c>
      <c r="X7" s="270">
        <f t="shared" ref="X7:X68" si="9">_xlfn.IFS(P7="ER",V7,P7="EE",W7,P7="N",V7,P7="","")</f>
        <v>141450</v>
      </c>
      <c r="Y7" s="62">
        <v>0</v>
      </c>
      <c r="Z7" s="62">
        <v>0</v>
      </c>
      <c r="AA7" s="256">
        <f t="shared" ref="AA7:AA68" si="10">SUM(X7:Z7)</f>
        <v>141450</v>
      </c>
      <c r="AB7" s="3"/>
      <c r="AC7" s="62">
        <f t="shared" ref="AC7:AC68" si="11">IF(AND(M7=1,P7&lt;&gt;"N"),$AC$1,"")</f>
        <v>7943.76</v>
      </c>
      <c r="AD7" s="62" t="str">
        <f t="shared" ref="AD7:AD68" si="12">_xlfn.IFS(P7="N",$AD$1*AA7,P7="EE","",P7="ER","",P7="","")</f>
        <v/>
      </c>
      <c r="AE7" s="62">
        <f t="shared" ref="AE7:AE68" si="13">_xlfn.IFS(P7="EE",X7*$AE$1,P7="ER",X7*$AE$2,P7="N","",P7="","")</f>
        <v>41374.125</v>
      </c>
      <c r="AF7" s="62">
        <f t="shared" ref="AF7:AF68" si="14">+IF(AA7&gt;1,AA7*$AF$1,"")</f>
        <v>2051.0250000000001</v>
      </c>
      <c r="AG7" s="192">
        <v>0</v>
      </c>
      <c r="AH7" s="62">
        <f t="shared" ref="AH7:AH68" si="15">+IF(AA7&gt;1,AA7*$AH$1,"")</f>
        <v>1287.5254423227689</v>
      </c>
      <c r="AI7" s="62">
        <f t="shared" ref="AI7:AI68" si="16">+_xlfn.IFS(F7&lt;2300,(AA7*$AI$1),F7&gt;=2300,(AA7*$AI$2),F7="","")</f>
        <v>416.59835748210565</v>
      </c>
      <c r="AJ7" s="62"/>
      <c r="AK7" s="62">
        <v>0</v>
      </c>
      <c r="AL7" s="256">
        <f t="shared" ref="AL7:AL68" si="17">SUM(AC7:AK7)</f>
        <v>53073.033799804878</v>
      </c>
      <c r="AM7" s="256">
        <f t="shared" ref="AM7:AM68" si="18">AA7</f>
        <v>141450</v>
      </c>
      <c r="AN7" s="256">
        <f t="shared" ref="AN7:AN68" si="19">SUM(AL7:AM7)</f>
        <v>194523.03379980486</v>
      </c>
    </row>
    <row r="8" spans="1:16152" hidden="1" x14ac:dyDescent="0.2">
      <c r="A8" s="3" t="str">
        <f>IF('Employee Detail FY26'!A8="","",'Employee Detail FY26'!A8)</f>
        <v/>
      </c>
      <c r="B8" s="3">
        <f>IF('Employee Detail FY26'!B8="","",'Employee Detail FY26'!B8)</f>
        <v>100</v>
      </c>
      <c r="C8" s="3" t="str">
        <f>IF('Employee Detail FY26'!C8="","",'Employee Detail FY26'!C8)</f>
        <v>000</v>
      </c>
      <c r="D8" s="3"/>
      <c r="E8" s="3">
        <f>IF('Employee Detail FY26'!E8="","",'Employee Detail FY26'!E8)</f>
        <v>100</v>
      </c>
      <c r="F8" s="3" t="str">
        <f>IF('Employee Detail FY26'!F8="","",'Employee Detail FY26'!F8)</f>
        <v>2320</v>
      </c>
      <c r="G8" s="3" t="str">
        <f>IF('Employee Detail FY26'!G8="","",'Employee Detail FY26'!G8)</f>
        <v>0104</v>
      </c>
      <c r="H8" s="3"/>
      <c r="I8" s="255" t="str">
        <f>IF('Employee Detail FY26'!I8="","",'Employee Detail FY26'!I8)</f>
        <v>TONDRYK</v>
      </c>
      <c r="J8" s="255" t="str">
        <f>IF('Employee Detail FY26'!J8="","",'Employee Detail FY26'!J8)</f>
        <v>Tambre</v>
      </c>
      <c r="K8" s="255" t="str">
        <f>IF('Employee Detail FY26'!K8="","",'Employee Detail FY26'!K8)</f>
        <v>Administration</v>
      </c>
      <c r="L8" s="255" t="str">
        <f>IF('Employee Detail FY26'!L8="","",'Employee Detail FY26'!L8)</f>
        <v>Exec. Dir. Operations</v>
      </c>
      <c r="M8" s="92">
        <f>IF('Employee Detail FY26'!M8="","",'Employee Detail FY26'!M8)</f>
        <v>1</v>
      </c>
      <c r="N8" s="3" t="str">
        <f>IF('Employee Detail FY26'!N8="","",'Employee Detail FY26'!N8)</f>
        <v/>
      </c>
      <c r="O8" s="3">
        <f>IF('Employee Detail FY26'!O8="","",'Employee Detail FY26'!O8)</f>
        <v>26</v>
      </c>
      <c r="P8" s="3" t="str">
        <f>IF('Employee Detail FY26'!P8="","",'Employee Detail FY26'!P8)</f>
        <v>ER</v>
      </c>
      <c r="Q8" s="3" t="str">
        <f>IF('Employee Detail FY26'!Q8="","",'Employee Detail FY26'!Q8)</f>
        <v/>
      </c>
      <c r="R8" s="3">
        <f>IF('Employee Detail FY26'!R8="","",'Employee Detail FY26'!R8)</f>
        <v>261</v>
      </c>
      <c r="S8" s="3">
        <f>IF('Employee Detail FY26'!S8="","",'Employee Detail FY26'!S8)</f>
        <v>8</v>
      </c>
      <c r="T8" s="263">
        <f t="shared" si="6"/>
        <v>2088</v>
      </c>
      <c r="U8" s="269">
        <f>IF('Employee Detail FY26'!V8="","",'Employee Detail FY26'!V8)</f>
        <v>125000</v>
      </c>
      <c r="V8" s="270">
        <f>IF($U8="","",$U8*(1+0.03))</f>
        <v>128750</v>
      </c>
      <c r="W8" s="270" t="str">
        <f t="shared" si="8"/>
        <v/>
      </c>
      <c r="X8" s="270">
        <f t="shared" si="9"/>
        <v>128750</v>
      </c>
      <c r="Y8" s="62">
        <v>0</v>
      </c>
      <c r="Z8" s="62">
        <v>0</v>
      </c>
      <c r="AA8" s="256">
        <f t="shared" si="10"/>
        <v>128750</v>
      </c>
      <c r="AB8" s="3"/>
      <c r="AC8" s="62">
        <f t="shared" si="11"/>
        <v>7943.76</v>
      </c>
      <c r="AD8" s="62" t="str">
        <f t="shared" si="12"/>
        <v/>
      </c>
      <c r="AE8" s="62">
        <f t="shared" si="13"/>
        <v>37659.375</v>
      </c>
      <c r="AF8" s="62">
        <f t="shared" si="14"/>
        <v>1866.875</v>
      </c>
      <c r="AG8" s="192">
        <v>0</v>
      </c>
      <c r="AH8" s="62">
        <f t="shared" si="15"/>
        <v>1171.9257737649805</v>
      </c>
      <c r="AI8" s="62">
        <f t="shared" si="16"/>
        <v>379.19433386936095</v>
      </c>
      <c r="AJ8" s="62"/>
      <c r="AK8" s="62">
        <v>0</v>
      </c>
      <c r="AL8" s="256">
        <f t="shared" si="17"/>
        <v>49021.130107634344</v>
      </c>
      <c r="AM8" s="256">
        <f t="shared" si="18"/>
        <v>128750</v>
      </c>
      <c r="AN8" s="256">
        <f t="shared" si="19"/>
        <v>177771.13010763435</v>
      </c>
    </row>
    <row r="9" spans="1:16152" hidden="1" x14ac:dyDescent="0.2">
      <c r="A9" s="3" t="str">
        <f>IF('Employee Detail FY26'!A9="","",'Employee Detail FY26'!A9)</f>
        <v/>
      </c>
      <c r="B9" s="3" t="str">
        <f>IF('Employee Detail FY26'!B9="","",'Employee Detail FY26'!B9)</f>
        <v/>
      </c>
      <c r="C9" s="3" t="str">
        <f>IF('Employee Detail FY26'!C9="","",'Employee Detail FY26'!C9)</f>
        <v/>
      </c>
      <c r="D9" s="3"/>
      <c r="E9" s="3" t="str">
        <f>IF('Employee Detail FY26'!E9="","",'Employee Detail FY26'!E9)</f>
        <v/>
      </c>
      <c r="F9" s="3" t="str">
        <f>IF('Employee Detail FY26'!F9="","",'Employee Detail FY26'!F9)</f>
        <v/>
      </c>
      <c r="G9" s="3" t="str">
        <f>IF('Employee Detail FY26'!G9="","",'Employee Detail FY26'!G9)</f>
        <v/>
      </c>
      <c r="H9" s="3"/>
      <c r="I9" s="255" t="str">
        <f>IF('Employee Detail FY26'!I9="","",'Employee Detail FY26'!I9)</f>
        <v/>
      </c>
      <c r="J9" s="255" t="str">
        <f>IF('Employee Detail FY26'!J9="","",'Employee Detail FY26'!J9)</f>
        <v/>
      </c>
      <c r="K9" s="255" t="str">
        <f>IF('Employee Detail FY26'!K9="","",'Employee Detail FY26'!K9)</f>
        <v/>
      </c>
      <c r="L9" s="255" t="str">
        <f>IF('Employee Detail FY26'!L9="","",'Employee Detail FY26'!L9)</f>
        <v/>
      </c>
      <c r="M9" s="92" t="str">
        <f>IF('Employee Detail FY26'!M9="","",'Employee Detail FY26'!M9)</f>
        <v/>
      </c>
      <c r="N9" s="3" t="str">
        <f>IF('Employee Detail FY26'!N9="","",'Employee Detail FY26'!N9)</f>
        <v/>
      </c>
      <c r="O9" s="3" t="str">
        <f>IF('Employee Detail FY26'!O9="","",'Employee Detail FY26'!O9)</f>
        <v/>
      </c>
      <c r="P9" s="3" t="str">
        <f>IF('Employee Detail FY26'!P9="","",'Employee Detail FY26'!P9)</f>
        <v/>
      </c>
      <c r="Q9" s="3" t="str">
        <f>IF('Employee Detail FY26'!Q9="","",'Employee Detail FY26'!Q9)</f>
        <v/>
      </c>
      <c r="R9" s="3" t="str">
        <f>IF('Employee Detail FY26'!R9="","",'Employee Detail FY26'!R9)</f>
        <v/>
      </c>
      <c r="S9" s="3" t="str">
        <f>IF('Employee Detail FY26'!S9="","",'Employee Detail FY26'!S9)</f>
        <v/>
      </c>
      <c r="T9" s="263" t="str">
        <f t="shared" si="6"/>
        <v/>
      </c>
      <c r="U9" s="269" t="str">
        <f>IF('Employee Detail FY26'!U9="","",'Employee Detail FY26'!U9)</f>
        <v/>
      </c>
      <c r="V9" s="270" t="str">
        <f t="shared" si="7"/>
        <v/>
      </c>
      <c r="W9" s="270" t="str">
        <f t="shared" si="8"/>
        <v/>
      </c>
      <c r="X9" s="270" t="str">
        <f t="shared" si="9"/>
        <v/>
      </c>
      <c r="Y9" s="62">
        <v>0</v>
      </c>
      <c r="Z9" s="62">
        <v>0</v>
      </c>
      <c r="AA9" s="256">
        <f t="shared" si="10"/>
        <v>0</v>
      </c>
      <c r="AB9" s="3"/>
      <c r="AC9" s="62" t="str">
        <f t="shared" si="11"/>
        <v/>
      </c>
      <c r="AD9" s="62" t="str">
        <f t="shared" si="12"/>
        <v/>
      </c>
      <c r="AE9" s="62" t="str">
        <f t="shared" si="13"/>
        <v/>
      </c>
      <c r="AF9" s="62" t="str">
        <f t="shared" si="14"/>
        <v/>
      </c>
      <c r="AG9" s="192">
        <v>0</v>
      </c>
      <c r="AH9" s="62" t="str">
        <f t="shared" si="15"/>
        <v/>
      </c>
      <c r="AI9" s="62">
        <f t="shared" si="16"/>
        <v>0</v>
      </c>
      <c r="AJ9" s="62"/>
      <c r="AK9" s="62">
        <v>0</v>
      </c>
      <c r="AL9" s="256">
        <f t="shared" si="17"/>
        <v>0</v>
      </c>
      <c r="AM9" s="256">
        <f t="shared" si="18"/>
        <v>0</v>
      </c>
      <c r="AN9" s="256">
        <f t="shared" si="19"/>
        <v>0</v>
      </c>
    </row>
    <row r="10" spans="1:16152" hidden="1" x14ac:dyDescent="0.2">
      <c r="A10" s="3" t="str">
        <f>IF('Employee Detail FY26'!A10="","",'Employee Detail FY26'!A10)</f>
        <v>TITLE I 1003a</v>
      </c>
      <c r="B10" s="3">
        <f>IF('Employee Detail FY26'!B10="","",'Employee Detail FY26'!B10)</f>
        <v>280</v>
      </c>
      <c r="C10" s="3">
        <f>IF('Employee Detail FY26'!C10="","",'Employee Detail FY26'!C10)</f>
        <v>624</v>
      </c>
      <c r="D10" s="3"/>
      <c r="E10" s="3">
        <f>IF('Employee Detail FY26'!E10="","",'Employee Detail FY26'!E10)</f>
        <v>430</v>
      </c>
      <c r="F10" s="3">
        <f>IF('Employee Detail FY26'!F10="","",'Employee Detail FY26'!F10)</f>
        <v>2410</v>
      </c>
      <c r="G10" s="3" t="str">
        <f>IF('Employee Detail FY26'!G10="","",'Employee Detail FY26'!G10)</f>
        <v>0104</v>
      </c>
      <c r="H10" s="3"/>
      <c r="I10" s="255" t="str">
        <f>IF('Employee Detail FY26'!I10="","",'Employee Detail FY26'!I10)</f>
        <v>MEDINA</v>
      </c>
      <c r="J10" s="255" t="str">
        <f>IF('Employee Detail FY26'!J10="","",'Employee Detail FY26'!J10)</f>
        <v>VINCENT</v>
      </c>
      <c r="K10" s="255" t="str">
        <f>IF('Employee Detail FY26'!K10="","",'Employee Detail FY26'!K10)</f>
        <v>Licensed Staff</v>
      </c>
      <c r="L10" s="255" t="str">
        <f>IF('Employee Detail FY26'!L10="","",'Employee Detail FY26'!L10)</f>
        <v>ACADEMIC COORDINATOR</v>
      </c>
      <c r="M10" s="92">
        <f>IF('Employee Detail FY26'!M10="","",'Employee Detail FY26'!M10)</f>
        <v>1</v>
      </c>
      <c r="N10" s="3" t="str">
        <f>IF('Employee Detail FY26'!N10="","",'Employee Detail FY26'!N10)</f>
        <v/>
      </c>
      <c r="O10" s="3">
        <f>IF('Employee Detail FY26'!O10="","",'Employee Detail FY26'!O10)</f>
        <v>26</v>
      </c>
      <c r="P10" s="3" t="str">
        <f>IF('Employee Detail FY26'!P10="","",'Employee Detail FY26'!P10)</f>
        <v>ER</v>
      </c>
      <c r="Q10" s="3" t="str">
        <f>IF('Employee Detail FY26'!Q10="","",'Employee Detail FY26'!Q10)</f>
        <v/>
      </c>
      <c r="R10" s="3">
        <f>IF('Employee Detail FY26'!R10="","",'Employee Detail FY26'!R10)</f>
        <v>261</v>
      </c>
      <c r="S10" s="3">
        <f>IF('Employee Detail FY26'!S10="","",'Employee Detail FY26'!S10)</f>
        <v>8</v>
      </c>
      <c r="T10" s="263">
        <f t="shared" si="6"/>
        <v>2088</v>
      </c>
      <c r="U10" s="269">
        <f>IF('Employee Detail FY26'!U10="","",'Employee Detail FY26'!U10)</f>
        <v>89000</v>
      </c>
      <c r="V10" s="270">
        <f t="shared" si="7"/>
        <v>102349.99999999999</v>
      </c>
      <c r="W10" s="270" t="str">
        <f t="shared" si="8"/>
        <v/>
      </c>
      <c r="X10" s="270">
        <f t="shared" si="9"/>
        <v>102349.99999999999</v>
      </c>
      <c r="Y10" s="62">
        <v>0</v>
      </c>
      <c r="Z10" s="62">
        <v>0</v>
      </c>
      <c r="AA10" s="256">
        <f t="shared" si="10"/>
        <v>102349.99999999999</v>
      </c>
      <c r="AB10" s="3"/>
      <c r="AC10" s="62">
        <f t="shared" si="11"/>
        <v>7943.76</v>
      </c>
      <c r="AD10" s="62" t="str">
        <f t="shared" si="12"/>
        <v/>
      </c>
      <c r="AE10" s="62">
        <f t="shared" si="13"/>
        <v>29937.374999999993</v>
      </c>
      <c r="AF10" s="62">
        <f t="shared" si="14"/>
        <v>1484.0749999999998</v>
      </c>
      <c r="AG10" s="192">
        <v>0</v>
      </c>
      <c r="AH10" s="62">
        <f t="shared" si="15"/>
        <v>931.62410054249108</v>
      </c>
      <c r="AI10" s="62">
        <f t="shared" si="16"/>
        <v>301.44108793420651</v>
      </c>
      <c r="AJ10" s="62"/>
      <c r="AK10" s="62">
        <v>0</v>
      </c>
      <c r="AL10" s="256">
        <f t="shared" si="17"/>
        <v>40598.275188476684</v>
      </c>
      <c r="AM10" s="256">
        <f t="shared" si="18"/>
        <v>102349.99999999999</v>
      </c>
      <c r="AN10" s="256">
        <f t="shared" si="19"/>
        <v>142948.27518847666</v>
      </c>
    </row>
    <row r="11" spans="1:16152" hidden="1" x14ac:dyDescent="0.2">
      <c r="A11" s="3" t="str">
        <f>IF('Employee Detail FY26'!A11="","",'Employee Detail FY26'!A11)</f>
        <v/>
      </c>
      <c r="B11" s="3" t="str">
        <f>IF('Employee Detail FY26'!B11="","",'Employee Detail FY26'!B11)</f>
        <v/>
      </c>
      <c r="C11" s="3" t="str">
        <f>IF('Employee Detail FY26'!C11="","",'Employee Detail FY26'!C11)</f>
        <v/>
      </c>
      <c r="D11" s="3"/>
      <c r="E11" s="3" t="str">
        <f>IF('Employee Detail FY26'!E11="","",'Employee Detail FY26'!E11)</f>
        <v/>
      </c>
      <c r="F11" s="3" t="str">
        <f>IF('Employee Detail FY26'!F11="","",'Employee Detail FY26'!F11)</f>
        <v/>
      </c>
      <c r="G11" s="3" t="str">
        <f>IF('Employee Detail FY26'!G11="","",'Employee Detail FY26'!G11)</f>
        <v/>
      </c>
      <c r="H11" s="3"/>
      <c r="I11" s="255" t="str">
        <f>IF('Employee Detail FY26'!I11="","",'Employee Detail FY26'!I11)</f>
        <v/>
      </c>
      <c r="J11" s="255" t="str">
        <f>IF('Employee Detail FY26'!J11="","",'Employee Detail FY26'!J11)</f>
        <v/>
      </c>
      <c r="K11" s="255" t="str">
        <f>IF('Employee Detail FY26'!K11="","",'Employee Detail FY26'!K11)</f>
        <v/>
      </c>
      <c r="L11" s="255" t="str">
        <f>IF('Employee Detail FY26'!L11="","",'Employee Detail FY26'!L11)</f>
        <v/>
      </c>
      <c r="M11" s="92" t="str">
        <f>IF('Employee Detail FY26'!M11="","",'Employee Detail FY26'!M11)</f>
        <v/>
      </c>
      <c r="N11" s="3" t="str">
        <f>IF('Employee Detail FY26'!N11="","",'Employee Detail FY26'!N11)</f>
        <v/>
      </c>
      <c r="O11" s="3" t="str">
        <f>IF('Employee Detail FY26'!O11="","",'Employee Detail FY26'!O11)</f>
        <v/>
      </c>
      <c r="P11" s="3" t="str">
        <f>IF('Employee Detail FY26'!P11="","",'Employee Detail FY26'!P11)</f>
        <v/>
      </c>
      <c r="Q11" s="3" t="str">
        <f>IF('Employee Detail FY26'!Q11="","",'Employee Detail FY26'!Q11)</f>
        <v/>
      </c>
      <c r="R11" s="3" t="str">
        <f>IF('Employee Detail FY26'!R11="","",'Employee Detail FY26'!R11)</f>
        <v/>
      </c>
      <c r="S11" s="3" t="str">
        <f>IF('Employee Detail FY26'!S11="","",'Employee Detail FY26'!S11)</f>
        <v/>
      </c>
      <c r="T11" s="263" t="str">
        <f t="shared" si="6"/>
        <v/>
      </c>
      <c r="U11" s="269" t="str">
        <f>IF('Employee Detail FY26'!U11="","",'Employee Detail FY26'!U11)</f>
        <v/>
      </c>
      <c r="V11" s="270" t="str">
        <f t="shared" si="7"/>
        <v/>
      </c>
      <c r="W11" s="270" t="str">
        <f t="shared" si="8"/>
        <v/>
      </c>
      <c r="X11" s="270" t="str">
        <f t="shared" si="9"/>
        <v/>
      </c>
      <c r="Y11" s="62">
        <v>0</v>
      </c>
      <c r="Z11" s="62">
        <v>0</v>
      </c>
      <c r="AA11" s="256">
        <f t="shared" si="10"/>
        <v>0</v>
      </c>
      <c r="AB11" s="3"/>
      <c r="AC11" s="62" t="str">
        <f t="shared" si="11"/>
        <v/>
      </c>
      <c r="AD11" s="62" t="str">
        <f t="shared" si="12"/>
        <v/>
      </c>
      <c r="AE11" s="62" t="str">
        <f t="shared" si="13"/>
        <v/>
      </c>
      <c r="AF11" s="62" t="str">
        <f t="shared" si="14"/>
        <v/>
      </c>
      <c r="AG11" s="192">
        <v>0</v>
      </c>
      <c r="AH11" s="62" t="str">
        <f t="shared" si="15"/>
        <v/>
      </c>
      <c r="AI11" s="62">
        <f t="shared" si="16"/>
        <v>0</v>
      </c>
      <c r="AJ11" s="62"/>
      <c r="AK11" s="62">
        <v>0</v>
      </c>
      <c r="AL11" s="256">
        <f t="shared" si="17"/>
        <v>0</v>
      </c>
      <c r="AM11" s="256">
        <f t="shared" si="18"/>
        <v>0</v>
      </c>
      <c r="AN11" s="256">
        <f t="shared" si="19"/>
        <v>0</v>
      </c>
    </row>
    <row r="12" spans="1:16152" x14ac:dyDescent="0.2">
      <c r="A12" s="3" t="str">
        <f>IF('Employee Detail FY26'!A12="","",'Employee Detail FY26'!A12)</f>
        <v>VACANT</v>
      </c>
      <c r="B12" s="3" t="str">
        <f>IF('Employee Detail FY26'!B12="","",'Employee Detail FY26'!B12)</f>
        <v>250</v>
      </c>
      <c r="C12" s="3" t="str">
        <f>IF('Employee Detail FY26'!C12="","",'Employee Detail FY26'!C12)</f>
        <v>205</v>
      </c>
      <c r="D12" s="3"/>
      <c r="E12" s="3" t="str">
        <f>IF('Employee Detail FY26'!E12="","",'Employee Detail FY26'!E12)</f>
        <v>200</v>
      </c>
      <c r="F12" s="3">
        <f>IF('Employee Detail FY26'!F12="","",'Employee Detail FY26'!F12)</f>
        <v>1000</v>
      </c>
      <c r="G12" s="3" t="str">
        <f>IF('Employee Detail FY26'!G12="","",'Employee Detail FY26'!G12)</f>
        <v>0105</v>
      </c>
      <c r="H12" s="3"/>
      <c r="I12" s="255" t="str">
        <f>IF('Employee Detail FY26'!I12="","",'Employee Detail FY26'!I12)</f>
        <v>VACANT</v>
      </c>
      <c r="J12" s="255" t="str">
        <f>IF('Employee Detail FY26'!J12="","",'Employee Detail FY26'!J12)</f>
        <v>FY23</v>
      </c>
      <c r="K12" s="255" t="str">
        <f>IF('Employee Detail FY26'!K12="","",'Employee Detail FY26'!K12)</f>
        <v>Administration</v>
      </c>
      <c r="L12" s="255" t="str">
        <f>IF('Employee Detail FY26'!L12="","",'Employee Detail FY26'!L12)</f>
        <v>SPECIAL PROGRAMS COORDINATOR</v>
      </c>
      <c r="M12" s="92">
        <f>IF('Employee Detail FY26'!M12="","",'Employee Detail FY26'!M12)</f>
        <v>1</v>
      </c>
      <c r="N12" s="3" t="str">
        <f>IF('Employee Detail FY26'!N12="","",'Employee Detail FY26'!N12)</f>
        <v/>
      </c>
      <c r="O12" s="3">
        <f>IF('Employee Detail FY26'!O12="","",'Employee Detail FY26'!O12)</f>
        <v>1</v>
      </c>
      <c r="P12" s="3" t="str">
        <f>IF('Employee Detail FY26'!P12="","",'Employee Detail FY26'!P12)</f>
        <v>ER</v>
      </c>
      <c r="Q12" s="3" t="str">
        <f>IF('Employee Detail FY26'!Q12="","",'Employee Detail FY26'!Q12)</f>
        <v/>
      </c>
      <c r="R12" s="3">
        <f>IF('Employee Detail FY26'!R12="","",'Employee Detail FY26'!R12)</f>
        <v>261</v>
      </c>
      <c r="S12" s="3">
        <f>IF('Employee Detail FY26'!S12="","",'Employee Detail FY26'!S12)</f>
        <v>8</v>
      </c>
      <c r="T12" s="263">
        <f t="shared" si="6"/>
        <v>2088</v>
      </c>
      <c r="U12" s="269">
        <f>IF('Employee Detail FY26'!U12="","",'Employee Detail FY26'!U12)</f>
        <v>81500</v>
      </c>
      <c r="V12" s="270">
        <f t="shared" si="7"/>
        <v>93725</v>
      </c>
      <c r="W12" s="270" t="str">
        <f t="shared" si="8"/>
        <v/>
      </c>
      <c r="X12" s="270">
        <f t="shared" si="9"/>
        <v>93725</v>
      </c>
      <c r="Y12" s="62">
        <v>0</v>
      </c>
      <c r="Z12" s="62">
        <v>0</v>
      </c>
      <c r="AA12" s="256">
        <f t="shared" si="10"/>
        <v>93725</v>
      </c>
      <c r="AB12" s="3"/>
      <c r="AC12" s="62">
        <f t="shared" si="11"/>
        <v>7943.76</v>
      </c>
      <c r="AD12" s="62" t="str">
        <f t="shared" si="12"/>
        <v/>
      </c>
      <c r="AE12" s="62">
        <f t="shared" si="13"/>
        <v>27414.5625</v>
      </c>
      <c r="AF12" s="62">
        <f t="shared" si="14"/>
        <v>1359.0125</v>
      </c>
      <c r="AG12" s="192">
        <v>0</v>
      </c>
      <c r="AH12" s="62">
        <f t="shared" si="15"/>
        <v>853.11645162037121</v>
      </c>
      <c r="AI12" s="62">
        <f t="shared" si="16"/>
        <v>276.03874906334642</v>
      </c>
      <c r="AJ12" s="62"/>
      <c r="AK12" s="62">
        <v>0</v>
      </c>
      <c r="AL12" s="256">
        <f t="shared" si="17"/>
        <v>37846.490200683715</v>
      </c>
      <c r="AM12" s="256">
        <f t="shared" si="18"/>
        <v>93725</v>
      </c>
      <c r="AN12" s="256">
        <f t="shared" si="19"/>
        <v>131571.49020068371</v>
      </c>
    </row>
    <row r="13" spans="1:16152" hidden="1" x14ac:dyDescent="0.2">
      <c r="A13" s="3" t="str">
        <f>IF('Employee Detail FY26'!A13="","",'Employee Detail FY26'!A13)</f>
        <v/>
      </c>
      <c r="B13" s="3" t="str">
        <f>IF('Employee Detail FY26'!B13="","",'Employee Detail FY26'!B13)</f>
        <v/>
      </c>
      <c r="C13" s="3" t="str">
        <f>IF('Employee Detail FY26'!C13="","",'Employee Detail FY26'!C13)</f>
        <v/>
      </c>
      <c r="D13" s="3"/>
      <c r="E13" s="3" t="str">
        <f>IF('Employee Detail FY26'!E13="","",'Employee Detail FY26'!E13)</f>
        <v/>
      </c>
      <c r="F13" s="3" t="str">
        <f>IF('Employee Detail FY26'!F13="","",'Employee Detail FY26'!F13)</f>
        <v/>
      </c>
      <c r="G13" s="3" t="str">
        <f>IF('Employee Detail FY26'!G13="","",'Employee Detail FY26'!G13)</f>
        <v/>
      </c>
      <c r="H13" s="3"/>
      <c r="I13" s="255" t="str">
        <f>IF('Employee Detail FY26'!I13="","",'Employee Detail FY26'!I13)</f>
        <v/>
      </c>
      <c r="J13" s="255" t="str">
        <f>IF('Employee Detail FY26'!J13="","",'Employee Detail FY26'!J13)</f>
        <v/>
      </c>
      <c r="K13" s="255" t="str">
        <f>IF('Employee Detail FY26'!K13="","",'Employee Detail FY26'!K13)</f>
        <v/>
      </c>
      <c r="L13" s="255" t="str">
        <f>IF('Employee Detail FY26'!L13="","",'Employee Detail FY26'!L13)</f>
        <v/>
      </c>
      <c r="M13" s="92" t="str">
        <f>IF('Employee Detail FY26'!M13="","",'Employee Detail FY26'!M13)</f>
        <v/>
      </c>
      <c r="N13" s="3" t="str">
        <f>IF('Employee Detail FY26'!N13="","",'Employee Detail FY26'!N13)</f>
        <v/>
      </c>
      <c r="O13" s="3" t="str">
        <f>IF('Employee Detail FY26'!O13="","",'Employee Detail FY26'!O13)</f>
        <v/>
      </c>
      <c r="P13" s="3" t="str">
        <f>IF('Employee Detail FY26'!P13="","",'Employee Detail FY26'!P13)</f>
        <v/>
      </c>
      <c r="Q13" s="3" t="str">
        <f>IF('Employee Detail FY26'!Q13="","",'Employee Detail FY26'!Q13)</f>
        <v/>
      </c>
      <c r="R13" s="3" t="str">
        <f>IF('Employee Detail FY26'!R13="","",'Employee Detail FY26'!R13)</f>
        <v/>
      </c>
      <c r="S13" s="3" t="str">
        <f>IF('Employee Detail FY26'!S13="","",'Employee Detail FY26'!S13)</f>
        <v/>
      </c>
      <c r="T13" s="263" t="str">
        <f t="shared" si="6"/>
        <v/>
      </c>
      <c r="U13" s="269">
        <f>IF('Employee Detail FY26'!U13="","",'Employee Detail FY26'!U13)</f>
        <v>0</v>
      </c>
      <c r="V13" s="270">
        <f t="shared" si="7"/>
        <v>0</v>
      </c>
      <c r="W13" s="270" t="str">
        <f t="shared" si="8"/>
        <v/>
      </c>
      <c r="X13" s="270" t="str">
        <f t="shared" si="9"/>
        <v/>
      </c>
      <c r="Y13" s="62">
        <v>0</v>
      </c>
      <c r="Z13" s="62">
        <v>0</v>
      </c>
      <c r="AA13" s="256">
        <f t="shared" si="10"/>
        <v>0</v>
      </c>
      <c r="AB13" s="3"/>
      <c r="AC13" s="62" t="str">
        <f t="shared" si="11"/>
        <v/>
      </c>
      <c r="AD13" s="62" t="str">
        <f t="shared" si="12"/>
        <v/>
      </c>
      <c r="AE13" s="62" t="str">
        <f t="shared" si="13"/>
        <v/>
      </c>
      <c r="AF13" s="62" t="str">
        <f t="shared" si="14"/>
        <v/>
      </c>
      <c r="AG13" s="192">
        <v>0</v>
      </c>
      <c r="AH13" s="62" t="str">
        <f t="shared" si="15"/>
        <v/>
      </c>
      <c r="AI13" s="62">
        <f t="shared" si="16"/>
        <v>0</v>
      </c>
      <c r="AJ13" s="62"/>
      <c r="AK13" s="62">
        <v>0</v>
      </c>
      <c r="AL13" s="256">
        <f t="shared" si="17"/>
        <v>0</v>
      </c>
      <c r="AM13" s="256">
        <f t="shared" si="18"/>
        <v>0</v>
      </c>
      <c r="AN13" s="256">
        <f t="shared" si="19"/>
        <v>0</v>
      </c>
    </row>
    <row r="14" spans="1:16152" x14ac:dyDescent="0.2">
      <c r="A14" s="3" t="str">
        <f>IF('Employee Detail FY26'!A14="","",'Employee Detail FY26'!A14)</f>
        <v/>
      </c>
      <c r="B14" s="3">
        <f>IF('Employee Detail FY26'!B14="","",'Employee Detail FY26'!B14)</f>
        <v>100</v>
      </c>
      <c r="C14" s="3" t="str">
        <f>IF('Employee Detail FY26'!C14="","",'Employee Detail FY26'!C14)</f>
        <v>000</v>
      </c>
      <c r="D14" s="3"/>
      <c r="E14" s="3">
        <f>IF('Employee Detail FY26'!E14="","",'Employee Detail FY26'!E14)</f>
        <v>100</v>
      </c>
      <c r="F14" s="3">
        <f>IF('Employee Detail FY26'!F14="","",'Employee Detail FY26'!F14)</f>
        <v>1000</v>
      </c>
      <c r="G14" s="3" t="str">
        <f>IF('Employee Detail FY26'!G14="","",'Employee Detail FY26'!G14)</f>
        <v>0101</v>
      </c>
      <c r="H14" s="3"/>
      <c r="I14" s="255" t="str">
        <f>IF('Employee Detail FY26'!I14="","",'Employee Detail FY26'!I14)</f>
        <v>BAILEY</v>
      </c>
      <c r="J14" s="255" t="str">
        <f>IF('Employee Detail FY26'!J14="","",'Employee Detail FY26'!J14)</f>
        <v>SANDRA</v>
      </c>
      <c r="K14" s="255" t="str">
        <f>IF('Employee Detail FY26'!K14="","",'Employee Detail FY26'!K14)</f>
        <v>Licensed Staff</v>
      </c>
      <c r="L14" s="255" t="str">
        <f>IF('Employee Detail FY26'!L14="","",'Employee Detail FY26'!L14)</f>
        <v>TEACHER</v>
      </c>
      <c r="M14" s="92">
        <f>IF('Employee Detail FY26'!M14="","",'Employee Detail FY26'!M14)</f>
        <v>1</v>
      </c>
      <c r="N14" s="3" t="str">
        <f>IF('Employee Detail FY26'!N14="","",'Employee Detail FY26'!N14)</f>
        <v>S</v>
      </c>
      <c r="O14" s="3">
        <f>IF('Employee Detail FY26'!O14="","",'Employee Detail FY26'!O14)</f>
        <v>1</v>
      </c>
      <c r="P14" s="3" t="str">
        <f>IF('Employee Detail FY26'!P14="","",'Employee Detail FY26'!P14)</f>
        <v>EE</v>
      </c>
      <c r="Q14" s="3" t="str">
        <f>IF('Employee Detail FY26'!Q14="","",'Employee Detail FY26'!Q14)</f>
        <v/>
      </c>
      <c r="R14" s="3">
        <f>IF('Employee Detail FY26'!R14="","",'Employee Detail FY26'!R14)</f>
        <v>200</v>
      </c>
      <c r="S14" s="3">
        <f>IF('Employee Detail FY26'!S14="","",'Employee Detail FY26'!S14)</f>
        <v>8</v>
      </c>
      <c r="T14" s="263">
        <f t="shared" si="6"/>
        <v>1600</v>
      </c>
      <c r="U14" s="269">
        <f>IF('Employee Detail FY26'!U14="","",'Employee Detail FY26'!U14)</f>
        <v>44380</v>
      </c>
      <c r="V14" s="270">
        <f t="shared" si="7"/>
        <v>51036.999999999993</v>
      </c>
      <c r="W14" s="270">
        <f t="shared" si="8"/>
        <v>58875.56868199999</v>
      </c>
      <c r="X14" s="270">
        <f t="shared" si="9"/>
        <v>58875.56868199999</v>
      </c>
      <c r="Y14" s="62">
        <v>0</v>
      </c>
      <c r="Z14" s="62">
        <v>0</v>
      </c>
      <c r="AA14" s="256">
        <f t="shared" si="10"/>
        <v>58875.56868199999</v>
      </c>
      <c r="AB14" s="3"/>
      <c r="AC14" s="62">
        <f t="shared" si="11"/>
        <v>7943.76</v>
      </c>
      <c r="AD14" s="62" t="str">
        <f t="shared" si="12"/>
        <v/>
      </c>
      <c r="AE14" s="62">
        <f t="shared" si="13"/>
        <v>8978.5242240049974</v>
      </c>
      <c r="AF14" s="62">
        <f t="shared" si="14"/>
        <v>853.69574588899991</v>
      </c>
      <c r="AG14" s="192">
        <v>0</v>
      </c>
      <c r="AH14" s="62">
        <f t="shared" si="15"/>
        <v>535.90521462917354</v>
      </c>
      <c r="AI14" s="62">
        <f t="shared" si="16"/>
        <v>173.40024891301587</v>
      </c>
      <c r="AJ14" s="62"/>
      <c r="AK14" s="62">
        <v>0</v>
      </c>
      <c r="AL14" s="256">
        <f t="shared" si="17"/>
        <v>18485.285433436184</v>
      </c>
      <c r="AM14" s="256">
        <f t="shared" si="18"/>
        <v>58875.56868199999</v>
      </c>
      <c r="AN14" s="256">
        <f t="shared" si="19"/>
        <v>77360.854115436174</v>
      </c>
    </row>
    <row r="15" spans="1:16152" x14ac:dyDescent="0.2">
      <c r="A15" s="3" t="str">
        <f>IF('Employee Detail FY26'!A15="","",'Employee Detail FY26'!A15)</f>
        <v/>
      </c>
      <c r="B15" s="3">
        <f>IF('Employee Detail FY26'!B15="","",'Employee Detail FY26'!B15)</f>
        <v>100</v>
      </c>
      <c r="C15" s="3" t="str">
        <f>IF('Employee Detail FY26'!C15="","",'Employee Detail FY26'!C15)</f>
        <v>000</v>
      </c>
      <c r="D15" s="3"/>
      <c r="E15" s="3">
        <f>IF('Employee Detail FY26'!E15="","",'Employee Detail FY26'!E15)</f>
        <v>100</v>
      </c>
      <c r="F15" s="3">
        <f>IF('Employee Detail FY26'!F15="","",'Employee Detail FY26'!F15)</f>
        <v>1000</v>
      </c>
      <c r="G15" s="3" t="str">
        <f>IF('Employee Detail FY26'!G15="","",'Employee Detail FY26'!G15)</f>
        <v>0101</v>
      </c>
      <c r="H15" s="3"/>
      <c r="I15" s="255" t="str">
        <f>IF('Employee Detail FY26'!I15="","",'Employee Detail FY26'!I15)</f>
        <v>BALLEK</v>
      </c>
      <c r="J15" s="255" t="str">
        <f>IF('Employee Detail FY26'!J15="","",'Employee Detail FY26'!J15)</f>
        <v>DIANA</v>
      </c>
      <c r="K15" s="255" t="str">
        <f>IF('Employee Detail FY26'!K15="","",'Employee Detail FY26'!K15)</f>
        <v>Licensed Staff</v>
      </c>
      <c r="L15" s="255" t="str">
        <f>IF('Employee Detail FY26'!L15="","",'Employee Detail FY26'!L15)</f>
        <v>TEACHER</v>
      </c>
      <c r="M15" s="92">
        <f>IF('Employee Detail FY26'!M15="","",'Employee Detail FY26'!M15)</f>
        <v>1</v>
      </c>
      <c r="N15" s="3" t="str">
        <f>IF('Employee Detail FY26'!N15="","",'Employee Detail FY26'!N15)</f>
        <v/>
      </c>
      <c r="O15" s="3">
        <f>IF('Employee Detail FY26'!O15="","",'Employee Detail FY26'!O15)</f>
        <v>26</v>
      </c>
      <c r="P15" s="3" t="str">
        <f>IF('Employee Detail FY26'!P15="","",'Employee Detail FY26'!P15)</f>
        <v>ER</v>
      </c>
      <c r="Q15" s="3" t="str">
        <f>IF('Employee Detail FY26'!Q15="","",'Employee Detail FY26'!Q15)</f>
        <v/>
      </c>
      <c r="R15" s="3">
        <f>IF('Employee Detail FY26'!R15="","",'Employee Detail FY26'!R15)</f>
        <v>200</v>
      </c>
      <c r="S15" s="3">
        <f>IF('Employee Detail FY26'!S15="","",'Employee Detail FY26'!S15)</f>
        <v>8</v>
      </c>
      <c r="T15" s="263">
        <f t="shared" si="6"/>
        <v>1600</v>
      </c>
      <c r="U15" s="269">
        <f>IF('Employee Detail FY26'!U15="","",'Employee Detail FY26'!U15)</f>
        <v>55000</v>
      </c>
      <c r="V15" s="270">
        <f t="shared" si="7"/>
        <v>63249.999999999993</v>
      </c>
      <c r="W15" s="270" t="str">
        <f t="shared" si="8"/>
        <v/>
      </c>
      <c r="X15" s="270">
        <f t="shared" si="9"/>
        <v>63249.999999999993</v>
      </c>
      <c r="Y15" s="62">
        <v>0</v>
      </c>
      <c r="Z15" s="62">
        <v>0</v>
      </c>
      <c r="AA15" s="256">
        <f t="shared" si="10"/>
        <v>63249.999999999993</v>
      </c>
      <c r="AB15" s="3"/>
      <c r="AC15" s="62">
        <f t="shared" si="11"/>
        <v>7943.76</v>
      </c>
      <c r="AD15" s="62" t="str">
        <f t="shared" si="12"/>
        <v/>
      </c>
      <c r="AE15" s="62">
        <f t="shared" si="13"/>
        <v>18500.624999999996</v>
      </c>
      <c r="AF15" s="62">
        <f t="shared" si="14"/>
        <v>917.12499999999989</v>
      </c>
      <c r="AG15" s="192">
        <v>0</v>
      </c>
      <c r="AH15" s="62">
        <f t="shared" si="15"/>
        <v>575.72275876221363</v>
      </c>
      <c r="AI15" s="62">
        <f t="shared" si="16"/>
        <v>186.28381838630739</v>
      </c>
      <c r="AJ15" s="62"/>
      <c r="AK15" s="62">
        <v>0</v>
      </c>
      <c r="AL15" s="256">
        <f t="shared" si="17"/>
        <v>28123.516577148515</v>
      </c>
      <c r="AM15" s="256">
        <f t="shared" si="18"/>
        <v>63249.999999999993</v>
      </c>
      <c r="AN15" s="256">
        <f t="shared" si="19"/>
        <v>91373.516577148504</v>
      </c>
    </row>
    <row r="16" spans="1:16152" x14ac:dyDescent="0.2">
      <c r="A16" s="3" t="str">
        <f>IF('Employee Detail FY26'!A16="","",'Employee Detail FY26'!A16)</f>
        <v/>
      </c>
      <c r="B16" s="3">
        <f>IF('Employee Detail FY26'!B16="","",'Employee Detail FY26'!B16)</f>
        <v>100</v>
      </c>
      <c r="C16" s="3" t="str">
        <f>IF('Employee Detail FY26'!C16="","",'Employee Detail FY26'!C16)</f>
        <v>000</v>
      </c>
      <c r="D16" s="3"/>
      <c r="E16" s="3">
        <f>IF('Employee Detail FY26'!E16="","",'Employee Detail FY26'!E16)</f>
        <v>100</v>
      </c>
      <c r="F16" s="3">
        <f>IF('Employee Detail FY26'!F16="","",'Employee Detail FY26'!F16)</f>
        <v>1000</v>
      </c>
      <c r="G16" s="3" t="str">
        <f>IF('Employee Detail FY26'!G16="","",'Employee Detail FY26'!G16)</f>
        <v>0101</v>
      </c>
      <c r="H16" s="3"/>
      <c r="I16" s="255" t="str">
        <f>IF('Employee Detail FY26'!I16="","",'Employee Detail FY26'!I16)</f>
        <v>BLANCHARD</v>
      </c>
      <c r="J16" s="255" t="str">
        <f>IF('Employee Detail FY26'!J16="","",'Employee Detail FY26'!J16)</f>
        <v>BARBARA</v>
      </c>
      <c r="K16" s="255" t="str">
        <f>IF('Employee Detail FY26'!K16="","",'Employee Detail FY26'!K16)</f>
        <v>Licensed Staff</v>
      </c>
      <c r="L16" s="255" t="str">
        <f>IF('Employee Detail FY26'!L16="","",'Employee Detail FY26'!L16)</f>
        <v>TEACHER</v>
      </c>
      <c r="M16" s="92">
        <f>IF('Employee Detail FY26'!M16="","",'Employee Detail FY26'!M16)</f>
        <v>1</v>
      </c>
      <c r="N16" s="3" t="str">
        <f>IF('Employee Detail FY26'!N16="","",'Employee Detail FY26'!N16)</f>
        <v/>
      </c>
      <c r="O16" s="3">
        <f>IF('Employee Detail FY26'!O16="","",'Employee Detail FY26'!O16)</f>
        <v>26</v>
      </c>
      <c r="P16" s="3" t="str">
        <f>IF('Employee Detail FY26'!P16="","",'Employee Detail FY26'!P16)</f>
        <v>ER</v>
      </c>
      <c r="Q16" s="3" t="str">
        <f>IF('Employee Detail FY26'!Q16="","",'Employee Detail FY26'!Q16)</f>
        <v/>
      </c>
      <c r="R16" s="3">
        <f>IF('Employee Detail FY26'!R16="","",'Employee Detail FY26'!R16)</f>
        <v>200</v>
      </c>
      <c r="S16" s="3">
        <f>IF('Employee Detail FY26'!S16="","",'Employee Detail FY26'!S16)</f>
        <v>8</v>
      </c>
      <c r="T16" s="263">
        <f t="shared" si="6"/>
        <v>1600</v>
      </c>
      <c r="U16" s="269">
        <f>IF('Employee Detail FY26'!U16="","",'Employee Detail FY26'!U16)</f>
        <v>55000</v>
      </c>
      <c r="V16" s="270">
        <f t="shared" si="7"/>
        <v>63249.999999999993</v>
      </c>
      <c r="W16" s="270" t="str">
        <f t="shared" si="8"/>
        <v/>
      </c>
      <c r="X16" s="270">
        <f t="shared" si="9"/>
        <v>63249.999999999993</v>
      </c>
      <c r="Y16" s="62">
        <v>0</v>
      </c>
      <c r="Z16" s="62">
        <v>0</v>
      </c>
      <c r="AA16" s="256">
        <f t="shared" si="10"/>
        <v>63249.999999999993</v>
      </c>
      <c r="AB16" s="3"/>
      <c r="AC16" s="62">
        <f t="shared" si="11"/>
        <v>7943.76</v>
      </c>
      <c r="AD16" s="62" t="str">
        <f t="shared" si="12"/>
        <v/>
      </c>
      <c r="AE16" s="62">
        <f t="shared" si="13"/>
        <v>18500.624999999996</v>
      </c>
      <c r="AF16" s="62">
        <f t="shared" si="14"/>
        <v>917.12499999999989</v>
      </c>
      <c r="AG16" s="192">
        <v>0</v>
      </c>
      <c r="AH16" s="62">
        <f t="shared" si="15"/>
        <v>575.72275876221363</v>
      </c>
      <c r="AI16" s="62">
        <f t="shared" si="16"/>
        <v>186.28381838630739</v>
      </c>
      <c r="AJ16" s="62"/>
      <c r="AK16" s="62">
        <v>0</v>
      </c>
      <c r="AL16" s="256">
        <f t="shared" si="17"/>
        <v>28123.516577148515</v>
      </c>
      <c r="AM16" s="256">
        <f t="shared" si="18"/>
        <v>63249.999999999993</v>
      </c>
      <c r="AN16" s="256">
        <f t="shared" si="19"/>
        <v>91373.516577148504</v>
      </c>
    </row>
    <row r="17" spans="1:40" x14ac:dyDescent="0.2">
      <c r="A17" s="3" t="str">
        <f>IF('Employee Detail FY26'!A17="","",'Employee Detail FY26'!A17)</f>
        <v/>
      </c>
      <c r="B17" s="3" t="str">
        <f>IF('Employee Detail FY26'!B17="","",'Employee Detail FY26'!B17)</f>
        <v>100</v>
      </c>
      <c r="C17" s="3" t="str">
        <f>IF('Employee Detail FY26'!C17="","",'Employee Detail FY26'!C17)</f>
        <v>000</v>
      </c>
      <c r="D17" s="3"/>
      <c r="E17" s="3" t="str">
        <f>IF('Employee Detail FY26'!E17="","",'Employee Detail FY26'!E17)</f>
        <v>100</v>
      </c>
      <c r="F17" s="3">
        <f>IF('Employee Detail FY26'!F17="","",'Employee Detail FY26'!F17)</f>
        <v>1000</v>
      </c>
      <c r="G17" s="3" t="str">
        <f>IF('Employee Detail FY26'!G17="","",'Employee Detail FY26'!G17)</f>
        <v>0101</v>
      </c>
      <c r="H17" s="3"/>
      <c r="I17" s="255" t="str">
        <f>IF('Employee Detail FY26'!I17="","",'Employee Detail FY26'!I17)</f>
        <v>GRANT</v>
      </c>
      <c r="J17" s="255" t="str">
        <f>IF('Employee Detail FY26'!J17="","",'Employee Detail FY26'!J17)</f>
        <v>BRIEN</v>
      </c>
      <c r="K17" s="255" t="str">
        <f>IF('Employee Detail FY26'!K17="","",'Employee Detail FY26'!K17)</f>
        <v>Licensed Support Staff</v>
      </c>
      <c r="L17" s="255" t="str">
        <f>IF('Employee Detail FY26'!L17="","",'Employee Detail FY26'!L17)</f>
        <v>TEACHER</v>
      </c>
      <c r="M17" s="92">
        <f>IF('Employee Detail FY26'!M17="","",'Employee Detail FY26'!M17)</f>
        <v>1</v>
      </c>
      <c r="N17" s="3" t="str">
        <f>IF('Employee Detail FY26'!N17="","",'Employee Detail FY26'!N17)</f>
        <v>H</v>
      </c>
      <c r="O17" s="3">
        <f>IF('Employee Detail FY26'!O17="","",'Employee Detail FY26'!O17)</f>
        <v>26</v>
      </c>
      <c r="P17" s="3" t="str">
        <f>IF('Employee Detail FY26'!P17="","",'Employee Detail FY26'!P17)</f>
        <v>EE</v>
      </c>
      <c r="Q17" s="3" t="str">
        <f>IF('Employee Detail FY26'!Q17="","",'Employee Detail FY26'!Q17)</f>
        <v/>
      </c>
      <c r="R17" s="3">
        <f>IF('Employee Detail FY26'!R17="","",'Employee Detail FY26'!R17)</f>
        <v>200</v>
      </c>
      <c r="S17" s="3">
        <f>IF('Employee Detail FY26'!S17="","",'Employee Detail FY26'!S17)</f>
        <v>8</v>
      </c>
      <c r="T17" s="263">
        <f t="shared" si="6"/>
        <v>1600</v>
      </c>
      <c r="U17" s="269">
        <f>IF('Employee Detail FY26'!U17="","",'Employee Detail FY26'!U17)</f>
        <v>40725</v>
      </c>
      <c r="V17" s="270">
        <f t="shared" si="7"/>
        <v>46833.75</v>
      </c>
      <c r="W17" s="270">
        <f t="shared" si="8"/>
        <v>54026.7583275</v>
      </c>
      <c r="X17" s="270">
        <f t="shared" si="9"/>
        <v>54026.7583275</v>
      </c>
      <c r="Y17" s="62">
        <v>0</v>
      </c>
      <c r="Z17" s="62">
        <v>0</v>
      </c>
      <c r="AA17" s="256">
        <f t="shared" si="10"/>
        <v>54026.7583275</v>
      </c>
      <c r="AB17" s="3"/>
      <c r="AC17" s="62">
        <f t="shared" si="11"/>
        <v>7943.76</v>
      </c>
      <c r="AD17" s="62" t="str">
        <f t="shared" si="12"/>
        <v/>
      </c>
      <c r="AE17" s="62">
        <f t="shared" si="13"/>
        <v>8239.0806449437496</v>
      </c>
      <c r="AF17" s="62">
        <f t="shared" si="14"/>
        <v>783.38799574875009</v>
      </c>
      <c r="AG17" s="192">
        <v>0</v>
      </c>
      <c r="AH17" s="62">
        <f t="shared" si="15"/>
        <v>491.76971306383717</v>
      </c>
      <c r="AI17" s="62">
        <f t="shared" si="16"/>
        <v>159.11953891353252</v>
      </c>
      <c r="AJ17" s="62"/>
      <c r="AK17" s="62">
        <v>0</v>
      </c>
      <c r="AL17" s="256">
        <f t="shared" si="17"/>
        <v>17617.11789266987</v>
      </c>
      <c r="AM17" s="256">
        <f t="shared" si="18"/>
        <v>54026.7583275</v>
      </c>
      <c r="AN17" s="256">
        <f t="shared" si="19"/>
        <v>71643.87622016987</v>
      </c>
    </row>
    <row r="18" spans="1:40" x14ac:dyDescent="0.2">
      <c r="A18" s="3" t="str">
        <f>IF('Employee Detail FY26'!A18="","",'Employee Detail FY26'!A18)</f>
        <v/>
      </c>
      <c r="B18" s="3">
        <f>IF('Employee Detail FY26'!B18="","",'Employee Detail FY26'!B18)</f>
        <v>100</v>
      </c>
      <c r="C18" s="3" t="str">
        <f>IF('Employee Detail FY26'!C18="","",'Employee Detail FY26'!C18)</f>
        <v>000</v>
      </c>
      <c r="D18" s="3"/>
      <c r="E18" s="3">
        <f>IF('Employee Detail FY26'!E18="","",'Employee Detail FY26'!E18)</f>
        <v>100</v>
      </c>
      <c r="F18" s="3">
        <f>IF('Employee Detail FY26'!F18="","",'Employee Detail FY26'!F18)</f>
        <v>1000</v>
      </c>
      <c r="G18" s="3" t="str">
        <f>IF('Employee Detail FY26'!G18="","",'Employee Detail FY26'!G18)</f>
        <v>0101</v>
      </c>
      <c r="H18" s="3"/>
      <c r="I18" s="255" t="str">
        <f>IF('Employee Detail FY26'!I18="","",'Employee Detail FY26'!I18)</f>
        <v>LEWIS</v>
      </c>
      <c r="J18" s="255" t="str">
        <f>IF('Employee Detail FY26'!J18="","",'Employee Detail FY26'!J18)</f>
        <v>JENNIFER</v>
      </c>
      <c r="K18" s="255" t="str">
        <f>IF('Employee Detail FY26'!K18="","",'Employee Detail FY26'!K18)</f>
        <v>Licensed Staff</v>
      </c>
      <c r="L18" s="255" t="str">
        <f>IF('Employee Detail FY26'!L18="","",'Employee Detail FY26'!L18)</f>
        <v>TEACHER</v>
      </c>
      <c r="M18" s="92">
        <f>IF('Employee Detail FY26'!M18="","",'Employee Detail FY26'!M18)</f>
        <v>1</v>
      </c>
      <c r="N18" s="3" t="str">
        <f>IF('Employee Detail FY26'!N18="","",'Employee Detail FY26'!N18)</f>
        <v/>
      </c>
      <c r="O18" s="3">
        <f>IF('Employee Detail FY26'!O18="","",'Employee Detail FY26'!O18)</f>
        <v>26</v>
      </c>
      <c r="P18" s="3" t="str">
        <f>IF('Employee Detail FY26'!P18="","",'Employee Detail FY26'!P18)</f>
        <v>ER</v>
      </c>
      <c r="Q18" s="3" t="str">
        <f>IF('Employee Detail FY26'!Q18="","",'Employee Detail FY26'!Q18)</f>
        <v/>
      </c>
      <c r="R18" s="3">
        <f>IF('Employee Detail FY26'!R18="","",'Employee Detail FY26'!R18)</f>
        <v>200</v>
      </c>
      <c r="S18" s="3">
        <f>IF('Employee Detail FY26'!S18="","",'Employee Detail FY26'!S18)</f>
        <v>8</v>
      </c>
      <c r="T18" s="263">
        <f t="shared" si="6"/>
        <v>1600</v>
      </c>
      <c r="U18" s="269">
        <f>IF('Employee Detail FY26'!U18="","",'Employee Detail FY26'!U18)</f>
        <v>55000</v>
      </c>
      <c r="V18" s="270">
        <f t="shared" si="7"/>
        <v>63249.999999999993</v>
      </c>
      <c r="W18" s="270" t="str">
        <f t="shared" si="8"/>
        <v/>
      </c>
      <c r="X18" s="270">
        <f t="shared" si="9"/>
        <v>63249.999999999993</v>
      </c>
      <c r="Y18" s="62">
        <v>0</v>
      </c>
      <c r="Z18" s="62">
        <v>0</v>
      </c>
      <c r="AA18" s="256">
        <f t="shared" si="10"/>
        <v>63249.999999999993</v>
      </c>
      <c r="AB18" s="3"/>
      <c r="AC18" s="62">
        <f t="shared" si="11"/>
        <v>7943.76</v>
      </c>
      <c r="AD18" s="62" t="str">
        <f t="shared" si="12"/>
        <v/>
      </c>
      <c r="AE18" s="62">
        <f t="shared" si="13"/>
        <v>18500.624999999996</v>
      </c>
      <c r="AF18" s="62">
        <f t="shared" si="14"/>
        <v>917.12499999999989</v>
      </c>
      <c r="AG18" s="192">
        <v>0</v>
      </c>
      <c r="AH18" s="62">
        <f t="shared" si="15"/>
        <v>575.72275876221363</v>
      </c>
      <c r="AI18" s="62">
        <f t="shared" si="16"/>
        <v>186.28381838630739</v>
      </c>
      <c r="AJ18" s="62"/>
      <c r="AK18" s="62">
        <v>0</v>
      </c>
      <c r="AL18" s="256">
        <f t="shared" si="17"/>
        <v>28123.516577148515</v>
      </c>
      <c r="AM18" s="256">
        <f t="shared" si="18"/>
        <v>63249.999999999993</v>
      </c>
      <c r="AN18" s="256">
        <f t="shared" si="19"/>
        <v>91373.516577148504</v>
      </c>
    </row>
    <row r="19" spans="1:40" x14ac:dyDescent="0.2">
      <c r="A19" s="3" t="str">
        <f>IF('Employee Detail FY26'!A19="","",'Employee Detail FY26'!A19)</f>
        <v/>
      </c>
      <c r="B19" s="3">
        <f>IF('Employee Detail FY26'!B19="","",'Employee Detail FY26'!B19)</f>
        <v>100</v>
      </c>
      <c r="C19" s="3" t="str">
        <f>IF('Employee Detail FY26'!C19="","",'Employee Detail FY26'!C19)</f>
        <v>000</v>
      </c>
      <c r="D19" s="3"/>
      <c r="E19" s="3">
        <f>IF('Employee Detail FY26'!E19="","",'Employee Detail FY26'!E19)</f>
        <v>100</v>
      </c>
      <c r="F19" s="3">
        <f>IF('Employee Detail FY26'!F19="","",'Employee Detail FY26'!F19)</f>
        <v>1000</v>
      </c>
      <c r="G19" s="3" t="str">
        <f>IF('Employee Detail FY26'!G19="","",'Employee Detail FY26'!G19)</f>
        <v>0101</v>
      </c>
      <c r="H19" s="3"/>
      <c r="I19" s="255" t="str">
        <f>IF('Employee Detail FY26'!I19="","",'Employee Detail FY26'!I19)</f>
        <v>SEVERIN</v>
      </c>
      <c r="J19" s="255" t="str">
        <f>IF('Employee Detail FY26'!J19="","",'Employee Detail FY26'!J19)</f>
        <v>RYAN</v>
      </c>
      <c r="K19" s="255" t="str">
        <f>IF('Employee Detail FY26'!K19="","",'Employee Detail FY26'!K19)</f>
        <v>Licensed Staff</v>
      </c>
      <c r="L19" s="255" t="str">
        <f>IF('Employee Detail FY26'!L19="","",'Employee Detail FY26'!L19)</f>
        <v>TEACHER</v>
      </c>
      <c r="M19" s="92">
        <f>IF('Employee Detail FY26'!M19="","",'Employee Detail FY26'!M19)</f>
        <v>1</v>
      </c>
      <c r="N19" s="3" t="str">
        <f>IF('Employee Detail FY26'!N19="","",'Employee Detail FY26'!N19)</f>
        <v/>
      </c>
      <c r="O19" s="3">
        <f>IF('Employee Detail FY26'!O19="","",'Employee Detail FY26'!O19)</f>
        <v>26</v>
      </c>
      <c r="P19" s="3" t="str">
        <f>IF('Employee Detail FY26'!P19="","",'Employee Detail FY26'!P19)</f>
        <v>ER</v>
      </c>
      <c r="Q19" s="3" t="str">
        <f>IF('Employee Detail FY26'!Q19="","",'Employee Detail FY26'!Q19)</f>
        <v/>
      </c>
      <c r="R19" s="3">
        <f>IF('Employee Detail FY26'!R19="","",'Employee Detail FY26'!R19)</f>
        <v>200</v>
      </c>
      <c r="S19" s="3">
        <f>IF('Employee Detail FY26'!S19="","",'Employee Detail FY26'!S19)</f>
        <v>8</v>
      </c>
      <c r="T19" s="263">
        <f t="shared" si="6"/>
        <v>1600</v>
      </c>
      <c r="U19" s="269">
        <f>IF('Employee Detail FY26'!U19="","",'Employee Detail FY26'!U19)</f>
        <v>52840</v>
      </c>
      <c r="V19" s="270">
        <f t="shared" si="7"/>
        <v>60765.999999999993</v>
      </c>
      <c r="W19" s="270" t="str">
        <f t="shared" si="8"/>
        <v/>
      </c>
      <c r="X19" s="270">
        <f t="shared" si="9"/>
        <v>60765.999999999993</v>
      </c>
      <c r="Y19" s="62">
        <v>0</v>
      </c>
      <c r="Z19" s="62">
        <v>0</v>
      </c>
      <c r="AA19" s="256">
        <f t="shared" si="10"/>
        <v>60765.999999999993</v>
      </c>
      <c r="AB19" s="3"/>
      <c r="AC19" s="62">
        <f t="shared" si="11"/>
        <v>7943.76</v>
      </c>
      <c r="AD19" s="62" t="str">
        <f t="shared" si="12"/>
        <v/>
      </c>
      <c r="AE19" s="62">
        <f t="shared" si="13"/>
        <v>17774.054999999997</v>
      </c>
      <c r="AF19" s="62">
        <f t="shared" si="14"/>
        <v>881.10699999999997</v>
      </c>
      <c r="AG19" s="192">
        <v>0</v>
      </c>
      <c r="AH19" s="62">
        <f t="shared" si="15"/>
        <v>553.11255587264304</v>
      </c>
      <c r="AI19" s="62">
        <f t="shared" si="16"/>
        <v>178.96794479149966</v>
      </c>
      <c r="AJ19" s="62"/>
      <c r="AK19" s="62">
        <v>0</v>
      </c>
      <c r="AL19" s="256">
        <f t="shared" si="17"/>
        <v>27331.002500664137</v>
      </c>
      <c r="AM19" s="256">
        <f t="shared" si="18"/>
        <v>60765.999999999993</v>
      </c>
      <c r="AN19" s="256">
        <f t="shared" si="19"/>
        <v>88097.002500664123</v>
      </c>
    </row>
    <row r="20" spans="1:40" x14ac:dyDescent="0.2">
      <c r="A20" s="3" t="str">
        <f>IF('Employee Detail FY26'!A20="","",'Employee Detail FY26'!A20)</f>
        <v>VACANT</v>
      </c>
      <c r="B20" s="3">
        <f>IF('Employee Detail FY26'!B20="","",'Employee Detail FY26'!B20)</f>
        <v>100</v>
      </c>
      <c r="C20" s="3" t="str">
        <f>IF('Employee Detail FY26'!C20="","",'Employee Detail FY26'!C20)</f>
        <v>000</v>
      </c>
      <c r="D20" s="3"/>
      <c r="E20" s="3">
        <f>IF('Employee Detail FY26'!E20="","",'Employee Detail FY26'!E20)</f>
        <v>100</v>
      </c>
      <c r="F20" s="3">
        <f>IF('Employee Detail FY26'!F20="","",'Employee Detail FY26'!F20)</f>
        <v>1000</v>
      </c>
      <c r="G20" s="3" t="str">
        <f>IF('Employee Detail FY26'!G20="","",'Employee Detail FY26'!G20)</f>
        <v>0101</v>
      </c>
      <c r="H20" s="3"/>
      <c r="I20" s="255" t="str">
        <f>IF('Employee Detail FY26'!I20="","",'Employee Detail FY26'!I20)</f>
        <v>VACANT</v>
      </c>
      <c r="J20" s="255" t="str">
        <f>IF('Employee Detail FY26'!J20="","",'Employee Detail FY26'!J20)</f>
        <v>TBD</v>
      </c>
      <c r="K20" s="255" t="str">
        <f>IF('Employee Detail FY26'!K20="","",'Employee Detail FY26'!K20)</f>
        <v>Licensed Staff</v>
      </c>
      <c r="L20" s="255" t="str">
        <f>IF('Employee Detail FY26'!L20="","",'Employee Detail FY26'!L20)</f>
        <v>SOCIAL STUDIES TEACHER</v>
      </c>
      <c r="M20" s="92">
        <f>IF('Employee Detail FY26'!M20="","",'Employee Detail FY26'!M20)</f>
        <v>1</v>
      </c>
      <c r="N20" s="3" t="str">
        <f>IF('Employee Detail FY26'!N20="","",'Employee Detail FY26'!N20)</f>
        <v/>
      </c>
      <c r="O20" s="3">
        <f>IF('Employee Detail FY26'!O20="","",'Employee Detail FY26'!O20)</f>
        <v>26</v>
      </c>
      <c r="P20" s="3" t="str">
        <f>IF('Employee Detail FY26'!P20="","",'Employee Detail FY26'!P20)</f>
        <v>ER</v>
      </c>
      <c r="Q20" s="3" t="str">
        <f>IF('Employee Detail FY26'!Q20="","",'Employee Detail FY26'!Q20)</f>
        <v/>
      </c>
      <c r="R20" s="3">
        <f>IF('Employee Detail FY26'!R20="","",'Employee Detail FY26'!R20)</f>
        <v>200</v>
      </c>
      <c r="S20" s="3">
        <f>IF('Employee Detail FY26'!S20="","",'Employee Detail FY26'!S20)</f>
        <v>8</v>
      </c>
      <c r="T20" s="263">
        <f t="shared" si="6"/>
        <v>1600</v>
      </c>
      <c r="U20" s="269">
        <f>IF('Employee Detail FY26'!U20="","",'Employee Detail FY26'!U20)</f>
        <v>45500</v>
      </c>
      <c r="V20" s="270">
        <f t="shared" si="7"/>
        <v>52324.999999999993</v>
      </c>
      <c r="W20" s="270" t="str">
        <f t="shared" si="8"/>
        <v/>
      </c>
      <c r="X20" s="270">
        <f t="shared" si="9"/>
        <v>52324.999999999993</v>
      </c>
      <c r="Y20" s="62">
        <v>0</v>
      </c>
      <c r="Z20" s="62">
        <v>0</v>
      </c>
      <c r="AA20" s="256">
        <f t="shared" si="10"/>
        <v>52324.999999999993</v>
      </c>
      <c r="AB20" s="3"/>
      <c r="AC20" s="62">
        <f t="shared" si="11"/>
        <v>7943.76</v>
      </c>
      <c r="AD20" s="62" t="str">
        <f t="shared" si="12"/>
        <v/>
      </c>
      <c r="AE20" s="62">
        <f t="shared" si="13"/>
        <v>15305.062499999996</v>
      </c>
      <c r="AF20" s="62">
        <f t="shared" si="14"/>
        <v>758.71249999999998</v>
      </c>
      <c r="AG20" s="192">
        <v>0</v>
      </c>
      <c r="AH20" s="62">
        <f t="shared" si="15"/>
        <v>476.27973679419489</v>
      </c>
      <c r="AI20" s="62">
        <f t="shared" si="16"/>
        <v>154.10752248321793</v>
      </c>
      <c r="AJ20" s="62"/>
      <c r="AK20" s="62">
        <v>0</v>
      </c>
      <c r="AL20" s="256">
        <f t="shared" si="17"/>
        <v>24637.922259277409</v>
      </c>
      <c r="AM20" s="256">
        <f t="shared" si="18"/>
        <v>52324.999999999993</v>
      </c>
      <c r="AN20" s="256">
        <f t="shared" si="19"/>
        <v>76962.922259277402</v>
      </c>
    </row>
    <row r="21" spans="1:40" hidden="1" x14ac:dyDescent="0.2">
      <c r="A21" s="3" t="str">
        <f>IF('Employee Detail FY26'!A21="","",'Employee Detail FY26'!A21)</f>
        <v/>
      </c>
      <c r="B21" s="3" t="str">
        <f>IF('Employee Detail FY26'!B21="","",'Employee Detail FY26'!B21)</f>
        <v/>
      </c>
      <c r="C21" s="3" t="str">
        <f>IF('Employee Detail FY26'!C21="","",'Employee Detail FY26'!C21)</f>
        <v/>
      </c>
      <c r="D21" s="3"/>
      <c r="E21" s="3" t="str">
        <f>IF('Employee Detail FY26'!E21="","",'Employee Detail FY26'!E21)</f>
        <v/>
      </c>
      <c r="F21" s="3" t="str">
        <f>IF('Employee Detail FY26'!F21="","",'Employee Detail FY26'!F21)</f>
        <v/>
      </c>
      <c r="G21" s="3" t="str">
        <f>IF('Employee Detail FY26'!G21="","",'Employee Detail FY26'!G21)</f>
        <v/>
      </c>
      <c r="H21" s="3"/>
      <c r="I21" s="255" t="str">
        <f>IF('Employee Detail FY26'!I21="","",'Employee Detail FY26'!I21)</f>
        <v/>
      </c>
      <c r="J21" s="255" t="str">
        <f>IF('Employee Detail FY26'!J21="","",'Employee Detail FY26'!J21)</f>
        <v/>
      </c>
      <c r="K21" s="255" t="str">
        <f>IF('Employee Detail FY26'!K21="","",'Employee Detail FY26'!K21)</f>
        <v/>
      </c>
      <c r="L21" s="255" t="str">
        <f>IF('Employee Detail FY26'!L21="","",'Employee Detail FY26'!L21)</f>
        <v/>
      </c>
      <c r="M21" s="92" t="str">
        <f>IF('Employee Detail FY26'!M21="","",'Employee Detail FY26'!M21)</f>
        <v/>
      </c>
      <c r="N21" s="3" t="str">
        <f>IF('Employee Detail FY26'!N21="","",'Employee Detail FY26'!N21)</f>
        <v/>
      </c>
      <c r="O21" s="3" t="str">
        <f>IF('Employee Detail FY26'!O21="","",'Employee Detail FY26'!O21)</f>
        <v/>
      </c>
      <c r="P21" s="3" t="str">
        <f>IF('Employee Detail FY26'!P21="","",'Employee Detail FY26'!P21)</f>
        <v/>
      </c>
      <c r="Q21" s="3" t="str">
        <f>IF('Employee Detail FY26'!Q21="","",'Employee Detail FY26'!Q21)</f>
        <v/>
      </c>
      <c r="R21" s="3" t="str">
        <f>IF('Employee Detail FY26'!R21="","",'Employee Detail FY26'!R21)</f>
        <v/>
      </c>
      <c r="S21" s="3" t="str">
        <f>IF('Employee Detail FY26'!S21="","",'Employee Detail FY26'!S21)</f>
        <v/>
      </c>
      <c r="T21" s="263" t="str">
        <f t="shared" si="6"/>
        <v/>
      </c>
      <c r="U21" s="269">
        <f>IF('Employee Detail FY26'!U21="","",'Employee Detail FY26'!U21)</f>
        <v>45000</v>
      </c>
      <c r="V21" s="270">
        <f t="shared" si="7"/>
        <v>51749.999999999993</v>
      </c>
      <c r="W21" s="270" t="str">
        <f t="shared" si="8"/>
        <v/>
      </c>
      <c r="X21" s="270" t="str">
        <f t="shared" si="9"/>
        <v/>
      </c>
      <c r="Y21" s="62">
        <v>0</v>
      </c>
      <c r="Z21" s="62">
        <v>0</v>
      </c>
      <c r="AA21" s="256">
        <f t="shared" si="10"/>
        <v>0</v>
      </c>
      <c r="AB21" s="3"/>
      <c r="AC21" s="62" t="str">
        <f t="shared" si="11"/>
        <v/>
      </c>
      <c r="AD21" s="62" t="str">
        <f t="shared" si="12"/>
        <v/>
      </c>
      <c r="AE21" s="62" t="str">
        <f t="shared" si="13"/>
        <v/>
      </c>
      <c r="AF21" s="62" t="str">
        <f t="shared" si="14"/>
        <v/>
      </c>
      <c r="AG21" s="192">
        <v>0</v>
      </c>
      <c r="AH21" s="62" t="str">
        <f t="shared" si="15"/>
        <v/>
      </c>
      <c r="AI21" s="62">
        <f t="shared" si="16"/>
        <v>0</v>
      </c>
      <c r="AJ21" s="62"/>
      <c r="AK21" s="62">
        <v>0</v>
      </c>
      <c r="AL21" s="256">
        <f t="shared" si="17"/>
        <v>0</v>
      </c>
      <c r="AM21" s="256">
        <f t="shared" si="18"/>
        <v>0</v>
      </c>
      <c r="AN21" s="256">
        <f t="shared" si="19"/>
        <v>0</v>
      </c>
    </row>
    <row r="22" spans="1:40" x14ac:dyDescent="0.2">
      <c r="A22" s="3" t="str">
        <f>IF('Employee Detail FY26'!A22="","",'Employee Detail FY26'!A22)</f>
        <v/>
      </c>
      <c r="B22" s="3">
        <f>IF('Employee Detail FY26'!B22="","",'Employee Detail FY26'!B22)</f>
        <v>250</v>
      </c>
      <c r="C22" s="3" t="str">
        <f>IF('Employee Detail FY26'!C22="","",'Employee Detail FY26'!C22)</f>
        <v>000</v>
      </c>
      <c r="D22" s="3"/>
      <c r="E22" s="3">
        <f>IF('Employee Detail FY26'!E22="","",'Employee Detail FY26'!E22)</f>
        <v>200</v>
      </c>
      <c r="F22" s="3">
        <f>IF('Employee Detail FY26'!F22="","",'Employee Detail FY26'!F22)</f>
        <v>1000</v>
      </c>
      <c r="G22" s="3" t="str">
        <f>IF('Employee Detail FY26'!G22="","",'Employee Detail FY26'!G22)</f>
        <v>0101</v>
      </c>
      <c r="H22" s="3"/>
      <c r="I22" s="255" t="str">
        <f>IF('Employee Detail FY26'!I22="","",'Employee Detail FY26'!I22)</f>
        <v>CRAWFORD</v>
      </c>
      <c r="J22" s="255" t="str">
        <f>IF('Employee Detail FY26'!J22="","",'Employee Detail FY26'!J22)</f>
        <v>TONY</v>
      </c>
      <c r="K22" s="255" t="str">
        <f>IF('Employee Detail FY26'!K22="","",'Employee Detail FY26'!K22)</f>
        <v>Licensed Staff</v>
      </c>
      <c r="L22" s="255" t="str">
        <f>IF('Employee Detail FY26'!L22="","",'Employee Detail FY26'!L22)</f>
        <v>SPED TEACHER</v>
      </c>
      <c r="M22" s="92">
        <f>IF('Employee Detail FY26'!M22="","",'Employee Detail FY26'!M22)</f>
        <v>1</v>
      </c>
      <c r="N22" s="3" t="str">
        <f>IF('Employee Detail FY26'!N22="","",'Employee Detail FY26'!N22)</f>
        <v/>
      </c>
      <c r="O22" s="3">
        <f>IF('Employee Detail FY26'!O22="","",'Employee Detail FY26'!O22)</f>
        <v>26</v>
      </c>
      <c r="P22" s="3" t="str">
        <f>IF('Employee Detail FY26'!P22="","",'Employee Detail FY26'!P22)</f>
        <v>ER</v>
      </c>
      <c r="Q22" s="3" t="str">
        <f>IF('Employee Detail FY26'!Q22="","",'Employee Detail FY26'!Q22)</f>
        <v/>
      </c>
      <c r="R22" s="3">
        <f>IF('Employee Detail FY26'!R22="","",'Employee Detail FY26'!R22)</f>
        <v>200</v>
      </c>
      <c r="S22" s="3">
        <f>IF('Employee Detail FY26'!S22="","",'Employee Detail FY26'!S22)</f>
        <v>8</v>
      </c>
      <c r="T22" s="263">
        <f t="shared" si="6"/>
        <v>1600</v>
      </c>
      <c r="U22" s="269">
        <f>IF('Employee Detail FY26'!U22="","",'Employee Detail FY26'!U22)</f>
        <v>55000</v>
      </c>
      <c r="V22" s="270">
        <f t="shared" si="7"/>
        <v>63249.999999999993</v>
      </c>
      <c r="W22" s="270" t="str">
        <f t="shared" si="8"/>
        <v/>
      </c>
      <c r="X22" s="270">
        <f t="shared" si="9"/>
        <v>63249.999999999993</v>
      </c>
      <c r="Y22" s="62">
        <v>0</v>
      </c>
      <c r="Z22" s="62">
        <v>0</v>
      </c>
      <c r="AA22" s="256">
        <f t="shared" si="10"/>
        <v>63249.999999999993</v>
      </c>
      <c r="AB22" s="3"/>
      <c r="AC22" s="62">
        <f t="shared" si="11"/>
        <v>7943.76</v>
      </c>
      <c r="AD22" s="62" t="str">
        <f t="shared" si="12"/>
        <v/>
      </c>
      <c r="AE22" s="62">
        <f t="shared" si="13"/>
        <v>18500.624999999996</v>
      </c>
      <c r="AF22" s="62">
        <f t="shared" si="14"/>
        <v>917.12499999999989</v>
      </c>
      <c r="AG22" s="192">
        <v>0</v>
      </c>
      <c r="AH22" s="62">
        <f t="shared" si="15"/>
        <v>575.72275876221363</v>
      </c>
      <c r="AI22" s="62">
        <f t="shared" si="16"/>
        <v>186.28381838630739</v>
      </c>
      <c r="AJ22" s="62"/>
      <c r="AK22" s="62">
        <v>0</v>
      </c>
      <c r="AL22" s="256">
        <f t="shared" si="17"/>
        <v>28123.516577148515</v>
      </c>
      <c r="AM22" s="256">
        <f t="shared" si="18"/>
        <v>63249.999999999993</v>
      </c>
      <c r="AN22" s="256">
        <f t="shared" si="19"/>
        <v>91373.516577148504</v>
      </c>
    </row>
    <row r="23" spans="1:40" x14ac:dyDescent="0.2">
      <c r="A23" s="3" t="str">
        <f>IF('Employee Detail FY26'!A23="","",'Employee Detail FY26'!A23)</f>
        <v/>
      </c>
      <c r="B23" s="3">
        <f>IF('Employee Detail FY26'!B23="","",'Employee Detail FY26'!B23)</f>
        <v>250</v>
      </c>
      <c r="C23" s="3" t="str">
        <f>IF('Employee Detail FY26'!C23="","",'Employee Detail FY26'!C23)</f>
        <v>000</v>
      </c>
      <c r="D23" s="3"/>
      <c r="E23" s="3">
        <f>IF('Employee Detail FY26'!E23="","",'Employee Detail FY26'!E23)</f>
        <v>200</v>
      </c>
      <c r="F23" s="3">
        <f>IF('Employee Detail FY26'!F23="","",'Employee Detail FY26'!F23)</f>
        <v>1000</v>
      </c>
      <c r="G23" s="3" t="str">
        <f>IF('Employee Detail FY26'!G23="","",'Employee Detail FY26'!G23)</f>
        <v>0101</v>
      </c>
      <c r="H23" s="3"/>
      <c r="I23" s="255" t="str">
        <f>IF('Employee Detail FY26'!I23="","",'Employee Detail FY26'!I23)</f>
        <v>SPED TEACHER</v>
      </c>
      <c r="J23" s="255" t="str">
        <f>IF('Employee Detail FY26'!J23="","",'Employee Detail FY26'!J23)</f>
        <v>FY23</v>
      </c>
      <c r="K23" s="255" t="str">
        <f>IF('Employee Detail FY26'!K23="","",'Employee Detail FY26'!K23)</f>
        <v>Licensed Staff</v>
      </c>
      <c r="L23" s="255" t="str">
        <f>IF('Employee Detail FY26'!L23="","",'Employee Detail FY26'!L23)</f>
        <v>SPED TEACHER</v>
      </c>
      <c r="M23" s="92">
        <f>IF('Employee Detail FY26'!M23="","",'Employee Detail FY26'!M23)</f>
        <v>1</v>
      </c>
      <c r="N23" s="3" t="str">
        <f>IF('Employee Detail FY26'!N23="","",'Employee Detail FY26'!N23)</f>
        <v/>
      </c>
      <c r="O23" s="3" t="str">
        <f>IF('Employee Detail FY26'!O23="","",'Employee Detail FY26'!O23)</f>
        <v/>
      </c>
      <c r="P23" s="3" t="str">
        <f>IF('Employee Detail FY26'!P23="","",'Employee Detail FY26'!P23)</f>
        <v>ER</v>
      </c>
      <c r="Q23" s="3" t="str">
        <f>IF('Employee Detail FY26'!Q23="","",'Employee Detail FY26'!Q23)</f>
        <v/>
      </c>
      <c r="R23" s="3" t="str">
        <f>IF('Employee Detail FY26'!R23="","",'Employee Detail FY26'!R23)</f>
        <v/>
      </c>
      <c r="S23" s="3" t="str">
        <f>IF('Employee Detail FY26'!S23="","",'Employee Detail FY26'!S23)</f>
        <v/>
      </c>
      <c r="T23" s="263" t="str">
        <f t="shared" si="6"/>
        <v/>
      </c>
      <c r="U23" s="269">
        <f>IF('Employee Detail FY26'!U23="","",'Employee Detail FY26'!U23)</f>
        <v>45000</v>
      </c>
      <c r="V23" s="270">
        <f t="shared" si="7"/>
        <v>51749.999999999993</v>
      </c>
      <c r="W23" s="270" t="str">
        <f t="shared" si="8"/>
        <v/>
      </c>
      <c r="X23" s="270">
        <f t="shared" si="9"/>
        <v>51749.999999999993</v>
      </c>
      <c r="Y23" s="62">
        <v>0</v>
      </c>
      <c r="Z23" s="62">
        <v>0</v>
      </c>
      <c r="AA23" s="256">
        <f t="shared" si="10"/>
        <v>51749.999999999993</v>
      </c>
      <c r="AB23" s="3"/>
      <c r="AC23" s="62">
        <f t="shared" si="11"/>
        <v>7943.76</v>
      </c>
      <c r="AD23" s="62" t="str">
        <f t="shared" si="12"/>
        <v/>
      </c>
      <c r="AE23" s="62">
        <f t="shared" si="13"/>
        <v>15136.874999999996</v>
      </c>
      <c r="AF23" s="62">
        <f t="shared" si="14"/>
        <v>750.37499999999989</v>
      </c>
      <c r="AG23" s="192">
        <v>0</v>
      </c>
      <c r="AH23" s="62">
        <f t="shared" si="15"/>
        <v>471.04589353272024</v>
      </c>
      <c r="AI23" s="62">
        <f t="shared" si="16"/>
        <v>152.41403322516058</v>
      </c>
      <c r="AJ23" s="62"/>
      <c r="AK23" s="62">
        <v>0</v>
      </c>
      <c r="AL23" s="256">
        <f t="shared" si="17"/>
        <v>24454.469926757873</v>
      </c>
      <c r="AM23" s="256">
        <f t="shared" si="18"/>
        <v>51749.999999999993</v>
      </c>
      <c r="AN23" s="256">
        <f t="shared" si="19"/>
        <v>76204.469926757869</v>
      </c>
    </row>
    <row r="24" spans="1:40" x14ac:dyDescent="0.2">
      <c r="A24" s="3" t="str">
        <f>IF('Employee Detail FY26'!A24="","",'Employee Detail FY26'!A24)</f>
        <v>SPED IDEA</v>
      </c>
      <c r="B24" s="3" t="str">
        <f>IF('Employee Detail FY26'!B24="","",'Employee Detail FY26'!B24)</f>
        <v>280</v>
      </c>
      <c r="C24" s="3" t="str">
        <f>IF('Employee Detail FY26'!C24="","",'Employee Detail FY26'!C24)</f>
        <v>639</v>
      </c>
      <c r="D24" s="3"/>
      <c r="E24" s="3">
        <f>IF('Employee Detail FY26'!E24="","",'Employee Detail FY26'!E24)</f>
        <v>200</v>
      </c>
      <c r="F24" s="3">
        <f>IF('Employee Detail FY26'!F24="","",'Employee Detail FY26'!F24)</f>
        <v>1000</v>
      </c>
      <c r="G24" s="3" t="str">
        <f>IF('Employee Detail FY26'!G24="","",'Employee Detail FY26'!G24)</f>
        <v>0101</v>
      </c>
      <c r="H24" s="3"/>
      <c r="I24" s="255" t="str">
        <f>IF('Employee Detail FY26'!I24="","",'Employee Detail FY26'!I24)</f>
        <v>JOHNSON</v>
      </c>
      <c r="J24" s="255" t="str">
        <f>IF('Employee Detail FY26'!J24="","",'Employee Detail FY26'!J24)</f>
        <v>KEVIN</v>
      </c>
      <c r="K24" s="255" t="str">
        <f>IF('Employee Detail FY26'!K24="","",'Employee Detail FY26'!K24)</f>
        <v>Licensed Staff</v>
      </c>
      <c r="L24" s="255" t="str">
        <f>IF('Employee Detail FY26'!L24="","",'Employee Detail FY26'!L24)</f>
        <v>SPED TEACHER</v>
      </c>
      <c r="M24" s="92">
        <f>IF('Employee Detail FY26'!M24="","",'Employee Detail FY26'!M24)</f>
        <v>1</v>
      </c>
      <c r="N24" s="3" t="str">
        <f>IF('Employee Detail FY26'!N24="","",'Employee Detail FY26'!N24)</f>
        <v/>
      </c>
      <c r="O24" s="3">
        <f>IF('Employee Detail FY26'!O24="","",'Employee Detail FY26'!O24)</f>
        <v>26</v>
      </c>
      <c r="P24" s="3" t="str">
        <f>IF('Employee Detail FY26'!P24="","",'Employee Detail FY26'!P24)</f>
        <v>ER</v>
      </c>
      <c r="Q24" s="3" t="str">
        <f>IF('Employee Detail FY26'!Q24="","",'Employee Detail FY26'!Q24)</f>
        <v/>
      </c>
      <c r="R24" s="3">
        <f>IF('Employee Detail FY26'!R24="","",'Employee Detail FY26'!R24)</f>
        <v>200</v>
      </c>
      <c r="S24" s="3">
        <f>IF('Employee Detail FY26'!S24="","",'Employee Detail FY26'!S24)</f>
        <v>8</v>
      </c>
      <c r="T24" s="263">
        <f t="shared" si="6"/>
        <v>1600</v>
      </c>
      <c r="U24" s="269">
        <f>IF('Employee Detail FY26'!U24="","",'Employee Detail FY26'!U24)</f>
        <v>49792</v>
      </c>
      <c r="V24" s="270">
        <f t="shared" si="7"/>
        <v>57260.799999999996</v>
      </c>
      <c r="W24" s="270" t="str">
        <f t="shared" si="8"/>
        <v/>
      </c>
      <c r="X24" s="270">
        <f t="shared" si="9"/>
        <v>57260.799999999996</v>
      </c>
      <c r="Y24" s="62">
        <v>0</v>
      </c>
      <c r="Z24" s="62">
        <v>0</v>
      </c>
      <c r="AA24" s="256">
        <f t="shared" si="10"/>
        <v>57260.799999999996</v>
      </c>
      <c r="AB24" s="3"/>
      <c r="AC24" s="62">
        <f t="shared" si="11"/>
        <v>7943.76</v>
      </c>
      <c r="AD24" s="62" t="str">
        <f t="shared" si="12"/>
        <v/>
      </c>
      <c r="AE24" s="62">
        <f t="shared" si="13"/>
        <v>16748.783999999996</v>
      </c>
      <c r="AF24" s="62">
        <f t="shared" si="14"/>
        <v>830.28160000000003</v>
      </c>
      <c r="AG24" s="192">
        <v>0</v>
      </c>
      <c r="AH24" s="62">
        <f t="shared" si="15"/>
        <v>521.20704735069353</v>
      </c>
      <c r="AI24" s="62">
        <f t="shared" si="16"/>
        <v>168.64443427438215</v>
      </c>
      <c r="AJ24" s="62"/>
      <c r="AK24" s="62">
        <v>0</v>
      </c>
      <c r="AL24" s="256">
        <f t="shared" si="17"/>
        <v>26212.677081625068</v>
      </c>
      <c r="AM24" s="256">
        <f t="shared" si="18"/>
        <v>57260.799999999996</v>
      </c>
      <c r="AN24" s="256">
        <f t="shared" si="19"/>
        <v>83473.477081625068</v>
      </c>
    </row>
    <row r="25" spans="1:40" x14ac:dyDescent="0.2">
      <c r="A25" s="3" t="str">
        <f>IF('Employee Detail FY26'!A25="","",'Employee Detail FY26'!A25)</f>
        <v>SPED IDEA</v>
      </c>
      <c r="B25" s="3" t="str">
        <f>IF('Employee Detail FY26'!B25="","",'Employee Detail FY26'!B25)</f>
        <v>280</v>
      </c>
      <c r="C25" s="3" t="str">
        <f>IF('Employee Detail FY26'!C25="","",'Employee Detail FY26'!C25)</f>
        <v>639</v>
      </c>
      <c r="D25" s="3"/>
      <c r="E25" s="3">
        <f>IF('Employee Detail FY26'!E25="","",'Employee Detail FY26'!E25)</f>
        <v>200</v>
      </c>
      <c r="F25" s="3">
        <f>IF('Employee Detail FY26'!F25="","",'Employee Detail FY26'!F25)</f>
        <v>1000</v>
      </c>
      <c r="G25" s="3" t="str">
        <f>IF('Employee Detail FY26'!G25="","",'Employee Detail FY26'!G25)</f>
        <v>0101</v>
      </c>
      <c r="H25" s="3"/>
      <c r="I25" s="255" t="str">
        <f>IF('Employee Detail FY26'!I25="","",'Employee Detail FY26'!I25)</f>
        <v>MINER-JAMES</v>
      </c>
      <c r="J25" s="255" t="str">
        <f>IF('Employee Detail FY26'!J25="","",'Employee Detail FY26'!J25)</f>
        <v>Diane</v>
      </c>
      <c r="K25" s="255" t="str">
        <f>IF('Employee Detail FY26'!K25="","",'Employee Detail FY26'!K25)</f>
        <v>Licensed Staff</v>
      </c>
      <c r="L25" s="255" t="str">
        <f>IF('Employee Detail FY26'!L25="","",'Employee Detail FY26'!L25)</f>
        <v>SPED TEACHER</v>
      </c>
      <c r="M25" s="92">
        <f>IF('Employee Detail FY26'!M25="","",'Employee Detail FY26'!M25)</f>
        <v>1</v>
      </c>
      <c r="N25" s="3" t="str">
        <f>IF('Employee Detail FY26'!N25="","",'Employee Detail FY26'!N25)</f>
        <v/>
      </c>
      <c r="O25" s="3">
        <f>IF('Employee Detail FY26'!O25="","",'Employee Detail FY26'!O25)</f>
        <v>26</v>
      </c>
      <c r="P25" s="3" t="str">
        <f>IF('Employee Detail FY26'!P25="","",'Employee Detail FY26'!P25)</f>
        <v>ER</v>
      </c>
      <c r="Q25" s="3" t="str">
        <f>IF('Employee Detail FY26'!Q25="","",'Employee Detail FY26'!Q25)</f>
        <v/>
      </c>
      <c r="R25" s="3">
        <f>IF('Employee Detail FY26'!R25="","",'Employee Detail FY26'!R25)</f>
        <v>200</v>
      </c>
      <c r="S25" s="3">
        <f>IF('Employee Detail FY26'!S25="","",'Employee Detail FY26'!S25)</f>
        <v>8</v>
      </c>
      <c r="T25" s="263">
        <f t="shared" si="6"/>
        <v>1600</v>
      </c>
      <c r="U25" s="269">
        <f>IF('Employee Detail FY26'!U25="","",'Employee Detail FY26'!U25)</f>
        <v>58339</v>
      </c>
      <c r="V25" s="270">
        <f t="shared" si="7"/>
        <v>67089.849999999991</v>
      </c>
      <c r="W25" s="270" t="str">
        <f t="shared" si="8"/>
        <v/>
      </c>
      <c r="X25" s="270">
        <f t="shared" si="9"/>
        <v>67089.849999999991</v>
      </c>
      <c r="Y25" s="62">
        <v>0</v>
      </c>
      <c r="Z25" s="62">
        <v>0</v>
      </c>
      <c r="AA25" s="256">
        <f t="shared" si="10"/>
        <v>67089.849999999991</v>
      </c>
      <c r="AB25" s="3"/>
      <c r="AC25" s="62">
        <f t="shared" si="11"/>
        <v>7943.76</v>
      </c>
      <c r="AD25" s="62" t="str">
        <f t="shared" si="12"/>
        <v/>
      </c>
      <c r="AE25" s="62">
        <f t="shared" si="13"/>
        <v>19623.781124999998</v>
      </c>
      <c r="AF25" s="62">
        <f t="shared" si="14"/>
        <v>972.80282499999987</v>
      </c>
      <c r="AG25" s="192">
        <v>0</v>
      </c>
      <c r="AH25" s="62">
        <f t="shared" si="15"/>
        <v>610.6743640623414</v>
      </c>
      <c r="AI25" s="62">
        <f t="shared" si="16"/>
        <v>197.5929396516143</v>
      </c>
      <c r="AJ25" s="62"/>
      <c r="AK25" s="62">
        <v>0</v>
      </c>
      <c r="AL25" s="256">
        <f t="shared" si="17"/>
        <v>29348.611253713952</v>
      </c>
      <c r="AM25" s="256">
        <f t="shared" si="18"/>
        <v>67089.849999999991</v>
      </c>
      <c r="AN25" s="256">
        <f t="shared" si="19"/>
        <v>96438.461253713947</v>
      </c>
    </row>
    <row r="26" spans="1:40" hidden="1" x14ac:dyDescent="0.2">
      <c r="A26" s="3" t="str">
        <f>IF('Employee Detail FY26'!A26="","",'Employee Detail FY26'!A26)</f>
        <v/>
      </c>
      <c r="B26" s="3" t="str">
        <f>IF('Employee Detail FY26'!B26="","",'Employee Detail FY26'!B26)</f>
        <v/>
      </c>
      <c r="C26" s="3" t="str">
        <f>IF('Employee Detail FY26'!C26="","",'Employee Detail FY26'!C26)</f>
        <v/>
      </c>
      <c r="D26" s="3"/>
      <c r="E26" s="3" t="str">
        <f>IF('Employee Detail FY26'!E26="","",'Employee Detail FY26'!E26)</f>
        <v/>
      </c>
      <c r="F26" s="3" t="str">
        <f>IF('Employee Detail FY26'!F26="","",'Employee Detail FY26'!F26)</f>
        <v/>
      </c>
      <c r="G26" s="3" t="str">
        <f>IF('Employee Detail FY26'!G26="","",'Employee Detail FY26'!G26)</f>
        <v/>
      </c>
      <c r="H26" s="3"/>
      <c r="I26" s="255" t="str">
        <f>IF('Employee Detail FY26'!I26="","",'Employee Detail FY26'!I26)</f>
        <v/>
      </c>
      <c r="J26" s="255" t="str">
        <f>IF('Employee Detail FY26'!J26="","",'Employee Detail FY26'!J26)</f>
        <v/>
      </c>
      <c r="K26" s="255" t="str">
        <f>IF('Employee Detail FY26'!K26="","",'Employee Detail FY26'!K26)</f>
        <v/>
      </c>
      <c r="L26" s="255" t="str">
        <f>IF('Employee Detail FY26'!L26="","",'Employee Detail FY26'!L26)</f>
        <v/>
      </c>
      <c r="M26" s="92" t="str">
        <f>IF('Employee Detail FY26'!M26="","",'Employee Detail FY26'!M26)</f>
        <v/>
      </c>
      <c r="N26" s="3" t="str">
        <f>IF('Employee Detail FY26'!N26="","",'Employee Detail FY26'!N26)</f>
        <v/>
      </c>
      <c r="O26" s="3" t="str">
        <f>IF('Employee Detail FY26'!O26="","",'Employee Detail FY26'!O26)</f>
        <v/>
      </c>
      <c r="P26" s="3" t="str">
        <f>IF('Employee Detail FY26'!P26="","",'Employee Detail FY26'!P26)</f>
        <v/>
      </c>
      <c r="Q26" s="3" t="str">
        <f>IF('Employee Detail FY26'!Q26="","",'Employee Detail FY26'!Q26)</f>
        <v/>
      </c>
      <c r="R26" s="3" t="str">
        <f>IF('Employee Detail FY26'!R26="","",'Employee Detail FY26'!R26)</f>
        <v/>
      </c>
      <c r="S26" s="3" t="str">
        <f>IF('Employee Detail FY26'!S26="","",'Employee Detail FY26'!S26)</f>
        <v/>
      </c>
      <c r="T26" s="263" t="str">
        <f t="shared" si="6"/>
        <v/>
      </c>
      <c r="U26" s="269" t="str">
        <f>IF('Employee Detail FY26'!U26="","",'Employee Detail FY26'!U26)</f>
        <v/>
      </c>
      <c r="V26" s="270" t="str">
        <f t="shared" si="7"/>
        <v/>
      </c>
      <c r="W26" s="270" t="str">
        <f t="shared" si="8"/>
        <v/>
      </c>
      <c r="X26" s="270" t="str">
        <f t="shared" si="9"/>
        <v/>
      </c>
      <c r="Y26" s="62">
        <v>0</v>
      </c>
      <c r="Z26" s="62">
        <v>0</v>
      </c>
      <c r="AA26" s="256">
        <f t="shared" si="10"/>
        <v>0</v>
      </c>
      <c r="AB26" s="3"/>
      <c r="AC26" s="62" t="str">
        <f t="shared" si="11"/>
        <v/>
      </c>
      <c r="AD26" s="62" t="str">
        <f t="shared" si="12"/>
        <v/>
      </c>
      <c r="AE26" s="62" t="str">
        <f t="shared" si="13"/>
        <v/>
      </c>
      <c r="AF26" s="62" t="str">
        <f t="shared" si="14"/>
        <v/>
      </c>
      <c r="AG26" s="192">
        <v>0</v>
      </c>
      <c r="AH26" s="62" t="str">
        <f t="shared" si="15"/>
        <v/>
      </c>
      <c r="AI26" s="62">
        <f t="shared" si="16"/>
        <v>0</v>
      </c>
      <c r="AJ26" s="62"/>
      <c r="AK26" s="62">
        <v>0</v>
      </c>
      <c r="AL26" s="256">
        <f t="shared" si="17"/>
        <v>0</v>
      </c>
      <c r="AM26" s="256">
        <f t="shared" si="18"/>
        <v>0</v>
      </c>
      <c r="AN26" s="256">
        <f t="shared" si="19"/>
        <v>0</v>
      </c>
    </row>
    <row r="27" spans="1:40" hidden="1" x14ac:dyDescent="0.2">
      <c r="A27" s="3" t="str">
        <f>IF('Employee Detail FY26'!A27="","",'Employee Detail FY26'!A27)</f>
        <v>ESSER II</v>
      </c>
      <c r="B27" s="3">
        <f>IF('Employee Detail FY26'!B27="","",'Employee Detail FY26'!B27)</f>
        <v>280</v>
      </c>
      <c r="C27" s="3">
        <f>IF('Employee Detail FY26'!C27="","",'Employee Detail FY26'!C27)</f>
        <v>741</v>
      </c>
      <c r="D27" s="3"/>
      <c r="E27" s="3" t="str">
        <f>IF('Employee Detail FY26'!E27="","",'Employee Detail FY26'!E27)</f>
        <v>100</v>
      </c>
      <c r="F27" s="3" t="str">
        <f>IF('Employee Detail FY26'!F27="","",'Employee Detail FY26'!F27)</f>
        <v>2110</v>
      </c>
      <c r="G27" s="3" t="str">
        <f>IF('Employee Detail FY26'!G27="","",'Employee Detail FY26'!G27)</f>
        <v>0106</v>
      </c>
      <c r="H27" s="3"/>
      <c r="I27" s="255" t="str">
        <f>IF('Employee Detail FY26'!I27="","",'Employee Detail FY26'!I27)</f>
        <v>VACANT</v>
      </c>
      <c r="J27" s="255" t="str">
        <f>IF('Employee Detail FY26'!J27="","",'Employee Detail FY26'!J27)</f>
        <v/>
      </c>
      <c r="K27" s="255" t="str">
        <f>IF('Employee Detail FY26'!K27="","",'Employee Detail FY26'!K27)</f>
        <v>Licensed Support Staff</v>
      </c>
      <c r="L27" s="255" t="str">
        <f>IF('Employee Detail FY26'!L27="","",'Employee Detail FY26'!L27)</f>
        <v xml:space="preserve">WRAP AROUND FACILITATOR (SOCIAL WORKER) </v>
      </c>
      <c r="M27" s="92">
        <f>IF('Employee Detail FY26'!M27="","",'Employee Detail FY26'!M27)</f>
        <v>1</v>
      </c>
      <c r="N27" s="3" t="str">
        <f>IF('Employee Detail FY26'!N27="","",'Employee Detail FY26'!N27)</f>
        <v/>
      </c>
      <c r="O27" s="3">
        <f>IF('Employee Detail FY26'!O27="","",'Employee Detail FY26'!O27)</f>
        <v>26</v>
      </c>
      <c r="P27" s="3" t="str">
        <f>IF('Employee Detail FY26'!P27="","",'Employee Detail FY26'!P27)</f>
        <v>EE</v>
      </c>
      <c r="Q27" s="3" t="str">
        <f>IF('Employee Detail FY26'!Q27="","",'Employee Detail FY26'!Q27)</f>
        <v/>
      </c>
      <c r="R27" s="3">
        <f>IF('Employee Detail FY26'!R27="","",'Employee Detail FY26'!R27)</f>
        <v>200</v>
      </c>
      <c r="S27" s="3">
        <f>IF('Employee Detail FY26'!S27="","",'Employee Detail FY26'!S27)</f>
        <v>8</v>
      </c>
      <c r="T27" s="263">
        <f t="shared" si="6"/>
        <v>1600</v>
      </c>
      <c r="U27" s="269">
        <f>IF('Employee Detail FY26'!U27="","",'Employee Detail FY26'!U27)</f>
        <v>39919</v>
      </c>
      <c r="V27" s="270">
        <f t="shared" si="7"/>
        <v>45906.85</v>
      </c>
      <c r="W27" s="270">
        <f t="shared" si="8"/>
        <v>52957.499464100001</v>
      </c>
      <c r="X27" s="270">
        <f t="shared" si="9"/>
        <v>52957.499464100001</v>
      </c>
      <c r="Y27" s="62">
        <v>0</v>
      </c>
      <c r="Z27" s="62">
        <v>0</v>
      </c>
      <c r="AA27" s="256">
        <f t="shared" si="10"/>
        <v>52957.499464100001</v>
      </c>
      <c r="AB27" s="3"/>
      <c r="AC27" s="62">
        <f t="shared" si="11"/>
        <v>7943.76</v>
      </c>
      <c r="AD27" s="62" t="str">
        <f t="shared" si="12"/>
        <v/>
      </c>
      <c r="AE27" s="62">
        <f t="shared" si="13"/>
        <v>8076.0186682752501</v>
      </c>
      <c r="AF27" s="62">
        <f t="shared" si="14"/>
        <v>767.88374222945004</v>
      </c>
      <c r="AG27" s="192">
        <v>0</v>
      </c>
      <c r="AH27" s="62">
        <f t="shared" si="15"/>
        <v>482.03695950387521</v>
      </c>
      <c r="AI27" s="62">
        <f t="shared" si="16"/>
        <v>155.97035908874903</v>
      </c>
      <c r="AJ27" s="62"/>
      <c r="AK27" s="62">
        <v>0</v>
      </c>
      <c r="AL27" s="256">
        <f t="shared" si="17"/>
        <v>17425.669729097324</v>
      </c>
      <c r="AM27" s="256">
        <f t="shared" si="18"/>
        <v>52957.499464100001</v>
      </c>
      <c r="AN27" s="256">
        <f t="shared" si="19"/>
        <v>70383.169193197333</v>
      </c>
    </row>
    <row r="28" spans="1:40" hidden="1" x14ac:dyDescent="0.2">
      <c r="A28" s="3" t="str">
        <f>IF('Employee Detail FY26'!A28="","",'Employee Detail FY26'!A28)</f>
        <v/>
      </c>
      <c r="B28" s="3" t="str">
        <f>IF('Employee Detail FY26'!B28="","",'Employee Detail FY26'!B28)</f>
        <v/>
      </c>
      <c r="C28" s="3" t="str">
        <f>IF('Employee Detail FY26'!C28="","",'Employee Detail FY26'!C28)</f>
        <v/>
      </c>
      <c r="D28" s="3"/>
      <c r="E28" s="3" t="str">
        <f>IF('Employee Detail FY26'!E28="","",'Employee Detail FY26'!E28)</f>
        <v/>
      </c>
      <c r="F28" s="3" t="str">
        <f>IF('Employee Detail FY26'!F28="","",'Employee Detail FY26'!F28)</f>
        <v/>
      </c>
      <c r="G28" s="3" t="str">
        <f>IF('Employee Detail FY26'!G28="","",'Employee Detail FY26'!G28)</f>
        <v/>
      </c>
      <c r="H28" s="3"/>
      <c r="I28" s="255" t="str">
        <f>IF('Employee Detail FY26'!I28="","",'Employee Detail FY26'!I28)</f>
        <v/>
      </c>
      <c r="J28" s="255" t="str">
        <f>IF('Employee Detail FY26'!J28="","",'Employee Detail FY26'!J28)</f>
        <v/>
      </c>
      <c r="K28" s="255" t="str">
        <f>IF('Employee Detail FY26'!K28="","",'Employee Detail FY26'!K28)</f>
        <v/>
      </c>
      <c r="L28" s="255" t="str">
        <f>IF('Employee Detail FY26'!L28="","",'Employee Detail FY26'!L28)</f>
        <v/>
      </c>
      <c r="M28" s="92" t="str">
        <f>IF('Employee Detail FY26'!M28="","",'Employee Detail FY26'!M28)</f>
        <v/>
      </c>
      <c r="N28" s="3" t="str">
        <f>IF('Employee Detail FY26'!N28="","",'Employee Detail FY26'!N28)</f>
        <v/>
      </c>
      <c r="O28" s="3" t="str">
        <f>IF('Employee Detail FY26'!O28="","",'Employee Detail FY26'!O28)</f>
        <v/>
      </c>
      <c r="P28" s="3" t="str">
        <f>IF('Employee Detail FY26'!P28="","",'Employee Detail FY26'!P28)</f>
        <v/>
      </c>
      <c r="Q28" s="3" t="str">
        <f>IF('Employee Detail FY26'!Q28="","",'Employee Detail FY26'!Q28)</f>
        <v/>
      </c>
      <c r="R28" s="3" t="str">
        <f>IF('Employee Detail FY26'!R28="","",'Employee Detail FY26'!R28)</f>
        <v/>
      </c>
      <c r="S28" s="3" t="str">
        <f>IF('Employee Detail FY26'!S28="","",'Employee Detail FY26'!S28)</f>
        <v/>
      </c>
      <c r="T28" s="263" t="str">
        <f t="shared" si="6"/>
        <v/>
      </c>
      <c r="U28" s="269" t="str">
        <f>IF('Employee Detail FY26'!U28="","",'Employee Detail FY26'!U28)</f>
        <v/>
      </c>
      <c r="V28" s="270" t="str">
        <f t="shared" si="7"/>
        <v/>
      </c>
      <c r="W28" s="270" t="str">
        <f t="shared" si="8"/>
        <v/>
      </c>
      <c r="X28" s="270" t="str">
        <f t="shared" si="9"/>
        <v/>
      </c>
      <c r="Y28" s="62">
        <v>0</v>
      </c>
      <c r="Z28" s="62">
        <v>0</v>
      </c>
      <c r="AA28" s="256">
        <f t="shared" si="10"/>
        <v>0</v>
      </c>
      <c r="AB28" s="3"/>
      <c r="AC28" s="62" t="str">
        <f t="shared" si="11"/>
        <v/>
      </c>
      <c r="AD28" s="62" t="str">
        <f t="shared" si="12"/>
        <v/>
      </c>
      <c r="AE28" s="62" t="str">
        <f t="shared" si="13"/>
        <v/>
      </c>
      <c r="AF28" s="62" t="str">
        <f t="shared" si="14"/>
        <v/>
      </c>
      <c r="AG28" s="192">
        <v>0</v>
      </c>
      <c r="AH28" s="62" t="str">
        <f t="shared" si="15"/>
        <v/>
      </c>
      <c r="AI28" s="62">
        <f t="shared" si="16"/>
        <v>0</v>
      </c>
      <c r="AJ28" s="62"/>
      <c r="AK28" s="62">
        <v>0</v>
      </c>
      <c r="AL28" s="256">
        <f t="shared" si="17"/>
        <v>0</v>
      </c>
      <c r="AM28" s="256">
        <f t="shared" si="18"/>
        <v>0</v>
      </c>
      <c r="AN28" s="256">
        <f t="shared" si="19"/>
        <v>0</v>
      </c>
    </row>
    <row r="29" spans="1:40" hidden="1" x14ac:dyDescent="0.2">
      <c r="A29" s="3" t="str">
        <f>IF('Employee Detail FY26'!A29="","",'Employee Detail FY26'!A29)</f>
        <v/>
      </c>
      <c r="B29" s="3" t="str">
        <f>IF('Employee Detail FY26'!B29="","",'Employee Detail FY26'!B29)</f>
        <v>100</v>
      </c>
      <c r="C29" s="3" t="str">
        <f>IF('Employee Detail FY26'!C29="","",'Employee Detail FY26'!C29)</f>
        <v>000</v>
      </c>
      <c r="D29" s="3"/>
      <c r="E29" s="3" t="str">
        <f>IF('Employee Detail FY26'!E29="","",'Employee Detail FY26'!E29)</f>
        <v>100</v>
      </c>
      <c r="F29" s="3" t="str">
        <f>IF('Employee Detail FY26'!F29="","",'Employee Detail FY26'!F29)</f>
        <v>2110</v>
      </c>
      <c r="G29" s="3" t="str">
        <f>IF('Employee Detail FY26'!G29="","",'Employee Detail FY26'!G29)</f>
        <v>0106</v>
      </c>
      <c r="H29" s="3"/>
      <c r="I29" s="255" t="str">
        <f>IF('Employee Detail FY26'!I29="","",'Employee Detail FY26'!I29)</f>
        <v>KAYS</v>
      </c>
      <c r="J29" s="255" t="str">
        <f>IF('Employee Detail FY26'!J29="","",'Employee Detail FY26'!J29)</f>
        <v>JILL</v>
      </c>
      <c r="K29" s="255" t="str">
        <f>IF('Employee Detail FY26'!K29="","",'Employee Detail FY26'!K29)</f>
        <v>Licensed Staff</v>
      </c>
      <c r="L29" s="255" t="str">
        <f>IF('Employee Detail FY26'!L29="","",'Employee Detail FY26'!L29)</f>
        <v>SOCIAL WORKER</v>
      </c>
      <c r="M29" s="92">
        <f>IF('Employee Detail FY26'!M29="","",'Employee Detail FY26'!M29)</f>
        <v>1</v>
      </c>
      <c r="N29" s="3" t="str">
        <f>IF('Employee Detail FY26'!N29="","",'Employee Detail FY26'!N29)</f>
        <v/>
      </c>
      <c r="O29" s="3">
        <f>IF('Employee Detail FY26'!O29="","",'Employee Detail FY26'!O29)</f>
        <v>26</v>
      </c>
      <c r="P29" s="3" t="str">
        <f>IF('Employee Detail FY26'!P29="","",'Employee Detail FY26'!P29)</f>
        <v>ER</v>
      </c>
      <c r="Q29" s="3" t="str">
        <f>IF('Employee Detail FY26'!Q29="","",'Employee Detail FY26'!Q29)</f>
        <v/>
      </c>
      <c r="R29" s="3">
        <f>IF('Employee Detail FY26'!R29="","",'Employee Detail FY26'!R29)</f>
        <v>200</v>
      </c>
      <c r="S29" s="3">
        <f>IF('Employee Detail FY26'!S29="","",'Employee Detail FY26'!S29)</f>
        <v>8</v>
      </c>
      <c r="T29" s="263">
        <f t="shared" si="6"/>
        <v>1600</v>
      </c>
      <c r="U29" s="269">
        <f>IF('Employee Detail FY26'!U29="","",'Employee Detail FY26'!U29)</f>
        <v>50788</v>
      </c>
      <c r="V29" s="270">
        <f t="shared" si="7"/>
        <v>58406.2</v>
      </c>
      <c r="W29" s="270" t="str">
        <f t="shared" si="8"/>
        <v/>
      </c>
      <c r="X29" s="270">
        <f t="shared" si="9"/>
        <v>58406.2</v>
      </c>
      <c r="Y29" s="62">
        <v>0</v>
      </c>
      <c r="Z29" s="62">
        <v>0</v>
      </c>
      <c r="AA29" s="256">
        <f t="shared" si="10"/>
        <v>58406.2</v>
      </c>
      <c r="AB29" s="3"/>
      <c r="AC29" s="62">
        <f t="shared" si="11"/>
        <v>7943.76</v>
      </c>
      <c r="AD29" s="62" t="str">
        <f t="shared" si="12"/>
        <v/>
      </c>
      <c r="AE29" s="62">
        <f t="shared" si="13"/>
        <v>17083.813499999997</v>
      </c>
      <c r="AF29" s="62">
        <f t="shared" si="14"/>
        <v>846.88990000000001</v>
      </c>
      <c r="AG29" s="192">
        <v>0</v>
      </c>
      <c r="AH29" s="62">
        <f t="shared" si="15"/>
        <v>531.63286312755099</v>
      </c>
      <c r="AI29" s="62">
        <f t="shared" si="16"/>
        <v>172.01786487643236</v>
      </c>
      <c r="AJ29" s="62"/>
      <c r="AK29" s="62">
        <v>0</v>
      </c>
      <c r="AL29" s="256">
        <f t="shared" si="17"/>
        <v>26578.114128003981</v>
      </c>
      <c r="AM29" s="256">
        <f t="shared" si="18"/>
        <v>58406.2</v>
      </c>
      <c r="AN29" s="256">
        <f t="shared" si="19"/>
        <v>84984.314128003985</v>
      </c>
    </row>
    <row r="30" spans="1:40" hidden="1" x14ac:dyDescent="0.2">
      <c r="A30" s="3" t="str">
        <f>IF('Employee Detail FY26'!A30="","",'Employee Detail FY26'!A30)</f>
        <v/>
      </c>
      <c r="B30" s="3">
        <f>IF('Employee Detail FY26'!B30="","",'Employee Detail FY26'!B30)</f>
        <v>100</v>
      </c>
      <c r="C30" s="3" t="str">
        <f>IF('Employee Detail FY26'!C30="","",'Employee Detail FY26'!C30)</f>
        <v>000</v>
      </c>
      <c r="D30" s="3"/>
      <c r="E30" s="3">
        <f>IF('Employee Detail FY26'!E30="","",'Employee Detail FY26'!E30)</f>
        <v>100</v>
      </c>
      <c r="F30" s="3">
        <f>IF('Employee Detail FY26'!F30="","",'Employee Detail FY26'!F30)</f>
        <v>2110</v>
      </c>
      <c r="G30" s="3" t="str">
        <f>IF('Employee Detail FY26'!G30="","",'Employee Detail FY26'!G30)</f>
        <v>0106</v>
      </c>
      <c r="H30" s="3"/>
      <c r="I30" s="255" t="str">
        <f>IF('Employee Detail FY26'!I30="","",'Employee Detail FY26'!I30)</f>
        <v>DIAZ</v>
      </c>
      <c r="J30" s="255" t="str">
        <f>IF('Employee Detail FY26'!J30="","",'Employee Detail FY26'!J30)</f>
        <v>ALBERTO</v>
      </c>
      <c r="K30" s="255" t="str">
        <f>IF('Employee Detail FY26'!K30="","",'Employee Detail FY26'!K30)</f>
        <v>Licensed Staff</v>
      </c>
      <c r="L30" s="255" t="str">
        <f>IF('Employee Detail FY26'!L30="","",'Employee Detail FY26'!L30)</f>
        <v>SOCIAL WORKER 01</v>
      </c>
      <c r="M30" s="92">
        <f>IF('Employee Detail FY26'!M30="","",'Employee Detail FY26'!M30)</f>
        <v>1</v>
      </c>
      <c r="N30" s="3" t="str">
        <f>IF('Employee Detail FY26'!N30="","",'Employee Detail FY26'!N30)</f>
        <v/>
      </c>
      <c r="O30" s="3">
        <f>IF('Employee Detail FY26'!O30="","",'Employee Detail FY26'!O30)</f>
        <v>26</v>
      </c>
      <c r="P30" s="3" t="str">
        <f>IF('Employee Detail FY26'!P30="","",'Employee Detail FY26'!P30)</f>
        <v>EE</v>
      </c>
      <c r="Q30" s="3" t="str">
        <f>IF('Employee Detail FY26'!Q30="","",'Employee Detail FY26'!Q30)</f>
        <v/>
      </c>
      <c r="R30" s="3">
        <f>IF('Employee Detail FY26'!R30="","",'Employee Detail FY26'!R30)</f>
        <v>200</v>
      </c>
      <c r="S30" s="3">
        <f>IF('Employee Detail FY26'!S30="","",'Employee Detail FY26'!S30)</f>
        <v>8</v>
      </c>
      <c r="T30" s="263">
        <f t="shared" si="6"/>
        <v>1600</v>
      </c>
      <c r="U30" s="269">
        <f>IF('Employee Detail FY26'!U30="","",'Employee Detail FY26'!U30)</f>
        <v>55000</v>
      </c>
      <c r="V30" s="270">
        <f t="shared" si="7"/>
        <v>63249.999999999993</v>
      </c>
      <c r="W30" s="270">
        <f t="shared" si="8"/>
        <v>72964.314499999993</v>
      </c>
      <c r="X30" s="270">
        <f t="shared" si="9"/>
        <v>72964.314499999993</v>
      </c>
      <c r="Y30" s="62">
        <v>0</v>
      </c>
      <c r="Z30" s="62">
        <v>0</v>
      </c>
      <c r="AA30" s="256">
        <f t="shared" si="10"/>
        <v>72964.314499999993</v>
      </c>
      <c r="AB30" s="3"/>
      <c r="AC30" s="62">
        <f t="shared" si="11"/>
        <v>7943.76</v>
      </c>
      <c r="AD30" s="62" t="str">
        <f t="shared" si="12"/>
        <v/>
      </c>
      <c r="AE30" s="62">
        <f t="shared" si="13"/>
        <v>11127.057961249999</v>
      </c>
      <c r="AF30" s="62">
        <f t="shared" si="14"/>
        <v>1057.98256025</v>
      </c>
      <c r="AG30" s="192">
        <v>0</v>
      </c>
      <c r="AH30" s="62">
        <f t="shared" si="15"/>
        <v>664.145714389467</v>
      </c>
      <c r="AI30" s="62">
        <f t="shared" si="16"/>
        <v>214.89440491698679</v>
      </c>
      <c r="AJ30" s="62"/>
      <c r="AK30" s="62">
        <v>0</v>
      </c>
      <c r="AL30" s="256">
        <f t="shared" si="17"/>
        <v>21007.840640806451</v>
      </c>
      <c r="AM30" s="256">
        <f t="shared" si="18"/>
        <v>72964.314499999993</v>
      </c>
      <c r="AN30" s="256">
        <f t="shared" si="19"/>
        <v>93972.155140806441</v>
      </c>
    </row>
    <row r="31" spans="1:40" hidden="1" x14ac:dyDescent="0.2">
      <c r="A31" s="3" t="str">
        <f>IF('Employee Detail FY26'!A31="","",'Employee Detail FY26'!A31)</f>
        <v>ESSER II</v>
      </c>
      <c r="B31" s="3">
        <f>IF('Employee Detail FY26'!B31="","",'Employee Detail FY26'!B31)</f>
        <v>280</v>
      </c>
      <c r="C31" s="3">
        <f>IF('Employee Detail FY26'!C31="","",'Employee Detail FY26'!C31)</f>
        <v>741</v>
      </c>
      <c r="D31" s="3"/>
      <c r="E31" s="3">
        <f>IF('Employee Detail FY26'!E31="","",'Employee Detail FY26'!E31)</f>
        <v>100</v>
      </c>
      <c r="F31" s="3">
        <f>IF('Employee Detail FY26'!F31="","",'Employee Detail FY26'!F31)</f>
        <v>2110</v>
      </c>
      <c r="G31" s="3" t="str">
        <f>IF('Employee Detail FY26'!G31="","",'Employee Detail FY26'!G31)</f>
        <v>0106</v>
      </c>
      <c r="H31" s="3"/>
      <c r="I31" s="255" t="str">
        <f>IF('Employee Detail FY26'!I31="","",'Employee Detail FY26'!I31)</f>
        <v>HERNANDEZ</v>
      </c>
      <c r="J31" s="255" t="str">
        <f>IF('Employee Detail FY26'!J31="","",'Employee Detail FY26'!J31)</f>
        <v>ALLISON</v>
      </c>
      <c r="K31" s="255" t="str">
        <f>IF('Employee Detail FY26'!K31="","",'Employee Detail FY26'!K31)</f>
        <v>Licensed Staff</v>
      </c>
      <c r="L31" s="255" t="str">
        <f>IF('Employee Detail FY26'!L31="","",'Employee Detail FY26'!L31)</f>
        <v>SOCIAL WORKER 02</v>
      </c>
      <c r="M31" s="92">
        <f>IF('Employee Detail FY26'!M31="","",'Employee Detail FY26'!M31)</f>
        <v>1</v>
      </c>
      <c r="N31" s="3" t="str">
        <f>IF('Employee Detail FY26'!N31="","",'Employee Detail FY26'!N31)</f>
        <v/>
      </c>
      <c r="O31" s="3">
        <f>IF('Employee Detail FY26'!O31="","",'Employee Detail FY26'!O31)</f>
        <v>26</v>
      </c>
      <c r="P31" s="3" t="str">
        <f>IF('Employee Detail FY26'!P31="","",'Employee Detail FY26'!P31)</f>
        <v>EE</v>
      </c>
      <c r="Q31" s="3" t="str">
        <f>IF('Employee Detail FY26'!Q31="","",'Employee Detail FY26'!Q31)</f>
        <v/>
      </c>
      <c r="R31" s="3">
        <f>IF('Employee Detail FY26'!R31="","",'Employee Detail FY26'!R31)</f>
        <v>200</v>
      </c>
      <c r="S31" s="3">
        <f>IF('Employee Detail FY26'!S31="","",'Employee Detail FY26'!S31)</f>
        <v>8</v>
      </c>
      <c r="T31" s="263">
        <f t="shared" si="6"/>
        <v>1600</v>
      </c>
      <c r="U31" s="269">
        <f>IF('Employee Detail FY26'!U31="","",'Employee Detail FY26'!U31)</f>
        <v>55000</v>
      </c>
      <c r="V31" s="270">
        <f t="shared" si="7"/>
        <v>63249.999999999993</v>
      </c>
      <c r="W31" s="270">
        <f t="shared" si="8"/>
        <v>72964.314499999993</v>
      </c>
      <c r="X31" s="270">
        <f t="shared" si="9"/>
        <v>72964.314499999993</v>
      </c>
      <c r="Y31" s="62">
        <v>0</v>
      </c>
      <c r="Z31" s="62">
        <v>0</v>
      </c>
      <c r="AA31" s="256">
        <f t="shared" si="10"/>
        <v>72964.314499999993</v>
      </c>
      <c r="AB31" s="3"/>
      <c r="AC31" s="62">
        <f t="shared" si="11"/>
        <v>7943.76</v>
      </c>
      <c r="AD31" s="62" t="str">
        <f t="shared" si="12"/>
        <v/>
      </c>
      <c r="AE31" s="62">
        <f t="shared" si="13"/>
        <v>11127.057961249999</v>
      </c>
      <c r="AF31" s="62">
        <f t="shared" si="14"/>
        <v>1057.98256025</v>
      </c>
      <c r="AG31" s="192">
        <v>0</v>
      </c>
      <c r="AH31" s="62">
        <f t="shared" si="15"/>
        <v>664.145714389467</v>
      </c>
      <c r="AI31" s="62">
        <f t="shared" si="16"/>
        <v>214.89440491698679</v>
      </c>
      <c r="AJ31" s="62"/>
      <c r="AK31" s="62">
        <v>0</v>
      </c>
      <c r="AL31" s="256">
        <f t="shared" si="17"/>
        <v>21007.840640806451</v>
      </c>
      <c r="AM31" s="256">
        <f t="shared" si="18"/>
        <v>72964.314499999993</v>
      </c>
      <c r="AN31" s="256">
        <f t="shared" si="19"/>
        <v>93972.155140806441</v>
      </c>
    </row>
    <row r="32" spans="1:40" hidden="1" x14ac:dyDescent="0.2">
      <c r="A32" s="3" t="str">
        <f>IF('Employee Detail FY26'!A32="","",'Employee Detail FY26'!A32)</f>
        <v/>
      </c>
      <c r="B32" s="3" t="str">
        <f>IF('Employee Detail FY26'!B32="","",'Employee Detail FY26'!B32)</f>
        <v/>
      </c>
      <c r="C32" s="3" t="str">
        <f>IF('Employee Detail FY26'!C32="","",'Employee Detail FY26'!C32)</f>
        <v/>
      </c>
      <c r="D32" s="3"/>
      <c r="E32" s="3" t="str">
        <f>IF('Employee Detail FY26'!E32="","",'Employee Detail FY26'!E32)</f>
        <v/>
      </c>
      <c r="F32" s="3" t="str">
        <f>IF('Employee Detail FY26'!F32="","",'Employee Detail FY26'!F32)</f>
        <v/>
      </c>
      <c r="G32" s="3" t="str">
        <f>IF('Employee Detail FY26'!G32="","",'Employee Detail FY26'!G32)</f>
        <v/>
      </c>
      <c r="H32" s="3"/>
      <c r="I32" s="255" t="str">
        <f>IF('Employee Detail FY26'!I32="","",'Employee Detail FY26'!I32)</f>
        <v/>
      </c>
      <c r="J32" s="255" t="str">
        <f>IF('Employee Detail FY26'!J32="","",'Employee Detail FY26'!J32)</f>
        <v/>
      </c>
      <c r="K32" s="255" t="str">
        <f>IF('Employee Detail FY26'!K32="","",'Employee Detail FY26'!K32)</f>
        <v/>
      </c>
      <c r="L32" s="255" t="str">
        <f>IF('Employee Detail FY26'!L32="","",'Employee Detail FY26'!L32)</f>
        <v/>
      </c>
      <c r="M32" s="92" t="str">
        <f>IF('Employee Detail FY26'!M32="","",'Employee Detail FY26'!M32)</f>
        <v/>
      </c>
      <c r="N32" s="3" t="str">
        <f>IF('Employee Detail FY26'!N32="","",'Employee Detail FY26'!N32)</f>
        <v/>
      </c>
      <c r="O32" s="3" t="str">
        <f>IF('Employee Detail FY26'!O32="","",'Employee Detail FY26'!O32)</f>
        <v/>
      </c>
      <c r="P32" s="3" t="str">
        <f>IF('Employee Detail FY26'!P32="","",'Employee Detail FY26'!P32)</f>
        <v/>
      </c>
      <c r="Q32" s="3" t="str">
        <f>IF('Employee Detail FY26'!Q32="","",'Employee Detail FY26'!Q32)</f>
        <v/>
      </c>
      <c r="R32" s="3" t="str">
        <f>IF('Employee Detail FY26'!R32="","",'Employee Detail FY26'!R32)</f>
        <v/>
      </c>
      <c r="S32" s="3" t="str">
        <f>IF('Employee Detail FY26'!S32="","",'Employee Detail FY26'!S32)</f>
        <v/>
      </c>
      <c r="T32" s="263" t="str">
        <f t="shared" si="6"/>
        <v/>
      </c>
      <c r="U32" s="269" t="str">
        <f>IF('Employee Detail FY26'!U32="","",'Employee Detail FY26'!U32)</f>
        <v/>
      </c>
      <c r="V32" s="270" t="str">
        <f t="shared" si="7"/>
        <v/>
      </c>
      <c r="W32" s="270" t="str">
        <f t="shared" si="8"/>
        <v/>
      </c>
      <c r="X32" s="270" t="str">
        <f t="shared" si="9"/>
        <v/>
      </c>
      <c r="Y32" s="62">
        <v>0</v>
      </c>
      <c r="Z32" s="62">
        <v>0</v>
      </c>
      <c r="AA32" s="256">
        <f t="shared" si="10"/>
        <v>0</v>
      </c>
      <c r="AB32" s="3"/>
      <c r="AC32" s="62" t="str">
        <f t="shared" si="11"/>
        <v/>
      </c>
      <c r="AD32" s="62" t="str">
        <f t="shared" si="12"/>
        <v/>
      </c>
      <c r="AE32" s="62" t="str">
        <f t="shared" si="13"/>
        <v/>
      </c>
      <c r="AF32" s="62" t="str">
        <f t="shared" si="14"/>
        <v/>
      </c>
      <c r="AG32" s="192">
        <v>0</v>
      </c>
      <c r="AH32" s="62" t="str">
        <f t="shared" si="15"/>
        <v/>
      </c>
      <c r="AI32" s="62">
        <f t="shared" si="16"/>
        <v>0</v>
      </c>
      <c r="AJ32" s="62"/>
      <c r="AK32" s="62">
        <v>0</v>
      </c>
      <c r="AL32" s="256">
        <f t="shared" si="17"/>
        <v>0</v>
      </c>
      <c r="AM32" s="256">
        <f t="shared" si="18"/>
        <v>0</v>
      </c>
      <c r="AN32" s="256">
        <f t="shared" si="19"/>
        <v>0</v>
      </c>
    </row>
    <row r="33" spans="1:40" hidden="1" x14ac:dyDescent="0.2">
      <c r="A33" s="3" t="str">
        <f>IF('Employee Detail FY26'!A33="","",'Employee Detail FY26'!A33)</f>
        <v/>
      </c>
      <c r="B33" s="3">
        <f>IF('Employee Detail FY26'!B33="","",'Employee Detail FY26'!B33)</f>
        <v>100</v>
      </c>
      <c r="C33" s="3" t="str">
        <f>IF('Employee Detail FY26'!C33="","",'Employee Detail FY26'!C33)</f>
        <v>000</v>
      </c>
      <c r="D33" s="3"/>
      <c r="E33" s="3">
        <f>IF('Employee Detail FY26'!E33="","",'Employee Detail FY26'!E33)</f>
        <v>100</v>
      </c>
      <c r="F33" s="3" t="str">
        <f>IF('Employee Detail FY26'!F33="","",'Employee Detail FY26'!F33)</f>
        <v>2120</v>
      </c>
      <c r="G33" s="3" t="str">
        <f>IF('Employee Detail FY26'!G33="","",'Employee Detail FY26'!G33)</f>
        <v>0106</v>
      </c>
      <c r="H33" s="3"/>
      <c r="I33" s="255" t="str">
        <f>IF('Employee Detail FY26'!I33="","",'Employee Detail FY26'!I33)</f>
        <v>BATES (BOLTON)</v>
      </c>
      <c r="J33" s="255" t="str">
        <f>IF('Employee Detail FY26'!J33="","",'Employee Detail FY26'!J33)</f>
        <v>TOISHAUNA</v>
      </c>
      <c r="K33" s="255" t="str">
        <f>IF('Employee Detail FY26'!K33="","",'Employee Detail FY26'!K33)</f>
        <v>Licensed Support Staff</v>
      </c>
      <c r="L33" s="255" t="str">
        <f>IF('Employee Detail FY26'!L33="","",'Employee Detail FY26'!L33)</f>
        <v>ACADEMIC COUNSELOR</v>
      </c>
      <c r="M33" s="92">
        <f>IF('Employee Detail FY26'!M33="","",'Employee Detail FY26'!M33)</f>
        <v>1</v>
      </c>
      <c r="N33" s="3" t="str">
        <f>IF('Employee Detail FY26'!N33="","",'Employee Detail FY26'!N33)</f>
        <v>S</v>
      </c>
      <c r="O33" s="3">
        <f>IF('Employee Detail FY26'!O33="","",'Employee Detail FY26'!O33)</f>
        <v>1</v>
      </c>
      <c r="P33" s="3" t="str">
        <f>IF('Employee Detail FY26'!P33="","",'Employee Detail FY26'!P33)</f>
        <v>EE</v>
      </c>
      <c r="Q33" s="3" t="str">
        <f>IF('Employee Detail FY26'!Q33="","",'Employee Detail FY26'!Q33)</f>
        <v/>
      </c>
      <c r="R33" s="3">
        <f>IF('Employee Detail FY26'!R33="","",'Employee Detail FY26'!R33)</f>
        <v>261</v>
      </c>
      <c r="S33" s="3">
        <f>IF('Employee Detail FY26'!S33="","",'Employee Detail FY26'!S33)</f>
        <v>8</v>
      </c>
      <c r="T33" s="263">
        <f t="shared" si="6"/>
        <v>2088</v>
      </c>
      <c r="U33" s="269">
        <f>IF('Employee Detail FY26'!U33="","",'Employee Detail FY26'!U33)</f>
        <v>62320</v>
      </c>
      <c r="V33" s="270">
        <f t="shared" si="7"/>
        <v>71668</v>
      </c>
      <c r="W33" s="270">
        <f t="shared" si="8"/>
        <v>82675.201448000007</v>
      </c>
      <c r="X33" s="270">
        <f t="shared" si="9"/>
        <v>82675.201448000007</v>
      </c>
      <c r="Y33" s="62">
        <v>0</v>
      </c>
      <c r="Z33" s="62">
        <v>0</v>
      </c>
      <c r="AA33" s="256">
        <f t="shared" si="10"/>
        <v>82675.201448000007</v>
      </c>
      <c r="AB33" s="3"/>
      <c r="AC33" s="62">
        <f t="shared" si="11"/>
        <v>7943.76</v>
      </c>
      <c r="AD33" s="62" t="str">
        <f t="shared" si="12"/>
        <v/>
      </c>
      <c r="AE33" s="62">
        <f t="shared" si="13"/>
        <v>12607.968220820001</v>
      </c>
      <c r="AF33" s="62">
        <f t="shared" si="14"/>
        <v>1198.7904209960002</v>
      </c>
      <c r="AG33" s="192">
        <v>0</v>
      </c>
      <c r="AH33" s="62">
        <f t="shared" si="15"/>
        <v>752.53747128639247</v>
      </c>
      <c r="AI33" s="62">
        <f t="shared" si="16"/>
        <v>243.49489662593854</v>
      </c>
      <c r="AJ33" s="62"/>
      <c r="AK33" s="62">
        <v>0</v>
      </c>
      <c r="AL33" s="256">
        <f t="shared" si="17"/>
        <v>22746.551009728333</v>
      </c>
      <c r="AM33" s="256">
        <f t="shared" si="18"/>
        <v>82675.201448000007</v>
      </c>
      <c r="AN33" s="256">
        <f t="shared" si="19"/>
        <v>105421.75245772835</v>
      </c>
    </row>
    <row r="34" spans="1:40" hidden="1" x14ac:dyDescent="0.2">
      <c r="A34" s="311" t="str">
        <f>IF('Employee Detail FY26'!A34="","",'Employee Detail FY26'!A34)</f>
        <v>VACANT</v>
      </c>
      <c r="B34" s="311">
        <f>IF('Employee Detail FY26'!B34="","",'Employee Detail FY26'!B34)</f>
        <v>100</v>
      </c>
      <c r="C34" s="311" t="str">
        <f>IF('Employee Detail FY26'!C34="","",'Employee Detail FY26'!C34)</f>
        <v>000</v>
      </c>
      <c r="D34" s="311"/>
      <c r="E34" s="311">
        <f>IF('Employee Detail FY26'!E34="","",'Employee Detail FY26'!E34)</f>
        <v>100</v>
      </c>
      <c r="F34" s="311" t="str">
        <f>IF('Employee Detail FY26'!F34="","",'Employee Detail FY26'!F34)</f>
        <v>2120</v>
      </c>
      <c r="G34" s="311" t="str">
        <f>IF('Employee Detail FY26'!G34="","",'Employee Detail FY26'!G34)</f>
        <v>0106</v>
      </c>
      <c r="H34" s="311"/>
      <c r="I34" s="312" t="str">
        <f>IF('Employee Detail FY26'!I34="","",'Employee Detail FY26'!I34)</f>
        <v>VACANT</v>
      </c>
      <c r="J34" s="312" t="str">
        <f>IF('Employee Detail FY26'!J34="","",'Employee Detail FY26'!J34)</f>
        <v>FY23</v>
      </c>
      <c r="K34" s="312" t="str">
        <f>IF('Employee Detail FY26'!K34="","",'Employee Detail FY26'!K34)</f>
        <v>Licensed Support Staff</v>
      </c>
      <c r="L34" s="312" t="str">
        <f>IF('Employee Detail FY26'!L34="","",'Employee Detail FY26'!L34)</f>
        <v>ACADEMIC COUNSELOR</v>
      </c>
      <c r="M34" s="92">
        <f>IF('Employee Detail FY26'!M34="","",'Employee Detail FY26'!M34)</f>
        <v>1</v>
      </c>
      <c r="N34" s="311" t="str">
        <f>IF('Employee Detail FY26'!N34="","",'Employee Detail FY26'!N34)</f>
        <v>S</v>
      </c>
      <c r="O34" s="311">
        <f>IF('Employee Detail FY26'!O34="","",'Employee Detail FY26'!O34)</f>
        <v>1</v>
      </c>
      <c r="P34" s="311" t="str">
        <f>IF('Employee Detail FY26'!P34="","",'Employee Detail FY26'!P34)</f>
        <v>EE</v>
      </c>
      <c r="Q34" s="311" t="str">
        <f>IF('Employee Detail FY26'!Q34="","",'Employee Detail FY26'!Q34)</f>
        <v/>
      </c>
      <c r="R34" s="311">
        <f>IF('Employee Detail FY26'!R34="","",'Employee Detail FY26'!R34)</f>
        <v>261</v>
      </c>
      <c r="S34" s="311">
        <f>IF('Employee Detail FY26'!S34="","",'Employee Detail FY26'!S34)</f>
        <v>8</v>
      </c>
      <c r="T34" s="263">
        <f t="shared" si="6"/>
        <v>2088</v>
      </c>
      <c r="U34" s="269">
        <f>IF('Employee Detail FY26'!U34="","",'Employee Detail FY26'!U34)</f>
        <v>62320</v>
      </c>
      <c r="V34" s="270">
        <f t="shared" si="7"/>
        <v>71668</v>
      </c>
      <c r="W34" s="270">
        <f t="shared" si="8"/>
        <v>82675.201448000007</v>
      </c>
      <c r="X34" s="270">
        <f t="shared" si="9"/>
        <v>82675.201448000007</v>
      </c>
      <c r="Y34" s="62">
        <v>0</v>
      </c>
      <c r="Z34" s="62">
        <v>0</v>
      </c>
      <c r="AA34" s="256">
        <f t="shared" si="10"/>
        <v>82675.201448000007</v>
      </c>
      <c r="AB34" s="3"/>
      <c r="AC34" s="62">
        <f t="shared" si="11"/>
        <v>7943.76</v>
      </c>
      <c r="AD34" s="62" t="str">
        <f t="shared" si="12"/>
        <v/>
      </c>
      <c r="AE34" s="62">
        <f t="shared" si="13"/>
        <v>12607.968220820001</v>
      </c>
      <c r="AF34" s="62">
        <f t="shared" si="14"/>
        <v>1198.7904209960002</v>
      </c>
      <c r="AG34" s="192">
        <v>0</v>
      </c>
      <c r="AH34" s="62">
        <f t="shared" si="15"/>
        <v>752.53747128639247</v>
      </c>
      <c r="AI34" s="62">
        <f t="shared" si="16"/>
        <v>243.49489662593854</v>
      </c>
      <c r="AJ34" s="62"/>
      <c r="AK34" s="62">
        <v>0</v>
      </c>
      <c r="AL34" s="256">
        <f t="shared" si="17"/>
        <v>22746.551009728333</v>
      </c>
      <c r="AM34" s="256">
        <f t="shared" si="18"/>
        <v>82675.201448000007</v>
      </c>
      <c r="AN34" s="256">
        <f t="shared" si="19"/>
        <v>105421.75245772835</v>
      </c>
    </row>
    <row r="35" spans="1:40" hidden="1" x14ac:dyDescent="0.2">
      <c r="A35" s="3" t="str">
        <f>IF('Employee Detail FY26'!A35="","",'Employee Detail FY26'!A35)</f>
        <v/>
      </c>
      <c r="B35" s="3" t="str">
        <f>IF('Employee Detail FY26'!B35="","",'Employee Detail FY26'!B35)</f>
        <v/>
      </c>
      <c r="C35" s="3" t="str">
        <f>IF('Employee Detail FY26'!C35="","",'Employee Detail FY26'!C35)</f>
        <v/>
      </c>
      <c r="D35" s="3"/>
      <c r="E35" s="3" t="str">
        <f>IF('Employee Detail FY26'!E35="","",'Employee Detail FY26'!E35)</f>
        <v/>
      </c>
      <c r="F35" s="3" t="str">
        <f>IF('Employee Detail FY26'!F35="","",'Employee Detail FY26'!F35)</f>
        <v/>
      </c>
      <c r="G35" s="3" t="str">
        <f>IF('Employee Detail FY26'!G35="","",'Employee Detail FY26'!G35)</f>
        <v/>
      </c>
      <c r="H35" s="3"/>
      <c r="I35" s="255" t="str">
        <f>IF('Employee Detail FY26'!I35="","",'Employee Detail FY26'!I35)</f>
        <v/>
      </c>
      <c r="J35" s="255" t="str">
        <f>IF('Employee Detail FY26'!J35="","",'Employee Detail FY26'!J35)</f>
        <v/>
      </c>
      <c r="K35" s="255" t="str">
        <f>IF('Employee Detail FY26'!K35="","",'Employee Detail FY26'!K35)</f>
        <v/>
      </c>
      <c r="L35" s="255" t="str">
        <f>IF('Employee Detail FY26'!L35="","",'Employee Detail FY26'!L35)</f>
        <v/>
      </c>
      <c r="M35" s="92" t="str">
        <f>IF('Employee Detail FY26'!M35="","",'Employee Detail FY26'!M35)</f>
        <v/>
      </c>
      <c r="N35" s="3" t="str">
        <f>IF('Employee Detail FY26'!N35="","",'Employee Detail FY26'!N35)</f>
        <v/>
      </c>
      <c r="O35" s="3" t="str">
        <f>IF('Employee Detail FY26'!O35="","",'Employee Detail FY26'!O35)</f>
        <v/>
      </c>
      <c r="P35" s="3" t="str">
        <f>IF('Employee Detail FY26'!P35="","",'Employee Detail FY26'!P35)</f>
        <v/>
      </c>
      <c r="Q35" s="3" t="str">
        <f>IF('Employee Detail FY26'!Q35="","",'Employee Detail FY26'!Q35)</f>
        <v/>
      </c>
      <c r="R35" s="3" t="str">
        <f>IF('Employee Detail FY26'!R35="","",'Employee Detail FY26'!R35)</f>
        <v/>
      </c>
      <c r="S35" s="3" t="str">
        <f>IF('Employee Detail FY26'!S35="","",'Employee Detail FY26'!S35)</f>
        <v/>
      </c>
      <c r="T35" s="263" t="str">
        <f t="shared" si="6"/>
        <v/>
      </c>
      <c r="U35" s="269" t="str">
        <f>IF('Employee Detail FY26'!U35="","",'Employee Detail FY26'!U35)</f>
        <v/>
      </c>
      <c r="V35" s="270" t="str">
        <f t="shared" si="7"/>
        <v/>
      </c>
      <c r="W35" s="270" t="str">
        <f t="shared" si="8"/>
        <v/>
      </c>
      <c r="X35" s="270" t="str">
        <f t="shared" si="9"/>
        <v/>
      </c>
      <c r="Y35" s="62">
        <v>0</v>
      </c>
      <c r="Z35" s="62">
        <v>0</v>
      </c>
      <c r="AA35" s="256">
        <f t="shared" si="10"/>
        <v>0</v>
      </c>
      <c r="AB35" s="3"/>
      <c r="AC35" s="62" t="str">
        <f t="shared" si="11"/>
        <v/>
      </c>
      <c r="AD35" s="62" t="str">
        <f t="shared" si="12"/>
        <v/>
      </c>
      <c r="AE35" s="62" t="str">
        <f t="shared" si="13"/>
        <v/>
      </c>
      <c r="AF35" s="62" t="str">
        <f t="shared" si="14"/>
        <v/>
      </c>
      <c r="AG35" s="192">
        <v>0</v>
      </c>
      <c r="AH35" s="62" t="str">
        <f t="shared" si="15"/>
        <v/>
      </c>
      <c r="AI35" s="62">
        <f t="shared" si="16"/>
        <v>0</v>
      </c>
      <c r="AJ35" s="62"/>
      <c r="AK35" s="62">
        <v>0</v>
      </c>
      <c r="AL35" s="256">
        <f t="shared" si="17"/>
        <v>0</v>
      </c>
      <c r="AM35" s="256">
        <f t="shared" si="18"/>
        <v>0</v>
      </c>
      <c r="AN35" s="256">
        <f t="shared" si="19"/>
        <v>0</v>
      </c>
    </row>
    <row r="36" spans="1:40" hidden="1" x14ac:dyDescent="0.2">
      <c r="A36" s="3" t="str">
        <f>IF('Employee Detail FY26'!A36="","",'Employee Detail FY26'!A36)</f>
        <v>CSP</v>
      </c>
      <c r="B36" s="3" t="str">
        <f>IF('Employee Detail FY26'!B36="","",'Employee Detail FY26'!B36)</f>
        <v>100</v>
      </c>
      <c r="C36" s="3" t="str">
        <f>IF('Employee Detail FY26'!C36="","",'Employee Detail FY26'!C36)</f>
        <v>000</v>
      </c>
      <c r="D36" s="3"/>
      <c r="E36" s="3">
        <f>IF('Employee Detail FY26'!E36="","",'Employee Detail FY26'!E36)</f>
        <v>100</v>
      </c>
      <c r="F36" s="3" t="str">
        <f>IF('Employee Detail FY26'!F36="","",'Employee Detail FY26'!F36)</f>
        <v>2110</v>
      </c>
      <c r="G36" s="3" t="str">
        <f>IF('Employee Detail FY26'!G36="","",'Employee Detail FY26'!G36)</f>
        <v>0106</v>
      </c>
      <c r="H36" s="3"/>
      <c r="I36" s="255" t="str">
        <f>IF('Employee Detail FY26'!I36="","",'Employee Detail FY26'!I36)</f>
        <v>GARCIA</v>
      </c>
      <c r="J36" s="255" t="str">
        <f>IF('Employee Detail FY26'!J36="","",'Employee Detail FY26'!J36)</f>
        <v>VANESSA</v>
      </c>
      <c r="K36" s="255" t="str">
        <f>IF('Employee Detail FY26'!K36="","",'Employee Detail FY26'!K36)</f>
        <v>Licensed Support Staff</v>
      </c>
      <c r="L36" s="255" t="str">
        <f>IF('Employee Detail FY26'!L36="","",'Employee Detail FY26'!L36)</f>
        <v>STUDENT PERSISTENCE FACILITATOR</v>
      </c>
      <c r="M36" s="92">
        <f>IF('Employee Detail FY26'!M36="","",'Employee Detail FY26'!M36)</f>
        <v>1</v>
      </c>
      <c r="N36" s="3" t="str">
        <f>IF('Employee Detail FY26'!N36="","",'Employee Detail FY26'!N36)</f>
        <v/>
      </c>
      <c r="O36" s="3">
        <f>IF('Employee Detail FY26'!O36="","",'Employee Detail FY26'!O36)</f>
        <v>26</v>
      </c>
      <c r="P36" s="3" t="str">
        <f>IF('Employee Detail FY26'!P36="","",'Employee Detail FY26'!P36)</f>
        <v>EE</v>
      </c>
      <c r="Q36" s="3" t="str">
        <f>IF('Employee Detail FY26'!Q36="","",'Employee Detail FY26'!Q36)</f>
        <v/>
      </c>
      <c r="R36" s="3">
        <f>IF('Employee Detail FY26'!R36="","",'Employee Detail FY26'!R36)</f>
        <v>261</v>
      </c>
      <c r="S36" s="3">
        <f>IF('Employee Detail FY26'!S36="","",'Employee Detail FY26'!S36)</f>
        <v>8</v>
      </c>
      <c r="T36" s="263">
        <f t="shared" si="6"/>
        <v>2088</v>
      </c>
      <c r="U36" s="269">
        <f>IF('Employee Detail FY26'!U36="","",'Employee Detail FY26'!U36)</f>
        <v>57704</v>
      </c>
      <c r="V36" s="270">
        <f t="shared" si="7"/>
        <v>66359.599999999991</v>
      </c>
      <c r="W36" s="270">
        <f t="shared" si="8"/>
        <v>76551.505525599991</v>
      </c>
      <c r="X36" s="270">
        <f t="shared" si="9"/>
        <v>76551.505525599991</v>
      </c>
      <c r="Y36" s="62">
        <v>0</v>
      </c>
      <c r="Z36" s="62">
        <v>0</v>
      </c>
      <c r="AA36" s="256">
        <f t="shared" si="10"/>
        <v>76551.505525599991</v>
      </c>
      <c r="AB36" s="3"/>
      <c r="AC36" s="62">
        <f t="shared" si="11"/>
        <v>7943.76</v>
      </c>
      <c r="AD36" s="62" t="str">
        <f t="shared" si="12"/>
        <v/>
      </c>
      <c r="AE36" s="62">
        <f t="shared" si="13"/>
        <v>11674.104592653999</v>
      </c>
      <c r="AF36" s="62">
        <f t="shared" si="14"/>
        <v>1109.9968301212</v>
      </c>
      <c r="AG36" s="192">
        <v>0</v>
      </c>
      <c r="AH36" s="62">
        <f t="shared" si="15"/>
        <v>696.7975327841782</v>
      </c>
      <c r="AI36" s="62">
        <f t="shared" si="16"/>
        <v>225.45939529690557</v>
      </c>
      <c r="AJ36" s="62"/>
      <c r="AK36" s="62">
        <v>0</v>
      </c>
      <c r="AL36" s="256">
        <f t="shared" si="17"/>
        <v>21650.118350856279</v>
      </c>
      <c r="AM36" s="256">
        <f t="shared" si="18"/>
        <v>76551.505525599991</v>
      </c>
      <c r="AN36" s="256">
        <f t="shared" si="19"/>
        <v>98201.623876456273</v>
      </c>
    </row>
    <row r="37" spans="1:40" hidden="1" x14ac:dyDescent="0.2">
      <c r="A37" s="3" t="str">
        <f>IF('Employee Detail FY26'!A37="","",'Employee Detail FY26'!A37)</f>
        <v>VACANT</v>
      </c>
      <c r="B37" s="3">
        <f>IF('Employee Detail FY26'!B37="","",'Employee Detail FY26'!B37)</f>
        <v>100</v>
      </c>
      <c r="C37" s="3" t="str">
        <f>IF('Employee Detail FY26'!C37="","",'Employee Detail FY26'!C37)</f>
        <v>000</v>
      </c>
      <c r="D37" s="3"/>
      <c r="E37" s="3">
        <f>IF('Employee Detail FY26'!E37="","",'Employee Detail FY26'!E37)</f>
        <v>100</v>
      </c>
      <c r="F37" s="3">
        <f>IF('Employee Detail FY26'!F37="","",'Employee Detail FY26'!F37)</f>
        <v>2110</v>
      </c>
      <c r="G37" s="3" t="str">
        <f>IF('Employee Detail FY26'!G37="","",'Employee Detail FY26'!G37)</f>
        <v>0106</v>
      </c>
      <c r="H37" s="3"/>
      <c r="I37" s="255" t="str">
        <f>IF('Employee Detail FY26'!I37="","",'Employee Detail FY26'!I37)</f>
        <v>VACANT</v>
      </c>
      <c r="J37" s="255" t="str">
        <f>IF('Employee Detail FY26'!J37="","",'Employee Detail FY26'!J37)</f>
        <v>FY23</v>
      </c>
      <c r="K37" s="255" t="str">
        <f>IF('Employee Detail FY26'!K37="","",'Employee Detail FY26'!K37)</f>
        <v>Licensed Staff</v>
      </c>
      <c r="L37" s="255" t="str">
        <f>IF('Employee Detail FY26'!L37="","",'Employee Detail FY26'!L37)</f>
        <v>Dropout Prevention Facilitator</v>
      </c>
      <c r="M37" s="92">
        <f>IF('Employee Detail FY26'!M37="","",'Employee Detail FY26'!M37)</f>
        <v>0</v>
      </c>
      <c r="N37" s="3" t="str">
        <f>IF('Employee Detail FY26'!N37="","",'Employee Detail FY26'!N37)</f>
        <v/>
      </c>
      <c r="O37" s="3">
        <f>IF('Employee Detail FY26'!O37="","",'Employee Detail FY26'!O37)</f>
        <v>26</v>
      </c>
      <c r="P37" s="3" t="str">
        <f>IF('Employee Detail FY26'!P37="","",'Employee Detail FY26'!P37)</f>
        <v/>
      </c>
      <c r="Q37" s="3" t="str">
        <f>IF('Employee Detail FY26'!Q37="","",'Employee Detail FY26'!Q37)</f>
        <v/>
      </c>
      <c r="R37" s="3" t="str">
        <f>IF('Employee Detail FY26'!R37="","",'Employee Detail FY26'!R37)</f>
        <v/>
      </c>
      <c r="S37" s="3" t="str">
        <f>IF('Employee Detail FY26'!S37="","",'Employee Detail FY26'!S37)</f>
        <v/>
      </c>
      <c r="T37" s="263" t="str">
        <f>+IF(R37="","",R37*S37)</f>
        <v/>
      </c>
      <c r="U37" s="269">
        <f>IF('Employee Detail FY26'!U37="","",'Employee Detail FY26'!U37)</f>
        <v>45000</v>
      </c>
      <c r="V37" s="270">
        <f>IF($U37="","",$U37*(1+$V$1))</f>
        <v>51749.999999999993</v>
      </c>
      <c r="W37" s="270" t="str">
        <f>+IF(P37="EE",+V37*$W$1,"")</f>
        <v/>
      </c>
      <c r="X37" s="270" t="str">
        <f>_xlfn.IFS(P37="ER",V37,P37="EE",W37,P37="N",V37,P37="","")</f>
        <v/>
      </c>
      <c r="Y37" s="62">
        <v>0</v>
      </c>
      <c r="Z37" s="62">
        <v>0</v>
      </c>
      <c r="AA37" s="256">
        <f>SUM(X37:Z37)</f>
        <v>0</v>
      </c>
      <c r="AB37" s="3"/>
      <c r="AC37" s="62" t="str">
        <f>IF(AND(M37=1,P37&lt;&gt;"N"),$AC$1,"")</f>
        <v/>
      </c>
      <c r="AD37" s="62" t="str">
        <f>_xlfn.IFS(P37="N",$AD$1*AA37,P37="EE","",P37="ER","",P37="","")</f>
        <v/>
      </c>
      <c r="AE37" s="62" t="str">
        <f>_xlfn.IFS(P37="EE",X37*$AE$1,P37="ER",X37*$AE$2,P37="N","",P37="","")</f>
        <v/>
      </c>
      <c r="AF37" s="62" t="str">
        <f>+IF(AA37&gt;1,AA37*$AF$1,"")</f>
        <v/>
      </c>
      <c r="AG37" s="192">
        <v>0</v>
      </c>
      <c r="AH37" s="62" t="str">
        <f>+IF(AA37&gt;1,AA37*$AH$1,"")</f>
        <v/>
      </c>
      <c r="AI37" s="62">
        <f>+_xlfn.IFS(F37&lt;2300,(AA37*$AI$1),F37&gt;=2300,(AA37*$AI$2),F37="","")</f>
        <v>0</v>
      </c>
      <c r="AJ37" s="62"/>
      <c r="AK37" s="62">
        <v>0</v>
      </c>
      <c r="AL37" s="256">
        <f>SUM(AC37:AK37)</f>
        <v>0</v>
      </c>
      <c r="AM37" s="256">
        <f>AA37</f>
        <v>0</v>
      </c>
      <c r="AN37" s="256">
        <f>SUM(AL37:AM37)</f>
        <v>0</v>
      </c>
    </row>
    <row r="38" spans="1:40" hidden="1" x14ac:dyDescent="0.2">
      <c r="A38" s="3" t="str">
        <f>IF('Employee Detail FY26'!A38="","",'Employee Detail FY26'!A38)</f>
        <v>TITLE I 1003a</v>
      </c>
      <c r="B38" s="3" t="str">
        <f>IF('Employee Detail FY26'!B38="","",'Employee Detail FY26'!B38)</f>
        <v>280</v>
      </c>
      <c r="C38" s="3" t="str">
        <f>IF('Employee Detail FY26'!C38="","",'Employee Detail FY26'!C38)</f>
        <v>624</v>
      </c>
      <c r="D38" s="3"/>
      <c r="E38" s="3" t="str">
        <f>IF('Employee Detail FY26'!E38="","",'Employee Detail FY26'!E38)</f>
        <v>430</v>
      </c>
      <c r="F38" s="3" t="str">
        <f>IF('Employee Detail FY26'!F38="","",'Employee Detail FY26'!F38)</f>
        <v>2210</v>
      </c>
      <c r="G38" s="3" t="str">
        <f>IF('Employee Detail FY26'!G38="","",'Employee Detail FY26'!G38)</f>
        <v>0101</v>
      </c>
      <c r="H38" s="3"/>
      <c r="I38" s="255" t="str">
        <f>IF('Employee Detail FY26'!I38="","",'Employee Detail FY26'!I38)</f>
        <v>HUNT</v>
      </c>
      <c r="J38" s="255" t="str">
        <f>IF('Employee Detail FY26'!J38="","",'Employee Detail FY26'!J38)</f>
        <v>KATHRYN</v>
      </c>
      <c r="K38" s="255" t="str">
        <f>IF('Employee Detail FY26'!K38="","",'Employee Detail FY26'!K38)</f>
        <v>Licensed Support Staff</v>
      </c>
      <c r="L38" s="255" t="str">
        <f>IF('Employee Detail FY26'!L38="","",'Employee Detail FY26'!L38)</f>
        <v xml:space="preserve">LITERACY &amp; DATA FACILITATOR, INSTRUCTIONAL FACILITATOR </v>
      </c>
      <c r="M38" s="92">
        <f>IF('Employee Detail FY26'!M38="","",'Employee Detail FY26'!M38)</f>
        <v>1</v>
      </c>
      <c r="N38" s="3" t="str">
        <f>IF('Employee Detail FY26'!N38="","",'Employee Detail FY26'!N38)</f>
        <v>S</v>
      </c>
      <c r="O38" s="3">
        <f>IF('Employee Detail FY26'!O38="","",'Employee Detail FY26'!O38)</f>
        <v>26</v>
      </c>
      <c r="P38" s="3" t="str">
        <f>IF('Employee Detail FY26'!P38="","",'Employee Detail FY26'!P38)</f>
        <v>ER</v>
      </c>
      <c r="Q38" s="3" t="str">
        <f>IF('Employee Detail FY26'!Q38="","",'Employee Detail FY26'!Q38)</f>
        <v/>
      </c>
      <c r="R38" s="3">
        <f>IF('Employee Detail FY26'!R38="","",'Employee Detail FY26'!R38)</f>
        <v>200</v>
      </c>
      <c r="S38" s="3">
        <f>IF('Employee Detail FY26'!S38="","",'Employee Detail FY26'!S38)</f>
        <v>8</v>
      </c>
      <c r="T38" s="263">
        <f t="shared" si="6"/>
        <v>1600</v>
      </c>
      <c r="U38" s="269">
        <f>IF('Employee Detail FY26'!U38="","",'Employee Detail FY26'!U38)</f>
        <v>63148</v>
      </c>
      <c r="V38" s="270">
        <f t="shared" si="7"/>
        <v>72620.2</v>
      </c>
      <c r="W38" s="270" t="str">
        <f t="shared" si="8"/>
        <v/>
      </c>
      <c r="X38" s="270">
        <f t="shared" si="9"/>
        <v>72620.2</v>
      </c>
      <c r="Y38" s="62">
        <v>0</v>
      </c>
      <c r="Z38" s="62">
        <v>0</v>
      </c>
      <c r="AA38" s="256">
        <f t="shared" si="10"/>
        <v>72620.2</v>
      </c>
      <c r="AB38" s="3"/>
      <c r="AC38" s="62">
        <f t="shared" si="11"/>
        <v>7943.76</v>
      </c>
      <c r="AD38" s="62" t="str">
        <f t="shared" si="12"/>
        <v/>
      </c>
      <c r="AE38" s="62">
        <f t="shared" si="13"/>
        <v>21241.408499999998</v>
      </c>
      <c r="AF38" s="62">
        <f t="shared" si="14"/>
        <v>1052.9929</v>
      </c>
      <c r="AG38" s="192">
        <v>0</v>
      </c>
      <c r="AH38" s="62">
        <f t="shared" si="15"/>
        <v>661.01346855120482</v>
      </c>
      <c r="AI38" s="62">
        <f t="shared" si="16"/>
        <v>213.8809193356098</v>
      </c>
      <c r="AJ38" s="62"/>
      <c r="AK38" s="62">
        <v>0</v>
      </c>
      <c r="AL38" s="256">
        <f t="shared" si="17"/>
        <v>31113.055787886817</v>
      </c>
      <c r="AM38" s="256">
        <f t="shared" si="18"/>
        <v>72620.2</v>
      </c>
      <c r="AN38" s="256">
        <f t="shared" si="19"/>
        <v>103733.25578788681</v>
      </c>
    </row>
    <row r="39" spans="1:40" x14ac:dyDescent="0.2">
      <c r="A39" s="3" t="str">
        <f>IF('Employee Detail FY26'!A39="","",'Employee Detail FY26'!A39)</f>
        <v>CSP</v>
      </c>
      <c r="B39" s="3" t="str">
        <f>IF('Employee Detail FY26'!B39="","",'Employee Detail FY26'!B39)</f>
        <v>100</v>
      </c>
      <c r="C39" s="3" t="str">
        <f>IF('Employee Detail FY26'!C39="","",'Employee Detail FY26'!C39)</f>
        <v>000</v>
      </c>
      <c r="D39" s="3"/>
      <c r="E39" s="3">
        <f>IF('Employee Detail FY26'!E39="","",'Employee Detail FY26'!E39)</f>
        <v>100</v>
      </c>
      <c r="F39" s="3" t="str">
        <f>IF('Employee Detail FY26'!F39="","",'Employee Detail FY26'!F39)</f>
        <v>1000</v>
      </c>
      <c r="G39" s="3" t="str">
        <f>IF('Employee Detail FY26'!G39="","",'Employee Detail FY26'!G39)</f>
        <v>0101</v>
      </c>
      <c r="H39" s="3"/>
      <c r="I39" s="255" t="str">
        <f>IF('Employee Detail FY26'!I39="","",'Employee Detail FY26'!I39)</f>
        <v>RODILOSSO</v>
      </c>
      <c r="J39" s="255" t="str">
        <f>IF('Employee Detail FY26'!J39="","",'Employee Detail FY26'!J39)</f>
        <v>KRISTINA</v>
      </c>
      <c r="K39" s="255" t="str">
        <f>IF('Employee Detail FY26'!K39="","",'Employee Detail FY26'!K39)</f>
        <v>Licensed Staff</v>
      </c>
      <c r="L39" s="255" t="str">
        <f>IF('Employee Detail FY26'!L39="","",'Employee Detail FY26'!L39)</f>
        <v>BLENDED LEARNING FACILITATOR</v>
      </c>
      <c r="M39" s="92">
        <f>IF('Employee Detail FY26'!M39="","",'Employee Detail FY26'!M39)</f>
        <v>1</v>
      </c>
      <c r="N39" s="3" t="str">
        <f>IF('Employee Detail FY26'!N39="","",'Employee Detail FY26'!N39)</f>
        <v/>
      </c>
      <c r="O39" s="3">
        <f>IF('Employee Detail FY26'!O39="","",'Employee Detail FY26'!O39)</f>
        <v>26</v>
      </c>
      <c r="P39" s="3" t="str">
        <f>IF('Employee Detail FY26'!P39="","",'Employee Detail FY26'!P39)</f>
        <v>EE</v>
      </c>
      <c r="Q39" s="3" t="str">
        <f>IF('Employee Detail FY26'!Q39="","",'Employee Detail FY26'!Q39)</f>
        <v/>
      </c>
      <c r="R39" s="3">
        <f>IF('Employee Detail FY26'!R39="","",'Employee Detail FY26'!R39)</f>
        <v>200</v>
      </c>
      <c r="S39" s="3">
        <f>IF('Employee Detail FY26'!S39="","",'Employee Detail FY26'!S39)</f>
        <v>8</v>
      </c>
      <c r="T39" s="263">
        <f t="shared" si="6"/>
        <v>1600</v>
      </c>
      <c r="U39" s="269">
        <f>IF('Employee Detail FY26'!U39="","",'Employee Detail FY26'!U39)</f>
        <v>57896</v>
      </c>
      <c r="V39" s="270">
        <f t="shared" si="7"/>
        <v>66580.399999999994</v>
      </c>
      <c r="W39" s="270">
        <f t="shared" si="8"/>
        <v>76806.217314399997</v>
      </c>
      <c r="X39" s="270">
        <f t="shared" si="9"/>
        <v>76806.217314399997</v>
      </c>
      <c r="Y39" s="62">
        <v>0</v>
      </c>
      <c r="Z39" s="62">
        <v>0</v>
      </c>
      <c r="AA39" s="256">
        <f t="shared" si="10"/>
        <v>76806.217314399997</v>
      </c>
      <c r="AB39" s="3"/>
      <c r="AC39" s="62">
        <f t="shared" si="11"/>
        <v>7943.76</v>
      </c>
      <c r="AD39" s="62" t="str">
        <f t="shared" si="12"/>
        <v/>
      </c>
      <c r="AE39" s="62">
        <f t="shared" si="13"/>
        <v>11712.948140445998</v>
      </c>
      <c r="AF39" s="62">
        <f t="shared" si="14"/>
        <v>1113.6901510588</v>
      </c>
      <c r="AG39" s="192">
        <v>0</v>
      </c>
      <c r="AH39" s="62">
        <f t="shared" si="15"/>
        <v>699.11600509622872</v>
      </c>
      <c r="AI39" s="62">
        <f t="shared" si="16"/>
        <v>226.20957212861578</v>
      </c>
      <c r="AJ39" s="62"/>
      <c r="AK39" s="62">
        <v>0</v>
      </c>
      <c r="AL39" s="256">
        <f t="shared" si="17"/>
        <v>21695.723868729641</v>
      </c>
      <c r="AM39" s="256">
        <f t="shared" si="18"/>
        <v>76806.217314399997</v>
      </c>
      <c r="AN39" s="256">
        <f t="shared" si="19"/>
        <v>98501.941183129646</v>
      </c>
    </row>
    <row r="40" spans="1:40" hidden="1" x14ac:dyDescent="0.2">
      <c r="A40" s="3" t="str">
        <f>IF('Employee Detail FY26'!A40="","",'Employee Detail FY26'!A40)</f>
        <v>TITLE Ia</v>
      </c>
      <c r="B40" s="3">
        <f>IF('Employee Detail FY26'!B40="","",'Employee Detail FY26'!B40)</f>
        <v>280</v>
      </c>
      <c r="C40" s="3">
        <f>IF('Employee Detail FY26'!C40="","",'Employee Detail FY26'!C40)</f>
        <v>633</v>
      </c>
      <c r="D40" s="3"/>
      <c r="E40" s="3">
        <f>IF('Employee Detail FY26'!E40="","",'Employee Detail FY26'!E40)</f>
        <v>430</v>
      </c>
      <c r="F40" s="3">
        <f>IF('Employee Detail FY26'!F40="","",'Employee Detail FY26'!F40)</f>
        <v>2210</v>
      </c>
      <c r="G40" s="3" t="str">
        <f>IF('Employee Detail FY26'!G40="","",'Employee Detail FY26'!G40)</f>
        <v>0101</v>
      </c>
      <c r="H40" s="3"/>
      <c r="I40" s="255" t="str">
        <f>IF('Employee Detail FY26'!I40="","",'Employee Detail FY26'!I40)</f>
        <v>WILNEWIC</v>
      </c>
      <c r="J40" s="255" t="str">
        <f>IF('Employee Detail FY26'!J40="","",'Employee Detail FY26'!J40)</f>
        <v>Jennifer</v>
      </c>
      <c r="K40" s="255" t="str">
        <f>IF('Employee Detail FY26'!K40="","",'Employee Detail FY26'!K40)</f>
        <v>Licensed Staff</v>
      </c>
      <c r="L40" s="255" t="str">
        <f>IF('Employee Detail FY26'!L40="","",'Employee Detail FY26'!L40)</f>
        <v>MATH FACILITATOR</v>
      </c>
      <c r="M40" s="92">
        <f>IF('Employee Detail FY26'!M40="","",'Employee Detail FY26'!M40)</f>
        <v>1</v>
      </c>
      <c r="N40" s="3" t="str">
        <f>IF('Employee Detail FY26'!N40="","",'Employee Detail FY26'!N40)</f>
        <v/>
      </c>
      <c r="O40" s="3">
        <f>IF('Employee Detail FY26'!O40="","",'Employee Detail FY26'!O40)</f>
        <v>26</v>
      </c>
      <c r="P40" s="3" t="str">
        <f>IF('Employee Detail FY26'!P40="","",'Employee Detail FY26'!P40)</f>
        <v>EE</v>
      </c>
      <c r="Q40" s="3" t="str">
        <f>IF('Employee Detail FY26'!Q40="","",'Employee Detail FY26'!Q40)</f>
        <v/>
      </c>
      <c r="R40" s="3">
        <f>IF('Employee Detail FY26'!R40="","",'Employee Detail FY26'!R40)</f>
        <v>200</v>
      </c>
      <c r="S40" s="3">
        <f>IF('Employee Detail FY26'!S40="","",'Employee Detail FY26'!S40)</f>
        <v>8</v>
      </c>
      <c r="T40" s="263">
        <f t="shared" si="6"/>
        <v>1600</v>
      </c>
      <c r="U40" s="269">
        <f>IF('Employee Detail FY26'!U40="","",'Employee Detail FY26'!U40)</f>
        <v>64411</v>
      </c>
      <c r="V40" s="270">
        <f t="shared" si="7"/>
        <v>74072.649999999994</v>
      </c>
      <c r="W40" s="270">
        <f t="shared" si="8"/>
        <v>85449.172022899991</v>
      </c>
      <c r="X40" s="270">
        <f t="shared" si="9"/>
        <v>85449.172022899991</v>
      </c>
      <c r="Y40" s="62">
        <v>0</v>
      </c>
      <c r="Z40" s="62">
        <v>0</v>
      </c>
      <c r="AA40" s="256">
        <f t="shared" si="10"/>
        <v>85449.172022899991</v>
      </c>
      <c r="AB40" s="3"/>
      <c r="AC40" s="62">
        <f t="shared" si="11"/>
        <v>7943.76</v>
      </c>
      <c r="AD40" s="62" t="str">
        <f t="shared" si="12"/>
        <v/>
      </c>
      <c r="AE40" s="62">
        <f t="shared" si="13"/>
        <v>13030.998733492248</v>
      </c>
      <c r="AF40" s="62">
        <f t="shared" si="14"/>
        <v>1239.0129943320499</v>
      </c>
      <c r="AG40" s="192">
        <v>0</v>
      </c>
      <c r="AH40" s="62">
        <f t="shared" si="15"/>
        <v>777.78708380981743</v>
      </c>
      <c r="AI40" s="62">
        <f t="shared" si="16"/>
        <v>251.66479118378248</v>
      </c>
      <c r="AJ40" s="62"/>
      <c r="AK40" s="62">
        <v>0</v>
      </c>
      <c r="AL40" s="256">
        <f t="shared" si="17"/>
        <v>23243.2236028179</v>
      </c>
      <c r="AM40" s="256">
        <f t="shared" si="18"/>
        <v>85449.172022899991</v>
      </c>
      <c r="AN40" s="256">
        <f t="shared" si="19"/>
        <v>108692.39562571789</v>
      </c>
    </row>
    <row r="41" spans="1:40" hidden="1" x14ac:dyDescent="0.2">
      <c r="A41" s="3" t="str">
        <f>IF('Employee Detail FY26'!A41="","",'Employee Detail FY26'!A41)</f>
        <v/>
      </c>
      <c r="B41" s="3" t="str">
        <f>IF('Employee Detail FY26'!B41="","",'Employee Detail FY26'!B41)</f>
        <v/>
      </c>
      <c r="C41" s="3" t="str">
        <f>IF('Employee Detail FY26'!C41="","",'Employee Detail FY26'!C41)</f>
        <v/>
      </c>
      <c r="D41" s="3"/>
      <c r="E41" s="3" t="str">
        <f>IF('Employee Detail FY26'!E41="","",'Employee Detail FY26'!E41)</f>
        <v/>
      </c>
      <c r="F41" s="3" t="str">
        <f>IF('Employee Detail FY26'!F41="","",'Employee Detail FY26'!F41)</f>
        <v/>
      </c>
      <c r="G41" s="3" t="str">
        <f>IF('Employee Detail FY26'!G41="","",'Employee Detail FY26'!G41)</f>
        <v/>
      </c>
      <c r="H41" s="3"/>
      <c r="I41" s="255" t="str">
        <f>IF('Employee Detail FY26'!I41="","",'Employee Detail FY26'!I41)</f>
        <v/>
      </c>
      <c r="J41" s="255" t="str">
        <f>IF('Employee Detail FY26'!J41="","",'Employee Detail FY26'!J41)</f>
        <v/>
      </c>
      <c r="K41" s="255" t="str">
        <f>IF('Employee Detail FY26'!K41="","",'Employee Detail FY26'!K41)</f>
        <v/>
      </c>
      <c r="L41" s="255"/>
      <c r="M41" s="92" t="str">
        <f>IF('Employee Detail FY26'!M41="","",'Employee Detail FY26'!M41)</f>
        <v/>
      </c>
      <c r="N41" s="3" t="str">
        <f>IF('Employee Detail FY26'!N41="","",'Employee Detail FY26'!N41)</f>
        <v/>
      </c>
      <c r="O41" s="3" t="str">
        <f>IF('Employee Detail FY26'!O41="","",'Employee Detail FY26'!O41)</f>
        <v/>
      </c>
      <c r="P41" s="3" t="str">
        <f>IF('Employee Detail FY26'!P41="","",'Employee Detail FY26'!P41)</f>
        <v/>
      </c>
      <c r="Q41" s="3" t="str">
        <f>IF('Employee Detail FY26'!Q41="","",'Employee Detail FY26'!Q41)</f>
        <v/>
      </c>
      <c r="R41" s="3" t="str">
        <f>IF('Employee Detail FY26'!R41="","",'Employee Detail FY26'!R41)</f>
        <v/>
      </c>
      <c r="S41" s="3" t="str">
        <f>IF('Employee Detail FY26'!S41="","",'Employee Detail FY26'!S41)</f>
        <v/>
      </c>
      <c r="T41" s="263" t="str">
        <f t="shared" si="6"/>
        <v/>
      </c>
      <c r="U41" s="269" t="str">
        <f>IF('Employee Detail FY26'!U41="","",'Employee Detail FY26'!U41)</f>
        <v/>
      </c>
      <c r="V41" s="270" t="str">
        <f t="shared" si="7"/>
        <v/>
      </c>
      <c r="W41" s="270" t="str">
        <f t="shared" si="8"/>
        <v/>
      </c>
      <c r="X41" s="270" t="str">
        <f t="shared" si="9"/>
        <v/>
      </c>
      <c r="Y41" s="62">
        <v>0</v>
      </c>
      <c r="Z41" s="62">
        <v>0</v>
      </c>
      <c r="AA41" s="256">
        <f t="shared" si="10"/>
        <v>0</v>
      </c>
      <c r="AB41" s="3"/>
      <c r="AC41" s="62" t="str">
        <f t="shared" si="11"/>
        <v/>
      </c>
      <c r="AD41" s="62" t="str">
        <f t="shared" si="12"/>
        <v/>
      </c>
      <c r="AE41" s="62" t="str">
        <f t="shared" si="13"/>
        <v/>
      </c>
      <c r="AF41" s="62" t="str">
        <f t="shared" si="14"/>
        <v/>
      </c>
      <c r="AG41" s="192">
        <v>0</v>
      </c>
      <c r="AH41" s="62" t="str">
        <f t="shared" si="15"/>
        <v/>
      </c>
      <c r="AI41" s="62">
        <f t="shared" si="16"/>
        <v>0</v>
      </c>
      <c r="AJ41" s="62"/>
      <c r="AK41" s="62">
        <v>0</v>
      </c>
      <c r="AL41" s="256">
        <f t="shared" si="17"/>
        <v>0</v>
      </c>
      <c r="AM41" s="256">
        <f t="shared" si="18"/>
        <v>0</v>
      </c>
      <c r="AN41" s="256">
        <f t="shared" si="19"/>
        <v>0</v>
      </c>
    </row>
    <row r="42" spans="1:40" x14ac:dyDescent="0.2">
      <c r="A42" s="3" t="str">
        <f>IF('Employee Detail FY26'!A42="","",'Employee Detail FY26'!A42)</f>
        <v/>
      </c>
      <c r="B42" s="3" t="str">
        <f>IF('Employee Detail FY26'!B42="","",'Employee Detail FY26'!B42)</f>
        <v>250</v>
      </c>
      <c r="C42" s="3" t="str">
        <f>IF('Employee Detail FY26'!C42="","",'Employee Detail FY26'!C42)</f>
        <v>000</v>
      </c>
      <c r="D42" s="3"/>
      <c r="E42" s="3" t="str">
        <f>IF('Employee Detail FY26'!E42="","",'Employee Detail FY26'!E42)</f>
        <v>200</v>
      </c>
      <c r="F42" s="3" t="str">
        <f>IF('Employee Detail FY26'!F42="","",'Employee Detail FY26'!F42)</f>
        <v>1000</v>
      </c>
      <c r="G42" s="3" t="str">
        <f>IF('Employee Detail FY26'!G42="","",'Employee Detail FY26'!G42)</f>
        <v>0101</v>
      </c>
      <c r="H42" s="3"/>
      <c r="I42" s="255" t="str">
        <f>IF('Employee Detail FY26'!I42="","",'Employee Detail FY26'!I42)</f>
        <v>SIMAO</v>
      </c>
      <c r="J42" s="255" t="str">
        <f>IF('Employee Detail FY26'!J42="","",'Employee Detail FY26'!J42)</f>
        <v>MICHAEL</v>
      </c>
      <c r="K42" s="255" t="str">
        <f>IF('Employee Detail FY26'!K42="","",'Employee Detail FY26'!K42)</f>
        <v>Licensed Staff</v>
      </c>
      <c r="L42" s="255" t="str">
        <f>IF('Employee Detail FY26'!L42="","",'Employee Detail FY26'!L42)</f>
        <v>SPED FACILITATOR</v>
      </c>
      <c r="M42" s="92">
        <f>IF('Employee Detail FY26'!M42="","",'Employee Detail FY26'!M42)</f>
        <v>1</v>
      </c>
      <c r="N42" s="3" t="str">
        <f>IF('Employee Detail FY26'!N42="","",'Employee Detail FY26'!N42)</f>
        <v/>
      </c>
      <c r="O42" s="3">
        <f>IF('Employee Detail FY26'!O42="","",'Employee Detail FY26'!O42)</f>
        <v>26</v>
      </c>
      <c r="P42" s="3" t="str">
        <f>IF('Employee Detail FY26'!P42="","",'Employee Detail FY26'!P42)</f>
        <v>ER</v>
      </c>
      <c r="Q42" s="3" t="str">
        <f>IF('Employee Detail FY26'!Q42="","",'Employee Detail FY26'!Q42)</f>
        <v/>
      </c>
      <c r="R42" s="3">
        <f>IF('Employee Detail FY26'!R42="","",'Employee Detail FY26'!R42)</f>
        <v>261</v>
      </c>
      <c r="S42" s="3">
        <f>IF('Employee Detail FY26'!S42="","",'Employee Detail FY26'!S42)</f>
        <v>8</v>
      </c>
      <c r="T42" s="263">
        <f t="shared" si="6"/>
        <v>2088</v>
      </c>
      <c r="U42" s="269">
        <f>IF('Employee Detail FY26'!U42="","",'Employee Detail FY26'!U42)</f>
        <v>65000</v>
      </c>
      <c r="V42" s="270">
        <f t="shared" si="7"/>
        <v>74750</v>
      </c>
      <c r="W42" s="270" t="str">
        <f t="shared" si="8"/>
        <v/>
      </c>
      <c r="X42" s="270">
        <f t="shared" si="9"/>
        <v>74750</v>
      </c>
      <c r="Y42" s="62">
        <v>0</v>
      </c>
      <c r="Z42" s="62">
        <v>0</v>
      </c>
      <c r="AA42" s="256">
        <f t="shared" si="10"/>
        <v>74750</v>
      </c>
      <c r="AB42" s="3"/>
      <c r="AC42" s="62">
        <f t="shared" si="11"/>
        <v>7943.76</v>
      </c>
      <c r="AD42" s="62" t="str">
        <f t="shared" si="12"/>
        <v/>
      </c>
      <c r="AE42" s="62">
        <f t="shared" si="13"/>
        <v>21864.375</v>
      </c>
      <c r="AF42" s="62">
        <f t="shared" si="14"/>
        <v>1083.875</v>
      </c>
      <c r="AG42" s="192">
        <v>0</v>
      </c>
      <c r="AH42" s="62">
        <f t="shared" si="15"/>
        <v>680.39962399170713</v>
      </c>
      <c r="AI42" s="62">
        <f t="shared" si="16"/>
        <v>220.1536035474542</v>
      </c>
      <c r="AJ42" s="62"/>
      <c r="AK42" s="62">
        <v>0</v>
      </c>
      <c r="AL42" s="256">
        <f t="shared" si="17"/>
        <v>31792.563227539162</v>
      </c>
      <c r="AM42" s="256">
        <f t="shared" si="18"/>
        <v>74750</v>
      </c>
      <c r="AN42" s="256">
        <f t="shared" si="19"/>
        <v>106542.56322753915</v>
      </c>
    </row>
    <row r="43" spans="1:40" hidden="1" x14ac:dyDescent="0.2">
      <c r="A43" s="3" t="str">
        <f>IF('Employee Detail FY26'!A43="","",'Employee Detail FY26'!A43)</f>
        <v/>
      </c>
      <c r="B43" s="3" t="str">
        <f>IF('Employee Detail FY26'!B43="","",'Employee Detail FY26'!B43)</f>
        <v/>
      </c>
      <c r="C43" s="3" t="str">
        <f>IF('Employee Detail FY26'!C43="","",'Employee Detail FY26'!C43)</f>
        <v/>
      </c>
      <c r="D43" s="3"/>
      <c r="E43" s="3" t="str">
        <f>IF('Employee Detail FY26'!E43="","",'Employee Detail FY26'!E43)</f>
        <v/>
      </c>
      <c r="F43" s="3" t="str">
        <f>IF('Employee Detail FY26'!F43="","",'Employee Detail FY26'!F43)</f>
        <v/>
      </c>
      <c r="G43" s="3" t="str">
        <f>IF('Employee Detail FY26'!G43="","",'Employee Detail FY26'!G43)</f>
        <v/>
      </c>
      <c r="H43" s="3"/>
      <c r="I43" s="255" t="str">
        <f>IF('Employee Detail FY26'!I43="","",'Employee Detail FY26'!I43)</f>
        <v/>
      </c>
      <c r="J43" s="255" t="str">
        <f>IF('Employee Detail FY26'!J43="","",'Employee Detail FY26'!J43)</f>
        <v/>
      </c>
      <c r="K43" s="255" t="str">
        <f>IF('Employee Detail FY26'!K43="","",'Employee Detail FY26'!K43)</f>
        <v/>
      </c>
      <c r="L43" s="255" t="str">
        <f>IF('Employee Detail FY26'!L43="","",'Employee Detail FY26'!L43)</f>
        <v/>
      </c>
      <c r="M43" s="92" t="str">
        <f>IF('Employee Detail FY26'!M43="","",'Employee Detail FY26'!M43)</f>
        <v/>
      </c>
      <c r="N43" s="3" t="str">
        <f>IF('Employee Detail FY26'!N43="","",'Employee Detail FY26'!N43)</f>
        <v/>
      </c>
      <c r="O43" s="3" t="str">
        <f>IF('Employee Detail FY26'!O43="","",'Employee Detail FY26'!O43)</f>
        <v/>
      </c>
      <c r="P43" s="3" t="str">
        <f>IF('Employee Detail FY26'!P43="","",'Employee Detail FY26'!P43)</f>
        <v/>
      </c>
      <c r="Q43" s="3" t="str">
        <f>IF('Employee Detail FY26'!Q43="","",'Employee Detail FY26'!Q43)</f>
        <v/>
      </c>
      <c r="R43" s="3" t="str">
        <f>IF('Employee Detail FY26'!R43="","",'Employee Detail FY26'!R43)</f>
        <v/>
      </c>
      <c r="S43" s="3" t="str">
        <f>IF('Employee Detail FY26'!S43="","",'Employee Detail FY26'!S43)</f>
        <v/>
      </c>
      <c r="T43" s="263" t="str">
        <f t="shared" si="6"/>
        <v/>
      </c>
      <c r="U43" s="269" t="str">
        <f>IF('Employee Detail FY26'!U43="","",'Employee Detail FY26'!U43)</f>
        <v/>
      </c>
      <c r="V43" s="270" t="str">
        <f t="shared" si="7"/>
        <v/>
      </c>
      <c r="W43" s="270" t="str">
        <f t="shared" si="8"/>
        <v/>
      </c>
      <c r="X43" s="270" t="str">
        <f t="shared" si="9"/>
        <v/>
      </c>
      <c r="Y43" s="62">
        <v>0</v>
      </c>
      <c r="Z43" s="62">
        <v>0</v>
      </c>
      <c r="AA43" s="256">
        <f t="shared" si="10"/>
        <v>0</v>
      </c>
      <c r="AB43" s="3"/>
      <c r="AC43" s="62" t="str">
        <f t="shared" si="11"/>
        <v/>
      </c>
      <c r="AD43" s="62" t="str">
        <f t="shared" si="12"/>
        <v/>
      </c>
      <c r="AE43" s="62" t="str">
        <f t="shared" si="13"/>
        <v/>
      </c>
      <c r="AF43" s="62" t="str">
        <f t="shared" si="14"/>
        <v/>
      </c>
      <c r="AG43" s="192">
        <v>0</v>
      </c>
      <c r="AH43" s="62" t="str">
        <f t="shared" si="15"/>
        <v/>
      </c>
      <c r="AI43" s="62">
        <f t="shared" si="16"/>
        <v>0</v>
      </c>
      <c r="AJ43" s="62"/>
      <c r="AK43" s="62">
        <v>0</v>
      </c>
      <c r="AL43" s="256">
        <f t="shared" si="17"/>
        <v>0</v>
      </c>
      <c r="AM43" s="256">
        <f t="shared" si="18"/>
        <v>0</v>
      </c>
      <c r="AN43" s="256">
        <f t="shared" si="19"/>
        <v>0</v>
      </c>
    </row>
    <row r="44" spans="1:40" hidden="1" x14ac:dyDescent="0.2">
      <c r="A44" s="3" t="str">
        <f>IF('Employee Detail FY26'!A44="","",'Employee Detail FY26'!A44)</f>
        <v/>
      </c>
      <c r="B44" s="3">
        <f>IF('Employee Detail FY26'!B44="","",'Employee Detail FY26'!B44)</f>
        <v>250</v>
      </c>
      <c r="C44" s="3" t="str">
        <f>IF('Employee Detail FY26'!C44="","",'Employee Detail FY26'!C44)</f>
        <v>205</v>
      </c>
      <c r="D44" s="3"/>
      <c r="E44" s="3">
        <f>IF('Employee Detail FY26'!E44="","",'Employee Detail FY26'!E44)</f>
        <v>200</v>
      </c>
      <c r="F44" s="3">
        <f>IF('Employee Detail FY26'!F44="","",'Employee Detail FY26'!F44)</f>
        <v>2140</v>
      </c>
      <c r="G44" s="3" t="str">
        <f>IF('Employee Detail FY26'!G44="","",'Employee Detail FY26'!G44)</f>
        <v>0106</v>
      </c>
      <c r="H44" s="3"/>
      <c r="I44" s="255" t="str">
        <f>IF('Employee Detail FY26'!I44="","",'Employee Detail FY26'!I44)</f>
        <v>NASH</v>
      </c>
      <c r="J44" s="255" t="str">
        <f>IF('Employee Detail FY26'!J44="","",'Employee Detail FY26'!J44)</f>
        <v>Mala</v>
      </c>
      <c r="K44" s="255" t="str">
        <f>IF('Employee Detail FY26'!K44="","",'Employee Detail FY26'!K44)</f>
        <v>Licensed Support Staff</v>
      </c>
      <c r="L44" s="255" t="str">
        <f>IF('Employee Detail FY26'!L44="","",'Employee Detail FY26'!L44)</f>
        <v>PSYCHOLOGIST</v>
      </c>
      <c r="M44" s="92">
        <f>IF('Employee Detail FY26'!M44="","",'Employee Detail FY26'!M44)</f>
        <v>1</v>
      </c>
      <c r="N44" s="3" t="str">
        <f>IF('Employee Detail FY26'!N44="","",'Employee Detail FY26'!N44)</f>
        <v/>
      </c>
      <c r="O44" s="3">
        <f>IF('Employee Detail FY26'!O44="","",'Employee Detail FY26'!O44)</f>
        <v>26</v>
      </c>
      <c r="P44" s="3" t="str">
        <f>IF('Employee Detail FY26'!P44="","",'Employee Detail FY26'!P44)</f>
        <v>EE</v>
      </c>
      <c r="Q44" s="3" t="str">
        <f>IF('Employee Detail FY26'!Q44="","",'Employee Detail FY26'!Q44)</f>
        <v/>
      </c>
      <c r="R44" s="3">
        <f>IF('Employee Detail FY26'!R44="","",'Employee Detail FY26'!R44)</f>
        <v>200</v>
      </c>
      <c r="S44" s="3">
        <f>IF('Employee Detail FY26'!S44="","",'Employee Detail FY26'!S44)</f>
        <v>8</v>
      </c>
      <c r="T44" s="263">
        <f t="shared" si="6"/>
        <v>1600</v>
      </c>
      <c r="U44" s="269">
        <f>IF('Employee Detail FY26'!U44="","",'Employee Detail FY26'!U44)</f>
        <v>72768.800000000003</v>
      </c>
      <c r="V44" s="270">
        <f t="shared" si="7"/>
        <v>83684.12</v>
      </c>
      <c r="W44" s="270">
        <f t="shared" si="8"/>
        <v>96536.829254319993</v>
      </c>
      <c r="X44" s="270">
        <f t="shared" si="9"/>
        <v>96536.829254319993</v>
      </c>
      <c r="Y44" s="62">
        <v>0</v>
      </c>
      <c r="Z44" s="62">
        <v>0</v>
      </c>
      <c r="AA44" s="256">
        <f t="shared" si="10"/>
        <v>96536.829254319993</v>
      </c>
      <c r="AB44" s="3"/>
      <c r="AC44" s="62">
        <f t="shared" si="11"/>
        <v>7943.76</v>
      </c>
      <c r="AD44" s="62" t="str">
        <f t="shared" si="12"/>
        <v/>
      </c>
      <c r="AE44" s="62">
        <f t="shared" si="13"/>
        <v>14721.866461283798</v>
      </c>
      <c r="AF44" s="62">
        <f t="shared" si="14"/>
        <v>1399.7840241876399</v>
      </c>
      <c r="AG44" s="192">
        <v>0</v>
      </c>
      <c r="AH44" s="62">
        <f t="shared" si="15"/>
        <v>878.71066656844084</v>
      </c>
      <c r="AI44" s="62">
        <f t="shared" si="16"/>
        <v>284.32014495496782</v>
      </c>
      <c r="AJ44" s="62"/>
      <c r="AK44" s="62">
        <v>0</v>
      </c>
      <c r="AL44" s="256">
        <f t="shared" si="17"/>
        <v>25228.441296994846</v>
      </c>
      <c r="AM44" s="256">
        <f t="shared" si="18"/>
        <v>96536.829254319993</v>
      </c>
      <c r="AN44" s="256">
        <f t="shared" si="19"/>
        <v>121765.27055131484</v>
      </c>
    </row>
    <row r="45" spans="1:40" hidden="1" x14ac:dyDescent="0.2">
      <c r="A45" s="3" t="str">
        <f>IF('Employee Detail FY26'!A45="","",'Employee Detail FY26'!A45)</f>
        <v/>
      </c>
      <c r="B45" s="3" t="str">
        <f>IF('Employee Detail FY26'!B45="","",'Employee Detail FY26'!B45)</f>
        <v/>
      </c>
      <c r="C45" s="3" t="str">
        <f>IF('Employee Detail FY26'!C45="","",'Employee Detail FY26'!C45)</f>
        <v/>
      </c>
      <c r="D45" s="3"/>
      <c r="E45" s="3" t="str">
        <f>IF('Employee Detail FY26'!E45="","",'Employee Detail FY26'!E45)</f>
        <v/>
      </c>
      <c r="F45" s="3" t="str">
        <f>IF('Employee Detail FY26'!F45="","",'Employee Detail FY26'!F45)</f>
        <v/>
      </c>
      <c r="G45" s="3" t="str">
        <f>IF('Employee Detail FY26'!G45="","",'Employee Detail FY26'!G45)</f>
        <v/>
      </c>
      <c r="H45" s="3"/>
      <c r="I45" s="255" t="str">
        <f>IF('Employee Detail FY26'!I45="","",'Employee Detail FY26'!I45)</f>
        <v/>
      </c>
      <c r="J45" s="255" t="str">
        <f>IF('Employee Detail FY26'!J45="","",'Employee Detail FY26'!J45)</f>
        <v/>
      </c>
      <c r="K45" s="255" t="str">
        <f>IF('Employee Detail FY26'!K45="","",'Employee Detail FY26'!K45)</f>
        <v/>
      </c>
      <c r="L45" s="255" t="str">
        <f>IF('Employee Detail FY26'!L45="","",'Employee Detail FY26'!L45)</f>
        <v/>
      </c>
      <c r="M45" s="92" t="str">
        <f>IF('Employee Detail FY26'!M45="","",'Employee Detail FY26'!M45)</f>
        <v/>
      </c>
      <c r="N45" s="3" t="str">
        <f>IF('Employee Detail FY26'!N45="","",'Employee Detail FY26'!N45)</f>
        <v/>
      </c>
      <c r="O45" s="3" t="str">
        <f>IF('Employee Detail FY26'!O45="","",'Employee Detail FY26'!O45)</f>
        <v/>
      </c>
      <c r="P45" s="3" t="str">
        <f>IF('Employee Detail FY26'!P45="","",'Employee Detail FY26'!P45)</f>
        <v/>
      </c>
      <c r="Q45" s="3" t="str">
        <f>IF('Employee Detail FY26'!Q45="","",'Employee Detail FY26'!Q45)</f>
        <v/>
      </c>
      <c r="R45" s="3" t="str">
        <f>IF('Employee Detail FY26'!R45="","",'Employee Detail FY26'!R45)</f>
        <v/>
      </c>
      <c r="S45" s="3" t="str">
        <f>IF('Employee Detail FY26'!S45="","",'Employee Detail FY26'!S45)</f>
        <v/>
      </c>
      <c r="T45" s="263" t="str">
        <f t="shared" si="6"/>
        <v/>
      </c>
      <c r="U45" s="269" t="str">
        <f>IF('Employee Detail FY26'!U45="","",'Employee Detail FY26'!U45)</f>
        <v/>
      </c>
      <c r="V45" s="270" t="str">
        <f t="shared" si="7"/>
        <v/>
      </c>
      <c r="W45" s="270" t="str">
        <f t="shared" si="8"/>
        <v/>
      </c>
      <c r="X45" s="270" t="str">
        <f t="shared" si="9"/>
        <v/>
      </c>
      <c r="Y45" s="62">
        <v>0</v>
      </c>
      <c r="Z45" s="62">
        <v>0</v>
      </c>
      <c r="AA45" s="256">
        <f t="shared" si="10"/>
        <v>0</v>
      </c>
      <c r="AB45" s="3"/>
      <c r="AC45" s="62" t="str">
        <f t="shared" si="11"/>
        <v/>
      </c>
      <c r="AD45" s="62" t="str">
        <f t="shared" si="12"/>
        <v/>
      </c>
      <c r="AE45" s="62" t="str">
        <f t="shared" si="13"/>
        <v/>
      </c>
      <c r="AF45" s="62" t="str">
        <f t="shared" si="14"/>
        <v/>
      </c>
      <c r="AG45" s="192">
        <v>0</v>
      </c>
      <c r="AH45" s="62" t="str">
        <f t="shared" si="15"/>
        <v/>
      </c>
      <c r="AI45" s="62">
        <f t="shared" si="16"/>
        <v>0</v>
      </c>
      <c r="AJ45" s="62"/>
      <c r="AK45" s="62">
        <v>0</v>
      </c>
      <c r="AL45" s="256">
        <f t="shared" si="17"/>
        <v>0</v>
      </c>
      <c r="AM45" s="256">
        <f t="shared" si="18"/>
        <v>0</v>
      </c>
      <c r="AN45" s="256">
        <f t="shared" si="19"/>
        <v>0</v>
      </c>
    </row>
    <row r="46" spans="1:40" hidden="1" x14ac:dyDescent="0.2">
      <c r="A46" s="3" t="str">
        <f>IF('Employee Detail FY26'!A46="","",'Employee Detail FY26'!A46)</f>
        <v/>
      </c>
      <c r="B46" s="3">
        <f>IF('Employee Detail FY26'!B46="","",'Employee Detail FY26'!B46)</f>
        <v>250</v>
      </c>
      <c r="C46" s="3" t="str">
        <f>IF('Employee Detail FY26'!C46="","",'Employee Detail FY26'!C46)</f>
        <v>205</v>
      </c>
      <c r="D46" s="3"/>
      <c r="E46" s="3" t="str">
        <f>IF('Employee Detail FY26'!E46="","",'Employee Detail FY26'!E46)</f>
        <v>200</v>
      </c>
      <c r="F46" s="3">
        <f>IF('Employee Detail FY26'!F46="","",'Employee Detail FY26'!F46)</f>
        <v>2130</v>
      </c>
      <c r="G46" s="3" t="str">
        <f>IF('Employee Detail FY26'!G46="","",'Employee Detail FY26'!G46)</f>
        <v>0106</v>
      </c>
      <c r="H46" s="3"/>
      <c r="I46" s="255" t="str">
        <f>IF('Employee Detail FY26'!I46="","",'Employee Detail FY26'!I46)</f>
        <v>LAGRUTTA</v>
      </c>
      <c r="J46" s="255" t="str">
        <f>IF('Employee Detail FY26'!J46="","",'Employee Detail FY26'!J46)</f>
        <v>JUDY</v>
      </c>
      <c r="K46" s="255" t="str">
        <f>IF('Employee Detail FY26'!K46="","",'Employee Detail FY26'!K46)</f>
        <v>Licensed Support Staff</v>
      </c>
      <c r="L46" s="255" t="str">
        <f>IF('Employee Detail FY26'!L46="","",'Employee Detail FY26'!L46)</f>
        <v>NURSE</v>
      </c>
      <c r="M46" s="92">
        <f>IF('Employee Detail FY26'!M46="","",'Employee Detail FY26'!M46)</f>
        <v>0.3</v>
      </c>
      <c r="N46" s="3">
        <f>IF('Employee Detail FY26'!N46="","",'Employee Detail FY26'!N46)</f>
        <v>45</v>
      </c>
      <c r="O46" s="3">
        <f>IF('Employee Detail FY26'!O46="","",'Employee Detail FY26'!O46)</f>
        <v>26</v>
      </c>
      <c r="P46" s="3" t="str">
        <f>IF('Employee Detail FY26'!P46="","",'Employee Detail FY26'!P46)</f>
        <v>N</v>
      </c>
      <c r="Q46" s="3">
        <f>IF('Employee Detail FY26'!Q46="","",'Employee Detail FY26'!Q46)</f>
        <v>45</v>
      </c>
      <c r="R46" s="3">
        <f>IF('Employee Detail FY26'!R46="","",'Employee Detail FY26'!R46)</f>
        <v>1</v>
      </c>
      <c r="S46" s="3">
        <f>IF('Employee Detail FY26'!S46="","",'Employee Detail FY26'!S46)</f>
        <v>524</v>
      </c>
      <c r="T46" s="263">
        <f t="shared" si="6"/>
        <v>524</v>
      </c>
      <c r="U46" s="269">
        <f>IF('Employee Detail FY26'!U46="","",'Employee Detail FY26'!U46)</f>
        <v>23580</v>
      </c>
      <c r="V46" s="270">
        <f t="shared" si="7"/>
        <v>27116.999999999996</v>
      </c>
      <c r="W46" s="270" t="str">
        <f t="shared" si="8"/>
        <v/>
      </c>
      <c r="X46" s="270">
        <f t="shared" si="9"/>
        <v>27116.999999999996</v>
      </c>
      <c r="Y46" s="62">
        <v>0</v>
      </c>
      <c r="Z46" s="62">
        <v>0</v>
      </c>
      <c r="AA46" s="256">
        <f t="shared" si="10"/>
        <v>27116.999999999996</v>
      </c>
      <c r="AB46" s="3"/>
      <c r="AC46" s="62" t="str">
        <f t="shared" si="11"/>
        <v/>
      </c>
      <c r="AD46" s="62">
        <f t="shared" si="12"/>
        <v>1681.2539999999997</v>
      </c>
      <c r="AE46" s="62" t="str">
        <f t="shared" si="13"/>
        <v/>
      </c>
      <c r="AF46" s="62">
        <f t="shared" si="14"/>
        <v>393.19649999999996</v>
      </c>
      <c r="AG46" s="192">
        <v>0</v>
      </c>
      <c r="AH46" s="62">
        <f t="shared" si="15"/>
        <v>246.82804821114539</v>
      </c>
      <c r="AI46" s="62">
        <f t="shared" si="16"/>
        <v>79.864953409984153</v>
      </c>
      <c r="AJ46" s="62"/>
      <c r="AK46" s="62">
        <v>0</v>
      </c>
      <c r="AL46" s="256">
        <f t="shared" si="17"/>
        <v>2401.143501621129</v>
      </c>
      <c r="AM46" s="256">
        <f t="shared" si="18"/>
        <v>27116.999999999996</v>
      </c>
      <c r="AN46" s="256">
        <f t="shared" si="19"/>
        <v>29518.143501621125</v>
      </c>
    </row>
    <row r="47" spans="1:40" hidden="1" x14ac:dyDescent="0.2">
      <c r="A47" s="3" t="str">
        <f>IF('Employee Detail FY26'!A47="","",'Employee Detail FY26'!A47)</f>
        <v>TITLE IV</v>
      </c>
      <c r="B47" s="3">
        <f>IF('Employee Detail FY26'!B47="","",'Employee Detail FY26'!B47)</f>
        <v>280</v>
      </c>
      <c r="C47" s="3">
        <f>IF('Employee Detail FY26'!C47="","",'Employee Detail FY26'!C47)</f>
        <v>715</v>
      </c>
      <c r="D47" s="3"/>
      <c r="E47" s="3">
        <f>IF('Employee Detail FY26'!E47="","",'Employee Detail FY26'!E47)</f>
        <v>430</v>
      </c>
      <c r="F47" s="3">
        <f>IF('Employee Detail FY26'!F47="","",'Employee Detail FY26'!F47)</f>
        <v>2130</v>
      </c>
      <c r="G47" s="3" t="str">
        <f>IF('Employee Detail FY26'!G47="","",'Employee Detail FY26'!G47)</f>
        <v>0106</v>
      </c>
      <c r="H47" s="3"/>
      <c r="I47" s="255" t="str">
        <f>IF('Employee Detail FY26'!I47="","",'Employee Detail FY26'!I47)</f>
        <v>LAGRUTTA</v>
      </c>
      <c r="J47" s="255" t="str">
        <f>IF('Employee Detail FY26'!J47="","",'Employee Detail FY26'!J47)</f>
        <v>JUDY</v>
      </c>
      <c r="K47" s="255" t="str">
        <f>IF('Employee Detail FY26'!K47="","",'Employee Detail FY26'!K47)</f>
        <v>Licensed Support Staff</v>
      </c>
      <c r="L47" s="255" t="str">
        <f>IF('Employee Detail FY26'!L47="","",'Employee Detail FY26'!L47)</f>
        <v>NURSE</v>
      </c>
      <c r="M47" s="92">
        <f>IF('Employee Detail FY26'!M47="","",'Employee Detail FY26'!M47)</f>
        <v>0.2</v>
      </c>
      <c r="N47" s="3">
        <f>IF('Employee Detail FY26'!N47="","",'Employee Detail FY26'!N47)</f>
        <v>45</v>
      </c>
      <c r="O47" s="3">
        <f>IF('Employee Detail FY26'!O47="","",'Employee Detail FY26'!O47)</f>
        <v>26</v>
      </c>
      <c r="P47" s="3" t="str">
        <f>IF('Employee Detail FY26'!P47="","",'Employee Detail FY26'!P47)</f>
        <v>N</v>
      </c>
      <c r="Q47" s="3">
        <f>IF('Employee Detail FY26'!Q47="","",'Employee Detail FY26'!Q47)</f>
        <v>45</v>
      </c>
      <c r="R47" s="3">
        <f>IF('Employee Detail FY26'!R47="","",'Employee Detail FY26'!R47)</f>
        <v>1</v>
      </c>
      <c r="S47" s="3">
        <f>IF('Employee Detail FY26'!S47="","",'Employee Detail FY26'!S47)</f>
        <v>258.75555555555553</v>
      </c>
      <c r="T47" s="263">
        <f t="shared" si="6"/>
        <v>258.75555555555553</v>
      </c>
      <c r="U47" s="269">
        <f>IF('Employee Detail FY26'!U47="","",'Employee Detail FY26'!U47)</f>
        <v>11643.999999999998</v>
      </c>
      <c r="V47" s="270">
        <f t="shared" si="7"/>
        <v>13390.599999999997</v>
      </c>
      <c r="W47" s="270" t="str">
        <f t="shared" si="8"/>
        <v/>
      </c>
      <c r="X47" s="270">
        <f t="shared" si="9"/>
        <v>13390.599999999997</v>
      </c>
      <c r="Y47" s="62">
        <v>0</v>
      </c>
      <c r="Z47" s="62">
        <v>0</v>
      </c>
      <c r="AA47" s="256">
        <f t="shared" si="10"/>
        <v>13390.599999999997</v>
      </c>
      <c r="AB47" s="3"/>
      <c r="AC47" s="62" t="str">
        <f t="shared" si="11"/>
        <v/>
      </c>
      <c r="AD47" s="62">
        <f t="shared" si="12"/>
        <v>830.21719999999982</v>
      </c>
      <c r="AE47" s="62" t="str">
        <f t="shared" si="13"/>
        <v/>
      </c>
      <c r="AF47" s="62">
        <f t="shared" si="14"/>
        <v>194.16369999999995</v>
      </c>
      <c r="AG47" s="192">
        <v>0</v>
      </c>
      <c r="AH47" s="62">
        <f t="shared" si="15"/>
        <v>121.88574187322209</v>
      </c>
      <c r="AI47" s="62">
        <f t="shared" si="16"/>
        <v>39.437977841639324</v>
      </c>
      <c r="AJ47" s="62"/>
      <c r="AK47" s="62">
        <v>0</v>
      </c>
      <c r="AL47" s="256">
        <f t="shared" si="17"/>
        <v>1185.7046197148611</v>
      </c>
      <c r="AM47" s="256">
        <f t="shared" si="18"/>
        <v>13390.599999999997</v>
      </c>
      <c r="AN47" s="256">
        <f t="shared" si="19"/>
        <v>14576.304619714858</v>
      </c>
    </row>
    <row r="48" spans="1:40" hidden="1" x14ac:dyDescent="0.2">
      <c r="A48" s="3" t="str">
        <f>IF('Employee Detail FY26'!A48="","",'Employee Detail FY26'!A48)</f>
        <v/>
      </c>
      <c r="B48" s="3" t="str">
        <f>IF('Employee Detail FY26'!B48="","",'Employee Detail FY26'!B48)</f>
        <v/>
      </c>
      <c r="C48" s="3" t="str">
        <f>IF('Employee Detail FY26'!C48="","",'Employee Detail FY26'!C48)</f>
        <v/>
      </c>
      <c r="D48" s="3"/>
      <c r="E48" s="3" t="str">
        <f>IF('Employee Detail FY26'!E48="","",'Employee Detail FY26'!E48)</f>
        <v/>
      </c>
      <c r="F48" s="3" t="str">
        <f>IF('Employee Detail FY26'!F48="","",'Employee Detail FY26'!F48)</f>
        <v/>
      </c>
      <c r="G48" s="3" t="str">
        <f>IF('Employee Detail FY26'!G48="","",'Employee Detail FY26'!G48)</f>
        <v/>
      </c>
      <c r="H48" s="3"/>
      <c r="I48" s="255" t="str">
        <f>IF('Employee Detail FY26'!I48="","",'Employee Detail FY26'!I48)</f>
        <v/>
      </c>
      <c r="J48" s="255" t="str">
        <f>IF('Employee Detail FY26'!J48="","",'Employee Detail FY26'!J48)</f>
        <v/>
      </c>
      <c r="K48" s="255" t="str">
        <f>IF('Employee Detail FY26'!K48="","",'Employee Detail FY26'!K48)</f>
        <v/>
      </c>
      <c r="L48" s="255" t="str">
        <f>IF('Employee Detail FY26'!L48="","",'Employee Detail FY26'!L48)</f>
        <v/>
      </c>
      <c r="M48" s="92" t="str">
        <f>IF('Employee Detail FY26'!M48="","",'Employee Detail FY26'!M48)</f>
        <v/>
      </c>
      <c r="N48" s="3" t="str">
        <f>IF('Employee Detail FY26'!N48="","",'Employee Detail FY26'!N48)</f>
        <v/>
      </c>
      <c r="O48" s="3" t="str">
        <f>IF('Employee Detail FY26'!O48="","",'Employee Detail FY26'!O48)</f>
        <v/>
      </c>
      <c r="P48" s="3" t="str">
        <f>IF('Employee Detail FY26'!P48="","",'Employee Detail FY26'!P48)</f>
        <v/>
      </c>
      <c r="Q48" s="3" t="str">
        <f>IF('Employee Detail FY26'!Q48="","",'Employee Detail FY26'!Q48)</f>
        <v/>
      </c>
      <c r="R48" s="3" t="str">
        <f>IF('Employee Detail FY26'!R48="","",'Employee Detail FY26'!R48)</f>
        <v/>
      </c>
      <c r="S48" s="3" t="str">
        <f>IF('Employee Detail FY26'!S48="","",'Employee Detail FY26'!S48)</f>
        <v/>
      </c>
      <c r="T48" s="263" t="str">
        <f t="shared" si="6"/>
        <v/>
      </c>
      <c r="U48" s="269" t="str">
        <f>IF('Employee Detail FY26'!U48="","",'Employee Detail FY26'!U48)</f>
        <v/>
      </c>
      <c r="V48" s="270" t="str">
        <f t="shared" si="7"/>
        <v/>
      </c>
      <c r="W48" s="270" t="str">
        <f t="shared" si="8"/>
        <v/>
      </c>
      <c r="X48" s="270" t="str">
        <f t="shared" si="9"/>
        <v/>
      </c>
      <c r="Y48" s="62">
        <v>0</v>
      </c>
      <c r="Z48" s="62">
        <v>0</v>
      </c>
      <c r="AA48" s="256">
        <f t="shared" si="10"/>
        <v>0</v>
      </c>
      <c r="AB48" s="3"/>
      <c r="AC48" s="62" t="str">
        <f t="shared" si="11"/>
        <v/>
      </c>
      <c r="AD48" s="62" t="str">
        <f t="shared" si="12"/>
        <v/>
      </c>
      <c r="AE48" s="62" t="str">
        <f t="shared" si="13"/>
        <v/>
      </c>
      <c r="AF48" s="62" t="str">
        <f t="shared" si="14"/>
        <v/>
      </c>
      <c r="AG48" s="192">
        <v>0</v>
      </c>
      <c r="AH48" s="62" t="str">
        <f t="shared" si="15"/>
        <v/>
      </c>
      <c r="AI48" s="62">
        <f t="shared" si="16"/>
        <v>0</v>
      </c>
      <c r="AJ48" s="62"/>
      <c r="AK48" s="62">
        <v>0</v>
      </c>
      <c r="AL48" s="256">
        <f t="shared" si="17"/>
        <v>0</v>
      </c>
      <c r="AM48" s="256">
        <f t="shared" si="18"/>
        <v>0</v>
      </c>
      <c r="AN48" s="256">
        <f t="shared" si="19"/>
        <v>0</v>
      </c>
    </row>
    <row r="49" spans="1:40" x14ac:dyDescent="0.2">
      <c r="A49" s="3" t="str">
        <f>IF('Employee Detail FY26'!A49="","",'Employee Detail FY26'!A49)</f>
        <v/>
      </c>
      <c r="B49" s="3">
        <f>IF('Employee Detail FY26'!B49="","",'Employee Detail FY26'!B49)</f>
        <v>100</v>
      </c>
      <c r="C49" s="3" t="str">
        <f>IF('Employee Detail FY26'!C49="","",'Employee Detail FY26'!C49)</f>
        <v>000</v>
      </c>
      <c r="D49" s="3"/>
      <c r="E49" s="3">
        <f>IF('Employee Detail FY26'!E49="","",'Employee Detail FY26'!E49)</f>
        <v>100</v>
      </c>
      <c r="F49" s="3">
        <f>IF('Employee Detail FY26'!F49="","",'Employee Detail FY26'!F49)</f>
        <v>1000</v>
      </c>
      <c r="G49" s="3" t="str">
        <f>IF('Employee Detail FY26'!G49="","",'Employee Detail FY26'!G49)</f>
        <v>0102</v>
      </c>
      <c r="H49" s="3"/>
      <c r="I49" s="255" t="str">
        <f>IF('Employee Detail FY26'!I49="","",'Employee Detail FY26'!I49)</f>
        <v>CASUSO</v>
      </c>
      <c r="J49" s="255" t="str">
        <f>IF('Employee Detail FY26'!J49="","",'Employee Detail FY26'!J49)</f>
        <v>MONICA</v>
      </c>
      <c r="K49" s="255" t="str">
        <f>IF('Employee Detail FY26'!K49="","",'Employee Detail FY26'!K49)</f>
        <v>Support Staff</v>
      </c>
      <c r="L49" s="255" t="str">
        <f>IF('Employee Detail FY26'!L49="","",'Employee Detail FY26'!L49)</f>
        <v>BLENDED LEARNING TEACHER ASSISTANT</v>
      </c>
      <c r="M49" s="92">
        <f>IF('Employee Detail FY26'!M49="","",'Employee Detail FY26'!M49)</f>
        <v>1</v>
      </c>
      <c r="N49" s="3" t="str">
        <f>IF('Employee Detail FY26'!N49="","",'Employee Detail FY26'!N49)</f>
        <v>10</v>
      </c>
      <c r="O49" s="3">
        <f>IF('Employee Detail FY26'!O49="","",'Employee Detail FY26'!O49)</f>
        <v>22</v>
      </c>
      <c r="P49" s="3" t="str">
        <f>IF('Employee Detail FY26'!P49="","",'Employee Detail FY26'!P49)</f>
        <v>EE</v>
      </c>
      <c r="Q49" s="3">
        <f>IF('Employee Detail FY26'!Q49="","",'Employee Detail FY26'!Q49)</f>
        <v>25</v>
      </c>
      <c r="R49" s="3">
        <f>IF('Employee Detail FY26'!R49="","",'Employee Detail FY26'!R49)</f>
        <v>180</v>
      </c>
      <c r="S49" s="3">
        <f>IF('Employee Detail FY26'!S49="","",'Employee Detail FY26'!S49)</f>
        <v>7</v>
      </c>
      <c r="T49" s="263">
        <f t="shared" si="6"/>
        <v>1260</v>
      </c>
      <c r="U49" s="269">
        <f>IF('Employee Detail FY26'!U49="","",'Employee Detail FY26'!U49)</f>
        <v>31500</v>
      </c>
      <c r="V49" s="270">
        <f t="shared" si="7"/>
        <v>36225</v>
      </c>
      <c r="W49" s="270">
        <f t="shared" si="8"/>
        <v>41788.652849999999</v>
      </c>
      <c r="X49" s="270">
        <f t="shared" si="9"/>
        <v>41788.652849999999</v>
      </c>
      <c r="Y49" s="62">
        <v>0</v>
      </c>
      <c r="Z49" s="62">
        <v>0</v>
      </c>
      <c r="AA49" s="256">
        <f t="shared" si="10"/>
        <v>41788.652849999999</v>
      </c>
      <c r="AB49" s="3"/>
      <c r="AC49" s="62">
        <f t="shared" si="11"/>
        <v>7943.76</v>
      </c>
      <c r="AD49" s="62" t="str">
        <f t="shared" si="12"/>
        <v/>
      </c>
      <c r="AE49" s="62">
        <f t="shared" si="13"/>
        <v>6372.7695596249996</v>
      </c>
      <c r="AF49" s="62">
        <f t="shared" si="14"/>
        <v>605.93546632499999</v>
      </c>
      <c r="AG49" s="192">
        <v>0</v>
      </c>
      <c r="AH49" s="62">
        <f t="shared" si="15"/>
        <v>380.37436369578563</v>
      </c>
      <c r="AI49" s="62">
        <f t="shared" si="16"/>
        <v>123.07588645245607</v>
      </c>
      <c r="AJ49" s="62"/>
      <c r="AK49" s="62">
        <v>0</v>
      </c>
      <c r="AL49" s="256">
        <f t="shared" si="17"/>
        <v>15425.915276098242</v>
      </c>
      <c r="AM49" s="256">
        <f t="shared" si="18"/>
        <v>41788.652849999999</v>
      </c>
      <c r="AN49" s="256">
        <f t="shared" si="19"/>
        <v>57214.568126098238</v>
      </c>
    </row>
    <row r="50" spans="1:40" x14ac:dyDescent="0.2">
      <c r="A50" s="3" t="str">
        <f>IF('Employee Detail FY26'!A50="","",'Employee Detail FY26'!A50)</f>
        <v/>
      </c>
      <c r="B50" s="3">
        <f>IF('Employee Detail FY26'!B50="","",'Employee Detail FY26'!B50)</f>
        <v>100</v>
      </c>
      <c r="C50" s="3" t="str">
        <f>IF('Employee Detail FY26'!C50="","",'Employee Detail FY26'!C50)</f>
        <v>000</v>
      </c>
      <c r="D50" s="3"/>
      <c r="E50" s="3">
        <f>IF('Employee Detail FY26'!E50="","",'Employee Detail FY26'!E50)</f>
        <v>100</v>
      </c>
      <c r="F50" s="3">
        <f>IF('Employee Detail FY26'!F50="","",'Employee Detail FY26'!F50)</f>
        <v>1000</v>
      </c>
      <c r="G50" s="3" t="str">
        <f>IF('Employee Detail FY26'!G50="","",'Employee Detail FY26'!G50)</f>
        <v>0102</v>
      </c>
      <c r="H50" s="3"/>
      <c r="I50" s="255" t="str">
        <f>IF('Employee Detail FY26'!I50="","",'Employee Detail FY26'!I50)</f>
        <v>DEL TORO CONTRARES</v>
      </c>
      <c r="J50" s="255" t="str">
        <f>IF('Employee Detail FY26'!J50="","",'Employee Detail FY26'!J50)</f>
        <v>CLARISA</v>
      </c>
      <c r="K50" s="255" t="str">
        <f>IF('Employee Detail FY26'!K50="","",'Employee Detail FY26'!K50)</f>
        <v>Support Staff</v>
      </c>
      <c r="L50" s="255" t="str">
        <f>IF('Employee Detail FY26'!L50="","",'Employee Detail FY26'!L50)</f>
        <v>BLENDED LEARNING TEACHER ASSISTANT</v>
      </c>
      <c r="M50" s="92">
        <f>IF('Employee Detail FY26'!M50="","",'Employee Detail FY26'!M50)</f>
        <v>1</v>
      </c>
      <c r="N50" s="3">
        <f>IF('Employee Detail FY26'!N50="","",'Employee Detail FY26'!N50)</f>
        <v>10</v>
      </c>
      <c r="O50" s="3">
        <f>IF('Employee Detail FY26'!O50="","",'Employee Detail FY26'!O50)</f>
        <v>22</v>
      </c>
      <c r="P50" s="3" t="str">
        <f>IF('Employee Detail FY26'!P50="","",'Employee Detail FY26'!P50)</f>
        <v>ER</v>
      </c>
      <c r="Q50" s="3">
        <f>IF('Employee Detail FY26'!Q50="","",'Employee Detail FY26'!Q50)</f>
        <v>15</v>
      </c>
      <c r="R50" s="3">
        <f>IF('Employee Detail FY26'!R50="","",'Employee Detail FY26'!R50)</f>
        <v>180</v>
      </c>
      <c r="S50" s="3">
        <f>IF('Employee Detail FY26'!S50="","",'Employee Detail FY26'!S50)</f>
        <v>7</v>
      </c>
      <c r="T50" s="263">
        <f t="shared" si="6"/>
        <v>1260</v>
      </c>
      <c r="U50" s="269">
        <f>IF('Employee Detail FY26'!U50="","",'Employee Detail FY26'!U50)</f>
        <v>18900</v>
      </c>
      <c r="V50" s="270">
        <f t="shared" si="7"/>
        <v>21735</v>
      </c>
      <c r="W50" s="270" t="str">
        <f t="shared" si="8"/>
        <v/>
      </c>
      <c r="X50" s="270">
        <f t="shared" si="9"/>
        <v>21735</v>
      </c>
      <c r="Y50" s="62">
        <v>0</v>
      </c>
      <c r="Z50" s="62">
        <v>0</v>
      </c>
      <c r="AA50" s="256">
        <f t="shared" si="10"/>
        <v>21735</v>
      </c>
      <c r="AB50" s="3"/>
      <c r="AC50" s="62">
        <f t="shared" si="11"/>
        <v>7943.76</v>
      </c>
      <c r="AD50" s="62" t="str">
        <f t="shared" si="12"/>
        <v/>
      </c>
      <c r="AE50" s="62">
        <f t="shared" si="13"/>
        <v>6357.4874999999993</v>
      </c>
      <c r="AF50" s="62">
        <f t="shared" si="14"/>
        <v>315.15750000000003</v>
      </c>
      <c r="AG50" s="192">
        <v>0</v>
      </c>
      <c r="AH50" s="62">
        <f t="shared" si="15"/>
        <v>197.83927528374252</v>
      </c>
      <c r="AI50" s="62">
        <f t="shared" si="16"/>
        <v>64.01389395456745</v>
      </c>
      <c r="AJ50" s="62"/>
      <c r="AK50" s="62">
        <v>0</v>
      </c>
      <c r="AL50" s="256">
        <f t="shared" si="17"/>
        <v>14878.258169238308</v>
      </c>
      <c r="AM50" s="256">
        <f t="shared" si="18"/>
        <v>21735</v>
      </c>
      <c r="AN50" s="256">
        <f t="shared" si="19"/>
        <v>36613.25816923831</v>
      </c>
    </row>
    <row r="51" spans="1:40" x14ac:dyDescent="0.2">
      <c r="A51" s="3" t="str">
        <f>IF('Employee Detail FY26'!A51="","",'Employee Detail FY26'!A51)</f>
        <v/>
      </c>
      <c r="B51" s="3">
        <f>IF('Employee Detail FY26'!B51="","",'Employee Detail FY26'!B51)</f>
        <v>100</v>
      </c>
      <c r="C51" s="3" t="str">
        <f>IF('Employee Detail FY26'!C51="","",'Employee Detail FY26'!C51)</f>
        <v>000</v>
      </c>
      <c r="D51" s="3"/>
      <c r="E51" s="3">
        <f>IF('Employee Detail FY26'!E51="","",'Employee Detail FY26'!E51)</f>
        <v>100</v>
      </c>
      <c r="F51" s="3">
        <f>IF('Employee Detail FY26'!F51="","",'Employee Detail FY26'!F51)</f>
        <v>1000</v>
      </c>
      <c r="G51" s="3" t="str">
        <f>IF('Employee Detail FY26'!G51="","",'Employee Detail FY26'!G51)</f>
        <v>0102</v>
      </c>
      <c r="H51" s="3"/>
      <c r="I51" s="255" t="str">
        <f>IF('Employee Detail FY26'!I51="","",'Employee Detail FY26'!I51)</f>
        <v>NEGRETE</v>
      </c>
      <c r="J51" s="255" t="str">
        <f>IF('Employee Detail FY26'!J51="","",'Employee Detail FY26'!J51)</f>
        <v>ANJELICA</v>
      </c>
      <c r="K51" s="255" t="str">
        <f>IF('Employee Detail FY26'!K51="","",'Employee Detail FY26'!K51)</f>
        <v>Support Staff</v>
      </c>
      <c r="L51" s="255" t="str">
        <f>IF('Employee Detail FY26'!L51="","",'Employee Detail FY26'!L51)</f>
        <v>BLENDED LEARNING TEACHER ASSISTANT</v>
      </c>
      <c r="M51" s="92">
        <f>IF('Employee Detail FY26'!M51="","",'Employee Detail FY26'!M51)</f>
        <v>1</v>
      </c>
      <c r="N51" s="3" t="str">
        <f>IF('Employee Detail FY26'!N51="","",'Employee Detail FY26'!N51)</f>
        <v>10</v>
      </c>
      <c r="O51" s="3">
        <f>IF('Employee Detail FY26'!O51="","",'Employee Detail FY26'!O51)</f>
        <v>22</v>
      </c>
      <c r="P51" s="3" t="str">
        <f>IF('Employee Detail FY26'!P51="","",'Employee Detail FY26'!P51)</f>
        <v>EE</v>
      </c>
      <c r="Q51" s="3">
        <f>IF('Employee Detail FY26'!Q51="","",'Employee Detail FY26'!Q51)</f>
        <v>25</v>
      </c>
      <c r="R51" s="3">
        <f>IF('Employee Detail FY26'!R51="","",'Employee Detail FY26'!R51)</f>
        <v>180</v>
      </c>
      <c r="S51" s="3">
        <f>IF('Employee Detail FY26'!S51="","",'Employee Detail FY26'!S51)</f>
        <v>7</v>
      </c>
      <c r="T51" s="263">
        <f t="shared" si="6"/>
        <v>1260</v>
      </c>
      <c r="U51" s="269">
        <f>IF('Employee Detail FY26'!U51="","",'Employee Detail FY26'!U51)</f>
        <v>31500</v>
      </c>
      <c r="V51" s="270">
        <f t="shared" si="7"/>
        <v>36225</v>
      </c>
      <c r="W51" s="270">
        <f t="shared" si="8"/>
        <v>41788.652849999999</v>
      </c>
      <c r="X51" s="270">
        <f t="shared" si="9"/>
        <v>41788.652849999999</v>
      </c>
      <c r="Y51" s="62">
        <v>0</v>
      </c>
      <c r="Z51" s="62">
        <v>0</v>
      </c>
      <c r="AA51" s="256">
        <f t="shared" si="10"/>
        <v>41788.652849999999</v>
      </c>
      <c r="AB51" s="3"/>
      <c r="AC51" s="62">
        <f t="shared" si="11"/>
        <v>7943.76</v>
      </c>
      <c r="AD51" s="62" t="str">
        <f t="shared" si="12"/>
        <v/>
      </c>
      <c r="AE51" s="62">
        <f t="shared" si="13"/>
        <v>6372.7695596249996</v>
      </c>
      <c r="AF51" s="62">
        <f t="shared" si="14"/>
        <v>605.93546632499999</v>
      </c>
      <c r="AG51" s="192">
        <v>0</v>
      </c>
      <c r="AH51" s="62">
        <f t="shared" si="15"/>
        <v>380.37436369578563</v>
      </c>
      <c r="AI51" s="62">
        <f t="shared" si="16"/>
        <v>123.07588645245607</v>
      </c>
      <c r="AJ51" s="62"/>
      <c r="AK51" s="62">
        <v>0</v>
      </c>
      <c r="AL51" s="256">
        <f t="shared" si="17"/>
        <v>15425.915276098242</v>
      </c>
      <c r="AM51" s="256">
        <f t="shared" si="18"/>
        <v>41788.652849999999</v>
      </c>
      <c r="AN51" s="256">
        <f t="shared" si="19"/>
        <v>57214.568126098238</v>
      </c>
    </row>
    <row r="52" spans="1:40" x14ac:dyDescent="0.2">
      <c r="A52" s="3" t="str">
        <f>IF('Employee Detail FY26'!A52="","",'Employee Detail FY26'!A52)</f>
        <v/>
      </c>
      <c r="B52" s="3">
        <f>IF('Employee Detail FY26'!B52="","",'Employee Detail FY26'!B52)</f>
        <v>100</v>
      </c>
      <c r="C52" s="3" t="str">
        <f>IF('Employee Detail FY26'!C52="","",'Employee Detail FY26'!C52)</f>
        <v>000</v>
      </c>
      <c r="D52" s="3"/>
      <c r="E52" s="3">
        <f>IF('Employee Detail FY26'!E52="","",'Employee Detail FY26'!E52)</f>
        <v>100</v>
      </c>
      <c r="F52" s="3">
        <f>IF('Employee Detail FY26'!F52="","",'Employee Detail FY26'!F52)</f>
        <v>1000</v>
      </c>
      <c r="G52" s="3" t="str">
        <f>IF('Employee Detail FY26'!G52="","",'Employee Detail FY26'!G52)</f>
        <v>0102</v>
      </c>
      <c r="H52" s="3"/>
      <c r="I52" s="255" t="str">
        <f>IF('Employee Detail FY26'!I52="","",'Employee Detail FY26'!I52)</f>
        <v>REDZIC</v>
      </c>
      <c r="J52" s="255" t="str">
        <f>IF('Employee Detail FY26'!J52="","",'Employee Detail FY26'!J52)</f>
        <v>LAMIYA</v>
      </c>
      <c r="K52" s="255" t="str">
        <f>IF('Employee Detail FY26'!K52="","",'Employee Detail FY26'!K52)</f>
        <v>Support Staff</v>
      </c>
      <c r="L52" s="255" t="str">
        <f>IF('Employee Detail FY26'!L52="","",'Employee Detail FY26'!L52)</f>
        <v>BLENDED LEARNING TEACHER ASSISTANT</v>
      </c>
      <c r="M52" s="92">
        <f>IF('Employee Detail FY26'!M52="","",'Employee Detail FY26'!M52)</f>
        <v>1</v>
      </c>
      <c r="N52" s="3" t="str">
        <f>IF('Employee Detail FY26'!N52="","",'Employee Detail FY26'!N52)</f>
        <v>10</v>
      </c>
      <c r="O52" s="3">
        <f>IF('Employee Detail FY26'!O52="","",'Employee Detail FY26'!O52)</f>
        <v>22</v>
      </c>
      <c r="P52" s="3" t="str">
        <f>IF('Employee Detail FY26'!P52="","",'Employee Detail FY26'!P52)</f>
        <v>EE</v>
      </c>
      <c r="Q52" s="3">
        <f>IF('Employee Detail FY26'!Q52="","",'Employee Detail FY26'!Q52)</f>
        <v>25</v>
      </c>
      <c r="R52" s="3">
        <f>IF('Employee Detail FY26'!R52="","",'Employee Detail FY26'!R52)</f>
        <v>180</v>
      </c>
      <c r="S52" s="3">
        <f>IF('Employee Detail FY26'!S52="","",'Employee Detail FY26'!S52)</f>
        <v>7</v>
      </c>
      <c r="T52" s="263">
        <f t="shared" si="6"/>
        <v>1260</v>
      </c>
      <c r="U52" s="269">
        <f>IF('Employee Detail FY26'!U52="","",'Employee Detail FY26'!U52)</f>
        <v>31500</v>
      </c>
      <c r="V52" s="270">
        <f t="shared" si="7"/>
        <v>36225</v>
      </c>
      <c r="W52" s="270">
        <f t="shared" si="8"/>
        <v>41788.652849999999</v>
      </c>
      <c r="X52" s="270">
        <f t="shared" si="9"/>
        <v>41788.652849999999</v>
      </c>
      <c r="Y52" s="62">
        <v>0</v>
      </c>
      <c r="Z52" s="62">
        <v>0</v>
      </c>
      <c r="AA52" s="256">
        <f t="shared" si="10"/>
        <v>41788.652849999999</v>
      </c>
      <c r="AB52" s="3"/>
      <c r="AC52" s="62">
        <f t="shared" si="11"/>
        <v>7943.76</v>
      </c>
      <c r="AD52" s="62" t="str">
        <f t="shared" si="12"/>
        <v/>
      </c>
      <c r="AE52" s="62">
        <f t="shared" si="13"/>
        <v>6372.7695596249996</v>
      </c>
      <c r="AF52" s="62">
        <f t="shared" si="14"/>
        <v>605.93546632499999</v>
      </c>
      <c r="AG52" s="192">
        <v>0</v>
      </c>
      <c r="AH52" s="62">
        <f t="shared" si="15"/>
        <v>380.37436369578563</v>
      </c>
      <c r="AI52" s="62">
        <f t="shared" si="16"/>
        <v>123.07588645245607</v>
      </c>
      <c r="AJ52" s="62"/>
      <c r="AK52" s="62">
        <v>0</v>
      </c>
      <c r="AL52" s="256">
        <f t="shared" si="17"/>
        <v>15425.915276098242</v>
      </c>
      <c r="AM52" s="256">
        <f t="shared" si="18"/>
        <v>41788.652849999999</v>
      </c>
      <c r="AN52" s="256">
        <f t="shared" si="19"/>
        <v>57214.568126098238</v>
      </c>
    </row>
    <row r="53" spans="1:40" x14ac:dyDescent="0.2">
      <c r="A53" s="386" t="str">
        <f>IF('Employee Detail FY26'!A53="","",'Employee Detail FY26'!A53)</f>
        <v>TITLE Ia</v>
      </c>
      <c r="B53" s="386">
        <f>IF('Employee Detail FY26'!B53="","",'Employee Detail FY26'!B53)</f>
        <v>280</v>
      </c>
      <c r="C53" s="386">
        <f>IF('Employee Detail FY26'!C53="","",'Employee Detail FY26'!C53)</f>
        <v>633</v>
      </c>
      <c r="D53" s="386"/>
      <c r="E53" s="386">
        <f>IF('Employee Detail FY26'!E53="","",'Employee Detail FY26'!E53)</f>
        <v>430</v>
      </c>
      <c r="F53" s="386">
        <f>IF('Employee Detail FY26'!F53="","",'Employee Detail FY26'!F53)</f>
        <v>1000</v>
      </c>
      <c r="G53" s="386" t="str">
        <f>IF('Employee Detail FY26'!G53="","",'Employee Detail FY26'!G53)</f>
        <v>0102</v>
      </c>
      <c r="H53" s="386"/>
      <c r="I53" s="359" t="str">
        <f>IF('Employee Detail FY26'!I53="","",'Employee Detail FY26'!I53)</f>
        <v>SALVANI</v>
      </c>
      <c r="J53" s="359" t="str">
        <f>IF('Employee Detail FY26'!J53="","",'Employee Detail FY26'!J53)</f>
        <v>CRISELDA</v>
      </c>
      <c r="K53" s="359" t="str">
        <f>IF('Employee Detail FY26'!K53="","",'Employee Detail FY26'!K53)</f>
        <v>Support Staff</v>
      </c>
      <c r="L53" s="359" t="str">
        <f>IF('Employee Detail FY26'!L53="","",'Employee Detail FY26'!L53)</f>
        <v>BLENDED LEARNING TEACHER ASSISTANT</v>
      </c>
      <c r="M53" s="92">
        <f>IF('Employee Detail FY26'!M53="","",'Employee Detail FY26'!M53)</f>
        <v>1</v>
      </c>
      <c r="N53" s="386" t="str">
        <f>IF('Employee Detail FY26'!N53="","",'Employee Detail FY26'!N53)</f>
        <v>10</v>
      </c>
      <c r="O53" s="386">
        <f>IF('Employee Detail FY26'!O53="","",'Employee Detail FY26'!O53)</f>
        <v>22</v>
      </c>
      <c r="P53" s="386" t="str">
        <f>IF('Employee Detail FY26'!P53="","",'Employee Detail FY26'!P53)</f>
        <v>EE</v>
      </c>
      <c r="Q53" s="386">
        <f>IF('Employee Detail FY26'!Q53="","",'Employee Detail FY26'!Q53)</f>
        <v>25</v>
      </c>
      <c r="R53" s="386">
        <f>IF('Employee Detail FY26'!R53="","",'Employee Detail FY26'!R53)</f>
        <v>180</v>
      </c>
      <c r="S53" s="386">
        <f>IF('Employee Detail FY26'!S53="","",'Employee Detail FY26'!S53)</f>
        <v>7</v>
      </c>
      <c r="T53" s="263">
        <f t="shared" si="6"/>
        <v>1260</v>
      </c>
      <c r="U53" s="269">
        <f>IF('Employee Detail FY26'!U53="","",'Employee Detail FY26'!U53)</f>
        <v>31500</v>
      </c>
      <c r="V53" s="270">
        <f t="shared" si="7"/>
        <v>36225</v>
      </c>
      <c r="W53" s="270">
        <f t="shared" si="8"/>
        <v>41788.652849999999</v>
      </c>
      <c r="X53" s="270">
        <f t="shared" si="9"/>
        <v>41788.652849999999</v>
      </c>
      <c r="Y53" s="62">
        <v>0</v>
      </c>
      <c r="Z53" s="62">
        <v>0</v>
      </c>
      <c r="AA53" s="256">
        <f t="shared" si="10"/>
        <v>41788.652849999999</v>
      </c>
      <c r="AB53" s="3"/>
      <c r="AC53" s="62">
        <f t="shared" si="11"/>
        <v>7943.76</v>
      </c>
      <c r="AD53" s="62" t="str">
        <f t="shared" si="12"/>
        <v/>
      </c>
      <c r="AE53" s="62">
        <f t="shared" si="13"/>
        <v>6372.7695596249996</v>
      </c>
      <c r="AF53" s="62">
        <f t="shared" si="14"/>
        <v>605.93546632499999</v>
      </c>
      <c r="AG53" s="192">
        <v>0</v>
      </c>
      <c r="AH53" s="62">
        <f t="shared" si="15"/>
        <v>380.37436369578563</v>
      </c>
      <c r="AI53" s="62">
        <f t="shared" si="16"/>
        <v>123.07588645245607</v>
      </c>
      <c r="AJ53" s="62"/>
      <c r="AK53" s="62">
        <v>0</v>
      </c>
      <c r="AL53" s="256">
        <f t="shared" si="17"/>
        <v>15425.915276098242</v>
      </c>
      <c r="AM53" s="256">
        <f t="shared" si="18"/>
        <v>41788.652849999999</v>
      </c>
      <c r="AN53" s="256">
        <f t="shared" si="19"/>
        <v>57214.568126098238</v>
      </c>
    </row>
    <row r="54" spans="1:40" x14ac:dyDescent="0.2">
      <c r="A54" s="386" t="str">
        <f>IF('Employee Detail FY26'!A54="","",'Employee Detail FY26'!A54)</f>
        <v>VACANT</v>
      </c>
      <c r="B54" s="386">
        <f>IF('Employee Detail FY26'!B54="","",'Employee Detail FY26'!B54)</f>
        <v>100</v>
      </c>
      <c r="C54" s="386" t="str">
        <f>IF('Employee Detail FY26'!C54="","",'Employee Detail FY26'!C54)</f>
        <v>000</v>
      </c>
      <c r="D54" s="386"/>
      <c r="E54" s="386">
        <f>IF('Employee Detail FY26'!E54="","",'Employee Detail FY26'!E54)</f>
        <v>100</v>
      </c>
      <c r="F54" s="386">
        <f>IF('Employee Detail FY26'!F54="","",'Employee Detail FY26'!F54)</f>
        <v>1000</v>
      </c>
      <c r="G54" s="386" t="str">
        <f>IF('Employee Detail FY26'!G54="","",'Employee Detail FY26'!G54)</f>
        <v>0102</v>
      </c>
      <c r="H54" s="386"/>
      <c r="I54" s="359" t="str">
        <f>IF('Employee Detail FY26'!I54="","",'Employee Detail FY26'!I54)</f>
        <v>VACANT</v>
      </c>
      <c r="J54" s="359" t="str">
        <f>IF('Employee Detail FY26'!J54="","",'Employee Detail FY26'!J54)</f>
        <v>FY23</v>
      </c>
      <c r="K54" s="359" t="str">
        <f>IF('Employee Detail FY26'!K54="","",'Employee Detail FY26'!K54)</f>
        <v>Support Staff</v>
      </c>
      <c r="L54" s="359" t="str">
        <f>IF('Employee Detail FY26'!L54="","",'Employee Detail FY26'!L54)</f>
        <v>BLENDED LEARNING TEACHER ASSISTANT</v>
      </c>
      <c r="M54" s="92">
        <f>IF('Employee Detail FY26'!M54="","",'Employee Detail FY26'!M54)</f>
        <v>1</v>
      </c>
      <c r="N54" s="386" t="str">
        <f>IF('Employee Detail FY26'!N54="","",'Employee Detail FY26'!N54)</f>
        <v>10</v>
      </c>
      <c r="O54" s="386">
        <f>IF('Employee Detail FY26'!O54="","",'Employee Detail FY26'!O54)</f>
        <v>22</v>
      </c>
      <c r="P54" s="386" t="str">
        <f>IF('Employee Detail FY26'!P54="","",'Employee Detail FY26'!P54)</f>
        <v>EE</v>
      </c>
      <c r="Q54" s="386">
        <f>IF('Employee Detail FY26'!Q54="","",'Employee Detail FY26'!Q54)</f>
        <v>25</v>
      </c>
      <c r="R54" s="386">
        <f>IF('Employee Detail FY26'!R54="","",'Employee Detail FY26'!R54)</f>
        <v>180</v>
      </c>
      <c r="S54" s="386">
        <f>IF('Employee Detail FY26'!S54="","",'Employee Detail FY26'!S54)</f>
        <v>7</v>
      </c>
      <c r="T54" s="263">
        <f t="shared" si="6"/>
        <v>1260</v>
      </c>
      <c r="U54" s="269">
        <f>IF('Employee Detail FY26'!U54="","",'Employee Detail FY26'!U54)</f>
        <v>31500</v>
      </c>
      <c r="V54" s="270">
        <f t="shared" si="7"/>
        <v>36225</v>
      </c>
      <c r="W54" s="270">
        <f t="shared" si="8"/>
        <v>41788.652849999999</v>
      </c>
      <c r="X54" s="270">
        <f t="shared" si="9"/>
        <v>41788.652849999999</v>
      </c>
      <c r="Y54" s="62">
        <v>0</v>
      </c>
      <c r="Z54" s="62">
        <v>0</v>
      </c>
      <c r="AA54" s="256">
        <f t="shared" si="10"/>
        <v>41788.652849999999</v>
      </c>
      <c r="AB54" s="3"/>
      <c r="AC54" s="62">
        <f t="shared" si="11"/>
        <v>7943.76</v>
      </c>
      <c r="AD54" s="62" t="str">
        <f t="shared" si="12"/>
        <v/>
      </c>
      <c r="AE54" s="62">
        <f t="shared" si="13"/>
        <v>6372.7695596249996</v>
      </c>
      <c r="AF54" s="62">
        <f t="shared" si="14"/>
        <v>605.93546632499999</v>
      </c>
      <c r="AG54" s="192">
        <v>0</v>
      </c>
      <c r="AH54" s="62">
        <f t="shared" si="15"/>
        <v>380.37436369578563</v>
      </c>
      <c r="AI54" s="62">
        <f t="shared" si="16"/>
        <v>123.07588645245607</v>
      </c>
      <c r="AJ54" s="62"/>
      <c r="AK54" s="62">
        <v>0</v>
      </c>
      <c r="AL54" s="256">
        <f t="shared" si="17"/>
        <v>15425.915276098242</v>
      </c>
      <c r="AM54" s="256">
        <f t="shared" si="18"/>
        <v>41788.652849999999</v>
      </c>
      <c r="AN54" s="256">
        <f t="shared" si="19"/>
        <v>57214.568126098238</v>
      </c>
    </row>
    <row r="55" spans="1:40" x14ac:dyDescent="0.2">
      <c r="A55" s="3" t="str">
        <f>IF('Employee Detail FY26'!A55="","",'Employee Detail FY26'!A55)</f>
        <v>VACANT</v>
      </c>
      <c r="B55" s="3">
        <f>IF('Employee Detail FY26'!B55="","",'Employee Detail FY26'!B55)</f>
        <v>100</v>
      </c>
      <c r="C55" s="3" t="str">
        <f>IF('Employee Detail FY26'!C55="","",'Employee Detail FY26'!C55)</f>
        <v>000</v>
      </c>
      <c r="D55" s="3"/>
      <c r="E55" s="3">
        <f>IF('Employee Detail FY26'!E55="","",'Employee Detail FY26'!E55)</f>
        <v>100</v>
      </c>
      <c r="F55" s="3">
        <f>IF('Employee Detail FY26'!F55="","",'Employee Detail FY26'!F55)</f>
        <v>1000</v>
      </c>
      <c r="G55" s="3" t="str">
        <f>IF('Employee Detail FY26'!G55="","",'Employee Detail FY26'!G55)</f>
        <v>0102</v>
      </c>
      <c r="H55" s="3"/>
      <c r="I55" s="255" t="str">
        <f>IF('Employee Detail FY26'!I55="","",'Employee Detail FY26'!I55)</f>
        <v>VACANT</v>
      </c>
      <c r="J55" s="255" t="str">
        <f>IF('Employee Detail FY26'!J55="","",'Employee Detail FY26'!J55)</f>
        <v>FY23</v>
      </c>
      <c r="K55" s="255" t="str">
        <f>IF('Employee Detail FY26'!K55="","",'Employee Detail FY26'!K55)</f>
        <v>Support Staff</v>
      </c>
      <c r="L55" s="255" t="str">
        <f>IF('Employee Detail FY26'!L55="","",'Employee Detail FY26'!L55)</f>
        <v>BLENDED LEARNING TEACHER ASSISTANT</v>
      </c>
      <c r="M55" s="92" t="str">
        <f>IF('Employee Detail FY26'!M55="","",'Employee Detail FY26'!M55)</f>
        <v/>
      </c>
      <c r="N55" s="3" t="str">
        <f>IF('Employee Detail FY26'!N55="","",'Employee Detail FY26'!N55)</f>
        <v/>
      </c>
      <c r="O55" s="3" t="str">
        <f>IF('Employee Detail FY26'!O55="","",'Employee Detail FY26'!O55)</f>
        <v/>
      </c>
      <c r="P55" s="3" t="str">
        <f>IF('Employee Detail FY26'!P55="","",'Employee Detail FY26'!P55)</f>
        <v/>
      </c>
      <c r="Q55" s="3" t="str">
        <f>IF('Employee Detail FY26'!Q55="","",'Employee Detail FY26'!Q55)</f>
        <v/>
      </c>
      <c r="R55" s="3" t="str">
        <f>IF('Employee Detail FY26'!R55="","",'Employee Detail FY26'!R55)</f>
        <v/>
      </c>
      <c r="S55" s="3" t="str">
        <f>IF('Employee Detail FY26'!S55="","",'Employee Detail FY26'!S55)</f>
        <v/>
      </c>
      <c r="T55" s="263" t="str">
        <f t="shared" si="6"/>
        <v/>
      </c>
      <c r="U55" s="269">
        <f>IF('Employee Detail FY26'!U55="","",'Employee Detail FY26'!U55)</f>
        <v>31500</v>
      </c>
      <c r="V55" s="270">
        <f t="shared" si="7"/>
        <v>36225</v>
      </c>
      <c r="W55" s="270" t="str">
        <f t="shared" si="8"/>
        <v/>
      </c>
      <c r="X55" s="270" t="str">
        <f t="shared" si="9"/>
        <v/>
      </c>
      <c r="Y55" s="62">
        <v>0</v>
      </c>
      <c r="Z55" s="62">
        <v>0</v>
      </c>
      <c r="AA55" s="256">
        <f t="shared" si="10"/>
        <v>0</v>
      </c>
      <c r="AB55" s="3"/>
      <c r="AC55" s="62" t="str">
        <f t="shared" si="11"/>
        <v/>
      </c>
      <c r="AD55" s="62" t="str">
        <f t="shared" si="12"/>
        <v/>
      </c>
      <c r="AE55" s="62" t="str">
        <f t="shared" si="13"/>
        <v/>
      </c>
      <c r="AF55" s="62" t="str">
        <f t="shared" si="14"/>
        <v/>
      </c>
      <c r="AG55" s="192">
        <v>0</v>
      </c>
      <c r="AH55" s="62" t="str">
        <f t="shared" si="15"/>
        <v/>
      </c>
      <c r="AI55" s="62">
        <f t="shared" si="16"/>
        <v>0</v>
      </c>
      <c r="AJ55" s="62"/>
      <c r="AK55" s="62">
        <v>0</v>
      </c>
      <c r="AL55" s="256">
        <f t="shared" si="17"/>
        <v>0</v>
      </c>
      <c r="AM55" s="256">
        <f t="shared" si="18"/>
        <v>0</v>
      </c>
      <c r="AN55" s="256">
        <f t="shared" si="19"/>
        <v>0</v>
      </c>
    </row>
    <row r="56" spans="1:40" hidden="1" x14ac:dyDescent="0.2">
      <c r="A56" s="3" t="str">
        <f>IF('Employee Detail FY26'!A56="","",'Employee Detail FY26'!A56)</f>
        <v/>
      </c>
      <c r="B56" s="3" t="str">
        <f>IF('Employee Detail FY26'!B56="","",'Employee Detail FY26'!B56)</f>
        <v/>
      </c>
      <c r="C56" s="3" t="str">
        <f>IF('Employee Detail FY26'!C56="","",'Employee Detail FY26'!C56)</f>
        <v/>
      </c>
      <c r="D56" s="3"/>
      <c r="E56" s="3" t="str">
        <f>IF('Employee Detail FY26'!E56="","",'Employee Detail FY26'!E56)</f>
        <v/>
      </c>
      <c r="F56" s="3" t="str">
        <f>IF('Employee Detail FY26'!F56="","",'Employee Detail FY26'!F56)</f>
        <v/>
      </c>
      <c r="G56" s="3" t="str">
        <f>IF('Employee Detail FY26'!G56="","",'Employee Detail FY26'!G56)</f>
        <v/>
      </c>
      <c r="H56" s="3"/>
      <c r="I56" s="255" t="str">
        <f>IF('Employee Detail FY26'!I56="","",'Employee Detail FY26'!I56)</f>
        <v/>
      </c>
      <c r="J56" s="255" t="str">
        <f>IF('Employee Detail FY26'!J56="","",'Employee Detail FY26'!J56)</f>
        <v/>
      </c>
      <c r="K56" s="255" t="str">
        <f>IF('Employee Detail FY26'!K56="","",'Employee Detail FY26'!K56)</f>
        <v/>
      </c>
      <c r="L56" s="255" t="str">
        <f>IF('Employee Detail FY26'!L56="","",'Employee Detail FY26'!L56)</f>
        <v/>
      </c>
      <c r="M56" s="92" t="str">
        <f>IF('Employee Detail FY26'!M56="","",'Employee Detail FY26'!M56)</f>
        <v/>
      </c>
      <c r="N56" s="3" t="str">
        <f>IF('Employee Detail FY26'!N56="","",'Employee Detail FY26'!N56)</f>
        <v/>
      </c>
      <c r="O56" s="3" t="str">
        <f>IF('Employee Detail FY26'!O56="","",'Employee Detail FY26'!O56)</f>
        <v/>
      </c>
      <c r="P56" s="3" t="str">
        <f>IF('Employee Detail FY26'!P56="","",'Employee Detail FY26'!P56)</f>
        <v/>
      </c>
      <c r="Q56" s="3" t="str">
        <f>IF('Employee Detail FY26'!Q56="","",'Employee Detail FY26'!Q56)</f>
        <v/>
      </c>
      <c r="R56" s="3" t="str">
        <f>IF('Employee Detail FY26'!R56="","",'Employee Detail FY26'!R56)</f>
        <v/>
      </c>
      <c r="S56" s="3" t="str">
        <f>IF('Employee Detail FY26'!S56="","",'Employee Detail FY26'!S56)</f>
        <v/>
      </c>
      <c r="T56" s="263" t="str">
        <f t="shared" si="6"/>
        <v/>
      </c>
      <c r="U56" s="269" t="str">
        <f>IF('Employee Detail FY26'!U56="","",'Employee Detail FY26'!U56)</f>
        <v/>
      </c>
      <c r="V56" s="270" t="str">
        <f t="shared" si="7"/>
        <v/>
      </c>
      <c r="W56" s="270" t="str">
        <f t="shared" si="8"/>
        <v/>
      </c>
      <c r="X56" s="270" t="str">
        <f t="shared" si="9"/>
        <v/>
      </c>
      <c r="Y56" s="62">
        <v>0</v>
      </c>
      <c r="Z56" s="62">
        <v>0</v>
      </c>
      <c r="AA56" s="256">
        <f t="shared" si="10"/>
        <v>0</v>
      </c>
      <c r="AB56" s="3"/>
      <c r="AC56" s="62" t="str">
        <f t="shared" si="11"/>
        <v/>
      </c>
      <c r="AD56" s="62" t="str">
        <f t="shared" si="12"/>
        <v/>
      </c>
      <c r="AE56" s="62" t="str">
        <f t="shared" si="13"/>
        <v/>
      </c>
      <c r="AF56" s="62" t="str">
        <f t="shared" si="14"/>
        <v/>
      </c>
      <c r="AG56" s="192">
        <v>0</v>
      </c>
      <c r="AH56" s="62" t="str">
        <f t="shared" si="15"/>
        <v/>
      </c>
      <c r="AI56" s="62">
        <f t="shared" si="16"/>
        <v>0</v>
      </c>
      <c r="AJ56" s="62"/>
      <c r="AK56" s="62">
        <v>0</v>
      </c>
      <c r="AL56" s="256">
        <f t="shared" si="17"/>
        <v>0</v>
      </c>
      <c r="AM56" s="256">
        <f t="shared" si="18"/>
        <v>0</v>
      </c>
      <c r="AN56" s="256">
        <f t="shared" si="19"/>
        <v>0</v>
      </c>
    </row>
    <row r="57" spans="1:40" hidden="1" x14ac:dyDescent="0.2">
      <c r="A57" s="3" t="str">
        <f>IF('Employee Detail FY26'!A57="","",'Employee Detail FY26'!A57)</f>
        <v/>
      </c>
      <c r="B57" s="3">
        <f>IF('Employee Detail FY26'!B57="","",'Employee Detail FY26'!B57)</f>
        <v>100</v>
      </c>
      <c r="C57" s="3" t="str">
        <f>IF('Employee Detail FY26'!C57="","",'Employee Detail FY26'!C57)</f>
        <v>000</v>
      </c>
      <c r="D57" s="3"/>
      <c r="E57" s="3">
        <f>IF('Employee Detail FY26'!E57="","",'Employee Detail FY26'!E57)</f>
        <v>100</v>
      </c>
      <c r="F57" s="3" t="str">
        <f>IF('Employee Detail FY26'!F57="","",'Employee Detail FY26'!F57)</f>
        <v>2582</v>
      </c>
      <c r="G57" s="3" t="str">
        <f>IF('Employee Detail FY26'!G57="","",'Employee Detail FY26'!G57)</f>
        <v>0107</v>
      </c>
      <c r="H57" s="3"/>
      <c r="I57" s="255" t="str">
        <f>IF('Employee Detail FY26'!I57="","",'Employee Detail FY26'!I57)</f>
        <v>BROOKS</v>
      </c>
      <c r="J57" s="255" t="str">
        <f>IF('Employee Detail FY26'!J57="","",'Employee Detail FY26'!J57)</f>
        <v>LOLA</v>
      </c>
      <c r="K57" s="255" t="str">
        <f>IF('Employee Detail FY26'!K57="","",'Employee Detail FY26'!K57)</f>
        <v>Administration</v>
      </c>
      <c r="L57" s="255" t="str">
        <f>IF('Employee Detail FY26'!L57="","",'Employee Detail FY26'!L57)</f>
        <v>ASSESSMENT &amp; DATA COORDINATOR</v>
      </c>
      <c r="M57" s="92">
        <f>IF('Employee Detail FY26'!M57="","",'Employee Detail FY26'!M57)</f>
        <v>1</v>
      </c>
      <c r="N57" s="3" t="str">
        <f>IF('Employee Detail FY26'!N57="","",'Employee Detail FY26'!N57)</f>
        <v>S</v>
      </c>
      <c r="O57" s="3">
        <f>IF('Employee Detail FY26'!O57="","",'Employee Detail FY26'!O57)</f>
        <v>1</v>
      </c>
      <c r="P57" s="3" t="str">
        <f>IF('Employee Detail FY26'!P57="","",'Employee Detail FY26'!P57)</f>
        <v>EE</v>
      </c>
      <c r="Q57" s="3" t="str">
        <f>IF('Employee Detail FY26'!Q57="","",'Employee Detail FY26'!Q57)</f>
        <v/>
      </c>
      <c r="R57" s="3">
        <f>IF('Employee Detail FY26'!R57="","",'Employee Detail FY26'!R57)</f>
        <v>261</v>
      </c>
      <c r="S57" s="3">
        <f>IF('Employee Detail FY26'!S57="","",'Employee Detail FY26'!S57)</f>
        <v>8</v>
      </c>
      <c r="T57" s="263">
        <f t="shared" si="6"/>
        <v>2088</v>
      </c>
      <c r="U57" s="269">
        <f>IF('Employee Detail FY26'!U57="","",'Employee Detail FY26'!U57)</f>
        <v>68500</v>
      </c>
      <c r="V57" s="270">
        <f t="shared" si="7"/>
        <v>78775</v>
      </c>
      <c r="W57" s="270">
        <f t="shared" si="8"/>
        <v>90873.737150000001</v>
      </c>
      <c r="X57" s="270">
        <f t="shared" si="9"/>
        <v>90873.737150000001</v>
      </c>
      <c r="Y57" s="62">
        <v>0</v>
      </c>
      <c r="Z57" s="62">
        <v>0</v>
      </c>
      <c r="AA57" s="256">
        <f t="shared" si="10"/>
        <v>90873.737150000001</v>
      </c>
      <c r="AB57" s="3"/>
      <c r="AC57" s="62">
        <f t="shared" si="11"/>
        <v>7943.76</v>
      </c>
      <c r="AD57" s="62" t="str">
        <f t="shared" si="12"/>
        <v/>
      </c>
      <c r="AE57" s="62">
        <f t="shared" si="13"/>
        <v>13858.244915375</v>
      </c>
      <c r="AF57" s="62">
        <f t="shared" si="14"/>
        <v>1317.669188675</v>
      </c>
      <c r="AG57" s="192">
        <v>0</v>
      </c>
      <c r="AH57" s="62">
        <f t="shared" si="15"/>
        <v>827.16329883051799</v>
      </c>
      <c r="AI57" s="62">
        <f t="shared" si="16"/>
        <v>267.64121339661085</v>
      </c>
      <c r="AJ57" s="62"/>
      <c r="AK57" s="62">
        <v>0</v>
      </c>
      <c r="AL57" s="256">
        <f t="shared" si="17"/>
        <v>24214.478616277131</v>
      </c>
      <c r="AM57" s="256">
        <f t="shared" si="18"/>
        <v>90873.737150000001</v>
      </c>
      <c r="AN57" s="256">
        <f t="shared" si="19"/>
        <v>115088.21576627714</v>
      </c>
    </row>
    <row r="58" spans="1:40" hidden="1" x14ac:dyDescent="0.2">
      <c r="A58" s="3" t="str">
        <f>IF('Employee Detail FY26'!A58="","",'Employee Detail FY26'!A58)</f>
        <v/>
      </c>
      <c r="B58" s="3">
        <f>IF('Employee Detail FY26'!B58="","",'Employee Detail FY26'!B58)</f>
        <v>100</v>
      </c>
      <c r="C58" s="3" t="str">
        <f>IF('Employee Detail FY26'!C58="","",'Employee Detail FY26'!C58)</f>
        <v>000</v>
      </c>
      <c r="D58" s="3"/>
      <c r="E58" s="3">
        <f>IF('Employee Detail FY26'!E58="","",'Employee Detail FY26'!E58)</f>
        <v>100</v>
      </c>
      <c r="F58" s="3">
        <f>IF('Employee Detail FY26'!F58="","",'Employee Detail FY26'!F58)</f>
        <v>2580</v>
      </c>
      <c r="G58" s="3" t="str">
        <f>IF('Employee Detail FY26'!G58="","",'Employee Detail FY26'!G58)</f>
        <v>0107</v>
      </c>
      <c r="H58" s="3"/>
      <c r="I58" s="255" t="str">
        <f>IF('Employee Detail FY26'!I58="","",'Employee Detail FY26'!I58)</f>
        <v>BABJI</v>
      </c>
      <c r="J58" s="255" t="str">
        <f>IF('Employee Detail FY26'!J58="","",'Employee Detail FY26'!J58)</f>
        <v>NIKOLAS</v>
      </c>
      <c r="K58" s="255" t="str">
        <f>IF('Employee Detail FY26'!K58="","",'Employee Detail FY26'!K58)</f>
        <v>Support Staff</v>
      </c>
      <c r="L58" s="255" t="str">
        <f>IF('Employee Detail FY26'!L58="","",'Employee Detail FY26'!L58)</f>
        <v>IT SPECIALIST</v>
      </c>
      <c r="M58" s="92">
        <f>IF('Employee Detail FY26'!M58="","",'Employee Detail FY26'!M58)</f>
        <v>1</v>
      </c>
      <c r="N58" s="3" t="str">
        <f>IF('Employee Detail FY26'!N58="","",'Employee Detail FY26'!N58)</f>
        <v/>
      </c>
      <c r="O58" s="3">
        <f>IF('Employee Detail FY26'!O58="","",'Employee Detail FY26'!O58)</f>
        <v>26</v>
      </c>
      <c r="P58" s="3" t="str">
        <f>IF('Employee Detail FY26'!P58="","",'Employee Detail FY26'!P58)</f>
        <v>ER</v>
      </c>
      <c r="Q58" s="3" t="str">
        <f>IF('Employee Detail FY26'!Q58="","",'Employee Detail FY26'!Q58)</f>
        <v/>
      </c>
      <c r="R58" s="3">
        <f>IF('Employee Detail FY26'!R58="","",'Employee Detail FY26'!R58)</f>
        <v>261</v>
      </c>
      <c r="S58" s="3">
        <f>IF('Employee Detail FY26'!S58="","",'Employee Detail FY26'!S58)</f>
        <v>8</v>
      </c>
      <c r="T58" s="263">
        <f t="shared" si="6"/>
        <v>2088</v>
      </c>
      <c r="U58" s="269">
        <f>IF('Employee Detail FY26'!U58="","",'Employee Detail FY26'!U58)</f>
        <v>49000</v>
      </c>
      <c r="V58" s="270">
        <f t="shared" si="7"/>
        <v>56349.999999999993</v>
      </c>
      <c r="W58" s="270" t="str">
        <f t="shared" si="8"/>
        <v/>
      </c>
      <c r="X58" s="270">
        <f t="shared" si="9"/>
        <v>56349.999999999993</v>
      </c>
      <c r="Y58" s="62">
        <v>0</v>
      </c>
      <c r="Z58" s="62">
        <v>0</v>
      </c>
      <c r="AA58" s="256">
        <f t="shared" si="10"/>
        <v>56349.999999999993</v>
      </c>
      <c r="AB58" s="3"/>
      <c r="AC58" s="62">
        <f t="shared" si="11"/>
        <v>7943.76</v>
      </c>
      <c r="AD58" s="62" t="str">
        <f t="shared" si="12"/>
        <v/>
      </c>
      <c r="AE58" s="62">
        <f t="shared" si="13"/>
        <v>16482.374999999996</v>
      </c>
      <c r="AF58" s="62">
        <f t="shared" si="14"/>
        <v>817.07499999999993</v>
      </c>
      <c r="AG58" s="192">
        <v>0</v>
      </c>
      <c r="AH58" s="62">
        <f t="shared" si="15"/>
        <v>512.91663962451753</v>
      </c>
      <c r="AI58" s="62">
        <f t="shared" si="16"/>
        <v>165.9619472896193</v>
      </c>
      <c r="AJ58" s="62"/>
      <c r="AK58" s="62">
        <v>0</v>
      </c>
      <c r="AL58" s="256">
        <f t="shared" si="17"/>
        <v>25922.088586914131</v>
      </c>
      <c r="AM58" s="256">
        <f t="shared" si="18"/>
        <v>56349.999999999993</v>
      </c>
      <c r="AN58" s="256">
        <f t="shared" si="19"/>
        <v>82272.08858691412</v>
      </c>
    </row>
    <row r="59" spans="1:40" hidden="1" x14ac:dyDescent="0.2">
      <c r="A59" s="3" t="str">
        <f>IF('Employee Detail FY26'!A59="","",'Employee Detail FY26'!A59)</f>
        <v/>
      </c>
      <c r="B59" s="3">
        <f>IF('Employee Detail FY26'!B59="","",'Employee Detail FY26'!B59)</f>
        <v>100</v>
      </c>
      <c r="C59" s="3" t="str">
        <f>IF('Employee Detail FY26'!C59="","",'Employee Detail FY26'!C59)</f>
        <v>000</v>
      </c>
      <c r="D59" s="3"/>
      <c r="E59" s="3">
        <f>IF('Employee Detail FY26'!E59="","",'Employee Detail FY26'!E59)</f>
        <v>100</v>
      </c>
      <c r="F59" s="3" t="str">
        <f>IF('Employee Detail FY26'!F59="","",'Employee Detail FY26'!F59)</f>
        <v>2510</v>
      </c>
      <c r="G59" s="3" t="str">
        <f>IF('Employee Detail FY26'!G59="","",'Employee Detail FY26'!G59)</f>
        <v>0105</v>
      </c>
      <c r="H59" s="3"/>
      <c r="I59" s="255" t="str">
        <f>IF('Employee Detail FY26'!I59="","",'Employee Detail FY26'!I59)</f>
        <v>BELLINGER</v>
      </c>
      <c r="J59" s="255" t="str">
        <f>IF('Employee Detail FY26'!J59="","",'Employee Detail FY26'!J59)</f>
        <v>MARY KAY</v>
      </c>
      <c r="K59" s="255" t="str">
        <f>IF('Employee Detail FY26'!K59="","",'Employee Detail FY26'!K59)</f>
        <v>Support Staff</v>
      </c>
      <c r="L59" s="255" t="str">
        <f>IF('Employee Detail FY26'!L59="","",'Employee Detail FY26'!L59)</f>
        <v>OPERATIONS COORDINATOR</v>
      </c>
      <c r="M59" s="92">
        <f>IF('Employee Detail FY26'!M59="","",'Employee Detail FY26'!M59)</f>
        <v>1</v>
      </c>
      <c r="N59" s="3" t="str">
        <f>IF('Employee Detail FY26'!N59="","",'Employee Detail FY26'!N59)</f>
        <v>H</v>
      </c>
      <c r="O59" s="3">
        <f>IF('Employee Detail FY26'!O59="","",'Employee Detail FY26'!O59)</f>
        <v>1</v>
      </c>
      <c r="P59" s="3" t="str">
        <f>IF('Employee Detail FY26'!P59="","",'Employee Detail FY26'!P59)</f>
        <v>ER</v>
      </c>
      <c r="Q59" s="3" t="str">
        <f>IF('Employee Detail FY26'!Q59="","",'Employee Detail FY26'!Q59)</f>
        <v/>
      </c>
      <c r="R59" s="3">
        <f>IF('Employee Detail FY26'!R59="","",'Employee Detail FY26'!R59)</f>
        <v>261</v>
      </c>
      <c r="S59" s="3">
        <f>IF('Employee Detail FY26'!S59="","",'Employee Detail FY26'!S59)</f>
        <v>8</v>
      </c>
      <c r="T59" s="263">
        <f t="shared" si="6"/>
        <v>2088</v>
      </c>
      <c r="U59" s="269">
        <f>IF('Employee Detail FY26'!U59="","",'Employee Detail FY26'!U59)</f>
        <v>62000</v>
      </c>
      <c r="V59" s="270">
        <f t="shared" si="7"/>
        <v>71300</v>
      </c>
      <c r="W59" s="270" t="str">
        <f t="shared" si="8"/>
        <v/>
      </c>
      <c r="X59" s="270">
        <f t="shared" si="9"/>
        <v>71300</v>
      </c>
      <c r="Y59" s="62">
        <v>0</v>
      </c>
      <c r="Z59" s="62">
        <v>0</v>
      </c>
      <c r="AA59" s="256">
        <f t="shared" si="10"/>
        <v>71300</v>
      </c>
      <c r="AB59" s="3"/>
      <c r="AC59" s="62">
        <f t="shared" si="11"/>
        <v>7943.76</v>
      </c>
      <c r="AD59" s="62" t="str">
        <f t="shared" si="12"/>
        <v/>
      </c>
      <c r="AE59" s="62">
        <f t="shared" si="13"/>
        <v>20855.25</v>
      </c>
      <c r="AF59" s="62">
        <f t="shared" si="14"/>
        <v>1033.8500000000001</v>
      </c>
      <c r="AG59" s="192">
        <v>0</v>
      </c>
      <c r="AH59" s="62">
        <f t="shared" si="15"/>
        <v>648.99656442285902</v>
      </c>
      <c r="AI59" s="62">
        <f t="shared" si="16"/>
        <v>209.99266799911015</v>
      </c>
      <c r="AJ59" s="62"/>
      <c r="AK59" s="62">
        <v>0</v>
      </c>
      <c r="AL59" s="256">
        <f t="shared" si="17"/>
        <v>30691.84923242197</v>
      </c>
      <c r="AM59" s="256">
        <f t="shared" si="18"/>
        <v>71300</v>
      </c>
      <c r="AN59" s="256">
        <f t="shared" si="19"/>
        <v>101991.84923242197</v>
      </c>
    </row>
    <row r="60" spans="1:40" hidden="1" x14ac:dyDescent="0.2">
      <c r="A60" s="439" t="str">
        <f>IF('Employee Detail FY26'!A60="","",'Employee Detail FY26'!A60)</f>
        <v/>
      </c>
      <c r="B60" s="439" t="str">
        <f>IF('Employee Detail FY26'!B60="","",'Employee Detail FY26'!B60)</f>
        <v/>
      </c>
      <c r="C60" s="439" t="str">
        <f>IF('Employee Detail FY26'!C60="","",'Employee Detail FY26'!C60)</f>
        <v/>
      </c>
      <c r="D60" s="439"/>
      <c r="E60" s="439" t="str">
        <f>IF('Employee Detail FY26'!E60="","",'Employee Detail FY26'!E60)</f>
        <v/>
      </c>
      <c r="F60" s="439" t="str">
        <f>IF('Employee Detail FY26'!F60="","",'Employee Detail FY26'!F60)</f>
        <v/>
      </c>
      <c r="G60" s="439" t="str">
        <f>IF('Employee Detail FY26'!G60="","",'Employee Detail FY26'!G60)</f>
        <v/>
      </c>
      <c r="H60" s="439"/>
      <c r="I60" s="441" t="str">
        <f>IF('Employee Detail FY26'!I60="","",'Employee Detail FY26'!I60)</f>
        <v/>
      </c>
      <c r="J60" s="441" t="str">
        <f>IF('Employee Detail FY26'!J60="","",'Employee Detail FY26'!J60)</f>
        <v/>
      </c>
      <c r="K60" s="441" t="str">
        <f>IF('Employee Detail FY26'!K60="","",'Employee Detail FY26'!K60)</f>
        <v/>
      </c>
      <c r="L60" s="441" t="str">
        <f>IF('Employee Detail FY26'!L60="","",'Employee Detail FY26'!L60)</f>
        <v/>
      </c>
      <c r="M60" s="92" t="str">
        <f>IF('Employee Detail FY26'!M60="","",'Employee Detail FY26'!M60)</f>
        <v/>
      </c>
      <c r="N60" s="439" t="str">
        <f>IF('Employee Detail FY26'!N60="","",'Employee Detail FY26'!N60)</f>
        <v/>
      </c>
      <c r="O60" s="439" t="str">
        <f>IF('Employee Detail FY26'!O60="","",'Employee Detail FY26'!O60)</f>
        <v/>
      </c>
      <c r="P60" s="439" t="str">
        <f>IF('Employee Detail FY26'!P60="","",'Employee Detail FY26'!P60)</f>
        <v/>
      </c>
      <c r="Q60" s="439" t="str">
        <f>IF('Employee Detail FY26'!Q60="","",'Employee Detail FY26'!Q60)</f>
        <v/>
      </c>
      <c r="R60" s="439" t="str">
        <f>IF('Employee Detail FY26'!R60="","",'Employee Detail FY26'!R60)</f>
        <v/>
      </c>
      <c r="S60" s="439" t="str">
        <f>IF('Employee Detail FY26'!S60="","",'Employee Detail FY26'!S60)</f>
        <v/>
      </c>
      <c r="T60" s="263" t="str">
        <f t="shared" si="6"/>
        <v/>
      </c>
      <c r="U60" s="269" t="str">
        <f>IF('Employee Detail FY26'!U60="","",'Employee Detail FY26'!U60)</f>
        <v/>
      </c>
      <c r="V60" s="270" t="str">
        <f t="shared" si="7"/>
        <v/>
      </c>
      <c r="W60" s="270" t="str">
        <f t="shared" si="8"/>
        <v/>
      </c>
      <c r="X60" s="270" t="str">
        <f t="shared" si="9"/>
        <v/>
      </c>
      <c r="Y60" s="62">
        <v>0</v>
      </c>
      <c r="Z60" s="62">
        <v>0</v>
      </c>
      <c r="AA60" s="256">
        <f t="shared" si="10"/>
        <v>0</v>
      </c>
      <c r="AB60" s="3"/>
      <c r="AC60" s="62" t="str">
        <f t="shared" si="11"/>
        <v/>
      </c>
      <c r="AD60" s="62" t="str">
        <f t="shared" si="12"/>
        <v/>
      </c>
      <c r="AE60" s="62" t="str">
        <f t="shared" si="13"/>
        <v/>
      </c>
      <c r="AF60" s="62" t="str">
        <f t="shared" si="14"/>
        <v/>
      </c>
      <c r="AG60" s="192">
        <v>0</v>
      </c>
      <c r="AH60" s="62" t="str">
        <f t="shared" si="15"/>
        <v/>
      </c>
      <c r="AI60" s="62">
        <f t="shared" si="16"/>
        <v>0</v>
      </c>
      <c r="AJ60" s="62"/>
      <c r="AK60" s="62">
        <v>0</v>
      </c>
      <c r="AL60" s="256">
        <f t="shared" si="17"/>
        <v>0</v>
      </c>
      <c r="AM60" s="256">
        <f t="shared" si="18"/>
        <v>0</v>
      </c>
      <c r="AN60" s="256">
        <f t="shared" si="19"/>
        <v>0</v>
      </c>
    </row>
    <row r="61" spans="1:40" hidden="1" x14ac:dyDescent="0.2">
      <c r="A61" s="3" t="str">
        <f>IF('Employee Detail FY26'!A61="","",'Employee Detail FY26'!A61)</f>
        <v>CSP</v>
      </c>
      <c r="B61" s="3" t="str">
        <f>IF('Employee Detail FY26'!B61="","",'Employee Detail FY26'!B61)</f>
        <v>100</v>
      </c>
      <c r="C61" s="3" t="str">
        <f>IF('Employee Detail FY26'!C61="","",'Employee Detail FY26'!C61)</f>
        <v>000</v>
      </c>
      <c r="D61" s="3"/>
      <c r="E61" s="3">
        <f>IF('Employee Detail FY26'!E61="","",'Employee Detail FY26'!E61)</f>
        <v>100</v>
      </c>
      <c r="F61" s="3">
        <f>IF('Employee Detail FY26'!F61="","",'Employee Detail FY26'!F61)</f>
        <v>2110</v>
      </c>
      <c r="G61" s="3" t="str">
        <f>IF('Employee Detail FY26'!G61="","",'Employee Detail FY26'!G61)</f>
        <v>0107</v>
      </c>
      <c r="H61" s="3"/>
      <c r="I61" s="255" t="str">
        <f>IF('Employee Detail FY26'!I61="","",'Employee Detail FY26'!I61)</f>
        <v>CAMARILLO</v>
      </c>
      <c r="J61" s="255" t="str">
        <f>IF('Employee Detail FY26'!J61="","",'Employee Detail FY26'!J61)</f>
        <v>GLENDI</v>
      </c>
      <c r="K61" s="255" t="str">
        <f>IF('Employee Detail FY26'!K61="","",'Employee Detail FY26'!K61)</f>
        <v>Support Staff</v>
      </c>
      <c r="L61" s="255" t="str">
        <f>IF('Employee Detail FY26'!L61="","",'Employee Detail FY26'!L61)</f>
        <v>STUDENT PERSISTENCE ASSISTANT</v>
      </c>
      <c r="M61" s="92">
        <f>IF('Employee Detail FY26'!M61="","",'Employee Detail FY26'!M61)</f>
        <v>1</v>
      </c>
      <c r="N61" s="3">
        <f>IF('Employee Detail FY26'!N61="","",'Employee Detail FY26'!N61)</f>
        <v>12</v>
      </c>
      <c r="O61" s="3">
        <f>IF('Employee Detail FY26'!O61="","",'Employee Detail FY26'!O61)</f>
        <v>24</v>
      </c>
      <c r="P61" s="3" t="str">
        <f>IF('Employee Detail FY26'!P61="","",'Employee Detail FY26'!P61)</f>
        <v>ER</v>
      </c>
      <c r="Q61" s="3">
        <f>IF('Employee Detail FY26'!Q61="","",'Employee Detail FY26'!Q61)</f>
        <v>19.88</v>
      </c>
      <c r="R61" s="3">
        <f>IF('Employee Detail FY26'!R61="","",'Employee Detail FY26'!R61)</f>
        <v>260</v>
      </c>
      <c r="S61" s="3">
        <f>IF('Employee Detail FY26'!S61="","",'Employee Detail FY26'!S61)</f>
        <v>8</v>
      </c>
      <c r="T61" s="263">
        <f>+IF(R61="","",R61*S61)</f>
        <v>2080</v>
      </c>
      <c r="U61" s="269">
        <f>IF('Employee Detail FY26'!U61="","",'Employee Detail FY26'!U61)</f>
        <v>41350.400000000001</v>
      </c>
      <c r="V61" s="270">
        <f>IF($U61="","",$U61*(1+$V$1))</f>
        <v>47552.959999999999</v>
      </c>
      <c r="W61" s="270" t="str">
        <f>+IF(P61="EE",+V61*$W$1,"")</f>
        <v/>
      </c>
      <c r="X61" s="270">
        <f>_xlfn.IFS(P61="ER",V61,P61="EE",W61,P61="N",V61,P61="","")</f>
        <v>47552.959999999999</v>
      </c>
      <c r="Y61" s="62">
        <v>0</v>
      </c>
      <c r="Z61" s="62">
        <v>0</v>
      </c>
      <c r="AA61" s="256">
        <f>SUM(X61:Z61)</f>
        <v>47552.959999999999</v>
      </c>
      <c r="AB61" s="3"/>
      <c r="AC61" s="62">
        <f>IF(AND(M61=1,P61&lt;&gt;"N"),$AC$1,"")</f>
        <v>7943.76</v>
      </c>
      <c r="AD61" s="62" t="str">
        <f>_xlfn.IFS(P61="N",$AD$1*AA61,P61="EE","",P61="ER","",P61="","")</f>
        <v/>
      </c>
      <c r="AE61" s="62">
        <f>_xlfn.IFS(P61="EE",X61*$AE$1,P61="ER",X61*$AE$2,P61="N","",P61="","")</f>
        <v>13909.2408</v>
      </c>
      <c r="AF61" s="62">
        <f>+IF(AA61&gt;1,AA61*$AF$1,"")</f>
        <v>689.51792</v>
      </c>
      <c r="AG61" s="192">
        <v>0</v>
      </c>
      <c r="AH61" s="62">
        <f>+IF(AA61&gt;1,AA61*$AH$1,"")</f>
        <v>432.84302479856439</v>
      </c>
      <c r="AI61" s="62">
        <f>+_xlfn.IFS(F61&lt;2300,(AA61*$AI$1),F61&gt;=2300,(AA61*$AI$2),F61="","")</f>
        <v>140.05291643274848</v>
      </c>
      <c r="AJ61" s="62"/>
      <c r="AK61" s="62">
        <v>0</v>
      </c>
      <c r="AL61" s="256">
        <f>SUM(AC61:AK61)</f>
        <v>23115.414661231312</v>
      </c>
      <c r="AM61" s="256">
        <f>AA61</f>
        <v>47552.959999999999</v>
      </c>
      <c r="AN61" s="256">
        <f>SUM(AL61:AM61)</f>
        <v>70668.374661231312</v>
      </c>
    </row>
    <row r="62" spans="1:40" hidden="1" x14ac:dyDescent="0.2">
      <c r="A62" s="3" t="str">
        <f>IF('Employee Detail FY26'!A62="","",'Employee Detail FY26'!A62)</f>
        <v/>
      </c>
      <c r="B62" s="3" t="str">
        <f>IF('Employee Detail FY26'!B62="","",'Employee Detail FY26'!B62)</f>
        <v/>
      </c>
      <c r="C62" s="3" t="str">
        <f>IF('Employee Detail FY26'!C62="","",'Employee Detail FY26'!C62)</f>
        <v/>
      </c>
      <c r="D62" s="3"/>
      <c r="E62" s="3" t="str">
        <f>IF('Employee Detail FY26'!E62="","",'Employee Detail FY26'!E62)</f>
        <v/>
      </c>
      <c r="F62" s="3" t="str">
        <f>IF('Employee Detail FY26'!F62="","",'Employee Detail FY26'!F62)</f>
        <v/>
      </c>
      <c r="G62" s="3" t="str">
        <f>IF('Employee Detail FY26'!G62="","",'Employee Detail FY26'!G62)</f>
        <v/>
      </c>
      <c r="H62" s="3"/>
      <c r="I62" s="255" t="str">
        <f>IF('Employee Detail FY26'!I62="","",'Employee Detail FY26'!I62)</f>
        <v/>
      </c>
      <c r="J62" s="255" t="str">
        <f>IF('Employee Detail FY26'!J62="","",'Employee Detail FY26'!J62)</f>
        <v/>
      </c>
      <c r="K62" s="255" t="str">
        <f>IF('Employee Detail FY26'!K62="","",'Employee Detail FY26'!K62)</f>
        <v/>
      </c>
      <c r="L62" s="255" t="str">
        <f>IF('Employee Detail FY26'!L62="","",'Employee Detail FY26'!L62)</f>
        <v/>
      </c>
      <c r="M62" s="92" t="str">
        <f>IF('Employee Detail FY26'!M62="","",'Employee Detail FY26'!M62)</f>
        <v/>
      </c>
      <c r="N62" s="3" t="str">
        <f>IF('Employee Detail FY26'!N62="","",'Employee Detail FY26'!N62)</f>
        <v/>
      </c>
      <c r="O62" s="3" t="str">
        <f>IF('Employee Detail FY26'!O62="","",'Employee Detail FY26'!O62)</f>
        <v/>
      </c>
      <c r="P62" s="3" t="str">
        <f>IF('Employee Detail FY26'!P62="","",'Employee Detail FY26'!P62)</f>
        <v/>
      </c>
      <c r="Q62" s="3" t="str">
        <f>IF('Employee Detail FY26'!Q62="","",'Employee Detail FY26'!Q62)</f>
        <v/>
      </c>
      <c r="R62" s="3" t="str">
        <f>IF('Employee Detail FY26'!R62="","",'Employee Detail FY26'!R62)</f>
        <v/>
      </c>
      <c r="S62" s="3" t="str">
        <f>IF('Employee Detail FY26'!S62="","",'Employee Detail FY26'!S62)</f>
        <v/>
      </c>
      <c r="T62" s="263" t="str">
        <f>+IF(R62="","",R62*S62)</f>
        <v/>
      </c>
      <c r="U62" s="269">
        <f>IF('Employee Detail FY26'!U62="","",'Employee Detail FY26'!U62)</f>
        <v>0</v>
      </c>
      <c r="V62" s="270">
        <f>IF($U62="","",$U62*(1+$V$1))</f>
        <v>0</v>
      </c>
      <c r="W62" s="270" t="str">
        <f>+IF(P62="EE",+V62*$W$1,"")</f>
        <v/>
      </c>
      <c r="X62" s="270" t="str">
        <f>_xlfn.IFS(P62="ER",V62,P62="EE",W62,P62="N",V62,P62="","")</f>
        <v/>
      </c>
      <c r="Y62" s="62">
        <v>0</v>
      </c>
      <c r="Z62" s="62">
        <v>0</v>
      </c>
      <c r="AA62" s="256">
        <f>SUM(X62:Z62)</f>
        <v>0</v>
      </c>
      <c r="AB62" s="3"/>
      <c r="AC62" s="62" t="str">
        <f>IF(AND(M62=1,P62&lt;&gt;"N"),$AC$1,"")</f>
        <v/>
      </c>
      <c r="AD62" s="62" t="str">
        <f>_xlfn.IFS(P62="N",$AD$1*AA62,P62="EE","",P62="ER","",P62="","")</f>
        <v/>
      </c>
      <c r="AE62" s="62" t="str">
        <f>_xlfn.IFS(P62="EE",X62*$AE$1,P62="ER",X62*$AE$2,P62="N","",P62="","")</f>
        <v/>
      </c>
      <c r="AF62" s="62" t="str">
        <f>+IF(AA62&gt;1,AA62*$AF$1,"")</f>
        <v/>
      </c>
      <c r="AG62" s="192">
        <v>0</v>
      </c>
      <c r="AH62" s="62" t="str">
        <f>+IF(AA62&gt;1,AA62*$AH$1,"")</f>
        <v/>
      </c>
      <c r="AI62" s="62">
        <f>+_xlfn.IFS(F62&lt;2300,(AA62*$AI$1),F62&gt;=2300,(AA62*$AI$2),F62="","")</f>
        <v>0</v>
      </c>
      <c r="AJ62" s="62"/>
      <c r="AK62" s="62">
        <v>0</v>
      </c>
      <c r="AL62" s="256">
        <f>SUM(AC62:AK62)</f>
        <v>0</v>
      </c>
      <c r="AM62" s="256">
        <f>AA62</f>
        <v>0</v>
      </c>
      <c r="AN62" s="256">
        <f>SUM(AL62:AM62)</f>
        <v>0</v>
      </c>
    </row>
    <row r="63" spans="1:40" hidden="1" x14ac:dyDescent="0.2">
      <c r="A63" s="3" t="str">
        <f>IF('Employee Detail FY26'!A63="","",'Employee Detail FY26'!A63)</f>
        <v/>
      </c>
      <c r="B63" s="3">
        <f>IF('Employee Detail FY26'!B63="","",'Employee Detail FY26'!B63)</f>
        <v>100</v>
      </c>
      <c r="C63" s="3" t="str">
        <f>IF('Employee Detail FY26'!C63="","",'Employee Detail FY26'!C63)</f>
        <v>000</v>
      </c>
      <c r="D63" s="3"/>
      <c r="E63" s="3">
        <f>IF('Employee Detail FY26'!E63="","",'Employee Detail FY26'!E63)</f>
        <v>100</v>
      </c>
      <c r="F63" s="3">
        <f>IF('Employee Detail FY26'!F63="","",'Employee Detail FY26'!F63)</f>
        <v>2212</v>
      </c>
      <c r="G63" s="3" t="str">
        <f>IF('Employee Detail FY26'!G63="","",'Employee Detail FY26'!G63)</f>
        <v>0107</v>
      </c>
      <c r="H63" s="3"/>
      <c r="I63" s="255" t="str">
        <f>IF('Employee Detail FY26'!I63="","",'Employee Detail FY26'!I63)</f>
        <v>HERNANDEZ</v>
      </c>
      <c r="J63" s="255" t="str">
        <f>IF('Employee Detail FY26'!J63="","",'Employee Detail FY26'!J63)</f>
        <v>BRISSELLE</v>
      </c>
      <c r="K63" s="255" t="str">
        <f>IF('Employee Detail FY26'!K63="","",'Employee Detail FY26'!K63)</f>
        <v>Support Staff</v>
      </c>
      <c r="L63" s="255" t="str">
        <f>IF('Employee Detail FY26'!L63="","",'Employee Detail FY26'!L63)</f>
        <v>INSTRUCTIONAL DESIGNER</v>
      </c>
      <c r="M63" s="92">
        <f>IF('Employee Detail FY26'!M63="","",'Employee Detail FY26'!M63)</f>
        <v>1</v>
      </c>
      <c r="N63" s="3" t="str">
        <f>IF('Employee Detail FY26'!N63="","",'Employee Detail FY26'!N63)</f>
        <v/>
      </c>
      <c r="O63" s="3">
        <f>IF('Employee Detail FY26'!O63="","",'Employee Detail FY26'!O63)</f>
        <v>26</v>
      </c>
      <c r="P63" s="3" t="str">
        <f>IF('Employee Detail FY26'!P63="","",'Employee Detail FY26'!P63)</f>
        <v>EE</v>
      </c>
      <c r="Q63" s="3">
        <f>IF('Employee Detail FY26'!Q63="","",'Employee Detail FY26'!Q63)</f>
        <v>20</v>
      </c>
      <c r="R63" s="3">
        <f>IF('Employee Detail FY26'!R63="","",'Employee Detail FY26'!R63)</f>
        <v>261</v>
      </c>
      <c r="S63" s="3">
        <f>IF('Employee Detail FY26'!S63="","",'Employee Detail FY26'!S63)</f>
        <v>8</v>
      </c>
      <c r="T63" s="263">
        <f t="shared" si="6"/>
        <v>2088</v>
      </c>
      <c r="U63" s="269">
        <f>IF('Employee Detail FY26'!U63="","",'Employee Detail FY26'!U63)</f>
        <v>42600</v>
      </c>
      <c r="V63" s="270">
        <f t="shared" si="7"/>
        <v>48989.999999999993</v>
      </c>
      <c r="W63" s="270">
        <f t="shared" si="8"/>
        <v>56514.178139999989</v>
      </c>
      <c r="X63" s="270">
        <f t="shared" si="9"/>
        <v>56514.178139999989</v>
      </c>
      <c r="Y63" s="62">
        <v>0</v>
      </c>
      <c r="Z63" s="62">
        <v>0</v>
      </c>
      <c r="AA63" s="256">
        <f t="shared" si="10"/>
        <v>56514.178139999989</v>
      </c>
      <c r="AB63" s="3"/>
      <c r="AC63" s="62">
        <f t="shared" si="11"/>
        <v>7943.76</v>
      </c>
      <c r="AD63" s="62" t="str">
        <f t="shared" si="12"/>
        <v/>
      </c>
      <c r="AE63" s="62">
        <f t="shared" si="13"/>
        <v>8618.4121663499973</v>
      </c>
      <c r="AF63" s="62">
        <f t="shared" si="14"/>
        <v>819.45558302999984</v>
      </c>
      <c r="AG63" s="192">
        <v>0</v>
      </c>
      <c r="AH63" s="62">
        <f t="shared" si="15"/>
        <v>514.41104423620527</v>
      </c>
      <c r="AI63" s="62">
        <f t="shared" si="16"/>
        <v>166.44548453570249</v>
      </c>
      <c r="AJ63" s="62"/>
      <c r="AK63" s="62">
        <v>0</v>
      </c>
      <c r="AL63" s="256">
        <f t="shared" si="17"/>
        <v>18062.484278151911</v>
      </c>
      <c r="AM63" s="256">
        <f t="shared" si="18"/>
        <v>56514.178139999989</v>
      </c>
      <c r="AN63" s="256">
        <f t="shared" si="19"/>
        <v>74576.6624181519</v>
      </c>
    </row>
    <row r="64" spans="1:40" hidden="1" x14ac:dyDescent="0.2">
      <c r="A64" s="3" t="str">
        <f>IF('Employee Detail FY26'!A64="","",'Employee Detail FY26'!A64)</f>
        <v/>
      </c>
      <c r="B64" s="3">
        <f>IF('Employee Detail FY26'!B64="","",'Employee Detail FY26'!B64)</f>
        <v>100</v>
      </c>
      <c r="C64" s="3" t="str">
        <f>IF('Employee Detail FY26'!C64="","",'Employee Detail FY26'!C64)</f>
        <v>000</v>
      </c>
      <c r="D64" s="3"/>
      <c r="E64" s="3">
        <f>IF('Employee Detail FY26'!E64="","",'Employee Detail FY26'!E64)</f>
        <v>100</v>
      </c>
      <c r="F64" s="3" t="str">
        <f>IF('Employee Detail FY26'!F64="","",'Employee Detail FY26'!F64)</f>
        <v>2410</v>
      </c>
      <c r="G64" s="3" t="str">
        <f>IF('Employee Detail FY26'!G64="","",'Employee Detail FY26'!G64)</f>
        <v>0107</v>
      </c>
      <c r="H64" s="3"/>
      <c r="I64" s="255" t="str">
        <f>IF('Employee Detail FY26'!I64="","",'Employee Detail FY26'!I64)</f>
        <v>RUIZ</v>
      </c>
      <c r="J64" s="255" t="str">
        <f>IF('Employee Detail FY26'!J64="","",'Employee Detail FY26'!J64)</f>
        <v>ANNETTE</v>
      </c>
      <c r="K64" s="255" t="str">
        <f>IF('Employee Detail FY26'!K64="","",'Employee Detail FY26'!K64)</f>
        <v>Support Staff</v>
      </c>
      <c r="L64" s="255" t="str">
        <f>IF('Employee Detail FY26'!L64="","",'Employee Detail FY26'!L64)</f>
        <v>REGISTRAR</v>
      </c>
      <c r="M64" s="92">
        <f>IF('Employee Detail FY26'!M64="","",'Employee Detail FY26'!M64)</f>
        <v>1</v>
      </c>
      <c r="N64" s="3" t="str">
        <f>IF('Employee Detail FY26'!N64="","",'Employee Detail FY26'!N64)</f>
        <v>H</v>
      </c>
      <c r="O64" s="3">
        <f>IF('Employee Detail FY26'!O64="","",'Employee Detail FY26'!O64)</f>
        <v>1</v>
      </c>
      <c r="P64" s="3" t="str">
        <f>IF('Employee Detail FY26'!P64="","",'Employee Detail FY26'!P64)</f>
        <v>EE</v>
      </c>
      <c r="Q64" s="3" t="str">
        <f>IF('Employee Detail FY26'!Q64="","",'Employee Detail FY26'!Q64)</f>
        <v/>
      </c>
      <c r="R64" s="3">
        <f>IF('Employee Detail FY26'!R64="","",'Employee Detail FY26'!R64)</f>
        <v>261</v>
      </c>
      <c r="S64" s="3">
        <f>IF('Employee Detail FY26'!S64="","",'Employee Detail FY26'!S64)</f>
        <v>8</v>
      </c>
      <c r="T64" s="263">
        <f t="shared" si="6"/>
        <v>2088</v>
      </c>
      <c r="U64" s="269">
        <f>IF('Employee Detail FY26'!U64="","",'Employee Detail FY26'!U64)</f>
        <v>43000</v>
      </c>
      <c r="V64" s="270">
        <f t="shared" si="7"/>
        <v>49449.999999999993</v>
      </c>
      <c r="W64" s="270">
        <f t="shared" si="8"/>
        <v>57044.827699999994</v>
      </c>
      <c r="X64" s="270">
        <f t="shared" si="9"/>
        <v>57044.827699999994</v>
      </c>
      <c r="Y64" s="62">
        <v>0</v>
      </c>
      <c r="Z64" s="62">
        <v>0</v>
      </c>
      <c r="AA64" s="256">
        <f t="shared" si="10"/>
        <v>57044.827699999994</v>
      </c>
      <c r="AB64" s="3"/>
      <c r="AC64" s="62">
        <f t="shared" si="11"/>
        <v>7943.76</v>
      </c>
      <c r="AD64" s="62" t="str">
        <f t="shared" si="12"/>
        <v/>
      </c>
      <c r="AE64" s="62">
        <f t="shared" si="13"/>
        <v>8699.3362242499988</v>
      </c>
      <c r="AF64" s="62">
        <f t="shared" si="14"/>
        <v>827.15000164999992</v>
      </c>
      <c r="AG64" s="192">
        <v>0</v>
      </c>
      <c r="AH64" s="62">
        <f t="shared" si="15"/>
        <v>519.2411948863105</v>
      </c>
      <c r="AI64" s="62">
        <f t="shared" si="16"/>
        <v>168.00835293509877</v>
      </c>
      <c r="AJ64" s="62"/>
      <c r="AK64" s="62">
        <v>0</v>
      </c>
      <c r="AL64" s="256">
        <f t="shared" si="17"/>
        <v>18157.49577372141</v>
      </c>
      <c r="AM64" s="256">
        <f t="shared" si="18"/>
        <v>57044.827699999994</v>
      </c>
      <c r="AN64" s="256">
        <f t="shared" si="19"/>
        <v>75202.323473721408</v>
      </c>
    </row>
    <row r="65" spans="1:40" hidden="1" x14ac:dyDescent="0.2">
      <c r="A65" s="3" t="str">
        <f>IF('Employee Detail FY26'!A65="","",'Employee Detail FY26'!A65)</f>
        <v>CSP</v>
      </c>
      <c r="B65" s="3" t="str">
        <f>IF('Employee Detail FY26'!B65="","",'Employee Detail FY26'!B65)</f>
        <v>100</v>
      </c>
      <c r="C65" s="3" t="str">
        <f>IF('Employee Detail FY26'!C65="","",'Employee Detail FY26'!C65)</f>
        <v>000</v>
      </c>
      <c r="D65" s="3"/>
      <c r="E65" s="3">
        <f>IF('Employee Detail FY26'!E65="","",'Employee Detail FY26'!E65)</f>
        <v>100</v>
      </c>
      <c r="F65" s="3">
        <f>IF('Employee Detail FY26'!F65="","",'Employee Detail FY26'!F65)</f>
        <v>2410</v>
      </c>
      <c r="G65" s="3" t="str">
        <f>IF('Employee Detail FY26'!G65="","",'Employee Detail FY26'!G65)</f>
        <v>0107</v>
      </c>
      <c r="H65" s="3"/>
      <c r="I65" s="255" t="str">
        <f>IF('Employee Detail FY26'!I65="","",'Employee Detail FY26'!I65)</f>
        <v>ZEIDLER</v>
      </c>
      <c r="J65" s="255" t="str">
        <f>IF('Employee Detail FY26'!J65="","",'Employee Detail FY26'!J65)</f>
        <v>LINDA</v>
      </c>
      <c r="K65" s="255" t="str">
        <f>IF('Employee Detail FY26'!K65="","",'Employee Detail FY26'!K65)</f>
        <v>Support Staff</v>
      </c>
      <c r="L65" s="255" t="str">
        <f>IF('Employee Detail FY26'!L65="","",'Employee Detail FY26'!L65)</f>
        <v>RECORDS &amp; ENROLLMENT COORDINATOR</v>
      </c>
      <c r="M65" s="92">
        <f>IF('Employee Detail FY26'!M65="","",'Employee Detail FY26'!M65)</f>
        <v>1</v>
      </c>
      <c r="N65" s="3" t="str">
        <f>IF('Employee Detail FY26'!N65="","",'Employee Detail FY26'!N65)</f>
        <v/>
      </c>
      <c r="O65" s="3">
        <f>IF('Employee Detail FY26'!O65="","",'Employee Detail FY26'!O65)</f>
        <v>26</v>
      </c>
      <c r="P65" s="3" t="str">
        <f>IF('Employee Detail FY26'!P65="","",'Employee Detail FY26'!P65)</f>
        <v>ER</v>
      </c>
      <c r="Q65" s="3" t="str">
        <f>IF('Employee Detail FY26'!Q65="","",'Employee Detail FY26'!Q65)</f>
        <v/>
      </c>
      <c r="R65" s="3">
        <f>IF('Employee Detail FY26'!R65="","",'Employee Detail FY26'!R65)</f>
        <v>200</v>
      </c>
      <c r="S65" s="3">
        <f>IF('Employee Detail FY26'!S65="","",'Employee Detail FY26'!S65)</f>
        <v>8</v>
      </c>
      <c r="T65" s="263">
        <f t="shared" si="6"/>
        <v>1600</v>
      </c>
      <c r="U65" s="269">
        <f>IF('Employee Detail FY26'!U65="","",'Employee Detail FY26'!U65)</f>
        <v>70000</v>
      </c>
      <c r="V65" s="270">
        <f t="shared" si="7"/>
        <v>80500</v>
      </c>
      <c r="W65" s="270" t="str">
        <f t="shared" si="8"/>
        <v/>
      </c>
      <c r="X65" s="270">
        <f t="shared" si="9"/>
        <v>80500</v>
      </c>
      <c r="Y65" s="62">
        <v>0</v>
      </c>
      <c r="Z65" s="62">
        <v>0</v>
      </c>
      <c r="AA65" s="256">
        <f t="shared" si="10"/>
        <v>80500</v>
      </c>
      <c r="AB65" s="3"/>
      <c r="AC65" s="62">
        <f t="shared" si="11"/>
        <v>7943.76</v>
      </c>
      <c r="AD65" s="62" t="str">
        <f t="shared" si="12"/>
        <v/>
      </c>
      <c r="AE65" s="62">
        <f t="shared" si="13"/>
        <v>23546.25</v>
      </c>
      <c r="AF65" s="62">
        <f t="shared" si="14"/>
        <v>1167.25</v>
      </c>
      <c r="AG65" s="192">
        <v>0</v>
      </c>
      <c r="AH65" s="62">
        <f t="shared" si="15"/>
        <v>732.73805660645382</v>
      </c>
      <c r="AI65" s="62">
        <f t="shared" si="16"/>
        <v>237.0884961280276</v>
      </c>
      <c r="AJ65" s="62"/>
      <c r="AK65" s="62">
        <v>0</v>
      </c>
      <c r="AL65" s="256">
        <f t="shared" si="17"/>
        <v>33627.086552734479</v>
      </c>
      <c r="AM65" s="256">
        <f t="shared" si="18"/>
        <v>80500</v>
      </c>
      <c r="AN65" s="256">
        <f t="shared" si="19"/>
        <v>114127.08655273449</v>
      </c>
    </row>
    <row r="66" spans="1:40" hidden="1" x14ac:dyDescent="0.2">
      <c r="A66" s="3" t="str">
        <f>IF('Employee Detail FY26'!A66="","",'Employee Detail FY26'!A66)</f>
        <v/>
      </c>
      <c r="B66" s="3">
        <f>IF('Employee Detail FY26'!B66="","",'Employee Detail FY26'!B66)</f>
        <v>100</v>
      </c>
      <c r="C66" s="3" t="str">
        <f>IF('Employee Detail FY26'!C66="","",'Employee Detail FY26'!C66)</f>
        <v>000</v>
      </c>
      <c r="D66" s="3"/>
      <c r="E66" s="3">
        <f>IF('Employee Detail FY26'!E66="","",'Employee Detail FY26'!E66)</f>
        <v>100</v>
      </c>
      <c r="F66" s="3" t="str">
        <f>IF('Employee Detail FY26'!F66="","",'Employee Detail FY26'!F66)</f>
        <v>2410</v>
      </c>
      <c r="G66" s="3" t="str">
        <f>IF('Employee Detail FY26'!G66="","",'Employee Detail FY26'!G66)</f>
        <v>0107</v>
      </c>
      <c r="H66" s="3"/>
      <c r="I66" s="255" t="str">
        <f>IF('Employee Detail FY26'!I66="","",'Employee Detail FY26'!I66)</f>
        <v>GARCIA</v>
      </c>
      <c r="J66" s="255" t="str">
        <f>IF('Employee Detail FY26'!J66="","",'Employee Detail FY26'!J66)</f>
        <v>BELINDA</v>
      </c>
      <c r="K66" s="255" t="str">
        <f>IF('Employee Detail FY26'!K66="","",'Employee Detail FY26'!K66)</f>
        <v>Support Staff</v>
      </c>
      <c r="L66" s="255" t="str">
        <f>IF('Employee Detail FY26'!L66="","",'Employee Detail FY26'!L66)</f>
        <v>RECEPTIONIST</v>
      </c>
      <c r="M66" s="92">
        <f>IF('Employee Detail FY26'!M66="","",'Employee Detail FY26'!M66)</f>
        <v>1</v>
      </c>
      <c r="N66" s="3" t="str">
        <f>IF('Employee Detail FY26'!N66="","",'Employee Detail FY26'!N66)</f>
        <v>12</v>
      </c>
      <c r="O66" s="3">
        <f>IF('Employee Detail FY26'!O66="","",'Employee Detail FY26'!O66)</f>
        <v>22.5</v>
      </c>
      <c r="P66" s="3" t="str">
        <f>IF('Employee Detail FY26'!P66="","",'Employee Detail FY26'!P66)</f>
        <v>ER</v>
      </c>
      <c r="Q66" s="3">
        <f>IF('Employee Detail FY26'!Q66="","",'Employee Detail FY26'!Q66)</f>
        <v>15.95</v>
      </c>
      <c r="R66" s="3">
        <f>IF('Employee Detail FY26'!R66="","",'Employee Detail FY26'!R66)</f>
        <v>260</v>
      </c>
      <c r="S66" s="3">
        <f>IF('Employee Detail FY26'!S66="","",'Employee Detail FY26'!S66)</f>
        <v>8</v>
      </c>
      <c r="T66" s="263">
        <f t="shared" si="6"/>
        <v>2080</v>
      </c>
      <c r="U66" s="269">
        <f>IF('Employee Detail FY26'!U66="","",'Employee Detail FY26'!U66)</f>
        <v>33176</v>
      </c>
      <c r="V66" s="270">
        <f t="shared" si="7"/>
        <v>38152.399999999994</v>
      </c>
      <c r="W66" s="270" t="str">
        <f t="shared" si="8"/>
        <v/>
      </c>
      <c r="X66" s="270">
        <f t="shared" si="9"/>
        <v>38152.399999999994</v>
      </c>
      <c r="Y66" s="62">
        <v>0</v>
      </c>
      <c r="Z66" s="62">
        <v>0</v>
      </c>
      <c r="AA66" s="256">
        <f t="shared" si="10"/>
        <v>38152.399999999994</v>
      </c>
      <c r="AB66" s="3"/>
      <c r="AC66" s="62">
        <f t="shared" si="11"/>
        <v>7943.76</v>
      </c>
      <c r="AD66" s="62" t="str">
        <f t="shared" si="12"/>
        <v/>
      </c>
      <c r="AE66" s="62">
        <f t="shared" si="13"/>
        <v>11159.576999999997</v>
      </c>
      <c r="AF66" s="62">
        <f t="shared" si="14"/>
        <v>553.20979999999997</v>
      </c>
      <c r="AG66" s="192">
        <v>0</v>
      </c>
      <c r="AH66" s="62">
        <f t="shared" si="15"/>
        <v>347.27596808536725</v>
      </c>
      <c r="AI66" s="62">
        <f t="shared" si="16"/>
        <v>112.36639925062062</v>
      </c>
      <c r="AJ66" s="62"/>
      <c r="AK66" s="62">
        <v>0</v>
      </c>
      <c r="AL66" s="256">
        <f t="shared" si="17"/>
        <v>20116.189167335986</v>
      </c>
      <c r="AM66" s="256">
        <f t="shared" si="18"/>
        <v>38152.399999999994</v>
      </c>
      <c r="AN66" s="256">
        <f t="shared" si="19"/>
        <v>58268.58916733598</v>
      </c>
    </row>
    <row r="67" spans="1:40" hidden="1" x14ac:dyDescent="0.2">
      <c r="A67" s="3" t="str">
        <f>IF('Employee Detail FY26'!A67="","",'Employee Detail FY26'!A67)</f>
        <v/>
      </c>
      <c r="B67" s="3">
        <f>IF('Employee Detail FY26'!B67="","",'Employee Detail FY26'!B67)</f>
        <v>250</v>
      </c>
      <c r="C67" s="3">
        <f>IF('Employee Detail FY26'!C67="","",'Employee Detail FY26'!C67)</f>
        <v>205</v>
      </c>
      <c r="D67" s="3"/>
      <c r="E67" s="3">
        <f>IF('Employee Detail FY26'!E67="","",'Employee Detail FY26'!E67)</f>
        <v>200</v>
      </c>
      <c r="F67" s="3">
        <f>IF('Employee Detail FY26'!F67="","",'Employee Detail FY26'!F67)</f>
        <v>2410</v>
      </c>
      <c r="G67" s="3" t="str">
        <f>IF('Employee Detail FY26'!G67="","",'Employee Detail FY26'!G67)</f>
        <v>0107</v>
      </c>
      <c r="H67" s="3"/>
      <c r="I67" s="255" t="str">
        <f>IF('Employee Detail FY26'!I67="","",'Employee Detail FY26'!I67)</f>
        <v>CLADERA RABELO</v>
      </c>
      <c r="J67" s="255" t="str">
        <f>IF('Employee Detail FY26'!J67="","",'Employee Detail FY26'!J67)</f>
        <v>REDYANE</v>
      </c>
      <c r="K67" s="255" t="str">
        <f>IF('Employee Detail FY26'!K67="","",'Employee Detail FY26'!K67)</f>
        <v>Support Staff</v>
      </c>
      <c r="L67" s="255" t="str">
        <f>IF('Employee Detail FY26'!L67="","",'Employee Detail FY26'!L67)</f>
        <v>SPED ADMIN ASSISTANT</v>
      </c>
      <c r="M67" s="92">
        <f>IF('Employee Detail FY26'!M67="","",'Employee Detail FY26'!M67)</f>
        <v>1</v>
      </c>
      <c r="N67" s="3" t="str">
        <f>IF('Employee Detail FY26'!N67="","",'Employee Detail FY26'!N67)</f>
        <v>12</v>
      </c>
      <c r="O67" s="3">
        <f>IF('Employee Detail FY26'!O67="","",'Employee Detail FY26'!O67)</f>
        <v>24</v>
      </c>
      <c r="P67" s="3" t="str">
        <f>IF('Employee Detail FY26'!P67="","",'Employee Detail FY26'!P67)</f>
        <v>EE</v>
      </c>
      <c r="Q67" s="3">
        <f>IF('Employee Detail FY26'!Q67="","",'Employee Detail FY26'!Q67)</f>
        <v>19.350000000000001</v>
      </c>
      <c r="R67" s="3">
        <f>IF('Employee Detail FY26'!R67="","",'Employee Detail FY26'!R67)</f>
        <v>260</v>
      </c>
      <c r="S67" s="3">
        <f>IF('Employee Detail FY26'!S67="","",'Employee Detail FY26'!S67)</f>
        <v>8</v>
      </c>
      <c r="T67" s="263">
        <f t="shared" si="6"/>
        <v>2080</v>
      </c>
      <c r="U67" s="269">
        <f>IF('Employee Detail FY26'!U67="","",'Employee Detail FY26'!U67)</f>
        <v>40248</v>
      </c>
      <c r="V67" s="270">
        <f t="shared" si="7"/>
        <v>46285.2</v>
      </c>
      <c r="W67" s="270">
        <f t="shared" si="8"/>
        <v>53393.958727199999</v>
      </c>
      <c r="X67" s="270">
        <f t="shared" si="9"/>
        <v>53393.958727199999</v>
      </c>
      <c r="Y67" s="62">
        <v>0</v>
      </c>
      <c r="Z67" s="62">
        <v>0</v>
      </c>
      <c r="AA67" s="256">
        <f t="shared" si="10"/>
        <v>53393.958727199999</v>
      </c>
      <c r="AB67" s="3"/>
      <c r="AC67" s="62">
        <f t="shared" si="11"/>
        <v>7943.76</v>
      </c>
      <c r="AD67" s="62" t="str">
        <f t="shared" si="12"/>
        <v/>
      </c>
      <c r="AE67" s="62">
        <f t="shared" si="13"/>
        <v>8142.5787058979995</v>
      </c>
      <c r="AF67" s="62">
        <f t="shared" si="14"/>
        <v>774.2124015444</v>
      </c>
      <c r="AG67" s="192">
        <v>0</v>
      </c>
      <c r="AH67" s="62">
        <f t="shared" si="15"/>
        <v>486.00975841358672</v>
      </c>
      <c r="AI67" s="62">
        <f t="shared" si="16"/>
        <v>157.25581834725247</v>
      </c>
      <c r="AJ67" s="62"/>
      <c r="AK67" s="62">
        <v>0</v>
      </c>
      <c r="AL67" s="256">
        <f t="shared" si="17"/>
        <v>17503.816684203241</v>
      </c>
      <c r="AM67" s="256">
        <f t="shared" si="18"/>
        <v>53393.958727199999</v>
      </c>
      <c r="AN67" s="256">
        <f t="shared" si="19"/>
        <v>70897.775411403243</v>
      </c>
    </row>
    <row r="68" spans="1:40" hidden="1" x14ac:dyDescent="0.2">
      <c r="A68" s="3" t="str">
        <f>IF('Employee Detail FY26'!A68="","",'Employee Detail FY26'!A68)</f>
        <v/>
      </c>
      <c r="B68" s="3">
        <f>IF('Employee Detail FY26'!B68="","",'Employee Detail FY26'!B68)</f>
        <v>100</v>
      </c>
      <c r="C68" s="3" t="str">
        <f>IF('Employee Detail FY26'!C68="","",'Employee Detail FY26'!C68)</f>
        <v>000</v>
      </c>
      <c r="D68" s="3"/>
      <c r="E68" s="3">
        <f>IF('Employee Detail FY26'!E68="","",'Employee Detail FY26'!E68)</f>
        <v>100</v>
      </c>
      <c r="F68" s="3">
        <f>IF('Employee Detail FY26'!F68="","",'Employee Detail FY26'!F68)</f>
        <v>2410</v>
      </c>
      <c r="G68" s="3" t="str">
        <f>IF('Employee Detail FY26'!G68="","",'Employee Detail FY26'!G68)</f>
        <v>0107</v>
      </c>
      <c r="H68" s="3"/>
      <c r="I68" s="255" t="str">
        <f>IF('Employee Detail FY26'!I68="","",'Employee Detail FY26'!I68)</f>
        <v>PINEDO</v>
      </c>
      <c r="J68" s="255" t="str">
        <f>IF('Employee Detail FY26'!J68="","",'Employee Detail FY26'!J68)</f>
        <v>Adylene</v>
      </c>
      <c r="K68" s="255" t="str">
        <f>IF('Employee Detail FY26'!K68="","",'Employee Detail FY26'!K68)</f>
        <v>Support Staff</v>
      </c>
      <c r="L68" s="255" t="str">
        <f>IF('Employee Detail FY26'!L68="","",'Employee Detail FY26'!L68)</f>
        <v>Enrollment Specialist</v>
      </c>
      <c r="M68" s="92">
        <f>IF('Employee Detail FY26'!M68="","",'Employee Detail FY26'!M68)</f>
        <v>1</v>
      </c>
      <c r="N68" s="3" t="str">
        <f>IF('Employee Detail FY26'!N68="","",'Employee Detail FY26'!N68)</f>
        <v/>
      </c>
      <c r="O68" s="3">
        <f>IF('Employee Detail FY26'!O68="","",'Employee Detail FY26'!O68)</f>
        <v>26</v>
      </c>
      <c r="P68" s="3" t="str">
        <f>IF('Employee Detail FY26'!P68="","",'Employee Detail FY26'!P68)</f>
        <v>EE</v>
      </c>
      <c r="Q68" s="3">
        <f>IF('Employee Detail FY26'!Q68="","",'Employee Detail FY26'!Q68)</f>
        <v>14.5</v>
      </c>
      <c r="R68" s="3">
        <f>IF('Employee Detail FY26'!R68="","",'Employee Detail FY26'!R68)</f>
        <v>261</v>
      </c>
      <c r="S68" s="3">
        <f>IF('Employee Detail FY26'!S68="","",'Employee Detail FY26'!S68)</f>
        <v>8</v>
      </c>
      <c r="T68" s="263">
        <f t="shared" si="6"/>
        <v>2088</v>
      </c>
      <c r="U68" s="269">
        <f>IF('Employee Detail FY26'!U68="","",'Employee Detail FY26'!U68)</f>
        <v>45000</v>
      </c>
      <c r="V68" s="270">
        <f t="shared" si="7"/>
        <v>51749.999999999993</v>
      </c>
      <c r="W68" s="270">
        <f t="shared" si="8"/>
        <v>59698.075499999992</v>
      </c>
      <c r="X68" s="270">
        <f t="shared" si="9"/>
        <v>59698.075499999992</v>
      </c>
      <c r="Y68" s="62">
        <v>0</v>
      </c>
      <c r="Z68" s="62">
        <v>0</v>
      </c>
      <c r="AA68" s="256">
        <f t="shared" si="10"/>
        <v>59698.075499999992</v>
      </c>
      <c r="AB68" s="3"/>
      <c r="AC68" s="62">
        <f t="shared" si="11"/>
        <v>7943.76</v>
      </c>
      <c r="AD68" s="62" t="str">
        <f t="shared" si="12"/>
        <v/>
      </c>
      <c r="AE68" s="62">
        <f t="shared" si="13"/>
        <v>9103.9565137499994</v>
      </c>
      <c r="AF68" s="62">
        <f t="shared" si="14"/>
        <v>865.62209474999997</v>
      </c>
      <c r="AG68" s="192">
        <v>0</v>
      </c>
      <c r="AH68" s="62">
        <f t="shared" si="15"/>
        <v>543.39194813683662</v>
      </c>
      <c r="AI68" s="62">
        <f t="shared" si="16"/>
        <v>175.82269493208011</v>
      </c>
      <c r="AJ68" s="62"/>
      <c r="AK68" s="62">
        <v>0</v>
      </c>
      <c r="AL68" s="256">
        <f t="shared" si="17"/>
        <v>18632.553251568916</v>
      </c>
      <c r="AM68" s="256">
        <f t="shared" si="18"/>
        <v>59698.075499999992</v>
      </c>
      <c r="AN68" s="256">
        <f t="shared" si="19"/>
        <v>78330.628751568904</v>
      </c>
    </row>
    <row r="69" spans="1:40" hidden="1" x14ac:dyDescent="0.2">
      <c r="A69" s="3" t="str">
        <f>IF('Employee Detail FY26'!A69="","",'Employee Detail FY26'!A69)</f>
        <v>VACANT</v>
      </c>
      <c r="B69" s="3">
        <f>IF('Employee Detail FY26'!B69="","",'Employee Detail FY26'!B69)</f>
        <v>100</v>
      </c>
      <c r="C69" s="3" t="str">
        <f>IF('Employee Detail FY26'!C69="","",'Employee Detail FY26'!C69)</f>
        <v>000</v>
      </c>
      <c r="D69" s="3"/>
      <c r="E69" s="3">
        <f>IF('Employee Detail FY26'!E69="","",'Employee Detail FY26'!E69)</f>
        <v>100</v>
      </c>
      <c r="F69" s="3" t="str">
        <f>IF('Employee Detail FY26'!F69="","",'Employee Detail FY26'!F69)</f>
        <v>2410</v>
      </c>
      <c r="G69" s="3" t="str">
        <f>IF('Employee Detail FY26'!G69="","",'Employee Detail FY26'!G69)</f>
        <v>0107</v>
      </c>
      <c r="H69" s="3"/>
      <c r="I69" s="255" t="str">
        <f>IF('Employee Detail FY26'!I69="","",'Employee Detail FY26'!I69)</f>
        <v>VACANT</v>
      </c>
      <c r="J69" s="255" t="str">
        <f>IF('Employee Detail FY26'!J69="","",'Employee Detail FY26'!J69)</f>
        <v>FY23</v>
      </c>
      <c r="K69" s="255" t="str">
        <f>IF('Employee Detail FY26'!K69="","",'Employee Detail FY26'!K69)</f>
        <v>Support Staff</v>
      </c>
      <c r="L69" s="255" t="str">
        <f>IF('Employee Detail FY26'!L69="","",'Employee Detail FY26'!L69)</f>
        <v>ENROLLMENT SPECIALIST</v>
      </c>
      <c r="M69" s="92">
        <f>IF('Employee Detail FY26'!M69="","",'Employee Detail FY26'!M69)</f>
        <v>1</v>
      </c>
      <c r="N69" s="3" t="str">
        <f>IF('Employee Detail FY26'!N69="","",'Employee Detail FY26'!N69)</f>
        <v/>
      </c>
      <c r="O69" s="3" t="str">
        <f>IF('Employee Detail FY26'!O69="","",'Employee Detail FY26'!O69)</f>
        <v/>
      </c>
      <c r="P69" s="3" t="str">
        <f>IF('Employee Detail FY26'!P69="","",'Employee Detail FY26'!P69)</f>
        <v>ER</v>
      </c>
      <c r="Q69" s="3" t="str">
        <f>IF('Employee Detail FY26'!Q69="","",'Employee Detail FY26'!Q69)</f>
        <v/>
      </c>
      <c r="R69" s="3" t="str">
        <f>IF('Employee Detail FY26'!R69="","",'Employee Detail FY26'!R69)</f>
        <v/>
      </c>
      <c r="S69" s="3" t="str">
        <f>IF('Employee Detail FY26'!S69="","",'Employee Detail FY26'!S69)</f>
        <v/>
      </c>
      <c r="T69" s="263" t="str">
        <f t="shared" ref="T69:T95" si="20">+IF(R69="","",R69*S69)</f>
        <v/>
      </c>
      <c r="U69" s="269">
        <f>IF('Employee Detail FY26'!U69="","",'Employee Detail FY26'!U69)</f>
        <v>40000</v>
      </c>
      <c r="V69" s="270">
        <f t="shared" ref="V69:V104" si="21">IF($U69="","",$U69*(1+$V$1))</f>
        <v>46000</v>
      </c>
      <c r="W69" s="270" t="str">
        <f t="shared" ref="W69:W95" si="22">+IF(P69="EE",+V69*$W$1,"")</f>
        <v/>
      </c>
      <c r="X69" s="270">
        <f t="shared" ref="X69:X95" si="23">_xlfn.IFS(P69="ER",V69,P69="EE",W69,P69="N",V69,P69="","")</f>
        <v>46000</v>
      </c>
      <c r="Y69" s="62">
        <v>0</v>
      </c>
      <c r="Z69" s="62">
        <v>0</v>
      </c>
      <c r="AA69" s="256">
        <f t="shared" ref="AA69:AA95" si="24">SUM(X69:Z69)</f>
        <v>46000</v>
      </c>
      <c r="AB69" s="3"/>
      <c r="AC69" s="62">
        <f t="shared" ref="AC69:AC95" si="25">IF(AND(M69=1,P69&lt;&gt;"N"),$AC$1,"")</f>
        <v>7943.76</v>
      </c>
      <c r="AD69" s="62" t="str">
        <f t="shared" ref="AD69:AD95" si="26">_xlfn.IFS(P69="N",$AD$1*AA69,P69="EE","",P69="ER","",P69="","")</f>
        <v/>
      </c>
      <c r="AE69" s="62">
        <f t="shared" ref="AE69:AE95" si="27">_xlfn.IFS(P69="EE",X69*$AE$1,P69="ER",X69*$AE$2,P69="N","",P69="","")</f>
        <v>13455</v>
      </c>
      <c r="AF69" s="62">
        <f t="shared" ref="AF69:AF95" si="28">+IF(AA69&gt;1,AA69*$AF$1,"")</f>
        <v>667</v>
      </c>
      <c r="AG69" s="192">
        <v>0</v>
      </c>
      <c r="AH69" s="62">
        <f t="shared" ref="AH69:AH95" si="29">+IF(AA69&gt;1,AA69*$AH$1,"")</f>
        <v>418.70746091797361</v>
      </c>
      <c r="AI69" s="62">
        <f t="shared" ref="AI69:AI95" si="30">+_xlfn.IFS(F69&lt;2300,(AA69*$AI$1),F69&gt;=2300,(AA69*$AI$2),F69="","")</f>
        <v>135.4791406445872</v>
      </c>
      <c r="AJ69" s="62"/>
      <c r="AK69" s="62">
        <v>0</v>
      </c>
      <c r="AL69" s="256">
        <f t="shared" ref="AL69:AL95" si="31">SUM(AC69:AK69)</f>
        <v>22619.946601562562</v>
      </c>
      <c r="AM69" s="256">
        <f t="shared" ref="AM69:AM95" si="32">AA69</f>
        <v>46000</v>
      </c>
      <c r="AN69" s="256">
        <f t="shared" ref="AN69:AN95" si="33">SUM(AL69:AM69)</f>
        <v>68619.946601562566</v>
      </c>
    </row>
    <row r="70" spans="1:40" hidden="1" x14ac:dyDescent="0.2">
      <c r="A70" s="3" t="str">
        <f>IF('Employee Detail FY26'!A70="","",'Employee Detail FY26'!A70)</f>
        <v>VACANT</v>
      </c>
      <c r="B70" s="3">
        <f>IF('Employee Detail FY26'!B70="","",'Employee Detail FY26'!B70)</f>
        <v>100</v>
      </c>
      <c r="C70" s="3" t="str">
        <f>IF('Employee Detail FY26'!C70="","",'Employee Detail FY26'!C70)</f>
        <v>000</v>
      </c>
      <c r="D70" s="3"/>
      <c r="E70" s="3">
        <f>IF('Employee Detail FY26'!E70="","",'Employee Detail FY26'!E70)</f>
        <v>100</v>
      </c>
      <c r="F70" s="3">
        <f>IF('Employee Detail FY26'!F70="","",'Employee Detail FY26'!F70)</f>
        <v>2410</v>
      </c>
      <c r="G70" s="3" t="str">
        <f>IF('Employee Detail FY26'!G70="","",'Employee Detail FY26'!G70)</f>
        <v>0107</v>
      </c>
      <c r="H70" s="3"/>
      <c r="I70" s="255" t="str">
        <f>IF('Employee Detail FY26'!I70="","",'Employee Detail FY26'!I70)</f>
        <v>VACANT</v>
      </c>
      <c r="J70" s="255" t="str">
        <f>IF('Employee Detail FY26'!J70="","",'Employee Detail FY26'!J70)</f>
        <v>FY23</v>
      </c>
      <c r="K70" s="255" t="str">
        <f>IF('Employee Detail FY26'!K70="","",'Employee Detail FY26'!K70)</f>
        <v>Support Staff</v>
      </c>
      <c r="L70" s="255" t="str">
        <f>IF('Employee Detail FY26'!L70="","",'Employee Detail FY26'!L70)</f>
        <v>School Operations Support Staff</v>
      </c>
      <c r="M70" s="92">
        <f>IF('Employee Detail FY26'!M70="","",'Employee Detail FY26'!M70)</f>
        <v>1</v>
      </c>
      <c r="N70" s="3" t="str">
        <f>IF('Employee Detail FY26'!N70="","",'Employee Detail FY26'!N70)</f>
        <v/>
      </c>
      <c r="O70" s="3" t="str">
        <f>IF('Employee Detail FY26'!O70="","",'Employee Detail FY26'!O70)</f>
        <v/>
      </c>
      <c r="P70" s="3" t="str">
        <f>IF('Employee Detail FY26'!P70="","",'Employee Detail FY26'!P70)</f>
        <v>ER</v>
      </c>
      <c r="Q70" s="3" t="str">
        <f>IF('Employee Detail FY26'!Q70="","",'Employee Detail FY26'!Q70)</f>
        <v/>
      </c>
      <c r="R70" s="3" t="str">
        <f>IF('Employee Detail FY26'!R70="","",'Employee Detail FY26'!R70)</f>
        <v/>
      </c>
      <c r="S70" s="3" t="str">
        <f>IF('Employee Detail FY26'!S70="","",'Employee Detail FY26'!S70)</f>
        <v/>
      </c>
      <c r="T70" s="263" t="str">
        <f>+IF(R70="","",R70*S70)</f>
        <v/>
      </c>
      <c r="U70" s="269">
        <f>IF('Employee Detail FY26'!U70="","",'Employee Detail FY26'!U70)</f>
        <v>45000</v>
      </c>
      <c r="V70" s="270">
        <f>IF($U70="","",$U70*(1+$V$1))</f>
        <v>51749.999999999993</v>
      </c>
      <c r="W70" s="270" t="str">
        <f>+IF(P70="EE",+V70*$W$1,"")</f>
        <v/>
      </c>
      <c r="X70" s="270">
        <f>_xlfn.IFS(P70="ER",V70,P70="EE",W70,P70="N",V70,P70="","")</f>
        <v>51749.999999999993</v>
      </c>
      <c r="Y70" s="62">
        <v>0</v>
      </c>
      <c r="Z70" s="62">
        <v>0</v>
      </c>
      <c r="AA70" s="256">
        <f>SUM(X70:Z70)</f>
        <v>51749.999999999993</v>
      </c>
      <c r="AB70" s="3"/>
      <c r="AC70" s="62">
        <f>IF(AND(M70=1,P70&lt;&gt;"N"),$AC$1,"")</f>
        <v>7943.76</v>
      </c>
      <c r="AD70" s="62" t="str">
        <f>_xlfn.IFS(P70="N",$AD$1*AA70,P70="EE","",P70="ER","",P70="","")</f>
        <v/>
      </c>
      <c r="AE70" s="62">
        <f>_xlfn.IFS(P70="EE",X70*$AE$1,P70="ER",X70*$AE$2,P70="N","",P70="","")</f>
        <v>15136.874999999996</v>
      </c>
      <c r="AF70" s="62">
        <f>+IF(AA70&gt;1,AA70*$AF$1,"")</f>
        <v>750.37499999999989</v>
      </c>
      <c r="AG70" s="192">
        <v>0</v>
      </c>
      <c r="AH70" s="62">
        <f>+IF(AA70&gt;1,AA70*$AH$1,"")</f>
        <v>471.04589353272024</v>
      </c>
      <c r="AI70" s="62">
        <f>+_xlfn.IFS(F70&lt;2300,(AA70*$AI$1),F70&gt;=2300,(AA70*$AI$2),F70="","")</f>
        <v>152.41403322516058</v>
      </c>
      <c r="AJ70" s="62"/>
      <c r="AK70" s="62">
        <v>0</v>
      </c>
      <c r="AL70" s="256">
        <f>SUM(AC70:AK70)</f>
        <v>24454.469926757873</v>
      </c>
      <c r="AM70" s="256">
        <f>AA70</f>
        <v>51749.999999999993</v>
      </c>
      <c r="AN70" s="256">
        <f>SUM(AL70:AM70)</f>
        <v>76204.469926757869</v>
      </c>
    </row>
    <row r="71" spans="1:40" hidden="1" x14ac:dyDescent="0.2">
      <c r="A71" s="3" t="str">
        <f>IF('Employee Detail FY26'!A72="","",'Employee Detail FY26'!A72)</f>
        <v/>
      </c>
      <c r="B71" s="3" t="str">
        <f>IF('Employee Detail FY26'!B72="","",'Employee Detail FY26'!B72)</f>
        <v/>
      </c>
      <c r="C71" s="3" t="str">
        <f>IF('Employee Detail FY26'!C72="","",'Employee Detail FY26'!C72)</f>
        <v/>
      </c>
      <c r="D71" s="3"/>
      <c r="E71" s="3" t="str">
        <f>IF('Employee Detail FY26'!E72="","",'Employee Detail FY26'!E72)</f>
        <v/>
      </c>
      <c r="F71" s="3" t="str">
        <f>IF('Employee Detail FY26'!F72="","",'Employee Detail FY26'!F72)</f>
        <v/>
      </c>
      <c r="G71" s="3" t="str">
        <f>IF('Employee Detail FY26'!G72="","",'Employee Detail FY26'!G72)</f>
        <v/>
      </c>
      <c r="H71" s="3"/>
      <c r="I71" s="255" t="str">
        <f>IF('Employee Detail FY26'!I72="","",'Employee Detail FY26'!I72)</f>
        <v/>
      </c>
      <c r="J71" s="255" t="str">
        <f>IF('Employee Detail FY26'!J72="","",'Employee Detail FY26'!J72)</f>
        <v/>
      </c>
      <c r="K71" s="255" t="str">
        <f>IF('Employee Detail FY26'!K72="","",'Employee Detail FY26'!K72)</f>
        <v/>
      </c>
      <c r="L71" s="255" t="str">
        <f>IF('Employee Detail FY26'!L72="","",'Employee Detail FY26'!L72)</f>
        <v/>
      </c>
      <c r="M71" s="92">
        <f>IF('Employee Detail FY26'!M71="","",'Employee Detail FY26'!M71)</f>
        <v>1</v>
      </c>
      <c r="N71" s="3" t="str">
        <f>IF('Employee Detail FY26'!N72="","",'Employee Detail FY26'!N72)</f>
        <v/>
      </c>
      <c r="O71" s="3" t="str">
        <f>IF('Employee Detail FY26'!O72="","",'Employee Detail FY26'!O72)</f>
        <v/>
      </c>
      <c r="P71" s="3" t="str">
        <f>IF('Employee Detail FY26'!P72="","",'Employee Detail FY26'!P72)</f>
        <v/>
      </c>
      <c r="Q71" s="3" t="str">
        <f>IF('Employee Detail FY26'!Q72="","",'Employee Detail FY26'!Q72)</f>
        <v/>
      </c>
      <c r="R71" s="3" t="str">
        <f>IF('Employee Detail FY26'!R72="","",'Employee Detail FY26'!R72)</f>
        <v/>
      </c>
      <c r="S71" s="3" t="str">
        <f>IF('Employee Detail FY26'!S72="","",'Employee Detail FY26'!S72)</f>
        <v/>
      </c>
      <c r="T71" s="263" t="str">
        <f>+IF(R71="","",R71*S71)</f>
        <v/>
      </c>
      <c r="U71" s="269" t="str">
        <f>IF('Employee Detail FY26'!U72="","",'Employee Detail FY26'!U72)</f>
        <v/>
      </c>
      <c r="V71" s="270" t="str">
        <f>IF($U71="","",$U71*(1+$V$1))</f>
        <v/>
      </c>
      <c r="W71" s="270" t="str">
        <f>+IF(P71="EE",+V71*$W$1,"")</f>
        <v/>
      </c>
      <c r="X71" s="270" t="str">
        <f>_xlfn.IFS(P71="ER",V71,P71="EE",W71,P71="N",V71,P71="","")</f>
        <v/>
      </c>
      <c r="Y71" s="62">
        <v>0</v>
      </c>
      <c r="Z71" s="62">
        <v>0</v>
      </c>
      <c r="AA71" s="256">
        <f>SUM(X71:Z71)</f>
        <v>0</v>
      </c>
      <c r="AB71" s="3"/>
      <c r="AC71" s="62">
        <f>IF(AND(M71=1,P71&lt;&gt;"N"),$AC$1,"")</f>
        <v>7943.76</v>
      </c>
      <c r="AD71" s="62" t="str">
        <f>_xlfn.IFS(P71="N",$AD$1*AA71,P71="EE","",P71="ER","",P71="","")</f>
        <v/>
      </c>
      <c r="AE71" s="62" t="str">
        <f>_xlfn.IFS(P71="EE",X71*$AE$1,P71="ER",X71*$AE$2,P71="N","",P71="","")</f>
        <v/>
      </c>
      <c r="AF71" s="62" t="str">
        <f>+IF(AA71&gt;1,AA71*$AF$1,"")</f>
        <v/>
      </c>
      <c r="AG71" s="192">
        <v>0</v>
      </c>
      <c r="AH71" s="62" t="str">
        <f>+IF(AA71&gt;1,AA71*$AH$1,"")</f>
        <v/>
      </c>
      <c r="AI71" s="62">
        <f>+_xlfn.IFS(F71&lt;2300,(AA71*$AI$1),F71&gt;=2300,(AA71*$AI$2),F71="","")</f>
        <v>0</v>
      </c>
      <c r="AJ71" s="62"/>
      <c r="AK71" s="62">
        <v>0</v>
      </c>
      <c r="AL71" s="256">
        <f>SUM(AC71:AK71)</f>
        <v>7943.76</v>
      </c>
      <c r="AM71" s="256">
        <f>AA71</f>
        <v>0</v>
      </c>
      <c r="AN71" s="256">
        <f>SUM(AL71:AM71)</f>
        <v>7943.76</v>
      </c>
    </row>
    <row r="72" spans="1:40" hidden="1" x14ac:dyDescent="0.2">
      <c r="A72" s="3" t="str">
        <f>IF('Employee Detail FY26'!A72="","",'Employee Detail FY26'!A72)</f>
        <v/>
      </c>
      <c r="B72" s="3" t="str">
        <f>IF('Employee Detail FY26'!B72="","",'Employee Detail FY26'!B72)</f>
        <v/>
      </c>
      <c r="C72" s="3" t="str">
        <f>IF('Employee Detail FY26'!C72="","",'Employee Detail FY26'!C72)</f>
        <v/>
      </c>
      <c r="D72" s="3"/>
      <c r="E72" s="3" t="str">
        <f>IF('Employee Detail FY26'!E72="","",'Employee Detail FY26'!E72)</f>
        <v/>
      </c>
      <c r="F72" s="3" t="str">
        <f>IF('Employee Detail FY26'!F72="","",'Employee Detail FY26'!F72)</f>
        <v/>
      </c>
      <c r="G72" s="3" t="str">
        <f>IF('Employee Detail FY26'!G72="","",'Employee Detail FY26'!G72)</f>
        <v/>
      </c>
      <c r="H72" s="3"/>
      <c r="I72" s="255" t="str">
        <f>IF('Employee Detail FY26'!I72="","",'Employee Detail FY26'!I72)</f>
        <v/>
      </c>
      <c r="J72" s="255" t="str">
        <f>IF('Employee Detail FY26'!J72="","",'Employee Detail FY26'!J72)</f>
        <v/>
      </c>
      <c r="K72" s="255" t="str">
        <f>IF('Employee Detail FY26'!K72="","",'Employee Detail FY26'!K72)</f>
        <v/>
      </c>
      <c r="L72" s="255" t="str">
        <f>IF('Employee Detail FY26'!L72="","",'Employee Detail FY26'!L72)</f>
        <v/>
      </c>
      <c r="M72" s="92" t="str">
        <f>IF('Employee Detail FY26'!M72="","",'Employee Detail FY26'!M72)</f>
        <v/>
      </c>
      <c r="N72" s="3" t="str">
        <f>IF('Employee Detail FY26'!N72="","",'Employee Detail FY26'!N72)</f>
        <v/>
      </c>
      <c r="O72" s="3" t="str">
        <f>IF('Employee Detail FY26'!O72="","",'Employee Detail FY26'!O72)</f>
        <v/>
      </c>
      <c r="P72" s="3" t="str">
        <f>IF('Employee Detail FY26'!P72="","",'Employee Detail FY26'!P72)</f>
        <v/>
      </c>
      <c r="Q72" s="3" t="str">
        <f>IF('Employee Detail FY26'!Q72="","",'Employee Detail FY26'!Q72)</f>
        <v/>
      </c>
      <c r="R72" s="3" t="str">
        <f>IF('Employee Detail FY26'!R72="","",'Employee Detail FY26'!R72)</f>
        <v/>
      </c>
      <c r="S72" s="3" t="str">
        <f>IF('Employee Detail FY26'!S72="","",'Employee Detail FY26'!S72)</f>
        <v/>
      </c>
      <c r="T72" s="263" t="str">
        <f t="shared" si="20"/>
        <v/>
      </c>
      <c r="U72" s="269" t="str">
        <f>IF('Employee Detail FY26'!U72="","",'Employee Detail FY26'!U72)</f>
        <v/>
      </c>
      <c r="V72" s="270" t="str">
        <f t="shared" si="21"/>
        <v/>
      </c>
      <c r="W72" s="270" t="str">
        <f t="shared" si="22"/>
        <v/>
      </c>
      <c r="X72" s="270" t="str">
        <f t="shared" si="23"/>
        <v/>
      </c>
      <c r="Y72" s="62">
        <v>0</v>
      </c>
      <c r="Z72" s="62">
        <v>0</v>
      </c>
      <c r="AA72" s="256">
        <f t="shared" si="24"/>
        <v>0</v>
      </c>
      <c r="AB72" s="3"/>
      <c r="AC72" s="62" t="str">
        <f t="shared" si="25"/>
        <v/>
      </c>
      <c r="AD72" s="62" t="str">
        <f t="shared" si="26"/>
        <v/>
      </c>
      <c r="AE72" s="62" t="str">
        <f t="shared" si="27"/>
        <v/>
      </c>
      <c r="AF72" s="62" t="str">
        <f t="shared" si="28"/>
        <v/>
      </c>
      <c r="AG72" s="192">
        <v>0</v>
      </c>
      <c r="AH72" s="62" t="str">
        <f t="shared" si="29"/>
        <v/>
      </c>
      <c r="AI72" s="62">
        <f t="shared" si="30"/>
        <v>0</v>
      </c>
      <c r="AJ72" s="62"/>
      <c r="AK72" s="62">
        <v>0</v>
      </c>
      <c r="AL72" s="256">
        <f t="shared" si="31"/>
        <v>0</v>
      </c>
      <c r="AM72" s="256">
        <f t="shared" si="32"/>
        <v>0</v>
      </c>
      <c r="AN72" s="256">
        <f t="shared" si="33"/>
        <v>0</v>
      </c>
    </row>
    <row r="73" spans="1:40" hidden="1" x14ac:dyDescent="0.2">
      <c r="A73" s="3" t="str">
        <f>IF('Employee Detail FY26'!A73="","",'Employee Detail FY26'!A73)</f>
        <v/>
      </c>
      <c r="B73" s="3">
        <f>IF('Employee Detail FY26'!B73="","",'Employee Detail FY26'!B73)</f>
        <v>280</v>
      </c>
      <c r="C73" s="3">
        <f>IF('Employee Detail FY26'!C73="","",'Employee Detail FY26'!C73)</f>
        <v>658</v>
      </c>
      <c r="D73" s="3"/>
      <c r="E73" s="3">
        <f>IF('Employee Detail FY26'!E73="","",'Employee Detail FY26'!E73)</f>
        <v>420</v>
      </c>
      <c r="F73" s="3">
        <f>IF('Employee Detail FY26'!F73="","",'Employee Detail FY26'!F73)</f>
        <v>2120</v>
      </c>
      <c r="G73" s="3" t="str">
        <f>IF('Employee Detail FY26'!G73="","",'Employee Detail FY26'!G73)</f>
        <v>0107</v>
      </c>
      <c r="H73" s="3"/>
      <c r="I73" s="255" t="str">
        <f>IF('Employee Detail FY26'!I73="","",'Employee Detail FY26'!I73)</f>
        <v>GRIMM</v>
      </c>
      <c r="J73" s="255" t="str">
        <f>IF('Employee Detail FY26'!J73="","",'Employee Detail FY26'!J73)</f>
        <v>KELLI</v>
      </c>
      <c r="K73" s="255" t="str">
        <f>IF('Employee Detail FY26'!K73="","",'Employee Detail FY26'!K73)</f>
        <v>Support Staff</v>
      </c>
      <c r="L73" s="255" t="str">
        <f>IF('Employee Detail FY26'!L73="","",'Employee Detail FY26'!L73)</f>
        <v>STUDENT SUPPORT TITLE III ELL</v>
      </c>
      <c r="M73" s="92" t="str">
        <f>IF('Employee Detail FY26'!M73="","",'Employee Detail FY26'!M73)</f>
        <v/>
      </c>
      <c r="N73" s="3" t="str">
        <f>IF('Employee Detail FY26'!N73="","",'Employee Detail FY26'!N73)</f>
        <v/>
      </c>
      <c r="O73" s="3" t="str">
        <f>IF('Employee Detail FY26'!O73="","",'Employee Detail FY26'!O73)</f>
        <v/>
      </c>
      <c r="P73" s="3" t="str">
        <f>IF('Employee Detail FY26'!P73="","",'Employee Detail FY26'!P73)</f>
        <v>N</v>
      </c>
      <c r="Q73" s="3" t="str">
        <f>IF('Employee Detail FY26'!Q73="","",'Employee Detail FY26'!Q73)</f>
        <v/>
      </c>
      <c r="R73" s="3" t="str">
        <f>IF('Employee Detail FY26'!R73="","",'Employee Detail FY26'!R73)</f>
        <v/>
      </c>
      <c r="S73" s="3" t="str">
        <f>IF('Employee Detail FY26'!S73="","",'Employee Detail FY26'!S73)</f>
        <v/>
      </c>
      <c r="T73" s="263" t="str">
        <f t="shared" si="20"/>
        <v/>
      </c>
      <c r="U73" s="269">
        <f>IF('Employee Detail FY26'!U73="","",'Employee Detail FY26'!U73)</f>
        <v>6683</v>
      </c>
      <c r="V73" s="270">
        <f t="shared" si="21"/>
        <v>7685.45</v>
      </c>
      <c r="W73" s="270" t="str">
        <f t="shared" si="22"/>
        <v/>
      </c>
      <c r="X73" s="270">
        <f t="shared" si="23"/>
        <v>7685.45</v>
      </c>
      <c r="Y73" s="62">
        <v>0</v>
      </c>
      <c r="Z73" s="62">
        <v>0</v>
      </c>
      <c r="AA73" s="256">
        <f t="shared" si="24"/>
        <v>7685.45</v>
      </c>
      <c r="AB73" s="3"/>
      <c r="AC73" s="62" t="str">
        <f t="shared" si="25"/>
        <v/>
      </c>
      <c r="AD73" s="62">
        <f t="shared" si="26"/>
        <v>476.49789999999996</v>
      </c>
      <c r="AE73" s="62" t="str">
        <f t="shared" si="27"/>
        <v/>
      </c>
      <c r="AF73" s="62">
        <f t="shared" si="28"/>
        <v>111.439025</v>
      </c>
      <c r="AG73" s="192">
        <v>0</v>
      </c>
      <c r="AH73" s="62">
        <f t="shared" si="29"/>
        <v>69.955549032870437</v>
      </c>
      <c r="AI73" s="62">
        <f t="shared" si="30"/>
        <v>22.635177423194406</v>
      </c>
      <c r="AJ73" s="62"/>
      <c r="AK73" s="62">
        <v>0</v>
      </c>
      <c r="AL73" s="256">
        <f t="shared" si="31"/>
        <v>680.52765145606475</v>
      </c>
      <c r="AM73" s="256">
        <f t="shared" si="32"/>
        <v>7685.45</v>
      </c>
      <c r="AN73" s="256">
        <f t="shared" si="33"/>
        <v>8365.9776514560654</v>
      </c>
    </row>
    <row r="74" spans="1:40" hidden="1" x14ac:dyDescent="0.2">
      <c r="A74" s="3" t="str">
        <f>IF('Employee Detail FY26'!A74="","",'Employee Detail FY26'!A74)</f>
        <v/>
      </c>
      <c r="B74" s="3" t="str">
        <f>IF('Employee Detail FY26'!B74="","",'Employee Detail FY26'!B74)</f>
        <v/>
      </c>
      <c r="C74" s="3" t="str">
        <f>IF('Employee Detail FY26'!C74="","",'Employee Detail FY26'!C74)</f>
        <v/>
      </c>
      <c r="D74" s="3"/>
      <c r="E74" s="3" t="str">
        <f>IF('Employee Detail FY26'!E74="","",'Employee Detail FY26'!E74)</f>
        <v/>
      </c>
      <c r="F74" s="3" t="str">
        <f>IF('Employee Detail FY26'!F74="","",'Employee Detail FY26'!F74)</f>
        <v/>
      </c>
      <c r="G74" s="3" t="str">
        <f>IF('Employee Detail FY26'!G74="","",'Employee Detail FY26'!G74)</f>
        <v/>
      </c>
      <c r="H74" s="3"/>
      <c r="I74" s="255" t="str">
        <f>IF('Employee Detail FY26'!I74="","",'Employee Detail FY26'!I74)</f>
        <v/>
      </c>
      <c r="J74" s="255" t="str">
        <f>IF('Employee Detail FY26'!J74="","",'Employee Detail FY26'!J74)</f>
        <v/>
      </c>
      <c r="K74" s="255" t="str">
        <f>IF('Employee Detail FY26'!K74="","",'Employee Detail FY26'!K74)</f>
        <v/>
      </c>
      <c r="L74" s="255" t="str">
        <f>IF('Employee Detail FY26'!L74="","",'Employee Detail FY26'!L74)</f>
        <v/>
      </c>
      <c r="M74" s="92" t="str">
        <f>IF('Employee Detail FY26'!M74="","",'Employee Detail FY26'!M74)</f>
        <v/>
      </c>
      <c r="N74" s="3" t="str">
        <f>IF('Employee Detail FY26'!N74="","",'Employee Detail FY26'!N74)</f>
        <v/>
      </c>
      <c r="O74" s="3" t="str">
        <f>IF('Employee Detail FY26'!O74="","",'Employee Detail FY26'!O74)</f>
        <v/>
      </c>
      <c r="P74" s="3" t="str">
        <f>IF('Employee Detail FY26'!P74="","",'Employee Detail FY26'!P74)</f>
        <v/>
      </c>
      <c r="Q74" s="3" t="str">
        <f>IF('Employee Detail FY26'!Q74="","",'Employee Detail FY26'!Q74)</f>
        <v/>
      </c>
      <c r="R74" s="3" t="str">
        <f>IF('Employee Detail FY26'!R74="","",'Employee Detail FY26'!R74)</f>
        <v/>
      </c>
      <c r="S74" s="3" t="str">
        <f>IF('Employee Detail FY26'!S74="","",'Employee Detail FY26'!S74)</f>
        <v/>
      </c>
      <c r="T74" s="263" t="str">
        <f t="shared" si="20"/>
        <v/>
      </c>
      <c r="U74" s="269" t="str">
        <f>IF('Employee Detail FY26'!U74="","",'Employee Detail FY26'!U74)</f>
        <v/>
      </c>
      <c r="V74" s="270" t="str">
        <f t="shared" si="21"/>
        <v/>
      </c>
      <c r="W74" s="270" t="str">
        <f t="shared" si="22"/>
        <v/>
      </c>
      <c r="X74" s="270" t="str">
        <f t="shared" si="23"/>
        <v/>
      </c>
      <c r="Y74" s="62">
        <v>0</v>
      </c>
      <c r="Z74" s="62">
        <v>0</v>
      </c>
      <c r="AA74" s="256">
        <f t="shared" si="24"/>
        <v>0</v>
      </c>
      <c r="AB74" s="3"/>
      <c r="AC74" s="62" t="str">
        <f t="shared" si="25"/>
        <v/>
      </c>
      <c r="AD74" s="62" t="str">
        <f t="shared" si="26"/>
        <v/>
      </c>
      <c r="AE74" s="62" t="str">
        <f t="shared" si="27"/>
        <v/>
      </c>
      <c r="AF74" s="62" t="str">
        <f t="shared" si="28"/>
        <v/>
      </c>
      <c r="AG74" s="192">
        <v>0</v>
      </c>
      <c r="AH74" s="62" t="str">
        <f t="shared" si="29"/>
        <v/>
      </c>
      <c r="AI74" s="62">
        <f t="shared" si="30"/>
        <v>0</v>
      </c>
      <c r="AJ74" s="62"/>
      <c r="AK74" s="62">
        <v>0</v>
      </c>
      <c r="AL74" s="256">
        <f t="shared" si="31"/>
        <v>0</v>
      </c>
      <c r="AM74" s="256">
        <f t="shared" si="32"/>
        <v>0</v>
      </c>
      <c r="AN74" s="256">
        <f t="shared" si="33"/>
        <v>0</v>
      </c>
    </row>
    <row r="75" spans="1:40" x14ac:dyDescent="0.2">
      <c r="A75" s="3" t="str">
        <f>IF('Employee Detail FY26'!A75="","",'Employee Detail FY26'!A75)</f>
        <v/>
      </c>
      <c r="B75" s="3" t="str">
        <f>IF('Employee Detail FY26'!B75="","",'Employee Detail FY26'!B75)</f>
        <v>100</v>
      </c>
      <c r="C75" s="3" t="str">
        <f>IF('Employee Detail FY26'!C75="","",'Employee Detail FY26'!C75)</f>
        <v>000</v>
      </c>
      <c r="D75" s="3"/>
      <c r="E75" s="3" t="str">
        <f>IF('Employee Detail FY26'!E75="","",'Employee Detail FY26'!E75)</f>
        <v>140</v>
      </c>
      <c r="F75" s="3" t="str">
        <f>IF('Employee Detail FY26'!F75="","",'Employee Detail FY26'!F75)</f>
        <v>1000</v>
      </c>
      <c r="G75" s="3" t="str">
        <f>IF('Employee Detail FY26'!G75="","",'Employee Detail FY26'!G75)</f>
        <v>0101</v>
      </c>
      <c r="H75" s="3"/>
      <c r="I75" s="255" t="str">
        <f>IF('Employee Detail FY26'!I75="","",'Employee Detail FY26'!I75)</f>
        <v>SUMMER SCHOOL</v>
      </c>
      <c r="J75" s="255" t="str">
        <f>IF('Employee Detail FY26'!J75="","",'Employee Detail FY26'!J75)</f>
        <v>SUMMER SCHOOL</v>
      </c>
      <c r="K75" s="255" t="str">
        <f>IF('Employee Detail FY26'!K75="","",'Employee Detail FY26'!K75)</f>
        <v>Licensed Staff</v>
      </c>
      <c r="L75" s="255" t="str">
        <f>IF('Employee Detail FY26'!L75="","",'Employee Detail FY26'!L75)</f>
        <v>SUMMER SCHOOL</v>
      </c>
      <c r="M75" s="92">
        <f>IF('Employee Detail FY26'!M75="","",'Employee Detail FY26'!M75)</f>
        <v>0</v>
      </c>
      <c r="N75" s="3" t="str">
        <f>IF('Employee Detail FY26'!N75="","",'Employee Detail FY26'!N75)</f>
        <v/>
      </c>
      <c r="O75" s="3" t="str">
        <f>IF('Employee Detail FY26'!O75="","",'Employee Detail FY26'!O75)</f>
        <v/>
      </c>
      <c r="P75" s="3" t="str">
        <f>IF('Employee Detail FY26'!P75="","",'Employee Detail FY26'!P75)</f>
        <v>N</v>
      </c>
      <c r="Q75" s="3" t="str">
        <f>IF('Employee Detail FY26'!Q75="","",'Employee Detail FY26'!Q75)</f>
        <v/>
      </c>
      <c r="R75" s="3" t="str">
        <f>IF('Employee Detail FY26'!R75="","",'Employee Detail FY26'!R75)</f>
        <v/>
      </c>
      <c r="S75" s="3" t="str">
        <f>IF('Employee Detail FY26'!S75="","",'Employee Detail FY26'!S75)</f>
        <v/>
      </c>
      <c r="T75" s="263" t="str">
        <f t="shared" si="20"/>
        <v/>
      </c>
      <c r="U75" s="269">
        <f>IF('Employee Detail FY26'!U75="","",'Employee Detail FY26'!U75)</f>
        <v>0</v>
      </c>
      <c r="V75" s="270">
        <f t="shared" si="21"/>
        <v>0</v>
      </c>
      <c r="W75" s="270" t="str">
        <f t="shared" si="22"/>
        <v/>
      </c>
      <c r="X75" s="270">
        <f t="shared" si="23"/>
        <v>0</v>
      </c>
      <c r="Y75" s="62">
        <v>0</v>
      </c>
      <c r="Z75" s="62">
        <v>0</v>
      </c>
      <c r="AA75" s="256">
        <f t="shared" si="24"/>
        <v>0</v>
      </c>
      <c r="AB75" s="3"/>
      <c r="AC75" s="62" t="str">
        <f t="shared" si="25"/>
        <v/>
      </c>
      <c r="AD75" s="62">
        <f t="shared" si="26"/>
        <v>0</v>
      </c>
      <c r="AE75" s="62" t="str">
        <f t="shared" si="27"/>
        <v/>
      </c>
      <c r="AF75" s="62" t="str">
        <f t="shared" si="28"/>
        <v/>
      </c>
      <c r="AG75" s="192">
        <v>0</v>
      </c>
      <c r="AH75" s="62" t="str">
        <f t="shared" si="29"/>
        <v/>
      </c>
      <c r="AI75" s="62">
        <f t="shared" si="30"/>
        <v>0</v>
      </c>
      <c r="AJ75" s="62"/>
      <c r="AK75" s="62">
        <v>0</v>
      </c>
      <c r="AL75" s="256">
        <f t="shared" si="31"/>
        <v>0</v>
      </c>
      <c r="AM75" s="256">
        <f t="shared" si="32"/>
        <v>0</v>
      </c>
      <c r="AN75" s="256">
        <f t="shared" si="33"/>
        <v>0</v>
      </c>
    </row>
    <row r="76" spans="1:40" x14ac:dyDescent="0.2">
      <c r="A76" s="3" t="str">
        <f>IF('Employee Detail FY26'!A76="","",'Employee Detail FY26'!A76)</f>
        <v/>
      </c>
      <c r="B76" s="3" t="str">
        <f>IF('Employee Detail FY26'!B76="","",'Employee Detail FY26'!B76)</f>
        <v>280</v>
      </c>
      <c r="C76" s="3" t="str">
        <f>IF('Employee Detail FY26'!C76="","",'Employee Detail FY26'!C76)</f>
        <v>639</v>
      </c>
      <c r="D76" s="3"/>
      <c r="E76" s="3" t="str">
        <f>IF('Employee Detail FY26'!E76="","",'Employee Detail FY26'!E76)</f>
        <v>240</v>
      </c>
      <c r="F76" s="3" t="str">
        <f>IF('Employee Detail FY26'!F76="","",'Employee Detail FY26'!F76)</f>
        <v>1000</v>
      </c>
      <c r="G76" s="3" t="str">
        <f>IF('Employee Detail FY26'!G76="","",'Employee Detail FY26'!G76)</f>
        <v>0101</v>
      </c>
      <c r="H76" s="3"/>
      <c r="I76" s="255" t="str">
        <f>IF('Employee Detail FY26'!I76="","",'Employee Detail FY26'!I76)</f>
        <v>SUMMER SCHOOL</v>
      </c>
      <c r="J76" s="255" t="str">
        <f>IF('Employee Detail FY26'!J76="","",'Employee Detail FY26'!J76)</f>
        <v>EXTENDED SCHOOL YEAR</v>
      </c>
      <c r="K76" s="255" t="str">
        <f>IF('Employee Detail FY26'!K76="","",'Employee Detail FY26'!K76)</f>
        <v>Licensed Staff</v>
      </c>
      <c r="L76" s="255" t="str">
        <f>IF('Employee Detail FY26'!L76="","",'Employee Detail FY26'!L76)</f>
        <v>SUMMER SCHOOL EXTENDED SCHOOL YEAR</v>
      </c>
      <c r="M76" s="92">
        <f>IF('Employee Detail FY26'!M76="","",'Employee Detail FY26'!M76)</f>
        <v>0</v>
      </c>
      <c r="N76" s="3" t="str">
        <f>IF('Employee Detail FY26'!N76="","",'Employee Detail FY26'!N76)</f>
        <v/>
      </c>
      <c r="O76" s="3" t="str">
        <f>IF('Employee Detail FY26'!O76="","",'Employee Detail FY26'!O76)</f>
        <v/>
      </c>
      <c r="P76" s="3" t="str">
        <f>IF('Employee Detail FY26'!P76="","",'Employee Detail FY26'!P76)</f>
        <v>N</v>
      </c>
      <c r="Q76" s="3" t="str">
        <f>IF('Employee Detail FY26'!Q76="","",'Employee Detail FY26'!Q76)</f>
        <v/>
      </c>
      <c r="R76" s="3" t="str">
        <f>IF('Employee Detail FY26'!R76="","",'Employee Detail FY26'!R76)</f>
        <v/>
      </c>
      <c r="S76" s="3" t="str">
        <f>IF('Employee Detail FY26'!S76="","",'Employee Detail FY26'!S76)</f>
        <v/>
      </c>
      <c r="T76" s="263" t="str">
        <f t="shared" si="20"/>
        <v/>
      </c>
      <c r="U76" s="269">
        <f>IF('Employee Detail FY26'!U76="","",'Employee Detail FY26'!U76)</f>
        <v>0</v>
      </c>
      <c r="V76" s="270">
        <f t="shared" si="21"/>
        <v>0</v>
      </c>
      <c r="W76" s="270" t="str">
        <f t="shared" si="22"/>
        <v/>
      </c>
      <c r="X76" s="270">
        <f t="shared" si="23"/>
        <v>0</v>
      </c>
      <c r="Y76" s="62">
        <v>0</v>
      </c>
      <c r="Z76" s="62">
        <v>0</v>
      </c>
      <c r="AA76" s="256">
        <f t="shared" si="24"/>
        <v>0</v>
      </c>
      <c r="AB76" s="3"/>
      <c r="AC76" s="62" t="str">
        <f t="shared" si="25"/>
        <v/>
      </c>
      <c r="AD76" s="62">
        <f t="shared" si="26"/>
        <v>0</v>
      </c>
      <c r="AE76" s="62" t="str">
        <f t="shared" si="27"/>
        <v/>
      </c>
      <c r="AF76" s="62" t="str">
        <f t="shared" si="28"/>
        <v/>
      </c>
      <c r="AG76" s="192">
        <v>0</v>
      </c>
      <c r="AH76" s="62" t="str">
        <f t="shared" si="29"/>
        <v/>
      </c>
      <c r="AI76" s="62">
        <f t="shared" si="30"/>
        <v>0</v>
      </c>
      <c r="AJ76" s="62"/>
      <c r="AK76" s="62">
        <v>0</v>
      </c>
      <c r="AL76" s="256">
        <f t="shared" si="31"/>
        <v>0</v>
      </c>
      <c r="AM76" s="256">
        <f t="shared" si="32"/>
        <v>0</v>
      </c>
      <c r="AN76" s="256">
        <f t="shared" si="33"/>
        <v>0</v>
      </c>
    </row>
    <row r="77" spans="1:40" x14ac:dyDescent="0.2">
      <c r="A77" s="3" t="str">
        <f>IF('Employee Detail FY26'!A77="","",'Employee Detail FY26'!A77)</f>
        <v/>
      </c>
      <c r="B77" s="3" t="str">
        <f>IF('Employee Detail FY26'!B77="","",'Employee Detail FY26'!B77)</f>
        <v>100</v>
      </c>
      <c r="C77" s="3" t="str">
        <f>IF('Employee Detail FY26'!C77="","",'Employee Detail FY26'!C77)</f>
        <v>000</v>
      </c>
      <c r="D77" s="3"/>
      <c r="E77" s="3" t="str">
        <f>IF('Employee Detail FY26'!E77="","",'Employee Detail FY26'!E77)</f>
        <v>100</v>
      </c>
      <c r="F77" s="3" t="str">
        <f>IF('Employee Detail FY26'!F77="","",'Employee Detail FY26'!F77)</f>
        <v>1000</v>
      </c>
      <c r="G77" s="3" t="str">
        <f>IF('Employee Detail FY26'!G77="","",'Employee Detail FY26'!G77)</f>
        <v>0103</v>
      </c>
      <c r="H77" s="3"/>
      <c r="I77" s="255" t="str">
        <f>IF('Employee Detail FY26'!I77="","",'Employee Detail FY26'!I77)</f>
        <v>SUBSTITUTE</v>
      </c>
      <c r="J77" s="255" t="str">
        <f>IF('Employee Detail FY26'!J77="","",'Employee Detail FY26'!J77)</f>
        <v>SUBSTITUTE</v>
      </c>
      <c r="K77" s="255" t="str">
        <f>IF('Employee Detail FY26'!K77="","",'Employee Detail FY26'!K77)</f>
        <v>Licensed Staff</v>
      </c>
      <c r="L77" s="255" t="str">
        <f>IF('Employee Detail FY26'!L77="","",'Employee Detail FY26'!L77)</f>
        <v>SUBSTITUTE</v>
      </c>
      <c r="M77" s="92">
        <f>IF('Employee Detail FY26'!M77="","",'Employee Detail FY26'!M77)</f>
        <v>0</v>
      </c>
      <c r="N77" s="3" t="str">
        <f>IF('Employee Detail FY26'!N77="","",'Employee Detail FY26'!N77)</f>
        <v/>
      </c>
      <c r="O77" s="3" t="str">
        <f>IF('Employee Detail FY26'!O77="","",'Employee Detail FY26'!O77)</f>
        <v/>
      </c>
      <c r="P77" s="3" t="str">
        <f>IF('Employee Detail FY26'!P77="","",'Employee Detail FY26'!P77)</f>
        <v>N</v>
      </c>
      <c r="Q77" s="3" t="str">
        <f>IF('Employee Detail FY26'!Q77="","",'Employee Detail FY26'!Q77)</f>
        <v/>
      </c>
      <c r="R77" s="3" t="str">
        <f>IF('Employee Detail FY26'!R77="","",'Employee Detail FY26'!R77)</f>
        <v/>
      </c>
      <c r="S77" s="3" t="str">
        <f>IF('Employee Detail FY26'!S77="","",'Employee Detail FY26'!S77)</f>
        <v/>
      </c>
      <c r="T77" s="263" t="str">
        <f t="shared" si="20"/>
        <v/>
      </c>
      <c r="U77" s="269">
        <f>IF('Employee Detail FY26'!U77="","",'Employee Detail FY26'!U77)</f>
        <v>0</v>
      </c>
      <c r="V77" s="270">
        <f t="shared" si="21"/>
        <v>0</v>
      </c>
      <c r="W77" s="270" t="str">
        <f t="shared" si="22"/>
        <v/>
      </c>
      <c r="X77" s="270">
        <f t="shared" si="23"/>
        <v>0</v>
      </c>
      <c r="Y77" s="62">
        <v>0</v>
      </c>
      <c r="Z77" s="62">
        <v>0</v>
      </c>
      <c r="AA77" s="256">
        <f t="shared" si="24"/>
        <v>0</v>
      </c>
      <c r="AB77" s="3"/>
      <c r="AC77" s="62" t="str">
        <f t="shared" si="25"/>
        <v/>
      </c>
      <c r="AD77" s="62">
        <f t="shared" si="26"/>
        <v>0</v>
      </c>
      <c r="AE77" s="62" t="str">
        <f t="shared" si="27"/>
        <v/>
      </c>
      <c r="AF77" s="62" t="str">
        <f t="shared" si="28"/>
        <v/>
      </c>
      <c r="AG77" s="192">
        <v>0</v>
      </c>
      <c r="AH77" s="62" t="str">
        <f t="shared" si="29"/>
        <v/>
      </c>
      <c r="AI77" s="62">
        <f t="shared" si="30"/>
        <v>0</v>
      </c>
      <c r="AJ77" s="62"/>
      <c r="AK77" s="62">
        <v>0</v>
      </c>
      <c r="AL77" s="256">
        <f t="shared" si="31"/>
        <v>0</v>
      </c>
      <c r="AM77" s="256">
        <f t="shared" si="32"/>
        <v>0</v>
      </c>
      <c r="AN77" s="256">
        <f t="shared" si="33"/>
        <v>0</v>
      </c>
    </row>
    <row r="78" spans="1:40" hidden="1" x14ac:dyDescent="0.2">
      <c r="A78" s="3" t="str">
        <f>IF('Employee Detail FY26'!A78="","",'Employee Detail FY26'!A78)</f>
        <v/>
      </c>
      <c r="B78" s="3" t="str">
        <f>IF('Employee Detail FY26'!B78="","",'Employee Detail FY26'!B78)</f>
        <v/>
      </c>
      <c r="C78" s="3" t="str">
        <f>IF('Employee Detail FY26'!C78="","",'Employee Detail FY26'!C78)</f>
        <v/>
      </c>
      <c r="D78" s="3"/>
      <c r="E78" s="3" t="str">
        <f>IF('Employee Detail FY26'!E78="","",'Employee Detail FY26'!E78)</f>
        <v/>
      </c>
      <c r="F78" s="3" t="str">
        <f>IF('Employee Detail FY26'!F78="","",'Employee Detail FY26'!F78)</f>
        <v/>
      </c>
      <c r="G78" s="3" t="str">
        <f>IF('Employee Detail FY26'!G78="","",'Employee Detail FY26'!G78)</f>
        <v/>
      </c>
      <c r="H78" s="3"/>
      <c r="I78" s="255" t="str">
        <f>IF('Employee Detail FY26'!I78="","",'Employee Detail FY26'!I78)</f>
        <v/>
      </c>
      <c r="J78" s="255" t="str">
        <f>IF('Employee Detail FY26'!J78="","",'Employee Detail FY26'!J78)</f>
        <v/>
      </c>
      <c r="K78" s="255" t="str">
        <f>IF('Employee Detail FY26'!K78="","",'Employee Detail FY26'!K78)</f>
        <v/>
      </c>
      <c r="L78" s="255" t="str">
        <f>IF('Employee Detail FY26'!L78="","",'Employee Detail FY26'!L78)</f>
        <v/>
      </c>
      <c r="M78" s="92" t="str">
        <f>IF('Employee Detail FY26'!M78="","",'Employee Detail FY26'!M78)</f>
        <v/>
      </c>
      <c r="N78" s="3" t="str">
        <f>IF('Employee Detail FY26'!N78="","",'Employee Detail FY26'!N78)</f>
        <v/>
      </c>
      <c r="O78" s="3" t="str">
        <f>IF('Employee Detail FY26'!O78="","",'Employee Detail FY26'!O78)</f>
        <v/>
      </c>
      <c r="P78" s="3" t="str">
        <f>IF('Employee Detail FY26'!P78="","",'Employee Detail FY26'!P78)</f>
        <v/>
      </c>
      <c r="Q78" s="3" t="str">
        <f>IF('Employee Detail FY26'!Q78="","",'Employee Detail FY26'!Q78)</f>
        <v/>
      </c>
      <c r="R78" s="3" t="str">
        <f>IF('Employee Detail FY26'!R78="","",'Employee Detail FY26'!R78)</f>
        <v/>
      </c>
      <c r="S78" s="3" t="str">
        <f>IF('Employee Detail FY26'!S78="","",'Employee Detail FY26'!S78)</f>
        <v/>
      </c>
      <c r="T78" s="263" t="str">
        <f t="shared" si="20"/>
        <v/>
      </c>
      <c r="U78" s="269">
        <f>IF('Employee Detail FY26'!U78="","",'Employee Detail FY26'!U78)</f>
        <v>0</v>
      </c>
      <c r="V78" s="270">
        <f t="shared" si="21"/>
        <v>0</v>
      </c>
      <c r="W78" s="270" t="str">
        <f t="shared" si="22"/>
        <v/>
      </c>
      <c r="X78" s="270" t="str">
        <f t="shared" si="23"/>
        <v/>
      </c>
      <c r="Y78" s="62">
        <v>0</v>
      </c>
      <c r="Z78" s="62">
        <v>0</v>
      </c>
      <c r="AA78" s="256">
        <f t="shared" si="24"/>
        <v>0</v>
      </c>
      <c r="AB78" s="3"/>
      <c r="AC78" s="62" t="str">
        <f t="shared" si="25"/>
        <v/>
      </c>
      <c r="AD78" s="62" t="str">
        <f t="shared" si="26"/>
        <v/>
      </c>
      <c r="AE78" s="62" t="str">
        <f t="shared" si="27"/>
        <v/>
      </c>
      <c r="AF78" s="62" t="str">
        <f t="shared" si="28"/>
        <v/>
      </c>
      <c r="AG78" s="192">
        <v>0</v>
      </c>
      <c r="AH78" s="62" t="str">
        <f t="shared" si="29"/>
        <v/>
      </c>
      <c r="AI78" s="62">
        <f t="shared" si="30"/>
        <v>0</v>
      </c>
      <c r="AJ78" s="62"/>
      <c r="AK78" s="62">
        <v>0</v>
      </c>
      <c r="AL78" s="256">
        <f t="shared" si="31"/>
        <v>0</v>
      </c>
      <c r="AM78" s="256">
        <f t="shared" si="32"/>
        <v>0</v>
      </c>
      <c r="AN78" s="256">
        <f t="shared" si="33"/>
        <v>0</v>
      </c>
    </row>
    <row r="79" spans="1:40" x14ac:dyDescent="0.2">
      <c r="A79" s="3" t="str">
        <f>IF('Employee Detail FY26'!A79="","",'Employee Detail FY26'!A79)</f>
        <v/>
      </c>
      <c r="B79" s="3" t="str">
        <f>IF('Employee Detail FY26'!B79="","",'Employee Detail FY26'!B79)</f>
        <v>280</v>
      </c>
      <c r="C79" s="3" t="str">
        <f>IF('Employee Detail FY26'!C79="","",'Employee Detail FY26'!C79)</f>
        <v>709</v>
      </c>
      <c r="D79" s="3"/>
      <c r="E79" s="3" t="str">
        <f>IF('Employee Detail FY26'!E79="","",'Employee Detail FY26'!E79)</f>
        <v>100</v>
      </c>
      <c r="F79" s="3" t="str">
        <f>IF('Employee Detail FY26'!F79="","",'Employee Detail FY26'!F79)</f>
        <v>1000</v>
      </c>
      <c r="G79" s="3" t="str">
        <f>IF('Employee Detail FY26'!G79="","",'Employee Detail FY26'!G79)</f>
        <v>0151</v>
      </c>
      <c r="H79" s="3"/>
      <c r="I79" s="255" t="str">
        <f>IF('Employee Detail FY26'!I79="","",'Employee Detail FY26'!I79)</f>
        <v>TITLE IIA</v>
      </c>
      <c r="J79" s="255" t="str">
        <f>IF('Employee Detail FY26'!J79="","",'Employee Detail FY26'!J79)</f>
        <v/>
      </c>
      <c r="K79" s="255" t="str">
        <f>IF('Employee Detail FY26'!K79="","",'Employee Detail FY26'!K79)</f>
        <v/>
      </c>
      <c r="L79" s="255" t="str">
        <f>IF('Employee Detail FY26'!L79="","",'Employee Detail FY26'!L79)</f>
        <v>TITLE IIA</v>
      </c>
      <c r="M79" s="92">
        <f>IF('Employee Detail FY26'!M79="","",'Employee Detail FY26'!M79)</f>
        <v>0</v>
      </c>
      <c r="N79" s="3" t="str">
        <f>IF('Employee Detail FY26'!N79="","",'Employee Detail FY26'!N79)</f>
        <v/>
      </c>
      <c r="O79" s="3" t="str">
        <f>IF('Employee Detail FY26'!O79="","",'Employee Detail FY26'!O79)</f>
        <v/>
      </c>
      <c r="P79" s="3" t="str">
        <f>IF('Employee Detail FY26'!P79="","",'Employee Detail FY26'!P79)</f>
        <v>N</v>
      </c>
      <c r="Q79" s="3" t="str">
        <f>IF('Employee Detail FY26'!Q79="","",'Employee Detail FY26'!Q79)</f>
        <v/>
      </c>
      <c r="R79" s="3" t="str">
        <f>IF('Employee Detail FY26'!R79="","",'Employee Detail FY26'!R79)</f>
        <v/>
      </c>
      <c r="S79" s="3" t="str">
        <f>IF('Employee Detail FY26'!S79="","",'Employee Detail FY26'!S79)</f>
        <v/>
      </c>
      <c r="T79" s="263" t="str">
        <f t="shared" si="20"/>
        <v/>
      </c>
      <c r="U79" s="269">
        <f>IF('Employee Detail FY26'!U79="","",'Employee Detail FY26'!U79)</f>
        <v>0</v>
      </c>
      <c r="V79" s="270">
        <f t="shared" si="21"/>
        <v>0</v>
      </c>
      <c r="W79" s="270" t="str">
        <f t="shared" si="22"/>
        <v/>
      </c>
      <c r="X79" s="270">
        <f t="shared" si="23"/>
        <v>0</v>
      </c>
      <c r="Y79" s="62">
        <v>0</v>
      </c>
      <c r="Z79" s="62">
        <v>0</v>
      </c>
      <c r="AA79" s="256">
        <f t="shared" si="24"/>
        <v>0</v>
      </c>
      <c r="AB79" s="3"/>
      <c r="AC79" s="62" t="str">
        <f t="shared" si="25"/>
        <v/>
      </c>
      <c r="AD79" s="62">
        <f t="shared" si="26"/>
        <v>0</v>
      </c>
      <c r="AE79" s="62" t="str">
        <f t="shared" si="27"/>
        <v/>
      </c>
      <c r="AF79" s="62" t="str">
        <f t="shared" si="28"/>
        <v/>
      </c>
      <c r="AG79" s="192">
        <v>0</v>
      </c>
      <c r="AH79" s="62" t="str">
        <f t="shared" si="29"/>
        <v/>
      </c>
      <c r="AI79" s="62">
        <f t="shared" si="30"/>
        <v>0</v>
      </c>
      <c r="AJ79" s="62"/>
      <c r="AK79" s="62">
        <v>0</v>
      </c>
      <c r="AL79" s="256">
        <f t="shared" si="31"/>
        <v>0</v>
      </c>
      <c r="AM79" s="256">
        <f t="shared" si="32"/>
        <v>0</v>
      </c>
      <c r="AN79" s="256">
        <f t="shared" si="33"/>
        <v>0</v>
      </c>
    </row>
    <row r="80" spans="1:40" hidden="1" x14ac:dyDescent="0.2">
      <c r="A80" s="3" t="str">
        <f>IF('Employee Detail FY26'!A80="","",'Employee Detail FY26'!A80)</f>
        <v/>
      </c>
      <c r="B80" s="3" t="str">
        <f>IF('Employee Detail FY26'!B80="","",'Employee Detail FY26'!B80)</f>
        <v/>
      </c>
      <c r="C80" s="3" t="str">
        <f>IF('Employee Detail FY26'!C80="","",'Employee Detail FY26'!C80)</f>
        <v/>
      </c>
      <c r="D80" s="3"/>
      <c r="E80" s="3" t="str">
        <f>IF('Employee Detail FY26'!E80="","",'Employee Detail FY26'!E80)</f>
        <v/>
      </c>
      <c r="F80" s="3" t="str">
        <f>IF('Employee Detail FY26'!F80="","",'Employee Detail FY26'!F80)</f>
        <v/>
      </c>
      <c r="G80" s="3" t="str">
        <f>IF('Employee Detail FY26'!G80="","",'Employee Detail FY26'!G80)</f>
        <v/>
      </c>
      <c r="H80" s="3"/>
      <c r="I80" s="255" t="str">
        <f>IF('Employee Detail FY26'!I80="","",'Employee Detail FY26'!I80)</f>
        <v/>
      </c>
      <c r="J80" s="255" t="str">
        <f>IF('Employee Detail FY26'!J80="","",'Employee Detail FY26'!J80)</f>
        <v/>
      </c>
      <c r="K80" s="255" t="str">
        <f>IF('Employee Detail FY26'!K80="","",'Employee Detail FY26'!K80)</f>
        <v/>
      </c>
      <c r="L80" s="255" t="str">
        <f>IF('Employee Detail FY26'!L80="","",'Employee Detail FY26'!L80)</f>
        <v/>
      </c>
      <c r="M80" s="92" t="str">
        <f>IF('Employee Detail FY26'!M80="","",'Employee Detail FY26'!M80)</f>
        <v/>
      </c>
      <c r="N80" s="3" t="str">
        <f>IF('Employee Detail FY26'!N80="","",'Employee Detail FY26'!N80)</f>
        <v/>
      </c>
      <c r="O80" s="3" t="str">
        <f>IF('Employee Detail FY26'!O80="","",'Employee Detail FY26'!O80)</f>
        <v/>
      </c>
      <c r="P80" s="3" t="str">
        <f>IF('Employee Detail FY26'!P80="","",'Employee Detail FY26'!P80)</f>
        <v/>
      </c>
      <c r="Q80" s="3" t="str">
        <f>IF('Employee Detail FY26'!Q80="","",'Employee Detail FY26'!Q80)</f>
        <v/>
      </c>
      <c r="R80" s="3" t="str">
        <f>IF('Employee Detail FY26'!R80="","",'Employee Detail FY26'!R80)</f>
        <v/>
      </c>
      <c r="S80" s="3" t="str">
        <f>IF('Employee Detail FY26'!S80="","",'Employee Detail FY26'!S80)</f>
        <v/>
      </c>
      <c r="T80" s="263" t="str">
        <f t="shared" si="20"/>
        <v/>
      </c>
      <c r="U80" s="269" t="str">
        <f>IF('Employee Detail FY26'!U80="","",'Employee Detail FY26'!U80)</f>
        <v/>
      </c>
      <c r="V80" s="270" t="str">
        <f t="shared" si="21"/>
        <v/>
      </c>
      <c r="W80" s="270" t="str">
        <f t="shared" si="22"/>
        <v/>
      </c>
      <c r="X80" s="270" t="str">
        <f t="shared" si="23"/>
        <v/>
      </c>
      <c r="Y80" s="62">
        <v>0</v>
      </c>
      <c r="Z80" s="62">
        <v>0</v>
      </c>
      <c r="AA80" s="256">
        <f t="shared" si="24"/>
        <v>0</v>
      </c>
      <c r="AB80" s="3"/>
      <c r="AC80" s="62" t="str">
        <f t="shared" si="25"/>
        <v/>
      </c>
      <c r="AD80" s="62" t="str">
        <f t="shared" si="26"/>
        <v/>
      </c>
      <c r="AE80" s="62" t="str">
        <f t="shared" si="27"/>
        <v/>
      </c>
      <c r="AF80" s="62" t="str">
        <f t="shared" si="28"/>
        <v/>
      </c>
      <c r="AG80" s="192">
        <v>0</v>
      </c>
      <c r="AH80" s="62" t="str">
        <f t="shared" si="29"/>
        <v/>
      </c>
      <c r="AI80" s="62">
        <f t="shared" si="30"/>
        <v>0</v>
      </c>
      <c r="AJ80" s="62"/>
      <c r="AK80" s="62">
        <v>0</v>
      </c>
      <c r="AL80" s="256">
        <f t="shared" si="31"/>
        <v>0</v>
      </c>
      <c r="AM80" s="256">
        <f t="shared" si="32"/>
        <v>0</v>
      </c>
      <c r="AN80" s="256">
        <f t="shared" si="33"/>
        <v>0</v>
      </c>
    </row>
    <row r="81" spans="1:40" hidden="1" x14ac:dyDescent="0.2">
      <c r="A81" s="3" t="str">
        <f>IF('Employee Detail FY26'!A81="","",'Employee Detail FY26'!A81)</f>
        <v/>
      </c>
      <c r="B81" s="3" t="str">
        <f>IF('Employee Detail FY26'!B81="","",'Employee Detail FY26'!B81)</f>
        <v>280</v>
      </c>
      <c r="C81" s="3" t="str">
        <f>IF('Employee Detail FY26'!C81="","",'Employee Detail FY26'!C81)</f>
        <v>658</v>
      </c>
      <c r="D81" s="3"/>
      <c r="E81" s="3" t="str">
        <f>IF('Employee Detail FY26'!E81="","",'Employee Detail FY26'!E81)</f>
        <v>420</v>
      </c>
      <c r="F81" s="3" t="str">
        <f>IF('Employee Detail FY26'!F81="","",'Employee Detail FY26'!F81)</f>
        <v>2212</v>
      </c>
      <c r="G81" s="3" t="str">
        <f>IF('Employee Detail FY26'!G81="","",'Employee Detail FY26'!G81)</f>
        <v>0157</v>
      </c>
      <c r="H81" s="3"/>
      <c r="I81" s="255" t="str">
        <f>IF('Employee Detail FY26'!I81="","",'Employee Detail FY26'!I81)</f>
        <v>TITLE III</v>
      </c>
      <c r="J81" s="255" t="str">
        <f>IF('Employee Detail FY26'!J81="","",'Employee Detail FY26'!J81)</f>
        <v/>
      </c>
      <c r="K81" s="255" t="str">
        <f>IF('Employee Detail FY26'!K81="","",'Employee Detail FY26'!K81)</f>
        <v/>
      </c>
      <c r="L81" s="255" t="str">
        <f>IF('Employee Detail FY26'!L81="","",'Employee Detail FY26'!L81)</f>
        <v>TITLE III</v>
      </c>
      <c r="M81" s="92">
        <f>IF('Employee Detail FY26'!M81="","",'Employee Detail FY26'!M81)</f>
        <v>0</v>
      </c>
      <c r="N81" s="3" t="str">
        <f>IF('Employee Detail FY26'!N81="","",'Employee Detail FY26'!N81)</f>
        <v/>
      </c>
      <c r="O81" s="3" t="str">
        <f>IF('Employee Detail FY26'!O81="","",'Employee Detail FY26'!O81)</f>
        <v/>
      </c>
      <c r="P81" s="3" t="str">
        <f>IF('Employee Detail FY26'!P81="","",'Employee Detail FY26'!P81)</f>
        <v>N</v>
      </c>
      <c r="Q81" s="3" t="str">
        <f>IF('Employee Detail FY26'!Q81="","",'Employee Detail FY26'!Q81)</f>
        <v/>
      </c>
      <c r="R81" s="3" t="str">
        <f>IF('Employee Detail FY26'!R81="","",'Employee Detail FY26'!R81)</f>
        <v/>
      </c>
      <c r="S81" s="3" t="str">
        <f>IF('Employee Detail FY26'!S81="","",'Employee Detail FY26'!S81)</f>
        <v/>
      </c>
      <c r="T81" s="263" t="str">
        <f t="shared" si="20"/>
        <v/>
      </c>
      <c r="U81" s="269">
        <f>IF('Employee Detail FY26'!U81="","",'Employee Detail FY26'!U81)</f>
        <v>0</v>
      </c>
      <c r="V81" s="270">
        <f t="shared" si="21"/>
        <v>0</v>
      </c>
      <c r="W81" s="270" t="str">
        <f t="shared" si="22"/>
        <v/>
      </c>
      <c r="X81" s="270">
        <f t="shared" si="23"/>
        <v>0</v>
      </c>
      <c r="Y81" s="62">
        <v>0</v>
      </c>
      <c r="Z81" s="62">
        <v>0</v>
      </c>
      <c r="AA81" s="256">
        <f t="shared" si="24"/>
        <v>0</v>
      </c>
      <c r="AB81" s="3"/>
      <c r="AC81" s="62" t="str">
        <f t="shared" si="25"/>
        <v/>
      </c>
      <c r="AD81" s="62">
        <f t="shared" si="26"/>
        <v>0</v>
      </c>
      <c r="AE81" s="62" t="str">
        <f t="shared" si="27"/>
        <v/>
      </c>
      <c r="AF81" s="62" t="str">
        <f t="shared" si="28"/>
        <v/>
      </c>
      <c r="AG81" s="192">
        <v>0</v>
      </c>
      <c r="AH81" s="62" t="str">
        <f t="shared" si="29"/>
        <v/>
      </c>
      <c r="AI81" s="62">
        <f t="shared" si="30"/>
        <v>0</v>
      </c>
      <c r="AJ81" s="62"/>
      <c r="AK81" s="62">
        <v>0</v>
      </c>
      <c r="AL81" s="256">
        <f t="shared" si="31"/>
        <v>0</v>
      </c>
      <c r="AM81" s="256">
        <f t="shared" si="32"/>
        <v>0</v>
      </c>
      <c r="AN81" s="256">
        <f t="shared" si="33"/>
        <v>0</v>
      </c>
    </row>
    <row r="82" spans="1:40" hidden="1" x14ac:dyDescent="0.2">
      <c r="A82" s="3" t="str">
        <f>IF('Employee Detail FY26'!A82="","",'Employee Detail FY26'!A82)</f>
        <v/>
      </c>
      <c r="B82" s="3" t="str">
        <f>IF('Employee Detail FY26'!B82="","",'Employee Detail FY26'!B82)</f>
        <v>280</v>
      </c>
      <c r="C82" s="3" t="str">
        <f>IF('Employee Detail FY26'!C82="","",'Employee Detail FY26'!C82)</f>
        <v>658</v>
      </c>
      <c r="D82" s="3"/>
      <c r="E82" s="3" t="str">
        <f>IF('Employee Detail FY26'!E82="","",'Employee Detail FY26'!E82)</f>
        <v>420</v>
      </c>
      <c r="F82" s="3" t="str">
        <f>IF('Employee Detail FY26'!F82="","",'Employee Detail FY26'!F82)</f>
        <v>2110</v>
      </c>
      <c r="G82" s="3" t="str">
        <f>IF('Employee Detail FY26'!G82="","",'Employee Detail FY26'!G82)</f>
        <v>0157</v>
      </c>
      <c r="H82" s="3"/>
      <c r="I82" s="255" t="str">
        <f>IF('Employee Detail FY26'!I82="","",'Employee Detail FY26'!I82)</f>
        <v>TITLE III</v>
      </c>
      <c r="J82" s="255" t="str">
        <f>IF('Employee Detail FY26'!J82="","",'Employee Detail FY26'!J82)</f>
        <v/>
      </c>
      <c r="K82" s="255" t="str">
        <f>IF('Employee Detail FY26'!K82="","",'Employee Detail FY26'!K82)</f>
        <v/>
      </c>
      <c r="L82" s="255" t="str">
        <f>IF('Employee Detail FY26'!L82="","",'Employee Detail FY26'!L82)</f>
        <v>TITLE III</v>
      </c>
      <c r="M82" s="92">
        <f>IF('Employee Detail FY26'!M82="","",'Employee Detail FY26'!M82)</f>
        <v>0</v>
      </c>
      <c r="N82" s="3" t="str">
        <f>IF('Employee Detail FY26'!N82="","",'Employee Detail FY26'!N82)</f>
        <v/>
      </c>
      <c r="O82" s="3" t="str">
        <f>IF('Employee Detail FY26'!O82="","",'Employee Detail FY26'!O82)</f>
        <v/>
      </c>
      <c r="P82" s="3" t="str">
        <f>IF('Employee Detail FY26'!P82="","",'Employee Detail FY26'!P82)</f>
        <v>N</v>
      </c>
      <c r="Q82" s="3" t="str">
        <f>IF('Employee Detail FY26'!Q82="","",'Employee Detail FY26'!Q82)</f>
        <v/>
      </c>
      <c r="R82" s="3" t="str">
        <f>IF('Employee Detail FY26'!R82="","",'Employee Detail FY26'!R82)</f>
        <v/>
      </c>
      <c r="S82" s="3" t="str">
        <f>IF('Employee Detail FY26'!S82="","",'Employee Detail FY26'!S82)</f>
        <v/>
      </c>
      <c r="T82" s="263" t="str">
        <f t="shared" si="20"/>
        <v/>
      </c>
      <c r="U82" s="269">
        <f>IF('Employee Detail FY26'!U82="","",'Employee Detail FY26'!U82)</f>
        <v>0</v>
      </c>
      <c r="V82" s="270">
        <f t="shared" si="21"/>
        <v>0</v>
      </c>
      <c r="W82" s="270" t="str">
        <f t="shared" si="22"/>
        <v/>
      </c>
      <c r="X82" s="270">
        <f t="shared" si="23"/>
        <v>0</v>
      </c>
      <c r="Y82" s="62">
        <v>0</v>
      </c>
      <c r="Z82" s="62">
        <v>0</v>
      </c>
      <c r="AA82" s="256">
        <f t="shared" si="24"/>
        <v>0</v>
      </c>
      <c r="AB82" s="3"/>
      <c r="AC82" s="62" t="str">
        <f t="shared" si="25"/>
        <v/>
      </c>
      <c r="AD82" s="62">
        <f t="shared" si="26"/>
        <v>0</v>
      </c>
      <c r="AE82" s="62" t="str">
        <f t="shared" si="27"/>
        <v/>
      </c>
      <c r="AF82" s="62" t="str">
        <f t="shared" si="28"/>
        <v/>
      </c>
      <c r="AG82" s="192">
        <v>0</v>
      </c>
      <c r="AH82" s="62" t="str">
        <f t="shared" si="29"/>
        <v/>
      </c>
      <c r="AI82" s="62">
        <f t="shared" si="30"/>
        <v>0</v>
      </c>
      <c r="AJ82" s="62"/>
      <c r="AK82" s="62">
        <v>0</v>
      </c>
      <c r="AL82" s="256">
        <f t="shared" si="31"/>
        <v>0</v>
      </c>
      <c r="AM82" s="256">
        <f t="shared" si="32"/>
        <v>0</v>
      </c>
      <c r="AN82" s="256">
        <f t="shared" si="33"/>
        <v>0</v>
      </c>
    </row>
    <row r="83" spans="1:40" hidden="1" x14ac:dyDescent="0.2">
      <c r="A83" s="3" t="str">
        <f>IF('Employee Detail FY26'!A83="","",'Employee Detail FY26'!A83)</f>
        <v/>
      </c>
      <c r="B83" s="3" t="str">
        <f>IF('Employee Detail FY26'!B83="","",'Employee Detail FY26'!B83)</f>
        <v/>
      </c>
      <c r="C83" s="3" t="str">
        <f>IF('Employee Detail FY26'!C83="","",'Employee Detail FY26'!C83)</f>
        <v/>
      </c>
      <c r="D83" s="3"/>
      <c r="E83" s="3" t="str">
        <f>IF('Employee Detail FY26'!E83="","",'Employee Detail FY26'!E83)</f>
        <v/>
      </c>
      <c r="F83" s="3" t="str">
        <f>IF('Employee Detail FY26'!F83="","",'Employee Detail FY26'!F83)</f>
        <v/>
      </c>
      <c r="G83" s="3" t="str">
        <f>IF('Employee Detail FY26'!G83="","",'Employee Detail FY26'!G83)</f>
        <v/>
      </c>
      <c r="H83" s="3"/>
      <c r="I83" s="255" t="str">
        <f>IF('Employee Detail FY26'!I83="","",'Employee Detail FY26'!I83)</f>
        <v/>
      </c>
      <c r="J83" s="255" t="str">
        <f>IF('Employee Detail FY26'!J83="","",'Employee Detail FY26'!J83)</f>
        <v/>
      </c>
      <c r="K83" s="255" t="str">
        <f>IF('Employee Detail FY26'!K83="","",'Employee Detail FY26'!K83)</f>
        <v/>
      </c>
      <c r="L83" s="255" t="str">
        <f>IF('Employee Detail FY26'!L83="","",'Employee Detail FY26'!L83)</f>
        <v/>
      </c>
      <c r="M83" s="92" t="str">
        <f>IF('Employee Detail FY26'!M83="","",'Employee Detail FY26'!M83)</f>
        <v/>
      </c>
      <c r="N83" s="3" t="str">
        <f>IF('Employee Detail FY26'!N83="","",'Employee Detail FY26'!N83)</f>
        <v/>
      </c>
      <c r="O83" s="3" t="str">
        <f>IF('Employee Detail FY26'!O83="","",'Employee Detail FY26'!O83)</f>
        <v/>
      </c>
      <c r="P83" s="3" t="str">
        <f>IF('Employee Detail FY26'!P83="","",'Employee Detail FY26'!P83)</f>
        <v/>
      </c>
      <c r="Q83" s="3" t="str">
        <f>IF('Employee Detail FY26'!Q83="","",'Employee Detail FY26'!Q83)</f>
        <v/>
      </c>
      <c r="R83" s="3" t="str">
        <f>IF('Employee Detail FY26'!R83="","",'Employee Detail FY26'!R83)</f>
        <v/>
      </c>
      <c r="S83" s="3" t="str">
        <f>IF('Employee Detail FY26'!S83="","",'Employee Detail FY26'!S83)</f>
        <v/>
      </c>
      <c r="T83" s="263" t="str">
        <f t="shared" si="20"/>
        <v/>
      </c>
      <c r="U83" s="269">
        <f>IF('Employee Detail FY26'!U83="","",'Employee Detail FY26'!U83)</f>
        <v>0</v>
      </c>
      <c r="V83" s="270">
        <f t="shared" si="21"/>
        <v>0</v>
      </c>
      <c r="W83" s="270" t="str">
        <f t="shared" si="22"/>
        <v/>
      </c>
      <c r="X83" s="270" t="str">
        <f t="shared" si="23"/>
        <v/>
      </c>
      <c r="Y83" s="62">
        <v>0</v>
      </c>
      <c r="Z83" s="62">
        <v>0</v>
      </c>
      <c r="AA83" s="256">
        <f t="shared" si="24"/>
        <v>0</v>
      </c>
      <c r="AB83" s="3"/>
      <c r="AC83" s="62" t="str">
        <f t="shared" si="25"/>
        <v/>
      </c>
      <c r="AD83" s="62" t="str">
        <f t="shared" si="26"/>
        <v/>
      </c>
      <c r="AE83" s="62" t="str">
        <f t="shared" si="27"/>
        <v/>
      </c>
      <c r="AF83" s="62" t="str">
        <f t="shared" si="28"/>
        <v/>
      </c>
      <c r="AG83" s="192">
        <v>0</v>
      </c>
      <c r="AH83" s="62" t="str">
        <f t="shared" si="29"/>
        <v/>
      </c>
      <c r="AI83" s="62">
        <f t="shared" si="30"/>
        <v>0</v>
      </c>
      <c r="AJ83" s="62"/>
      <c r="AK83" s="62">
        <v>0</v>
      </c>
      <c r="AL83" s="256">
        <f t="shared" si="31"/>
        <v>0</v>
      </c>
      <c r="AM83" s="256">
        <f t="shared" si="32"/>
        <v>0</v>
      </c>
      <c r="AN83" s="256">
        <f t="shared" si="33"/>
        <v>0</v>
      </c>
    </row>
    <row r="84" spans="1:40" x14ac:dyDescent="0.2">
      <c r="A84" s="3" t="str">
        <f>IF('Employee Detail FY26'!A84="","",'Employee Detail FY26'!A84)</f>
        <v/>
      </c>
      <c r="B84" s="3" t="str">
        <f>IF('Employee Detail FY26'!B84="","",'Employee Detail FY26'!B84)</f>
        <v>280</v>
      </c>
      <c r="C84" s="3" t="str">
        <f>IF('Employee Detail FY26'!C84="","",'Employee Detail FY26'!C84)</f>
        <v>624</v>
      </c>
      <c r="D84" s="3"/>
      <c r="E84" s="3" t="str">
        <f>IF('Employee Detail FY26'!E84="","",'Employee Detail FY26'!E84)</f>
        <v>430</v>
      </c>
      <c r="F84" s="3" t="str">
        <f>IF('Employee Detail FY26'!F84="","",'Employee Detail FY26'!F84)</f>
        <v>1000</v>
      </c>
      <c r="G84" s="3" t="str">
        <f>IF('Employee Detail FY26'!G84="","",'Employee Detail FY26'!G84)</f>
        <v>0151</v>
      </c>
      <c r="H84" s="3"/>
      <c r="I84" s="255" t="str">
        <f>IF('Employee Detail FY26'!I84="","",'Employee Detail FY26'!I84)</f>
        <v>TITLE I 1003A</v>
      </c>
      <c r="J84" s="255" t="str">
        <f>IF('Employee Detail FY26'!J84="","",'Employee Detail FY26'!J84)</f>
        <v>PD</v>
      </c>
      <c r="K84" s="255" t="str">
        <f>IF('Employee Detail FY26'!K84="","",'Employee Detail FY26'!K84)</f>
        <v/>
      </c>
      <c r="L84" s="255" t="str">
        <f>IF('Employee Detail FY26'!L84="","",'Employee Detail FY26'!L84)</f>
        <v>TITLE I 1003A PD</v>
      </c>
      <c r="M84" s="92">
        <f>IF('Employee Detail FY26'!M84="","",'Employee Detail FY26'!M84)</f>
        <v>0</v>
      </c>
      <c r="N84" s="3" t="str">
        <f>IF('Employee Detail FY26'!N84="","",'Employee Detail FY26'!N84)</f>
        <v/>
      </c>
      <c r="O84" s="3" t="str">
        <f>IF('Employee Detail FY26'!O84="","",'Employee Detail FY26'!O84)</f>
        <v/>
      </c>
      <c r="P84" s="3" t="str">
        <f>IF('Employee Detail FY26'!P84="","",'Employee Detail FY26'!P84)</f>
        <v>N</v>
      </c>
      <c r="Q84" s="3" t="str">
        <f>IF('Employee Detail FY26'!Q84="","",'Employee Detail FY26'!Q84)</f>
        <v/>
      </c>
      <c r="R84" s="3" t="str">
        <f>IF('Employee Detail FY26'!R84="","",'Employee Detail FY26'!R84)</f>
        <v/>
      </c>
      <c r="S84" s="3" t="str">
        <f>IF('Employee Detail FY26'!S84="","",'Employee Detail FY26'!S84)</f>
        <v/>
      </c>
      <c r="T84" s="263" t="str">
        <f t="shared" si="20"/>
        <v/>
      </c>
      <c r="U84" s="269">
        <f>IF('Employee Detail FY26'!U84="","",'Employee Detail FY26'!U84)</f>
        <v>0</v>
      </c>
      <c r="V84" s="270">
        <f t="shared" si="21"/>
        <v>0</v>
      </c>
      <c r="W84" s="270" t="str">
        <f t="shared" si="22"/>
        <v/>
      </c>
      <c r="X84" s="270">
        <f t="shared" si="23"/>
        <v>0</v>
      </c>
      <c r="Y84" s="62">
        <v>0</v>
      </c>
      <c r="Z84" s="62">
        <v>0</v>
      </c>
      <c r="AA84" s="256">
        <f t="shared" si="24"/>
        <v>0</v>
      </c>
      <c r="AB84" s="3"/>
      <c r="AC84" s="62" t="str">
        <f t="shared" si="25"/>
        <v/>
      </c>
      <c r="AD84" s="62">
        <f t="shared" si="26"/>
        <v>0</v>
      </c>
      <c r="AE84" s="62" t="str">
        <f t="shared" si="27"/>
        <v/>
      </c>
      <c r="AF84" s="62" t="str">
        <f t="shared" si="28"/>
        <v/>
      </c>
      <c r="AG84" s="192">
        <v>0</v>
      </c>
      <c r="AH84" s="62" t="str">
        <f t="shared" si="29"/>
        <v/>
      </c>
      <c r="AI84" s="62">
        <f t="shared" si="30"/>
        <v>0</v>
      </c>
      <c r="AJ84" s="62"/>
      <c r="AK84" s="62">
        <v>0</v>
      </c>
      <c r="AL84" s="256">
        <f t="shared" si="31"/>
        <v>0</v>
      </c>
      <c r="AM84" s="256">
        <f t="shared" si="32"/>
        <v>0</v>
      </c>
      <c r="AN84" s="256">
        <f t="shared" si="33"/>
        <v>0</v>
      </c>
    </row>
    <row r="85" spans="1:40" hidden="1" x14ac:dyDescent="0.2">
      <c r="A85" s="3" t="str">
        <f>IF('Employee Detail FY26'!A85="","",'Employee Detail FY26'!A85)</f>
        <v/>
      </c>
      <c r="B85" s="3" t="str">
        <f>IF('Employee Detail FY26'!B85="","",'Employee Detail FY26'!B85)</f>
        <v>280</v>
      </c>
      <c r="C85" s="3" t="str">
        <f>IF('Employee Detail FY26'!C85="","",'Employee Detail FY26'!C85)</f>
        <v>624</v>
      </c>
      <c r="D85" s="3"/>
      <c r="E85" s="3" t="str">
        <f>IF('Employee Detail FY26'!E85="","",'Employee Detail FY26'!E85)</f>
        <v>430</v>
      </c>
      <c r="F85" s="3" t="str">
        <f>IF('Employee Detail FY26'!F85="","",'Employee Detail FY26'!F85)</f>
        <v>2210</v>
      </c>
      <c r="G85" s="3" t="str">
        <f>IF('Employee Detail FY26'!G85="","",'Employee Detail FY26'!G85)</f>
        <v>0151</v>
      </c>
      <c r="H85" s="3"/>
      <c r="I85" s="255" t="str">
        <f>IF('Employee Detail FY26'!I85="","",'Employee Detail FY26'!I85)</f>
        <v>TITLE I 1003A</v>
      </c>
      <c r="J85" s="255" t="str">
        <f>IF('Employee Detail FY26'!J85="","",'Employee Detail FY26'!J85)</f>
        <v>PD</v>
      </c>
      <c r="K85" s="255" t="str">
        <f>IF('Employee Detail FY26'!K85="","",'Employee Detail FY26'!K85)</f>
        <v/>
      </c>
      <c r="L85" s="255" t="str">
        <f>IF('Employee Detail FY26'!L85="","",'Employee Detail FY26'!L85)</f>
        <v>TITLE I 1003A PD</v>
      </c>
      <c r="M85" s="92">
        <f>IF('Employee Detail FY26'!M85="","",'Employee Detail FY26'!M85)</f>
        <v>0</v>
      </c>
      <c r="N85" s="3" t="str">
        <f>IF('Employee Detail FY26'!N85="","",'Employee Detail FY26'!N85)</f>
        <v/>
      </c>
      <c r="O85" s="3" t="str">
        <f>IF('Employee Detail FY26'!O85="","",'Employee Detail FY26'!O85)</f>
        <v/>
      </c>
      <c r="P85" s="3" t="str">
        <f>IF('Employee Detail FY26'!P85="","",'Employee Detail FY26'!P85)</f>
        <v>N</v>
      </c>
      <c r="Q85" s="3" t="str">
        <f>IF('Employee Detail FY26'!Q85="","",'Employee Detail FY26'!Q85)</f>
        <v/>
      </c>
      <c r="R85" s="3" t="str">
        <f>IF('Employee Detail FY26'!R85="","",'Employee Detail FY26'!R85)</f>
        <v/>
      </c>
      <c r="S85" s="3" t="str">
        <f>IF('Employee Detail FY26'!S85="","",'Employee Detail FY26'!S85)</f>
        <v/>
      </c>
      <c r="T85" s="263" t="str">
        <f t="shared" si="20"/>
        <v/>
      </c>
      <c r="U85" s="269">
        <f>IF('Employee Detail FY26'!U85="","",'Employee Detail FY26'!U85)</f>
        <v>0</v>
      </c>
      <c r="V85" s="270">
        <f t="shared" si="21"/>
        <v>0</v>
      </c>
      <c r="W85" s="270" t="str">
        <f t="shared" si="22"/>
        <v/>
      </c>
      <c r="X85" s="270">
        <f t="shared" si="23"/>
        <v>0</v>
      </c>
      <c r="Y85" s="62">
        <v>0</v>
      </c>
      <c r="Z85" s="62">
        <v>0</v>
      </c>
      <c r="AA85" s="256">
        <f t="shared" si="24"/>
        <v>0</v>
      </c>
      <c r="AB85" s="3"/>
      <c r="AC85" s="62" t="str">
        <f t="shared" si="25"/>
        <v/>
      </c>
      <c r="AD85" s="62">
        <f t="shared" si="26"/>
        <v>0</v>
      </c>
      <c r="AE85" s="62" t="str">
        <f t="shared" si="27"/>
        <v/>
      </c>
      <c r="AF85" s="62" t="str">
        <f t="shared" si="28"/>
        <v/>
      </c>
      <c r="AG85" s="192">
        <v>0</v>
      </c>
      <c r="AH85" s="62" t="str">
        <f t="shared" si="29"/>
        <v/>
      </c>
      <c r="AI85" s="62">
        <f t="shared" si="30"/>
        <v>0</v>
      </c>
      <c r="AJ85" s="62"/>
      <c r="AK85" s="62">
        <v>0</v>
      </c>
      <c r="AL85" s="256">
        <f t="shared" si="31"/>
        <v>0</v>
      </c>
      <c r="AM85" s="256">
        <f t="shared" si="32"/>
        <v>0</v>
      </c>
      <c r="AN85" s="256">
        <f t="shared" si="33"/>
        <v>0</v>
      </c>
    </row>
    <row r="86" spans="1:40" x14ac:dyDescent="0.2">
      <c r="A86" s="3" t="str">
        <f>IF('Employee Detail FY26'!A86="","",'Employee Detail FY26'!A86)</f>
        <v/>
      </c>
      <c r="B86" s="3" t="str">
        <f>IF('Employee Detail FY26'!B86="","",'Employee Detail FY26'!B86)</f>
        <v>280</v>
      </c>
      <c r="C86" s="3" t="str">
        <f>IF('Employee Detail FY26'!C86="","",'Employee Detail FY26'!C86)</f>
        <v>624</v>
      </c>
      <c r="D86" s="3"/>
      <c r="E86" s="3" t="str">
        <f>IF('Employee Detail FY26'!E86="","",'Employee Detail FY26'!E86)</f>
        <v>430</v>
      </c>
      <c r="F86" s="3" t="str">
        <f>IF('Employee Detail FY26'!F86="","",'Employee Detail FY26'!F86)</f>
        <v>1000</v>
      </c>
      <c r="G86" s="3" t="str">
        <f>IF('Employee Detail FY26'!G86="","",'Employee Detail FY26'!G86)</f>
        <v>0152</v>
      </c>
      <c r="H86" s="3"/>
      <c r="I86" s="255" t="str">
        <f>IF('Employee Detail FY26'!I86="","",'Employee Detail FY26'!I86)</f>
        <v>TITLE I 1003A</v>
      </c>
      <c r="J86" s="255" t="str">
        <f>IF('Employee Detail FY26'!J86="","",'Employee Detail FY26'!J86)</f>
        <v>PD</v>
      </c>
      <c r="K86" s="255" t="str">
        <f>IF('Employee Detail FY26'!K86="","",'Employee Detail FY26'!K86)</f>
        <v/>
      </c>
      <c r="L86" s="255" t="str">
        <f>IF('Employee Detail FY26'!L86="","",'Employee Detail FY26'!L86)</f>
        <v>TITLE I 1003A PD</v>
      </c>
      <c r="M86" s="92">
        <f>IF('Employee Detail FY26'!M86="","",'Employee Detail FY26'!M86)</f>
        <v>0</v>
      </c>
      <c r="N86" s="3" t="str">
        <f>IF('Employee Detail FY26'!N86="","",'Employee Detail FY26'!N86)</f>
        <v/>
      </c>
      <c r="O86" s="3" t="str">
        <f>IF('Employee Detail FY26'!O86="","",'Employee Detail FY26'!O86)</f>
        <v/>
      </c>
      <c r="P86" s="3" t="str">
        <f>IF('Employee Detail FY26'!P86="","",'Employee Detail FY26'!P86)</f>
        <v>N</v>
      </c>
      <c r="Q86" s="3" t="str">
        <f>IF('Employee Detail FY26'!Q86="","",'Employee Detail FY26'!Q86)</f>
        <v/>
      </c>
      <c r="R86" s="3" t="str">
        <f>IF('Employee Detail FY26'!R86="","",'Employee Detail FY26'!R86)</f>
        <v/>
      </c>
      <c r="S86" s="3" t="str">
        <f>IF('Employee Detail FY26'!S86="","",'Employee Detail FY26'!S86)</f>
        <v/>
      </c>
      <c r="T86" s="263" t="str">
        <f t="shared" si="20"/>
        <v/>
      </c>
      <c r="U86" s="269">
        <f>IF('Employee Detail FY26'!U86="","",'Employee Detail FY26'!U86)</f>
        <v>0</v>
      </c>
      <c r="V86" s="270">
        <f t="shared" si="21"/>
        <v>0</v>
      </c>
      <c r="W86" s="270" t="str">
        <f t="shared" si="22"/>
        <v/>
      </c>
      <c r="X86" s="270">
        <f t="shared" si="23"/>
        <v>0</v>
      </c>
      <c r="Y86" s="62">
        <v>0</v>
      </c>
      <c r="Z86" s="62">
        <v>0</v>
      </c>
      <c r="AA86" s="256">
        <f t="shared" si="24"/>
        <v>0</v>
      </c>
      <c r="AB86" s="3"/>
      <c r="AC86" s="62" t="str">
        <f t="shared" si="25"/>
        <v/>
      </c>
      <c r="AD86" s="62">
        <f t="shared" si="26"/>
        <v>0</v>
      </c>
      <c r="AE86" s="62" t="str">
        <f t="shared" si="27"/>
        <v/>
      </c>
      <c r="AF86" s="62" t="str">
        <f t="shared" si="28"/>
        <v/>
      </c>
      <c r="AG86" s="192">
        <v>0</v>
      </c>
      <c r="AH86" s="62" t="str">
        <f t="shared" si="29"/>
        <v/>
      </c>
      <c r="AI86" s="62">
        <f t="shared" si="30"/>
        <v>0</v>
      </c>
      <c r="AJ86" s="62"/>
      <c r="AK86" s="62">
        <v>0</v>
      </c>
      <c r="AL86" s="256">
        <f t="shared" si="31"/>
        <v>0</v>
      </c>
      <c r="AM86" s="256">
        <f t="shared" si="32"/>
        <v>0</v>
      </c>
      <c r="AN86" s="256">
        <f t="shared" si="33"/>
        <v>0</v>
      </c>
    </row>
    <row r="87" spans="1:40" hidden="1" x14ac:dyDescent="0.2">
      <c r="A87" s="3" t="str">
        <f>IF('Employee Detail FY26'!A87="","",'Employee Detail FY26'!A87)</f>
        <v/>
      </c>
      <c r="B87" s="3" t="str">
        <f>IF('Employee Detail FY26'!B87="","",'Employee Detail FY26'!B87)</f>
        <v>280</v>
      </c>
      <c r="C87" s="3" t="str">
        <f>IF('Employee Detail FY26'!C87="","",'Employee Detail FY26'!C87)</f>
        <v>624</v>
      </c>
      <c r="D87" s="3"/>
      <c r="E87" s="3" t="str">
        <f>IF('Employee Detail FY26'!E87="","",'Employee Detail FY26'!E87)</f>
        <v>430</v>
      </c>
      <c r="F87" s="3">
        <f>IF('Employee Detail FY26'!F87="","",'Employee Detail FY26'!F87)</f>
        <v>2410</v>
      </c>
      <c r="G87" s="3" t="str">
        <f>IF('Employee Detail FY26'!G87="","",'Employee Detail FY26'!G87)</f>
        <v>0154</v>
      </c>
      <c r="H87" s="3"/>
      <c r="I87" s="255" t="str">
        <f>IF('Employee Detail FY26'!I87="","",'Employee Detail FY26'!I87)</f>
        <v>TITLE I 1003A</v>
      </c>
      <c r="J87" s="255" t="str">
        <f>IF('Employee Detail FY26'!J87="","",'Employee Detail FY26'!J87)</f>
        <v>PD</v>
      </c>
      <c r="K87" s="255" t="str">
        <f>IF('Employee Detail FY26'!K87="","",'Employee Detail FY26'!K87)</f>
        <v/>
      </c>
      <c r="L87" s="255" t="str">
        <f>IF('Employee Detail FY26'!L87="","",'Employee Detail FY26'!L87)</f>
        <v>TITLE I 1003A PD</v>
      </c>
      <c r="M87" s="92">
        <f>IF('Employee Detail FY26'!M87="","",'Employee Detail FY26'!M87)</f>
        <v>0</v>
      </c>
      <c r="N87" s="3" t="str">
        <f>IF('Employee Detail FY26'!N87="","",'Employee Detail FY26'!N87)</f>
        <v/>
      </c>
      <c r="O87" s="3" t="str">
        <f>IF('Employee Detail FY26'!O87="","",'Employee Detail FY26'!O87)</f>
        <v/>
      </c>
      <c r="P87" s="3" t="str">
        <f>IF('Employee Detail FY26'!P87="","",'Employee Detail FY26'!P87)</f>
        <v>N</v>
      </c>
      <c r="Q87" s="3" t="str">
        <f>IF('Employee Detail FY26'!Q87="","",'Employee Detail FY26'!Q87)</f>
        <v/>
      </c>
      <c r="R87" s="3" t="str">
        <f>IF('Employee Detail FY26'!R87="","",'Employee Detail FY26'!R87)</f>
        <v/>
      </c>
      <c r="S87" s="3" t="str">
        <f>IF('Employee Detail FY26'!S87="","",'Employee Detail FY26'!S87)</f>
        <v/>
      </c>
      <c r="T87" s="263" t="str">
        <f t="shared" si="20"/>
        <v/>
      </c>
      <c r="U87" s="269">
        <f>IF('Employee Detail FY26'!U87="","",'Employee Detail FY26'!U87)</f>
        <v>0</v>
      </c>
      <c r="V87" s="270">
        <f t="shared" si="21"/>
        <v>0</v>
      </c>
      <c r="W87" s="270" t="str">
        <f t="shared" si="22"/>
        <v/>
      </c>
      <c r="X87" s="270">
        <f t="shared" si="23"/>
        <v>0</v>
      </c>
      <c r="Y87" s="62">
        <v>0</v>
      </c>
      <c r="Z87" s="62">
        <v>0</v>
      </c>
      <c r="AA87" s="256">
        <f t="shared" si="24"/>
        <v>0</v>
      </c>
      <c r="AB87" s="3"/>
      <c r="AC87" s="62" t="str">
        <f t="shared" si="25"/>
        <v/>
      </c>
      <c r="AD87" s="62">
        <f t="shared" si="26"/>
        <v>0</v>
      </c>
      <c r="AE87" s="62" t="str">
        <f t="shared" si="27"/>
        <v/>
      </c>
      <c r="AF87" s="62" t="str">
        <f t="shared" si="28"/>
        <v/>
      </c>
      <c r="AG87" s="192">
        <v>0</v>
      </c>
      <c r="AH87" s="62" t="str">
        <f t="shared" si="29"/>
        <v/>
      </c>
      <c r="AI87" s="62">
        <f t="shared" si="30"/>
        <v>0</v>
      </c>
      <c r="AJ87" s="62"/>
      <c r="AK87" s="62">
        <v>0</v>
      </c>
      <c r="AL87" s="256">
        <f t="shared" si="31"/>
        <v>0</v>
      </c>
      <c r="AM87" s="256">
        <f t="shared" si="32"/>
        <v>0</v>
      </c>
      <c r="AN87" s="256">
        <f t="shared" si="33"/>
        <v>0</v>
      </c>
    </row>
    <row r="88" spans="1:40" hidden="1" x14ac:dyDescent="0.2">
      <c r="A88" s="3" t="str">
        <f>IF('Employee Detail FY26'!A88="","",'Employee Detail FY26'!A88)</f>
        <v/>
      </c>
      <c r="B88" s="3" t="str">
        <f>IF('Employee Detail FY26'!B88="","",'Employee Detail FY26'!B88)</f>
        <v>280</v>
      </c>
      <c r="C88" s="3" t="str">
        <f>IF('Employee Detail FY26'!C88="","",'Employee Detail FY26'!C88)</f>
        <v>624</v>
      </c>
      <c r="D88" s="3"/>
      <c r="E88" s="3" t="str">
        <f>IF('Employee Detail FY26'!E88="","",'Employee Detail FY26'!E88)</f>
        <v>430</v>
      </c>
      <c r="F88" s="3" t="str">
        <f>IF('Employee Detail FY26'!F88="","",'Employee Detail FY26'!F88)</f>
        <v>2120</v>
      </c>
      <c r="G88" s="3" t="str">
        <f>IF('Employee Detail FY26'!G88="","",'Employee Detail FY26'!G88)</f>
        <v>0156</v>
      </c>
      <c r="H88" s="3"/>
      <c r="I88" s="255" t="str">
        <f>IF('Employee Detail FY26'!I88="","",'Employee Detail FY26'!I88)</f>
        <v>TITLE I 1003A</v>
      </c>
      <c r="J88" s="255" t="str">
        <f>IF('Employee Detail FY26'!J88="","",'Employee Detail FY26'!J88)</f>
        <v>PD</v>
      </c>
      <c r="K88" s="255" t="str">
        <f>IF('Employee Detail FY26'!K88="","",'Employee Detail FY26'!K88)</f>
        <v/>
      </c>
      <c r="L88" s="255" t="str">
        <f>IF('Employee Detail FY26'!L88="","",'Employee Detail FY26'!L88)</f>
        <v>TITLE I 1003A PD</v>
      </c>
      <c r="M88" s="92">
        <f>IF('Employee Detail FY26'!M88="","",'Employee Detail FY26'!M88)</f>
        <v>0</v>
      </c>
      <c r="N88" s="3" t="str">
        <f>IF('Employee Detail FY26'!N88="","",'Employee Detail FY26'!N88)</f>
        <v/>
      </c>
      <c r="O88" s="3" t="str">
        <f>IF('Employee Detail FY26'!O88="","",'Employee Detail FY26'!O88)</f>
        <v/>
      </c>
      <c r="P88" s="3" t="str">
        <f>IF('Employee Detail FY26'!P88="","",'Employee Detail FY26'!P88)</f>
        <v>N</v>
      </c>
      <c r="Q88" s="3" t="str">
        <f>IF('Employee Detail FY26'!Q88="","",'Employee Detail FY26'!Q88)</f>
        <v/>
      </c>
      <c r="R88" s="3" t="str">
        <f>IF('Employee Detail FY26'!R88="","",'Employee Detail FY26'!R88)</f>
        <v/>
      </c>
      <c r="S88" s="3" t="str">
        <f>IF('Employee Detail FY26'!S88="","",'Employee Detail FY26'!S88)</f>
        <v/>
      </c>
      <c r="T88" s="263" t="str">
        <f t="shared" si="20"/>
        <v/>
      </c>
      <c r="U88" s="269">
        <f>IF('Employee Detail FY26'!U88="","",'Employee Detail FY26'!U88)</f>
        <v>0</v>
      </c>
      <c r="V88" s="270">
        <f t="shared" si="21"/>
        <v>0</v>
      </c>
      <c r="W88" s="270" t="str">
        <f t="shared" si="22"/>
        <v/>
      </c>
      <c r="X88" s="270">
        <f t="shared" si="23"/>
        <v>0</v>
      </c>
      <c r="Y88" s="62">
        <v>0</v>
      </c>
      <c r="Z88" s="62">
        <v>0</v>
      </c>
      <c r="AA88" s="256">
        <f t="shared" si="24"/>
        <v>0</v>
      </c>
      <c r="AB88" s="3"/>
      <c r="AC88" s="62" t="str">
        <f t="shared" si="25"/>
        <v/>
      </c>
      <c r="AD88" s="62">
        <f t="shared" si="26"/>
        <v>0</v>
      </c>
      <c r="AE88" s="62" t="str">
        <f t="shared" si="27"/>
        <v/>
      </c>
      <c r="AF88" s="62" t="str">
        <f t="shared" si="28"/>
        <v/>
      </c>
      <c r="AG88" s="192">
        <v>0</v>
      </c>
      <c r="AH88" s="62" t="str">
        <f t="shared" si="29"/>
        <v/>
      </c>
      <c r="AI88" s="62">
        <f t="shared" si="30"/>
        <v>0</v>
      </c>
      <c r="AJ88" s="62"/>
      <c r="AK88" s="62">
        <v>0</v>
      </c>
      <c r="AL88" s="256">
        <f t="shared" si="31"/>
        <v>0</v>
      </c>
      <c r="AM88" s="256">
        <f t="shared" si="32"/>
        <v>0</v>
      </c>
      <c r="AN88" s="256">
        <f t="shared" si="33"/>
        <v>0</v>
      </c>
    </row>
    <row r="89" spans="1:40" hidden="1" x14ac:dyDescent="0.2">
      <c r="A89" s="3" t="str">
        <f>IF('Employee Detail FY26'!A89="","",'Employee Detail FY26'!A89)</f>
        <v/>
      </c>
      <c r="B89" s="3" t="str">
        <f>IF('Employee Detail FY26'!B89="","",'Employee Detail FY26'!B89)</f>
        <v>280</v>
      </c>
      <c r="C89" s="3" t="str">
        <f>IF('Employee Detail FY26'!C89="","",'Employee Detail FY26'!C89)</f>
        <v>624</v>
      </c>
      <c r="D89" s="3"/>
      <c r="E89" s="3" t="str">
        <f>IF('Employee Detail FY26'!E89="","",'Employee Detail FY26'!E89)</f>
        <v>430</v>
      </c>
      <c r="F89" s="3" t="str">
        <f>IF('Employee Detail FY26'!F89="","",'Employee Detail FY26'!F89)</f>
        <v>2140</v>
      </c>
      <c r="G89" s="3" t="str">
        <f>IF('Employee Detail FY26'!G89="","",'Employee Detail FY26'!G89)</f>
        <v>0156</v>
      </c>
      <c r="H89" s="3"/>
      <c r="I89" s="255" t="str">
        <f>IF('Employee Detail FY26'!I89="","",'Employee Detail FY26'!I89)</f>
        <v>TITLE I 1003A</v>
      </c>
      <c r="J89" s="255" t="str">
        <f>IF('Employee Detail FY26'!J89="","",'Employee Detail FY26'!J89)</f>
        <v>PD</v>
      </c>
      <c r="K89" s="255" t="str">
        <f>IF('Employee Detail FY26'!K89="","",'Employee Detail FY26'!K89)</f>
        <v/>
      </c>
      <c r="L89" s="255" t="str">
        <f>IF('Employee Detail FY26'!L89="","",'Employee Detail FY26'!L89)</f>
        <v>TITLE I 1003A PD</v>
      </c>
      <c r="M89" s="92">
        <f>IF('Employee Detail FY26'!M89="","",'Employee Detail FY26'!M89)</f>
        <v>0</v>
      </c>
      <c r="N89" s="3" t="str">
        <f>IF('Employee Detail FY26'!N89="","",'Employee Detail FY26'!N89)</f>
        <v/>
      </c>
      <c r="O89" s="3" t="str">
        <f>IF('Employee Detail FY26'!O89="","",'Employee Detail FY26'!O89)</f>
        <v/>
      </c>
      <c r="P89" s="3" t="str">
        <f>IF('Employee Detail FY26'!P89="","",'Employee Detail FY26'!P89)</f>
        <v>N</v>
      </c>
      <c r="Q89" s="3" t="str">
        <f>IF('Employee Detail FY26'!Q89="","",'Employee Detail FY26'!Q89)</f>
        <v/>
      </c>
      <c r="R89" s="3" t="str">
        <f>IF('Employee Detail FY26'!R89="","",'Employee Detail FY26'!R89)</f>
        <v/>
      </c>
      <c r="S89" s="3" t="str">
        <f>IF('Employee Detail FY26'!S89="","",'Employee Detail FY26'!S89)</f>
        <v/>
      </c>
      <c r="T89" s="263" t="str">
        <f t="shared" si="20"/>
        <v/>
      </c>
      <c r="U89" s="269">
        <f>IF('Employee Detail FY26'!U89="","",'Employee Detail FY26'!U89)</f>
        <v>0</v>
      </c>
      <c r="V89" s="270">
        <f t="shared" si="21"/>
        <v>0</v>
      </c>
      <c r="W89" s="270" t="str">
        <f t="shared" si="22"/>
        <v/>
      </c>
      <c r="X89" s="270">
        <f t="shared" si="23"/>
        <v>0</v>
      </c>
      <c r="Y89" s="62">
        <v>0</v>
      </c>
      <c r="Z89" s="62">
        <v>0</v>
      </c>
      <c r="AA89" s="256">
        <f t="shared" si="24"/>
        <v>0</v>
      </c>
      <c r="AB89" s="3"/>
      <c r="AC89" s="62" t="str">
        <f t="shared" si="25"/>
        <v/>
      </c>
      <c r="AD89" s="62">
        <f t="shared" si="26"/>
        <v>0</v>
      </c>
      <c r="AE89" s="62" t="str">
        <f t="shared" si="27"/>
        <v/>
      </c>
      <c r="AF89" s="62" t="str">
        <f t="shared" si="28"/>
        <v/>
      </c>
      <c r="AG89" s="192">
        <v>0</v>
      </c>
      <c r="AH89" s="62" t="str">
        <f t="shared" si="29"/>
        <v/>
      </c>
      <c r="AI89" s="62">
        <f t="shared" si="30"/>
        <v>0</v>
      </c>
      <c r="AJ89" s="62"/>
      <c r="AK89" s="62">
        <v>0</v>
      </c>
      <c r="AL89" s="256">
        <f t="shared" si="31"/>
        <v>0</v>
      </c>
      <c r="AM89" s="256">
        <f t="shared" si="32"/>
        <v>0</v>
      </c>
      <c r="AN89" s="256">
        <f t="shared" si="33"/>
        <v>0</v>
      </c>
    </row>
    <row r="90" spans="1:40" hidden="1" x14ac:dyDescent="0.2">
      <c r="A90" s="3" t="str">
        <f>IF('Employee Detail FY26'!A90="","",'Employee Detail FY26'!A90)</f>
        <v/>
      </c>
      <c r="B90" s="3" t="str">
        <f>IF('Employee Detail FY26'!B90="","",'Employee Detail FY26'!B90)</f>
        <v>280</v>
      </c>
      <c r="C90" s="3" t="str">
        <f>IF('Employee Detail FY26'!C90="","",'Employee Detail FY26'!C90)</f>
        <v>624</v>
      </c>
      <c r="D90" s="3"/>
      <c r="E90" s="3" t="str">
        <f>IF('Employee Detail FY26'!E90="","",'Employee Detail FY26'!E90)</f>
        <v>430</v>
      </c>
      <c r="F90" s="3" t="str">
        <f>IF('Employee Detail FY26'!F90="","",'Employee Detail FY26'!F90)</f>
        <v>2110</v>
      </c>
      <c r="G90" s="3" t="str">
        <f>IF('Employee Detail FY26'!G90="","",'Employee Detail FY26'!G90)</f>
        <v>0157</v>
      </c>
      <c r="H90" s="3"/>
      <c r="I90" s="255" t="str">
        <f>IF('Employee Detail FY26'!I90="","",'Employee Detail FY26'!I90)</f>
        <v>TITLE I 1003A</v>
      </c>
      <c r="J90" s="255" t="str">
        <f>IF('Employee Detail FY26'!J90="","",'Employee Detail FY26'!J90)</f>
        <v>PD</v>
      </c>
      <c r="K90" s="255" t="str">
        <f>IF('Employee Detail FY26'!K90="","",'Employee Detail FY26'!K90)</f>
        <v/>
      </c>
      <c r="L90" s="255" t="str">
        <f>IF('Employee Detail FY26'!L90="","",'Employee Detail FY26'!L90)</f>
        <v>TITLE I 1003A PD</v>
      </c>
      <c r="M90" s="92">
        <f>IF('Employee Detail FY26'!M90="","",'Employee Detail FY26'!M90)</f>
        <v>0</v>
      </c>
      <c r="N90" s="3" t="str">
        <f>IF('Employee Detail FY26'!N90="","",'Employee Detail FY26'!N90)</f>
        <v/>
      </c>
      <c r="O90" s="3" t="str">
        <f>IF('Employee Detail FY26'!O90="","",'Employee Detail FY26'!O90)</f>
        <v/>
      </c>
      <c r="P90" s="3" t="str">
        <f>IF('Employee Detail FY26'!P90="","",'Employee Detail FY26'!P90)</f>
        <v>N</v>
      </c>
      <c r="Q90" s="3" t="str">
        <f>IF('Employee Detail FY26'!Q90="","",'Employee Detail FY26'!Q90)</f>
        <v/>
      </c>
      <c r="R90" s="3" t="str">
        <f>IF('Employee Detail FY26'!R90="","",'Employee Detail FY26'!R90)</f>
        <v/>
      </c>
      <c r="S90" s="3" t="str">
        <f>IF('Employee Detail FY26'!S90="","",'Employee Detail FY26'!S90)</f>
        <v/>
      </c>
      <c r="T90" s="263" t="str">
        <f t="shared" si="20"/>
        <v/>
      </c>
      <c r="U90" s="269">
        <f>IF('Employee Detail FY26'!U90="","",'Employee Detail FY26'!U90)</f>
        <v>0</v>
      </c>
      <c r="V90" s="270">
        <f t="shared" si="21"/>
        <v>0</v>
      </c>
      <c r="W90" s="270" t="str">
        <f t="shared" si="22"/>
        <v/>
      </c>
      <c r="X90" s="270">
        <f t="shared" si="23"/>
        <v>0</v>
      </c>
      <c r="Y90" s="62">
        <v>0</v>
      </c>
      <c r="Z90" s="62">
        <v>0</v>
      </c>
      <c r="AA90" s="256">
        <f t="shared" si="24"/>
        <v>0</v>
      </c>
      <c r="AB90" s="3"/>
      <c r="AC90" s="62" t="str">
        <f t="shared" si="25"/>
        <v/>
      </c>
      <c r="AD90" s="62">
        <f t="shared" si="26"/>
        <v>0</v>
      </c>
      <c r="AE90" s="62" t="str">
        <f t="shared" si="27"/>
        <v/>
      </c>
      <c r="AF90" s="62" t="str">
        <f t="shared" si="28"/>
        <v/>
      </c>
      <c r="AG90" s="192">
        <v>0</v>
      </c>
      <c r="AH90" s="62" t="str">
        <f t="shared" si="29"/>
        <v/>
      </c>
      <c r="AI90" s="62">
        <f t="shared" si="30"/>
        <v>0</v>
      </c>
      <c r="AJ90" s="62"/>
      <c r="AK90" s="62">
        <v>0</v>
      </c>
      <c r="AL90" s="256">
        <f t="shared" si="31"/>
        <v>0</v>
      </c>
      <c r="AM90" s="256">
        <f t="shared" si="32"/>
        <v>0</v>
      </c>
      <c r="AN90" s="256">
        <f t="shared" si="33"/>
        <v>0</v>
      </c>
    </row>
    <row r="91" spans="1:40" hidden="1" x14ac:dyDescent="0.2">
      <c r="A91" s="3" t="str">
        <f>IF('Employee Detail FY26'!A91="","",'Employee Detail FY26'!A91)</f>
        <v/>
      </c>
      <c r="B91" s="3" t="str">
        <f>IF('Employee Detail FY26'!B91="","",'Employee Detail FY26'!B91)</f>
        <v>280</v>
      </c>
      <c r="C91" s="3" t="str">
        <f>IF('Employee Detail FY26'!C91="","",'Employee Detail FY26'!C91)</f>
        <v>624</v>
      </c>
      <c r="D91" s="3"/>
      <c r="E91" s="3" t="str">
        <f>IF('Employee Detail FY26'!E91="","",'Employee Detail FY26'!E91)</f>
        <v>430</v>
      </c>
      <c r="F91" s="3" t="str">
        <f>IF('Employee Detail FY26'!F91="","",'Employee Detail FY26'!F91)</f>
        <v>2212</v>
      </c>
      <c r="G91" s="3" t="str">
        <f>IF('Employee Detail FY26'!G91="","",'Employee Detail FY26'!G91)</f>
        <v>0157</v>
      </c>
      <c r="H91" s="3"/>
      <c r="I91" s="255" t="str">
        <f>IF('Employee Detail FY26'!I91="","",'Employee Detail FY26'!I91)</f>
        <v>TITLE I 1003A</v>
      </c>
      <c r="J91" s="255" t="str">
        <f>IF('Employee Detail FY26'!J91="","",'Employee Detail FY26'!J91)</f>
        <v>PD</v>
      </c>
      <c r="K91" s="255" t="str">
        <f>IF('Employee Detail FY26'!K91="","",'Employee Detail FY26'!K91)</f>
        <v/>
      </c>
      <c r="L91" s="255" t="str">
        <f>IF('Employee Detail FY26'!L91="","",'Employee Detail FY26'!L91)</f>
        <v>TITLE I 1003A PD</v>
      </c>
      <c r="M91" s="92">
        <f>IF('Employee Detail FY26'!M91="","",'Employee Detail FY26'!M91)</f>
        <v>0</v>
      </c>
      <c r="N91" s="3" t="str">
        <f>IF('Employee Detail FY26'!N91="","",'Employee Detail FY26'!N91)</f>
        <v/>
      </c>
      <c r="O91" s="3" t="str">
        <f>IF('Employee Detail FY26'!O91="","",'Employee Detail FY26'!O91)</f>
        <v/>
      </c>
      <c r="P91" s="3" t="str">
        <f>IF('Employee Detail FY26'!P91="","",'Employee Detail FY26'!P91)</f>
        <v>N</v>
      </c>
      <c r="Q91" s="3" t="str">
        <f>IF('Employee Detail FY26'!Q91="","",'Employee Detail FY26'!Q91)</f>
        <v/>
      </c>
      <c r="R91" s="3" t="str">
        <f>IF('Employee Detail FY26'!R91="","",'Employee Detail FY26'!R91)</f>
        <v/>
      </c>
      <c r="S91" s="3" t="str">
        <f>IF('Employee Detail FY26'!S91="","",'Employee Detail FY26'!S91)</f>
        <v/>
      </c>
      <c r="T91" s="263" t="str">
        <f t="shared" si="20"/>
        <v/>
      </c>
      <c r="U91" s="269">
        <f>IF('Employee Detail FY26'!U91="","",'Employee Detail FY26'!U91)</f>
        <v>0</v>
      </c>
      <c r="V91" s="270">
        <f t="shared" si="21"/>
        <v>0</v>
      </c>
      <c r="W91" s="270" t="str">
        <f t="shared" si="22"/>
        <v/>
      </c>
      <c r="X91" s="270">
        <f t="shared" si="23"/>
        <v>0</v>
      </c>
      <c r="Y91" s="62">
        <v>0</v>
      </c>
      <c r="Z91" s="62">
        <v>0</v>
      </c>
      <c r="AA91" s="256">
        <f t="shared" si="24"/>
        <v>0</v>
      </c>
      <c r="AB91" s="3"/>
      <c r="AC91" s="62" t="str">
        <f t="shared" si="25"/>
        <v/>
      </c>
      <c r="AD91" s="62">
        <f t="shared" si="26"/>
        <v>0</v>
      </c>
      <c r="AE91" s="62" t="str">
        <f t="shared" si="27"/>
        <v/>
      </c>
      <c r="AF91" s="62" t="str">
        <f t="shared" si="28"/>
        <v/>
      </c>
      <c r="AG91" s="192">
        <v>0</v>
      </c>
      <c r="AH91" s="62" t="str">
        <f t="shared" si="29"/>
        <v/>
      </c>
      <c r="AI91" s="62">
        <f t="shared" si="30"/>
        <v>0</v>
      </c>
      <c r="AJ91" s="62"/>
      <c r="AK91" s="62">
        <v>0</v>
      </c>
      <c r="AL91" s="256">
        <f t="shared" si="31"/>
        <v>0</v>
      </c>
      <c r="AM91" s="256">
        <f t="shared" si="32"/>
        <v>0</v>
      </c>
      <c r="AN91" s="256">
        <f t="shared" si="33"/>
        <v>0</v>
      </c>
    </row>
    <row r="92" spans="1:40" hidden="1" x14ac:dyDescent="0.2">
      <c r="A92" s="3" t="str">
        <f>IF('Employee Detail FY26'!A92="","",'Employee Detail FY26'!A92)</f>
        <v/>
      </c>
      <c r="B92" s="3" t="str">
        <f>IF('Employee Detail FY26'!B92="","",'Employee Detail FY26'!B92)</f>
        <v/>
      </c>
      <c r="C92" s="3" t="str">
        <f>IF('Employee Detail FY26'!C92="","",'Employee Detail FY26'!C92)</f>
        <v/>
      </c>
      <c r="D92" s="3"/>
      <c r="E92" s="3" t="str">
        <f>IF('Employee Detail FY26'!E92="","",'Employee Detail FY26'!E92)</f>
        <v/>
      </c>
      <c r="F92" s="3" t="str">
        <f>IF('Employee Detail FY26'!F92="","",'Employee Detail FY26'!F92)</f>
        <v/>
      </c>
      <c r="G92" s="3" t="str">
        <f>IF('Employee Detail FY26'!G92="","",'Employee Detail FY26'!G92)</f>
        <v/>
      </c>
      <c r="H92" s="3"/>
      <c r="I92" s="255" t="str">
        <f>IF('Employee Detail FY26'!I92="","",'Employee Detail FY26'!I92)</f>
        <v/>
      </c>
      <c r="J92" s="255" t="str">
        <f>IF('Employee Detail FY26'!J92="","",'Employee Detail FY26'!J92)</f>
        <v/>
      </c>
      <c r="K92" s="255" t="str">
        <f>IF('Employee Detail FY26'!K92="","",'Employee Detail FY26'!K92)</f>
        <v/>
      </c>
      <c r="L92" s="255" t="str">
        <f>IF('Employee Detail FY26'!L92="","",'Employee Detail FY26'!L92)</f>
        <v/>
      </c>
      <c r="M92" s="92" t="str">
        <f>IF('Employee Detail FY26'!M92="","",'Employee Detail FY26'!M92)</f>
        <v/>
      </c>
      <c r="N92" s="3" t="str">
        <f>IF('Employee Detail FY26'!N92="","",'Employee Detail FY26'!N92)</f>
        <v/>
      </c>
      <c r="O92" s="3" t="str">
        <f>IF('Employee Detail FY26'!O92="","",'Employee Detail FY26'!O92)</f>
        <v/>
      </c>
      <c r="P92" s="3" t="str">
        <f>IF('Employee Detail FY26'!P92="","",'Employee Detail FY26'!P92)</f>
        <v/>
      </c>
      <c r="Q92" s="3" t="str">
        <f>IF('Employee Detail FY26'!Q92="","",'Employee Detail FY26'!Q92)</f>
        <v/>
      </c>
      <c r="R92" s="3" t="str">
        <f>IF('Employee Detail FY26'!R92="","",'Employee Detail FY26'!R92)</f>
        <v/>
      </c>
      <c r="S92" s="3" t="str">
        <f>IF('Employee Detail FY26'!S92="","",'Employee Detail FY26'!S92)</f>
        <v/>
      </c>
      <c r="T92" s="263" t="str">
        <f t="shared" si="20"/>
        <v/>
      </c>
      <c r="U92" s="269">
        <f>IF('Employee Detail FY26'!U92="","",'Employee Detail FY26'!U92)</f>
        <v>0</v>
      </c>
      <c r="V92" s="270">
        <f t="shared" si="21"/>
        <v>0</v>
      </c>
      <c r="W92" s="270" t="str">
        <f t="shared" si="22"/>
        <v/>
      </c>
      <c r="X92" s="270" t="str">
        <f t="shared" si="23"/>
        <v/>
      </c>
      <c r="Y92" s="62">
        <v>0</v>
      </c>
      <c r="Z92" s="62">
        <v>0</v>
      </c>
      <c r="AA92" s="256">
        <f t="shared" si="24"/>
        <v>0</v>
      </c>
      <c r="AB92" s="3"/>
      <c r="AC92" s="62" t="str">
        <f t="shared" si="25"/>
        <v/>
      </c>
      <c r="AD92" s="62" t="str">
        <f t="shared" si="26"/>
        <v/>
      </c>
      <c r="AE92" s="62" t="str">
        <f t="shared" si="27"/>
        <v/>
      </c>
      <c r="AF92" s="62" t="str">
        <f t="shared" si="28"/>
        <v/>
      </c>
      <c r="AG92" s="192">
        <v>0</v>
      </c>
      <c r="AH92" s="62" t="str">
        <f t="shared" si="29"/>
        <v/>
      </c>
      <c r="AI92" s="62">
        <f t="shared" si="30"/>
        <v>0</v>
      </c>
      <c r="AJ92" s="62"/>
      <c r="AK92" s="62">
        <v>0</v>
      </c>
      <c r="AL92" s="256">
        <f t="shared" si="31"/>
        <v>0</v>
      </c>
      <c r="AM92" s="256">
        <f t="shared" si="32"/>
        <v>0</v>
      </c>
      <c r="AN92" s="256">
        <f t="shared" si="33"/>
        <v>0</v>
      </c>
    </row>
    <row r="93" spans="1:40" x14ac:dyDescent="0.2">
      <c r="A93" s="3" t="str">
        <f>IF('Employee Detail FY26'!A93="","",'Employee Detail FY26'!A93)</f>
        <v>CSP</v>
      </c>
      <c r="B93" s="3" t="str">
        <f>IF('Employee Detail FY26'!B93="","",'Employee Detail FY26'!B93)</f>
        <v>100</v>
      </c>
      <c r="C93" s="3" t="str">
        <f>IF('Employee Detail FY26'!C93="","",'Employee Detail FY26'!C93)</f>
        <v>000</v>
      </c>
      <c r="D93" s="3"/>
      <c r="E93" s="3">
        <f>IF('Employee Detail FY26'!E93="","",'Employee Detail FY26'!E93)</f>
        <v>100</v>
      </c>
      <c r="F93" s="3" t="str">
        <f>IF('Employee Detail FY26'!F93="","",'Employee Detail FY26'!F93)</f>
        <v>1000</v>
      </c>
      <c r="G93" s="3" t="str">
        <f>IF('Employee Detail FY26'!G93="","",'Employee Detail FY26'!G93)</f>
        <v>0151</v>
      </c>
      <c r="H93" s="3"/>
      <c r="I93" s="255" t="str">
        <f>IF('Employee Detail FY26'!I93="","",'Employee Detail FY26'!I93)</f>
        <v>CSP PROFESSIONAL DEVELOPMENT</v>
      </c>
      <c r="J93" s="255" t="str">
        <f>IF('Employee Detail FY26'!J93="","",'Employee Detail FY26'!J93)</f>
        <v/>
      </c>
      <c r="K93" s="255" t="str">
        <f>IF('Employee Detail FY26'!K93="","",'Employee Detail FY26'!K93)</f>
        <v/>
      </c>
      <c r="L93" s="255" t="str">
        <f>IF('Employee Detail FY26'!L93="","",'Employee Detail FY26'!L93)</f>
        <v>CSP PROFESSIONAL DEVELOPMENT</v>
      </c>
      <c r="M93" s="92">
        <f>IF('Employee Detail FY26'!M93="","",'Employee Detail FY26'!M93)</f>
        <v>0</v>
      </c>
      <c r="N93" s="3" t="str">
        <f>IF('Employee Detail FY26'!N93="","",'Employee Detail FY26'!N93)</f>
        <v/>
      </c>
      <c r="O93" s="3" t="str">
        <f>IF('Employee Detail FY26'!O93="","",'Employee Detail FY26'!O93)</f>
        <v/>
      </c>
      <c r="P93" s="3" t="str">
        <f>IF('Employee Detail FY26'!P93="","",'Employee Detail FY26'!P93)</f>
        <v>N</v>
      </c>
      <c r="Q93" s="3" t="str">
        <f>IF('Employee Detail FY26'!Q93="","",'Employee Detail FY26'!Q93)</f>
        <v/>
      </c>
      <c r="R93" s="3" t="str">
        <f>IF('Employee Detail FY26'!R93="","",'Employee Detail FY26'!R93)</f>
        <v/>
      </c>
      <c r="S93" s="3" t="str">
        <f>IF('Employee Detail FY26'!S93="","",'Employee Detail FY26'!S93)</f>
        <v/>
      </c>
      <c r="T93" s="263" t="str">
        <f t="shared" si="20"/>
        <v/>
      </c>
      <c r="U93" s="269">
        <f>IF('Employee Detail FY26'!U93="","",'Employee Detail FY26'!U93)</f>
        <v>0</v>
      </c>
      <c r="V93" s="270">
        <f t="shared" si="21"/>
        <v>0</v>
      </c>
      <c r="W93" s="270" t="str">
        <f t="shared" si="22"/>
        <v/>
      </c>
      <c r="X93" s="270">
        <f t="shared" si="23"/>
        <v>0</v>
      </c>
      <c r="Y93" s="62">
        <v>0</v>
      </c>
      <c r="Z93" s="62">
        <v>0</v>
      </c>
      <c r="AA93" s="256">
        <f t="shared" si="24"/>
        <v>0</v>
      </c>
      <c r="AB93" s="3"/>
      <c r="AC93" s="62" t="str">
        <f t="shared" si="25"/>
        <v/>
      </c>
      <c r="AD93" s="62">
        <f t="shared" si="26"/>
        <v>0</v>
      </c>
      <c r="AE93" s="62" t="str">
        <f t="shared" si="27"/>
        <v/>
      </c>
      <c r="AF93" s="62" t="str">
        <f t="shared" si="28"/>
        <v/>
      </c>
      <c r="AG93" s="192">
        <v>0</v>
      </c>
      <c r="AH93" s="62" t="str">
        <f t="shared" si="29"/>
        <v/>
      </c>
      <c r="AI93" s="62">
        <f t="shared" si="30"/>
        <v>0</v>
      </c>
      <c r="AJ93" s="62"/>
      <c r="AK93" s="62">
        <v>0</v>
      </c>
      <c r="AL93" s="256">
        <f t="shared" si="31"/>
        <v>0</v>
      </c>
      <c r="AM93" s="256">
        <f t="shared" si="32"/>
        <v>0</v>
      </c>
      <c r="AN93" s="256">
        <f t="shared" si="33"/>
        <v>0</v>
      </c>
    </row>
    <row r="94" spans="1:40" x14ac:dyDescent="0.2">
      <c r="A94" s="3" t="str">
        <f>IF('Employee Detail FY26'!A94="","",'Employee Detail FY26'!A94)</f>
        <v>CSP</v>
      </c>
      <c r="B94" s="3" t="str">
        <f>IF('Employee Detail FY26'!B94="","",'Employee Detail FY26'!B94)</f>
        <v>100</v>
      </c>
      <c r="C94" s="3" t="str">
        <f>IF('Employee Detail FY26'!C94="","",'Employee Detail FY26'!C94)</f>
        <v>000</v>
      </c>
      <c r="D94" s="3"/>
      <c r="E94" s="3">
        <f>IF('Employee Detail FY26'!E94="","",'Employee Detail FY26'!E94)</f>
        <v>100</v>
      </c>
      <c r="F94" s="3" t="str">
        <f>IF('Employee Detail FY26'!F94="","",'Employee Detail FY26'!F94)</f>
        <v>1000</v>
      </c>
      <c r="G94" s="3" t="str">
        <f>IF('Employee Detail FY26'!G94="","",'Employee Detail FY26'!G94)</f>
        <v>0151</v>
      </c>
      <c r="H94" s="3"/>
      <c r="I94" s="255" t="str">
        <f>IF('Employee Detail FY26'!I94="","",'Employee Detail FY26'!I94)</f>
        <v>CSP PROFESSIONAL DEVELOPMENT</v>
      </c>
      <c r="J94" s="255" t="str">
        <f>IF('Employee Detail FY26'!J94="","",'Employee Detail FY26'!J94)</f>
        <v/>
      </c>
      <c r="K94" s="255" t="str">
        <f>IF('Employee Detail FY26'!K94="","",'Employee Detail FY26'!K94)</f>
        <v/>
      </c>
      <c r="L94" s="255" t="str">
        <f>IF('Employee Detail FY26'!L94="","",'Employee Detail FY26'!L94)</f>
        <v>CSP PROFESSIONAL DEVELOPMENT</v>
      </c>
      <c r="M94" s="92">
        <f>IF('Employee Detail FY26'!M94="","",'Employee Detail FY26'!M94)</f>
        <v>0</v>
      </c>
      <c r="N94" s="3" t="str">
        <f>IF('Employee Detail FY26'!N94="","",'Employee Detail FY26'!N94)</f>
        <v/>
      </c>
      <c r="O94" s="3" t="str">
        <f>IF('Employee Detail FY26'!O94="","",'Employee Detail FY26'!O94)</f>
        <v/>
      </c>
      <c r="P94" s="3" t="str">
        <f>IF('Employee Detail FY26'!P94="","",'Employee Detail FY26'!P94)</f>
        <v>N</v>
      </c>
      <c r="Q94" s="3" t="str">
        <f>IF('Employee Detail FY26'!Q94="","",'Employee Detail FY26'!Q94)</f>
        <v/>
      </c>
      <c r="R94" s="3" t="str">
        <f>IF('Employee Detail FY26'!R94="","",'Employee Detail FY26'!R94)</f>
        <v/>
      </c>
      <c r="S94" s="3" t="str">
        <f>IF('Employee Detail FY26'!S94="","",'Employee Detail FY26'!S94)</f>
        <v/>
      </c>
      <c r="T94" s="263" t="str">
        <f t="shared" si="20"/>
        <v/>
      </c>
      <c r="U94" s="269">
        <f>IF('Employee Detail FY26'!U94="","",'Employee Detail FY26'!U94)</f>
        <v>0</v>
      </c>
      <c r="V94" s="270">
        <f t="shared" si="21"/>
        <v>0</v>
      </c>
      <c r="W94" s="270" t="str">
        <f t="shared" si="22"/>
        <v/>
      </c>
      <c r="X94" s="270">
        <f t="shared" si="23"/>
        <v>0</v>
      </c>
      <c r="Y94" s="62">
        <v>0</v>
      </c>
      <c r="Z94" s="62">
        <v>0</v>
      </c>
      <c r="AA94" s="256">
        <f t="shared" si="24"/>
        <v>0</v>
      </c>
      <c r="AB94" s="3"/>
      <c r="AC94" s="62" t="str">
        <f t="shared" si="25"/>
        <v/>
      </c>
      <c r="AD94" s="62">
        <f t="shared" si="26"/>
        <v>0</v>
      </c>
      <c r="AE94" s="62" t="str">
        <f t="shared" si="27"/>
        <v/>
      </c>
      <c r="AF94" s="62" t="str">
        <f t="shared" si="28"/>
        <v/>
      </c>
      <c r="AG94" s="192">
        <v>0</v>
      </c>
      <c r="AH94" s="62" t="str">
        <f t="shared" si="29"/>
        <v/>
      </c>
      <c r="AI94" s="62">
        <f t="shared" si="30"/>
        <v>0</v>
      </c>
      <c r="AJ94" s="62"/>
      <c r="AK94" s="62">
        <v>0</v>
      </c>
      <c r="AL94" s="256">
        <f t="shared" si="31"/>
        <v>0</v>
      </c>
      <c r="AM94" s="256">
        <f t="shared" si="32"/>
        <v>0</v>
      </c>
      <c r="AN94" s="256">
        <f t="shared" si="33"/>
        <v>0</v>
      </c>
    </row>
    <row r="95" spans="1:40" x14ac:dyDescent="0.2">
      <c r="A95" s="3" t="str">
        <f>IF('Employee Detail FY26'!A95="","",'Employee Detail FY26'!A95)</f>
        <v>CSP</v>
      </c>
      <c r="B95" s="3" t="str">
        <f>IF('Employee Detail FY26'!B95="","",'Employee Detail FY26'!B95)</f>
        <v>100</v>
      </c>
      <c r="C95" s="3" t="str">
        <f>IF('Employee Detail FY26'!C95="","",'Employee Detail FY26'!C95)</f>
        <v>000</v>
      </c>
      <c r="D95" s="3"/>
      <c r="E95" s="3">
        <f>IF('Employee Detail FY26'!E95="","",'Employee Detail FY26'!E95)</f>
        <v>100</v>
      </c>
      <c r="F95" s="3" t="str">
        <f>IF('Employee Detail FY26'!F95="","",'Employee Detail FY26'!F95)</f>
        <v>1000</v>
      </c>
      <c r="G95" s="3" t="str">
        <f>IF('Employee Detail FY26'!G95="","",'Employee Detail FY26'!G95)</f>
        <v>0151</v>
      </c>
      <c r="H95" s="3"/>
      <c r="I95" s="255" t="str">
        <f>IF('Employee Detail FY26'!I95="","",'Employee Detail FY26'!I95)</f>
        <v>CSP PROFESSIONAL DEVELOPMENT</v>
      </c>
      <c r="J95" s="255" t="str">
        <f>IF('Employee Detail FY26'!J95="","",'Employee Detail FY26'!J95)</f>
        <v/>
      </c>
      <c r="K95" s="255" t="str">
        <f>IF('Employee Detail FY26'!K95="","",'Employee Detail FY26'!K95)</f>
        <v/>
      </c>
      <c r="L95" s="255" t="str">
        <f>IF('Employee Detail FY26'!L95="","",'Employee Detail FY26'!L95)</f>
        <v>CSP PROFESSIONAL DEVELOPMENT</v>
      </c>
      <c r="M95" s="92">
        <f>IF('Employee Detail FY26'!M95="","",'Employee Detail FY26'!M95)</f>
        <v>0</v>
      </c>
      <c r="N95" s="3" t="str">
        <f>IF('Employee Detail FY26'!N95="","",'Employee Detail FY26'!N95)</f>
        <v/>
      </c>
      <c r="O95" s="3" t="str">
        <f>IF('Employee Detail FY26'!O95="","",'Employee Detail FY26'!O95)</f>
        <v/>
      </c>
      <c r="P95" s="3" t="str">
        <f>IF('Employee Detail FY26'!P95="","",'Employee Detail FY26'!P95)</f>
        <v>N</v>
      </c>
      <c r="Q95" s="3" t="str">
        <f>IF('Employee Detail FY26'!Q95="","",'Employee Detail FY26'!Q95)</f>
        <v/>
      </c>
      <c r="R95" s="3" t="str">
        <f>IF('Employee Detail FY26'!R95="","",'Employee Detail FY26'!R95)</f>
        <v/>
      </c>
      <c r="S95" s="3" t="str">
        <f>IF('Employee Detail FY26'!S95="","",'Employee Detail FY26'!S95)</f>
        <v/>
      </c>
      <c r="T95" s="263" t="str">
        <f t="shared" si="20"/>
        <v/>
      </c>
      <c r="U95" s="269">
        <f>IF('Employee Detail FY26'!U95="","",'Employee Detail FY26'!U95)</f>
        <v>0</v>
      </c>
      <c r="V95" s="270">
        <f t="shared" si="21"/>
        <v>0</v>
      </c>
      <c r="W95" s="270" t="str">
        <f t="shared" si="22"/>
        <v/>
      </c>
      <c r="X95" s="270">
        <f t="shared" si="23"/>
        <v>0</v>
      </c>
      <c r="Y95" s="62">
        <v>0</v>
      </c>
      <c r="Z95" s="62">
        <v>0</v>
      </c>
      <c r="AA95" s="256">
        <f t="shared" si="24"/>
        <v>0</v>
      </c>
      <c r="AB95" s="3"/>
      <c r="AC95" s="62" t="str">
        <f t="shared" si="25"/>
        <v/>
      </c>
      <c r="AD95" s="62">
        <f t="shared" si="26"/>
        <v>0</v>
      </c>
      <c r="AE95" s="62" t="str">
        <f t="shared" si="27"/>
        <v/>
      </c>
      <c r="AF95" s="62" t="str">
        <f t="shared" si="28"/>
        <v/>
      </c>
      <c r="AG95" s="192">
        <v>0</v>
      </c>
      <c r="AH95" s="62" t="str">
        <f t="shared" si="29"/>
        <v/>
      </c>
      <c r="AI95" s="62">
        <f t="shared" si="30"/>
        <v>0</v>
      </c>
      <c r="AJ95" s="62"/>
      <c r="AK95" s="62">
        <v>0</v>
      </c>
      <c r="AL95" s="256">
        <f t="shared" si="31"/>
        <v>0</v>
      </c>
      <c r="AM95" s="256">
        <f t="shared" si="32"/>
        <v>0</v>
      </c>
      <c r="AN95" s="256">
        <f t="shared" si="33"/>
        <v>0</v>
      </c>
    </row>
    <row r="96" spans="1:40" hidden="1" x14ac:dyDescent="0.2">
      <c r="A96" s="3" t="str">
        <f>IF('Employee Detail FY26'!A96="","",'Employee Detail FY26'!A96)</f>
        <v/>
      </c>
      <c r="B96" s="3" t="str">
        <f>IF('Employee Detail FY26'!B96="","",'Employee Detail FY26'!B96)</f>
        <v/>
      </c>
      <c r="C96" s="3" t="str">
        <f>IF('Employee Detail FY26'!C96="","",'Employee Detail FY26'!C96)</f>
        <v/>
      </c>
      <c r="D96" s="3"/>
      <c r="E96" s="3" t="str">
        <f>IF('Employee Detail FY26'!E96="","",'Employee Detail FY26'!E96)</f>
        <v/>
      </c>
      <c r="F96" s="3" t="str">
        <f>IF('Employee Detail FY26'!F96="","",'Employee Detail FY26'!F96)</f>
        <v/>
      </c>
      <c r="G96" s="3" t="str">
        <f>IF('Employee Detail FY26'!G96="","",'Employee Detail FY26'!G96)</f>
        <v/>
      </c>
      <c r="H96" s="3"/>
      <c r="I96" s="255" t="str">
        <f>IF('Employee Detail FY26'!I96="","",'Employee Detail FY26'!I96)</f>
        <v/>
      </c>
      <c r="J96" s="255" t="str">
        <f>IF('Employee Detail FY26'!J96="","",'Employee Detail FY26'!J96)</f>
        <v/>
      </c>
      <c r="K96" s="255" t="str">
        <f>IF('Employee Detail FY26'!K96="","",'Employee Detail FY26'!K96)</f>
        <v/>
      </c>
      <c r="L96" s="255" t="str">
        <f>IF('Employee Detail FY26'!L96="","",'Employee Detail FY26'!L96)</f>
        <v/>
      </c>
      <c r="M96" s="92" t="str">
        <f>IF('Employee Detail FY26'!M96="","",'Employee Detail FY26'!M96)</f>
        <v/>
      </c>
      <c r="N96" s="3" t="str">
        <f>IF('Employee Detail FY26'!N96="","",'Employee Detail FY26'!N96)</f>
        <v/>
      </c>
      <c r="O96" s="3" t="str">
        <f>IF('Employee Detail FY26'!O96="","",'Employee Detail FY26'!O96)</f>
        <v/>
      </c>
      <c r="P96" s="3" t="str">
        <f>IF('Employee Detail FY26'!P96="","",'Employee Detail FY26'!P96)</f>
        <v/>
      </c>
      <c r="Q96" s="3" t="str">
        <f>IF('Employee Detail FY26'!Q96="","",'Employee Detail FY26'!Q96)</f>
        <v/>
      </c>
      <c r="R96" s="3" t="str">
        <f>IF('Employee Detail FY26'!R96="","",'Employee Detail FY26'!R96)</f>
        <v/>
      </c>
      <c r="S96" s="3" t="str">
        <f>IF('Employee Detail FY26'!S96="","",'Employee Detail FY26'!S96)</f>
        <v/>
      </c>
      <c r="T96" s="263" t="str">
        <f t="shared" ref="T96:T104" si="34">+IF(R96="","",R96*S96)</f>
        <v/>
      </c>
      <c r="U96" s="269">
        <f>IF('Employee Detail FY26'!U96="","",'Employee Detail FY26'!U96)</f>
        <v>0</v>
      </c>
      <c r="V96" s="270">
        <f t="shared" si="21"/>
        <v>0</v>
      </c>
      <c r="W96" s="270" t="str">
        <f t="shared" ref="W96:W104" si="35">+IF(P96="EE",+V96*$W$1,"")</f>
        <v/>
      </c>
      <c r="X96" s="270" t="str">
        <f t="shared" ref="X96:X104" si="36">_xlfn.IFS(P96="ER",V96,P96="EE",W96,P96="N",V96,P96="","")</f>
        <v/>
      </c>
      <c r="Y96" s="62">
        <v>0</v>
      </c>
      <c r="Z96" s="62">
        <v>0</v>
      </c>
      <c r="AA96" s="256">
        <f t="shared" ref="AA96:AA104" si="37">SUM(X96:Z96)</f>
        <v>0</v>
      </c>
      <c r="AB96" s="3"/>
      <c r="AC96" s="62" t="str">
        <f t="shared" ref="AC96:AC104" si="38">IF(AND(M96=1,P96&lt;&gt;"N"),$AC$1,"")</f>
        <v/>
      </c>
      <c r="AD96" s="62" t="str">
        <f t="shared" ref="AD96:AD104" si="39">_xlfn.IFS(P96="N",$AD$1*AA96,P96="EE","",P96="ER","",P96="","")</f>
        <v/>
      </c>
      <c r="AE96" s="62" t="str">
        <f t="shared" ref="AE96:AE104" si="40">_xlfn.IFS(P96="EE",X96*$AE$1,P96="ER",X96*$AE$2,P96="N","",P96="","")</f>
        <v/>
      </c>
      <c r="AF96" s="62" t="str">
        <f t="shared" ref="AF96:AF104" si="41">+IF(AA96&gt;1,AA96*$AF$1,"")</f>
        <v/>
      </c>
      <c r="AG96" s="192">
        <v>0</v>
      </c>
      <c r="AH96" s="62" t="str">
        <f t="shared" ref="AH96:AH104" si="42">+IF(AA96&gt;1,AA96*$AH$1,"")</f>
        <v/>
      </c>
      <c r="AI96" s="62">
        <f t="shared" ref="AI96:AI104" si="43">+_xlfn.IFS(F96&lt;2300,(AA96*$AI$1),F96&gt;=2300,(AA96*$AI$2),F96="","")</f>
        <v>0</v>
      </c>
      <c r="AJ96" s="62"/>
      <c r="AK96" s="62">
        <v>0</v>
      </c>
      <c r="AL96" s="256">
        <f t="shared" ref="AL96:AL104" si="44">SUM(AC96:AK96)</f>
        <v>0</v>
      </c>
      <c r="AM96" s="256">
        <f t="shared" ref="AM96:AM104" si="45">AA96</f>
        <v>0</v>
      </c>
      <c r="AN96" s="256">
        <f t="shared" ref="AN96:AN104" si="46">SUM(AL96:AM96)</f>
        <v>0</v>
      </c>
    </row>
    <row r="97" spans="1:40" hidden="1" x14ac:dyDescent="0.2">
      <c r="A97" s="3" t="str">
        <f>IF('Employee Detail FY26'!A97="","",'Employee Detail FY26'!A97)</f>
        <v/>
      </c>
      <c r="B97" s="3" t="str">
        <f>IF('Employee Detail FY26'!B97="","",'Employee Detail FY26'!B97)</f>
        <v/>
      </c>
      <c r="C97" s="3" t="str">
        <f>IF('Employee Detail FY26'!C97="","",'Employee Detail FY26'!C97)</f>
        <v/>
      </c>
      <c r="D97" s="3"/>
      <c r="E97" s="3" t="str">
        <f>IF('Employee Detail FY26'!E97="","",'Employee Detail FY26'!E97)</f>
        <v/>
      </c>
      <c r="F97" s="3" t="str">
        <f>IF('Employee Detail FY26'!F97="","",'Employee Detail FY26'!F97)</f>
        <v/>
      </c>
      <c r="G97" s="3" t="str">
        <f>IF('Employee Detail FY26'!G97="","",'Employee Detail FY26'!G97)</f>
        <v/>
      </c>
      <c r="H97" s="3"/>
      <c r="I97" s="255" t="str">
        <f>IF('Employee Detail FY26'!I97="","",'Employee Detail FY26'!I97)</f>
        <v/>
      </c>
      <c r="J97" s="255" t="str">
        <f>IF('Employee Detail FY26'!J97="","",'Employee Detail FY26'!J97)</f>
        <v/>
      </c>
      <c r="K97" s="255" t="str">
        <f>IF('Employee Detail FY26'!K97="","",'Employee Detail FY26'!K97)</f>
        <v/>
      </c>
      <c r="L97" s="255" t="str">
        <f>IF('Employee Detail FY26'!L97="","",'Employee Detail FY26'!L97)</f>
        <v/>
      </c>
      <c r="M97" s="92" t="str">
        <f>IF('Employee Detail FY26'!M97="","",'Employee Detail FY26'!M97)</f>
        <v/>
      </c>
      <c r="N97" s="3" t="str">
        <f>IF('Employee Detail FY26'!N97="","",'Employee Detail FY26'!N97)</f>
        <v/>
      </c>
      <c r="O97" s="3" t="str">
        <f>IF('Employee Detail FY26'!O97="","",'Employee Detail FY26'!O97)</f>
        <v/>
      </c>
      <c r="P97" s="3" t="str">
        <f>IF('Employee Detail FY26'!P97="","",'Employee Detail FY26'!P97)</f>
        <v/>
      </c>
      <c r="Q97" s="3" t="str">
        <f>IF('Employee Detail FY26'!Q97="","",'Employee Detail FY26'!Q97)</f>
        <v/>
      </c>
      <c r="R97" s="3" t="str">
        <f>IF('Employee Detail FY26'!R97="","",'Employee Detail FY26'!R97)</f>
        <v/>
      </c>
      <c r="S97" s="3" t="str">
        <f>IF('Employee Detail FY26'!S97="","",'Employee Detail FY26'!S97)</f>
        <v/>
      </c>
      <c r="T97" s="263" t="str">
        <f t="shared" si="34"/>
        <v/>
      </c>
      <c r="U97" s="269">
        <f>IF('Employee Detail FY26'!U97="","",'Employee Detail FY26'!U97)</f>
        <v>0</v>
      </c>
      <c r="V97" s="270">
        <f t="shared" si="21"/>
        <v>0</v>
      </c>
      <c r="W97" s="270" t="str">
        <f t="shared" si="35"/>
        <v/>
      </c>
      <c r="X97" s="270" t="str">
        <f t="shared" si="36"/>
        <v/>
      </c>
      <c r="Y97" s="62">
        <v>0</v>
      </c>
      <c r="Z97" s="62">
        <v>0</v>
      </c>
      <c r="AA97" s="256">
        <f t="shared" si="37"/>
        <v>0</v>
      </c>
      <c r="AB97" s="3"/>
      <c r="AC97" s="62" t="str">
        <f t="shared" si="38"/>
        <v/>
      </c>
      <c r="AD97" s="62" t="str">
        <f t="shared" si="39"/>
        <v/>
      </c>
      <c r="AE97" s="62" t="str">
        <f t="shared" si="40"/>
        <v/>
      </c>
      <c r="AF97" s="62" t="str">
        <f t="shared" si="41"/>
        <v/>
      </c>
      <c r="AG97" s="192">
        <v>0</v>
      </c>
      <c r="AH97" s="62" t="str">
        <f t="shared" si="42"/>
        <v/>
      </c>
      <c r="AI97" s="62">
        <f t="shared" si="43"/>
        <v>0</v>
      </c>
      <c r="AJ97" s="62"/>
      <c r="AK97" s="62">
        <v>0</v>
      </c>
      <c r="AL97" s="256">
        <f t="shared" si="44"/>
        <v>0</v>
      </c>
      <c r="AM97" s="256">
        <f t="shared" si="45"/>
        <v>0</v>
      </c>
      <c r="AN97" s="256">
        <f t="shared" si="46"/>
        <v>0</v>
      </c>
    </row>
    <row r="98" spans="1:40" hidden="1" x14ac:dyDescent="0.2">
      <c r="A98" s="3" t="str">
        <f>IF('Employee Detail FY26'!A98="","",'Employee Detail FY26'!A98)</f>
        <v/>
      </c>
      <c r="B98" s="3" t="str">
        <f>IF('Employee Detail FY26'!B98="","",'Employee Detail FY26'!B98)</f>
        <v/>
      </c>
      <c r="C98" s="3" t="str">
        <f>IF('Employee Detail FY26'!C98="","",'Employee Detail FY26'!C98)</f>
        <v/>
      </c>
      <c r="D98" s="3"/>
      <c r="E98" s="3" t="str">
        <f>IF('Employee Detail FY26'!E98="","",'Employee Detail FY26'!E98)</f>
        <v/>
      </c>
      <c r="F98" s="3" t="str">
        <f>IF('Employee Detail FY26'!F98="","",'Employee Detail FY26'!F98)</f>
        <v/>
      </c>
      <c r="G98" s="3" t="str">
        <f>IF('Employee Detail FY26'!G98="","",'Employee Detail FY26'!G98)</f>
        <v/>
      </c>
      <c r="H98" s="3"/>
      <c r="I98" s="255" t="str">
        <f>IF('Employee Detail FY26'!I98="","",'Employee Detail FY26'!I98)</f>
        <v/>
      </c>
      <c r="J98" s="255" t="str">
        <f>IF('Employee Detail FY26'!J98="","",'Employee Detail FY26'!J98)</f>
        <v/>
      </c>
      <c r="K98" s="255" t="str">
        <f>IF('Employee Detail FY26'!K98="","",'Employee Detail FY26'!K98)</f>
        <v/>
      </c>
      <c r="L98" s="255" t="str">
        <f>IF('Employee Detail FY26'!L98="","",'Employee Detail FY26'!L98)</f>
        <v/>
      </c>
      <c r="M98" s="92" t="str">
        <f>IF('Employee Detail FY26'!M98="","",'Employee Detail FY26'!M98)</f>
        <v/>
      </c>
      <c r="N98" s="3" t="str">
        <f>IF('Employee Detail FY26'!N98="","",'Employee Detail FY26'!N98)</f>
        <v/>
      </c>
      <c r="O98" s="3" t="str">
        <f>IF('Employee Detail FY26'!O98="","",'Employee Detail FY26'!O98)</f>
        <v/>
      </c>
      <c r="P98" s="3" t="str">
        <f>IF('Employee Detail FY26'!P98="","",'Employee Detail FY26'!P98)</f>
        <v/>
      </c>
      <c r="Q98" s="3" t="str">
        <f>IF('Employee Detail FY26'!Q98="","",'Employee Detail FY26'!Q98)</f>
        <v/>
      </c>
      <c r="R98" s="3" t="str">
        <f>IF('Employee Detail FY26'!R98="","",'Employee Detail FY26'!R98)</f>
        <v/>
      </c>
      <c r="S98" s="3" t="str">
        <f>IF('Employee Detail FY26'!S98="","",'Employee Detail FY26'!S98)</f>
        <v/>
      </c>
      <c r="T98" s="263" t="str">
        <f t="shared" si="34"/>
        <v/>
      </c>
      <c r="U98" s="269">
        <f>IF('Employee Detail FY26'!U98="","",'Employee Detail FY26'!U98)</f>
        <v>0</v>
      </c>
      <c r="V98" s="270">
        <f t="shared" si="21"/>
        <v>0</v>
      </c>
      <c r="W98" s="270" t="str">
        <f t="shared" si="35"/>
        <v/>
      </c>
      <c r="X98" s="270" t="str">
        <f t="shared" si="36"/>
        <v/>
      </c>
      <c r="Y98" s="62">
        <v>0</v>
      </c>
      <c r="Z98" s="62">
        <v>0</v>
      </c>
      <c r="AA98" s="256">
        <f t="shared" si="37"/>
        <v>0</v>
      </c>
      <c r="AB98" s="3"/>
      <c r="AC98" s="62" t="str">
        <f t="shared" si="38"/>
        <v/>
      </c>
      <c r="AD98" s="62" t="str">
        <f t="shared" si="39"/>
        <v/>
      </c>
      <c r="AE98" s="62" t="str">
        <f t="shared" si="40"/>
        <v/>
      </c>
      <c r="AF98" s="62" t="str">
        <f t="shared" si="41"/>
        <v/>
      </c>
      <c r="AG98" s="192">
        <v>0</v>
      </c>
      <c r="AH98" s="62" t="str">
        <f t="shared" si="42"/>
        <v/>
      </c>
      <c r="AI98" s="62">
        <f t="shared" si="43"/>
        <v>0</v>
      </c>
      <c r="AJ98" s="62"/>
      <c r="AK98" s="62">
        <v>0</v>
      </c>
      <c r="AL98" s="256">
        <f t="shared" si="44"/>
        <v>0</v>
      </c>
      <c r="AM98" s="256">
        <f t="shared" si="45"/>
        <v>0</v>
      </c>
      <c r="AN98" s="256">
        <f t="shared" si="46"/>
        <v>0</v>
      </c>
    </row>
    <row r="99" spans="1:40" hidden="1" x14ac:dyDescent="0.2">
      <c r="A99" s="3" t="str">
        <f>IF('Employee Detail FY26'!A99="","",'Employee Detail FY26'!A99)</f>
        <v/>
      </c>
      <c r="B99" s="3" t="str">
        <f>IF('Employee Detail FY26'!B99="","",'Employee Detail FY26'!B99)</f>
        <v/>
      </c>
      <c r="C99" s="3" t="str">
        <f>IF('Employee Detail FY26'!C99="","",'Employee Detail FY26'!C99)</f>
        <v/>
      </c>
      <c r="D99" s="3"/>
      <c r="E99" s="3" t="str">
        <f>IF('Employee Detail FY26'!E99="","",'Employee Detail FY26'!E99)</f>
        <v/>
      </c>
      <c r="F99" s="3" t="str">
        <f>IF('Employee Detail FY26'!F99="","",'Employee Detail FY26'!F99)</f>
        <v/>
      </c>
      <c r="G99" s="3" t="str">
        <f>IF('Employee Detail FY26'!G99="","",'Employee Detail FY26'!G99)</f>
        <v/>
      </c>
      <c r="H99" s="3"/>
      <c r="I99" s="255" t="str">
        <f>IF('Employee Detail FY26'!I99="","",'Employee Detail FY26'!I99)</f>
        <v/>
      </c>
      <c r="J99" s="255" t="str">
        <f>IF('Employee Detail FY26'!J99="","",'Employee Detail FY26'!J99)</f>
        <v/>
      </c>
      <c r="K99" s="255" t="str">
        <f>IF('Employee Detail FY26'!K99="","",'Employee Detail FY26'!K99)</f>
        <v/>
      </c>
      <c r="L99" s="255" t="str">
        <f>IF('Employee Detail FY26'!L99="","",'Employee Detail FY26'!L99)</f>
        <v/>
      </c>
      <c r="M99" s="92" t="str">
        <f>IF('Employee Detail FY26'!M99="","",'Employee Detail FY26'!M99)</f>
        <v/>
      </c>
      <c r="N99" s="3" t="str">
        <f>IF('Employee Detail FY26'!N99="","",'Employee Detail FY26'!N99)</f>
        <v/>
      </c>
      <c r="O99" s="3" t="str">
        <f>IF('Employee Detail FY26'!O99="","",'Employee Detail FY26'!O99)</f>
        <v/>
      </c>
      <c r="P99" s="3" t="str">
        <f>IF('Employee Detail FY26'!P99="","",'Employee Detail FY26'!P99)</f>
        <v/>
      </c>
      <c r="Q99" s="3" t="str">
        <f>IF('Employee Detail FY26'!Q99="","",'Employee Detail FY26'!Q99)</f>
        <v/>
      </c>
      <c r="R99" s="3" t="str">
        <f>IF('Employee Detail FY26'!R99="","",'Employee Detail FY26'!R99)</f>
        <v/>
      </c>
      <c r="S99" s="3" t="str">
        <f>IF('Employee Detail FY26'!S99="","",'Employee Detail FY26'!S99)</f>
        <v/>
      </c>
      <c r="T99" s="263" t="str">
        <f t="shared" si="34"/>
        <v/>
      </c>
      <c r="U99" s="269">
        <f>IF('Employee Detail FY26'!U99="","",'Employee Detail FY26'!U99)</f>
        <v>0</v>
      </c>
      <c r="V99" s="270">
        <f t="shared" si="21"/>
        <v>0</v>
      </c>
      <c r="W99" s="270" t="str">
        <f t="shared" si="35"/>
        <v/>
      </c>
      <c r="X99" s="270" t="str">
        <f t="shared" si="36"/>
        <v/>
      </c>
      <c r="Y99" s="62">
        <v>0</v>
      </c>
      <c r="Z99" s="62">
        <v>0</v>
      </c>
      <c r="AA99" s="256">
        <f t="shared" si="37"/>
        <v>0</v>
      </c>
      <c r="AB99" s="3"/>
      <c r="AC99" s="62" t="str">
        <f t="shared" si="38"/>
        <v/>
      </c>
      <c r="AD99" s="62" t="str">
        <f t="shared" si="39"/>
        <v/>
      </c>
      <c r="AE99" s="62" t="str">
        <f t="shared" si="40"/>
        <v/>
      </c>
      <c r="AF99" s="62" t="str">
        <f t="shared" si="41"/>
        <v/>
      </c>
      <c r="AG99" s="192">
        <v>0</v>
      </c>
      <c r="AH99" s="62" t="str">
        <f t="shared" si="42"/>
        <v/>
      </c>
      <c r="AI99" s="62">
        <f t="shared" si="43"/>
        <v>0</v>
      </c>
      <c r="AJ99" s="62"/>
      <c r="AK99" s="62">
        <v>0</v>
      </c>
      <c r="AL99" s="256">
        <f t="shared" si="44"/>
        <v>0</v>
      </c>
      <c r="AM99" s="256">
        <f t="shared" si="45"/>
        <v>0</v>
      </c>
      <c r="AN99" s="256">
        <f t="shared" si="46"/>
        <v>0</v>
      </c>
    </row>
    <row r="100" spans="1:40" hidden="1" x14ac:dyDescent="0.2">
      <c r="A100" s="3" t="str">
        <f>IF('Employee Detail FY26'!A100="","",'Employee Detail FY26'!A100)</f>
        <v/>
      </c>
      <c r="B100" s="3" t="str">
        <f>IF('Employee Detail FY26'!B100="","",'Employee Detail FY26'!B100)</f>
        <v/>
      </c>
      <c r="C100" s="3" t="str">
        <f>IF('Employee Detail FY26'!C100="","",'Employee Detail FY26'!C100)</f>
        <v/>
      </c>
      <c r="D100" s="3"/>
      <c r="E100" s="3" t="str">
        <f>IF('Employee Detail FY26'!E100="","",'Employee Detail FY26'!E100)</f>
        <v/>
      </c>
      <c r="F100" s="3" t="str">
        <f>IF('Employee Detail FY26'!F100="","",'Employee Detail FY26'!F100)</f>
        <v/>
      </c>
      <c r="G100" s="3" t="str">
        <f>IF('Employee Detail FY26'!G100="","",'Employee Detail FY26'!G100)</f>
        <v/>
      </c>
      <c r="H100" s="3"/>
      <c r="I100" s="255" t="str">
        <f>IF('Employee Detail FY26'!I100="","",'Employee Detail FY26'!I100)</f>
        <v/>
      </c>
      <c r="J100" s="255" t="str">
        <f>IF('Employee Detail FY26'!J100="","",'Employee Detail FY26'!J100)</f>
        <v/>
      </c>
      <c r="K100" s="255" t="str">
        <f>IF('Employee Detail FY26'!K100="","",'Employee Detail FY26'!K100)</f>
        <v/>
      </c>
      <c r="L100" s="255" t="str">
        <f>IF('Employee Detail FY26'!L100="","",'Employee Detail FY26'!L100)</f>
        <v/>
      </c>
      <c r="M100" s="92" t="str">
        <f>IF('Employee Detail FY26'!M100="","",'Employee Detail FY26'!M100)</f>
        <v/>
      </c>
      <c r="N100" s="3" t="str">
        <f>IF('Employee Detail FY26'!N100="","",'Employee Detail FY26'!N100)</f>
        <v/>
      </c>
      <c r="O100" s="3" t="str">
        <f>IF('Employee Detail FY26'!O100="","",'Employee Detail FY26'!O100)</f>
        <v/>
      </c>
      <c r="P100" s="3" t="str">
        <f>IF('Employee Detail FY26'!P100="","",'Employee Detail FY26'!P100)</f>
        <v/>
      </c>
      <c r="Q100" s="3" t="str">
        <f>IF('Employee Detail FY26'!Q100="","",'Employee Detail FY26'!Q100)</f>
        <v/>
      </c>
      <c r="R100" s="3" t="str">
        <f>IF('Employee Detail FY26'!R100="","",'Employee Detail FY26'!R100)</f>
        <v/>
      </c>
      <c r="S100" s="3" t="str">
        <f>IF('Employee Detail FY26'!S100="","",'Employee Detail FY26'!S100)</f>
        <v/>
      </c>
      <c r="T100" s="263" t="str">
        <f t="shared" si="34"/>
        <v/>
      </c>
      <c r="U100" s="269">
        <f>IF('Employee Detail FY26'!U100="","",'Employee Detail FY26'!U100)</f>
        <v>0</v>
      </c>
      <c r="V100" s="270">
        <f t="shared" si="21"/>
        <v>0</v>
      </c>
      <c r="W100" s="270" t="str">
        <f t="shared" si="35"/>
        <v/>
      </c>
      <c r="X100" s="270" t="str">
        <f t="shared" si="36"/>
        <v/>
      </c>
      <c r="Y100" s="62">
        <v>0</v>
      </c>
      <c r="Z100" s="62">
        <v>0</v>
      </c>
      <c r="AA100" s="256">
        <f t="shared" si="37"/>
        <v>0</v>
      </c>
      <c r="AB100" s="3"/>
      <c r="AC100" s="62" t="str">
        <f t="shared" si="38"/>
        <v/>
      </c>
      <c r="AD100" s="62" t="str">
        <f t="shared" si="39"/>
        <v/>
      </c>
      <c r="AE100" s="62" t="str">
        <f t="shared" si="40"/>
        <v/>
      </c>
      <c r="AF100" s="62" t="str">
        <f t="shared" si="41"/>
        <v/>
      </c>
      <c r="AG100" s="192">
        <v>0</v>
      </c>
      <c r="AH100" s="62" t="str">
        <f t="shared" si="42"/>
        <v/>
      </c>
      <c r="AI100" s="62">
        <f t="shared" si="43"/>
        <v>0</v>
      </c>
      <c r="AJ100" s="62"/>
      <c r="AK100" s="62">
        <v>0</v>
      </c>
      <c r="AL100" s="256">
        <f t="shared" si="44"/>
        <v>0</v>
      </c>
      <c r="AM100" s="256">
        <f t="shared" si="45"/>
        <v>0</v>
      </c>
      <c r="AN100" s="256">
        <f t="shared" si="46"/>
        <v>0</v>
      </c>
    </row>
    <row r="101" spans="1:40" hidden="1" x14ac:dyDescent="0.2">
      <c r="A101" s="3" t="str">
        <f>IF('Employee Detail FY26'!A101="","",'Employee Detail FY26'!A101)</f>
        <v/>
      </c>
      <c r="B101" s="3" t="str">
        <f>IF('Employee Detail FY26'!B101="","",'Employee Detail FY26'!B101)</f>
        <v/>
      </c>
      <c r="C101" s="3" t="str">
        <f>IF('Employee Detail FY26'!C101="","",'Employee Detail FY26'!C101)</f>
        <v/>
      </c>
      <c r="D101" s="3"/>
      <c r="E101" s="3" t="str">
        <f>IF('Employee Detail FY26'!E101="","",'Employee Detail FY26'!E101)</f>
        <v/>
      </c>
      <c r="F101" s="3" t="str">
        <f>IF('Employee Detail FY26'!F101="","",'Employee Detail FY26'!F101)</f>
        <v/>
      </c>
      <c r="G101" s="3" t="str">
        <f>IF('Employee Detail FY26'!G101="","",'Employee Detail FY26'!G101)</f>
        <v/>
      </c>
      <c r="H101" s="3"/>
      <c r="I101" s="255" t="str">
        <f>IF('Employee Detail FY26'!I101="","",'Employee Detail FY26'!I101)</f>
        <v/>
      </c>
      <c r="J101" s="255" t="str">
        <f>IF('Employee Detail FY26'!J101="","",'Employee Detail FY26'!J101)</f>
        <v/>
      </c>
      <c r="K101" s="255" t="str">
        <f>IF('Employee Detail FY26'!K101="","",'Employee Detail FY26'!K101)</f>
        <v/>
      </c>
      <c r="L101" s="255" t="str">
        <f>IF('Employee Detail FY26'!L101="","",'Employee Detail FY26'!L101)</f>
        <v/>
      </c>
      <c r="M101" s="92" t="str">
        <f>IF('Employee Detail FY26'!M101="","",'Employee Detail FY26'!M101)</f>
        <v/>
      </c>
      <c r="N101" s="3" t="str">
        <f>IF('Employee Detail FY26'!N101="","",'Employee Detail FY26'!N101)</f>
        <v/>
      </c>
      <c r="O101" s="3" t="str">
        <f>IF('Employee Detail FY26'!O101="","",'Employee Detail FY26'!O101)</f>
        <v/>
      </c>
      <c r="P101" s="3" t="str">
        <f>IF('Employee Detail FY26'!P101="","",'Employee Detail FY26'!P101)</f>
        <v/>
      </c>
      <c r="Q101" s="3" t="str">
        <f>IF('Employee Detail FY26'!Q101="","",'Employee Detail FY26'!Q101)</f>
        <v/>
      </c>
      <c r="R101" s="3" t="str">
        <f>IF('Employee Detail FY26'!R101="","",'Employee Detail FY26'!R101)</f>
        <v/>
      </c>
      <c r="S101" s="3" t="str">
        <f>IF('Employee Detail FY26'!S101="","",'Employee Detail FY26'!S101)</f>
        <v/>
      </c>
      <c r="T101" s="263" t="str">
        <f t="shared" si="34"/>
        <v/>
      </c>
      <c r="U101" s="269">
        <f>IF('Employee Detail FY26'!U101="","",'Employee Detail FY26'!U101)</f>
        <v>0</v>
      </c>
      <c r="V101" s="270">
        <f t="shared" si="21"/>
        <v>0</v>
      </c>
      <c r="W101" s="270" t="str">
        <f t="shared" si="35"/>
        <v/>
      </c>
      <c r="X101" s="270" t="str">
        <f t="shared" si="36"/>
        <v/>
      </c>
      <c r="Y101" s="62">
        <v>0</v>
      </c>
      <c r="Z101" s="62">
        <v>0</v>
      </c>
      <c r="AA101" s="256">
        <f t="shared" si="37"/>
        <v>0</v>
      </c>
      <c r="AB101" s="3"/>
      <c r="AC101" s="62" t="str">
        <f t="shared" si="38"/>
        <v/>
      </c>
      <c r="AD101" s="62" t="str">
        <f t="shared" si="39"/>
        <v/>
      </c>
      <c r="AE101" s="62" t="str">
        <f t="shared" si="40"/>
        <v/>
      </c>
      <c r="AF101" s="62" t="str">
        <f t="shared" si="41"/>
        <v/>
      </c>
      <c r="AG101" s="192">
        <v>0</v>
      </c>
      <c r="AH101" s="62" t="str">
        <f t="shared" si="42"/>
        <v/>
      </c>
      <c r="AI101" s="62">
        <f t="shared" si="43"/>
        <v>0</v>
      </c>
      <c r="AJ101" s="62"/>
      <c r="AK101" s="62">
        <v>0</v>
      </c>
      <c r="AL101" s="256">
        <f t="shared" si="44"/>
        <v>0</v>
      </c>
      <c r="AM101" s="256">
        <f t="shared" si="45"/>
        <v>0</v>
      </c>
      <c r="AN101" s="256">
        <f t="shared" si="46"/>
        <v>0</v>
      </c>
    </row>
    <row r="102" spans="1:40" hidden="1" x14ac:dyDescent="0.2">
      <c r="A102" s="3" t="str">
        <f>IF('Employee Detail FY26'!A102="","",'Employee Detail FY26'!A102)</f>
        <v/>
      </c>
      <c r="B102" s="3" t="str">
        <f>IF('Employee Detail FY26'!B102="","",'Employee Detail FY26'!B102)</f>
        <v/>
      </c>
      <c r="C102" s="3" t="str">
        <f>IF('Employee Detail FY26'!C102="","",'Employee Detail FY26'!C102)</f>
        <v/>
      </c>
      <c r="D102" s="3"/>
      <c r="E102" s="3" t="str">
        <f>IF('Employee Detail FY26'!E102="","",'Employee Detail FY26'!E102)</f>
        <v/>
      </c>
      <c r="F102" s="3" t="str">
        <f>IF('Employee Detail FY26'!F102="","",'Employee Detail FY26'!F102)</f>
        <v/>
      </c>
      <c r="G102" s="3" t="str">
        <f>IF('Employee Detail FY26'!G102="","",'Employee Detail FY26'!G102)</f>
        <v/>
      </c>
      <c r="H102" s="3"/>
      <c r="I102" s="255" t="str">
        <f>IF('Employee Detail FY26'!I102="","",'Employee Detail FY26'!I102)</f>
        <v/>
      </c>
      <c r="J102" s="255" t="str">
        <f>IF('Employee Detail FY26'!J102="","",'Employee Detail FY26'!J102)</f>
        <v/>
      </c>
      <c r="K102" s="255" t="str">
        <f>IF('Employee Detail FY26'!K102="","",'Employee Detail FY26'!K102)</f>
        <v/>
      </c>
      <c r="L102" s="255" t="str">
        <f>IF('Employee Detail FY26'!L102="","",'Employee Detail FY26'!L102)</f>
        <v/>
      </c>
      <c r="M102" s="92" t="str">
        <f>IF('Employee Detail FY26'!M102="","",'Employee Detail FY26'!M102)</f>
        <v/>
      </c>
      <c r="N102" s="3" t="str">
        <f>IF('Employee Detail FY26'!N102="","",'Employee Detail FY26'!N102)</f>
        <v/>
      </c>
      <c r="O102" s="3" t="str">
        <f>IF('Employee Detail FY26'!O102="","",'Employee Detail FY26'!O102)</f>
        <v/>
      </c>
      <c r="P102" s="3" t="str">
        <f>IF('Employee Detail FY26'!P102="","",'Employee Detail FY26'!P102)</f>
        <v/>
      </c>
      <c r="Q102" s="3" t="str">
        <f>IF('Employee Detail FY26'!Q102="","",'Employee Detail FY26'!Q102)</f>
        <v/>
      </c>
      <c r="R102" s="3" t="str">
        <f>IF('Employee Detail FY26'!R102="","",'Employee Detail FY26'!R102)</f>
        <v/>
      </c>
      <c r="S102" s="3" t="str">
        <f>IF('Employee Detail FY26'!S102="","",'Employee Detail FY26'!S102)</f>
        <v/>
      </c>
      <c r="T102" s="263" t="str">
        <f t="shared" si="34"/>
        <v/>
      </c>
      <c r="U102" s="269">
        <f>IF('Employee Detail FY26'!U102="","",'Employee Detail FY26'!U102)</f>
        <v>0</v>
      </c>
      <c r="V102" s="270">
        <f t="shared" si="21"/>
        <v>0</v>
      </c>
      <c r="W102" s="270" t="str">
        <f t="shared" si="35"/>
        <v/>
      </c>
      <c r="X102" s="270" t="str">
        <f t="shared" si="36"/>
        <v/>
      </c>
      <c r="Y102" s="62">
        <v>0</v>
      </c>
      <c r="Z102" s="62">
        <v>0</v>
      </c>
      <c r="AA102" s="256">
        <f t="shared" si="37"/>
        <v>0</v>
      </c>
      <c r="AB102" s="3"/>
      <c r="AC102" s="62" t="str">
        <f t="shared" si="38"/>
        <v/>
      </c>
      <c r="AD102" s="62" t="str">
        <f t="shared" si="39"/>
        <v/>
      </c>
      <c r="AE102" s="62" t="str">
        <f t="shared" si="40"/>
        <v/>
      </c>
      <c r="AF102" s="62" t="str">
        <f t="shared" si="41"/>
        <v/>
      </c>
      <c r="AG102" s="192">
        <v>0</v>
      </c>
      <c r="AH102" s="62" t="str">
        <f t="shared" si="42"/>
        <v/>
      </c>
      <c r="AI102" s="62">
        <f t="shared" si="43"/>
        <v>0</v>
      </c>
      <c r="AJ102" s="62"/>
      <c r="AK102" s="62">
        <v>0</v>
      </c>
      <c r="AL102" s="256">
        <f t="shared" si="44"/>
        <v>0</v>
      </c>
      <c r="AM102" s="256">
        <f t="shared" si="45"/>
        <v>0</v>
      </c>
      <c r="AN102" s="256">
        <f t="shared" si="46"/>
        <v>0</v>
      </c>
    </row>
    <row r="103" spans="1:40" hidden="1" x14ac:dyDescent="0.2">
      <c r="A103" s="3" t="str">
        <f>IF('Employee Detail FY26'!A103="","",'Employee Detail FY26'!A103)</f>
        <v/>
      </c>
      <c r="B103" s="3" t="str">
        <f>IF('Employee Detail FY26'!B103="","",'Employee Detail FY26'!B103)</f>
        <v/>
      </c>
      <c r="C103" s="3" t="str">
        <f>IF('Employee Detail FY26'!C103="","",'Employee Detail FY26'!C103)</f>
        <v/>
      </c>
      <c r="D103" s="3"/>
      <c r="E103" s="3" t="str">
        <f>IF('Employee Detail FY26'!E103="","",'Employee Detail FY26'!E103)</f>
        <v/>
      </c>
      <c r="F103" s="3" t="str">
        <f>IF('Employee Detail FY26'!F103="","",'Employee Detail FY26'!F103)</f>
        <v/>
      </c>
      <c r="G103" s="3" t="str">
        <f>IF('Employee Detail FY26'!G103="","",'Employee Detail FY26'!G103)</f>
        <v/>
      </c>
      <c r="H103" s="3"/>
      <c r="I103" s="255" t="str">
        <f>IF('Employee Detail FY26'!I103="","",'Employee Detail FY26'!I103)</f>
        <v/>
      </c>
      <c r="J103" s="255" t="str">
        <f>IF('Employee Detail FY26'!J103="","",'Employee Detail FY26'!J103)</f>
        <v/>
      </c>
      <c r="K103" s="255" t="str">
        <f>IF('Employee Detail FY26'!K103="","",'Employee Detail FY26'!K103)</f>
        <v/>
      </c>
      <c r="L103" s="255" t="str">
        <f>IF('Employee Detail FY26'!L103="","",'Employee Detail FY26'!L103)</f>
        <v/>
      </c>
      <c r="M103" s="92" t="str">
        <f>IF('Employee Detail FY26'!M103="","",'Employee Detail FY26'!M103)</f>
        <v/>
      </c>
      <c r="N103" s="3" t="str">
        <f>IF('Employee Detail FY26'!N103="","",'Employee Detail FY26'!N103)</f>
        <v/>
      </c>
      <c r="O103" s="3" t="str">
        <f>IF('Employee Detail FY26'!O103="","",'Employee Detail FY26'!O103)</f>
        <v/>
      </c>
      <c r="P103" s="3" t="str">
        <f>IF('Employee Detail FY26'!P103="","",'Employee Detail FY26'!P103)</f>
        <v/>
      </c>
      <c r="Q103" s="3" t="str">
        <f>IF('Employee Detail FY26'!Q103="","",'Employee Detail FY26'!Q103)</f>
        <v/>
      </c>
      <c r="R103" s="3" t="str">
        <f>IF('Employee Detail FY26'!R103="","",'Employee Detail FY26'!R103)</f>
        <v/>
      </c>
      <c r="S103" s="3" t="str">
        <f>IF('Employee Detail FY26'!S103="","",'Employee Detail FY26'!S103)</f>
        <v/>
      </c>
      <c r="T103" s="263" t="str">
        <f t="shared" si="34"/>
        <v/>
      </c>
      <c r="U103" s="269">
        <f>IF('Employee Detail FY26'!U103="","",'Employee Detail FY26'!U103)</f>
        <v>0</v>
      </c>
      <c r="V103" s="270">
        <f t="shared" si="21"/>
        <v>0</v>
      </c>
      <c r="W103" s="270" t="str">
        <f t="shared" si="35"/>
        <v/>
      </c>
      <c r="X103" s="270" t="str">
        <f t="shared" si="36"/>
        <v/>
      </c>
      <c r="Y103" s="62">
        <v>0</v>
      </c>
      <c r="Z103" s="62">
        <v>0</v>
      </c>
      <c r="AA103" s="256">
        <f t="shared" si="37"/>
        <v>0</v>
      </c>
      <c r="AB103" s="3"/>
      <c r="AC103" s="62" t="str">
        <f t="shared" si="38"/>
        <v/>
      </c>
      <c r="AD103" s="62" t="str">
        <f t="shared" si="39"/>
        <v/>
      </c>
      <c r="AE103" s="62" t="str">
        <f t="shared" si="40"/>
        <v/>
      </c>
      <c r="AF103" s="62" t="str">
        <f t="shared" si="41"/>
        <v/>
      </c>
      <c r="AG103" s="192">
        <v>0</v>
      </c>
      <c r="AH103" s="62" t="str">
        <f t="shared" si="42"/>
        <v/>
      </c>
      <c r="AI103" s="62">
        <f t="shared" si="43"/>
        <v>0</v>
      </c>
      <c r="AJ103" s="62"/>
      <c r="AK103" s="62">
        <v>0</v>
      </c>
      <c r="AL103" s="256">
        <f t="shared" si="44"/>
        <v>0</v>
      </c>
      <c r="AM103" s="256">
        <f t="shared" si="45"/>
        <v>0</v>
      </c>
      <c r="AN103" s="256">
        <f t="shared" si="46"/>
        <v>0</v>
      </c>
    </row>
    <row r="104" spans="1:40" hidden="1" x14ac:dyDescent="0.2">
      <c r="A104" s="3" t="str">
        <f>IF('Employee Detail FY26'!A104="","",'Employee Detail FY26'!A104)</f>
        <v/>
      </c>
      <c r="B104" s="3" t="str">
        <f>IF('Employee Detail FY26'!B104="","",'Employee Detail FY26'!B104)</f>
        <v/>
      </c>
      <c r="C104" s="3" t="str">
        <f>IF('Employee Detail FY26'!C104="","",'Employee Detail FY26'!C104)</f>
        <v/>
      </c>
      <c r="D104" s="3"/>
      <c r="E104" s="3" t="str">
        <f>IF('Employee Detail FY26'!E104="","",'Employee Detail FY26'!E104)</f>
        <v/>
      </c>
      <c r="F104" s="3" t="str">
        <f>IF('Employee Detail FY26'!F104="","",'Employee Detail FY26'!F104)</f>
        <v/>
      </c>
      <c r="G104" s="3" t="str">
        <f>IF('Employee Detail FY26'!G104="","",'Employee Detail FY26'!G104)</f>
        <v/>
      </c>
      <c r="H104" s="3"/>
      <c r="I104" s="255" t="str">
        <f>IF('Employee Detail FY26'!I104="","",'Employee Detail FY26'!I104)</f>
        <v/>
      </c>
      <c r="J104" s="255" t="str">
        <f>IF('Employee Detail FY26'!J104="","",'Employee Detail FY26'!J104)</f>
        <v/>
      </c>
      <c r="K104" s="255" t="str">
        <f>IF('Employee Detail FY26'!K104="","",'Employee Detail FY26'!K104)</f>
        <v/>
      </c>
      <c r="L104" s="255" t="str">
        <f>IF('Employee Detail FY26'!L104="","",'Employee Detail FY26'!L104)</f>
        <v/>
      </c>
      <c r="M104" s="92" t="str">
        <f>IF('Employee Detail FY26'!M104="","",'Employee Detail FY26'!M104)</f>
        <v/>
      </c>
      <c r="N104" s="3" t="str">
        <f>IF('Employee Detail FY26'!N104="","",'Employee Detail FY26'!N104)</f>
        <v/>
      </c>
      <c r="O104" s="3" t="str">
        <f>IF('Employee Detail FY26'!O104="","",'Employee Detail FY26'!O104)</f>
        <v/>
      </c>
      <c r="P104" s="3" t="str">
        <f>IF('Employee Detail FY26'!P104="","",'Employee Detail FY26'!P104)</f>
        <v/>
      </c>
      <c r="Q104" s="3" t="str">
        <f>IF('Employee Detail FY26'!Q104="","",'Employee Detail FY26'!Q104)</f>
        <v/>
      </c>
      <c r="R104" s="3" t="str">
        <f>IF('Employee Detail FY26'!R104="","",'Employee Detail FY26'!R104)</f>
        <v/>
      </c>
      <c r="S104" s="3" t="str">
        <f>IF('Employee Detail FY26'!S104="","",'Employee Detail FY26'!S104)</f>
        <v/>
      </c>
      <c r="T104" s="263" t="str">
        <f t="shared" si="34"/>
        <v/>
      </c>
      <c r="U104" s="269">
        <f>IF('Employee Detail FY26'!U104="","",'Employee Detail FY26'!U104)</f>
        <v>0</v>
      </c>
      <c r="V104" s="270">
        <f t="shared" si="21"/>
        <v>0</v>
      </c>
      <c r="W104" s="270" t="str">
        <f t="shared" si="35"/>
        <v/>
      </c>
      <c r="X104" s="270" t="str">
        <f t="shared" si="36"/>
        <v/>
      </c>
      <c r="Y104" s="62">
        <v>0</v>
      </c>
      <c r="Z104" s="62">
        <v>0</v>
      </c>
      <c r="AA104" s="256">
        <f t="shared" si="37"/>
        <v>0</v>
      </c>
      <c r="AB104" s="3"/>
      <c r="AC104" s="62" t="str">
        <f t="shared" si="38"/>
        <v/>
      </c>
      <c r="AD104" s="62" t="str">
        <f t="shared" si="39"/>
        <v/>
      </c>
      <c r="AE104" s="62" t="str">
        <f t="shared" si="40"/>
        <v/>
      </c>
      <c r="AF104" s="62" t="str">
        <f t="shared" si="41"/>
        <v/>
      </c>
      <c r="AG104" s="192">
        <v>0</v>
      </c>
      <c r="AH104" s="62" t="str">
        <f t="shared" si="42"/>
        <v/>
      </c>
      <c r="AI104" s="62">
        <f t="shared" si="43"/>
        <v>0</v>
      </c>
      <c r="AJ104" s="62"/>
      <c r="AK104" s="62">
        <v>0</v>
      </c>
      <c r="AL104" s="256">
        <f t="shared" si="44"/>
        <v>0</v>
      </c>
      <c r="AM104" s="256">
        <f t="shared" si="45"/>
        <v>0</v>
      </c>
      <c r="AN104" s="256">
        <f t="shared" si="46"/>
        <v>0</v>
      </c>
    </row>
    <row r="105" spans="1:40" hidden="1" x14ac:dyDescent="0.2">
      <c r="A105" s="474"/>
      <c r="B105" s="425"/>
      <c r="C105" s="425"/>
      <c r="D105" s="425"/>
      <c r="E105" s="425"/>
      <c r="F105" s="425"/>
      <c r="G105" s="425"/>
      <c r="H105" s="425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263" t="str">
        <f t="shared" ref="T105:T128" si="47">+IF(R105="","",R105*S105)</f>
        <v/>
      </c>
      <c r="U105" s="269" t="str">
        <f>IF('Employee Detail FY26'!U105="","",'Employee Detail FY26'!U105)</f>
        <v/>
      </c>
      <c r="V105" s="270" t="str">
        <f t="shared" ref="V105:V130" si="48">IF($U105="","",$U105*(1+$V$1))</f>
        <v/>
      </c>
      <c r="W105" s="270" t="str">
        <f t="shared" ref="W105:W128" si="49">+IF(P105="EE",+V105*$W$1,"")</f>
        <v/>
      </c>
      <c r="X105" s="270" t="str">
        <f t="shared" ref="X105:X128" si="50">_xlfn.IFS(P105="ER",V105,P105="EE",W105,P105="N",V105,P105="","")</f>
        <v/>
      </c>
      <c r="Y105" s="62">
        <v>0</v>
      </c>
      <c r="Z105" s="62">
        <v>0</v>
      </c>
      <c r="AA105" s="256">
        <f t="shared" ref="AA105:AA128" si="51">SUM(X105:Z105)</f>
        <v>0</v>
      </c>
      <c r="AB105" s="3"/>
      <c r="AC105" s="62" t="str">
        <f t="shared" ref="AC105:AC130" si="52">IF(AND(M105=1,P105&lt;&gt;"N"),$AC$1,"")</f>
        <v/>
      </c>
      <c r="AD105" s="62" t="str">
        <f t="shared" ref="AD105:AD128" si="53">_xlfn.IFS(P105="N",$AD$1*AA105,P105="EE","",P105="ER","",P105="","")</f>
        <v/>
      </c>
      <c r="AE105" s="62" t="str">
        <f t="shared" ref="AE105:AE128" si="54">_xlfn.IFS(P105="EE",X105*$AE$1,P105="ER",X105*$AE$2,P105="N","",P105="","")</f>
        <v/>
      </c>
      <c r="AF105" s="62" t="str">
        <f t="shared" ref="AF105:AF128" si="55">+IF(AA105&gt;1,AA105*$AF$1,"")</f>
        <v/>
      </c>
      <c r="AG105" s="192">
        <v>0</v>
      </c>
      <c r="AH105" s="62" t="str">
        <f t="shared" ref="AH105:AH128" si="56">+IF(AA105&gt;1,AA105*$AH$1,"")</f>
        <v/>
      </c>
      <c r="AI105" s="62">
        <f t="shared" ref="AI105:AI128" si="57">+_xlfn.IFS(F105&lt;2300,(AA105*$AI$1),F105&gt;=2300,(AA105*$AI$2),F105="","")</f>
        <v>0</v>
      </c>
      <c r="AJ105" s="62"/>
      <c r="AK105" s="62">
        <v>0</v>
      </c>
      <c r="AL105" s="256">
        <f t="shared" ref="AL105:AL128" si="58">SUM(AC105:AK105)</f>
        <v>0</v>
      </c>
      <c r="AM105" s="256">
        <f t="shared" ref="AM105:AM128" si="59">AA105</f>
        <v>0</v>
      </c>
      <c r="AN105" s="256">
        <f t="shared" ref="AN105:AN128" si="60">SUM(AL105:AM105)</f>
        <v>0</v>
      </c>
    </row>
    <row r="106" spans="1:40" x14ac:dyDescent="0.2">
      <c r="A106" s="311" t="s">
        <v>1149</v>
      </c>
      <c r="B106" s="351">
        <v>100</v>
      </c>
      <c r="C106" s="351" t="s">
        <v>145</v>
      </c>
      <c r="D106" s="351"/>
      <c r="E106" s="351">
        <v>100</v>
      </c>
      <c r="F106" s="351">
        <v>1000</v>
      </c>
      <c r="G106" s="351" t="s">
        <v>161</v>
      </c>
      <c r="H106" s="351" t="s">
        <v>497</v>
      </c>
      <c r="I106" s="312" t="str">
        <f>IF('Employee Detail FY25'!I106="","",'Employee Detail FY25'!I106)</f>
        <v>VACANT</v>
      </c>
      <c r="J106" s="311" t="s">
        <v>506</v>
      </c>
      <c r="K106" s="311" t="s">
        <v>389</v>
      </c>
      <c r="L106" s="311" t="s">
        <v>498</v>
      </c>
      <c r="M106" s="313">
        <v>1</v>
      </c>
      <c r="N106" s="311"/>
      <c r="O106" s="311"/>
      <c r="P106" s="311" t="s">
        <v>342</v>
      </c>
      <c r="Q106" s="311" t="s">
        <v>386</v>
      </c>
      <c r="R106" s="311" t="s">
        <v>386</v>
      </c>
      <c r="S106" s="311" t="s">
        <v>386</v>
      </c>
      <c r="T106" s="263" t="str">
        <f>+IF(R106="","",R106*S106)</f>
        <v/>
      </c>
      <c r="U106" s="269">
        <v>45000</v>
      </c>
      <c r="V106" s="270">
        <f t="shared" ref="V106:V125" si="61">IF($U106="","",$U106*(1+$V$1))</f>
        <v>51749.999999999993</v>
      </c>
      <c r="W106" s="270" t="str">
        <f t="shared" ref="W106:W122" si="62">+IF(P106="EE",+V106*$W$1,"")</f>
        <v/>
      </c>
      <c r="X106" s="270">
        <f t="shared" ref="X106:X122" si="63">_xlfn.IFS(P106="ER",V106,P106="EE",W106,P106="N",V106,P106="","")</f>
        <v>51749.999999999993</v>
      </c>
      <c r="Y106" s="62">
        <v>0</v>
      </c>
      <c r="Z106" s="62">
        <v>0</v>
      </c>
      <c r="AA106" s="256">
        <f t="shared" ref="AA106:AA122" si="64">SUM(X106:Z106)</f>
        <v>51749.999999999993</v>
      </c>
      <c r="AB106" s="3"/>
      <c r="AC106" s="62">
        <f t="shared" ref="AC106:AC122" si="65">IF(AND(M106=1,P106&lt;&gt;"N"),$AC$1,"")</f>
        <v>7943.76</v>
      </c>
      <c r="AD106" s="62" t="str">
        <f t="shared" ref="AD106:AD122" si="66">_xlfn.IFS(P106="N",$AD$1*AA106,P106="EE","",P106="ER","",P106="","")</f>
        <v/>
      </c>
      <c r="AE106" s="62">
        <f t="shared" ref="AE106:AE122" si="67">_xlfn.IFS(P106="EE",X106*$AE$1,P106="ER",X106*$AE$2,P106="N","",P106="","")</f>
        <v>15136.874999999996</v>
      </c>
      <c r="AF106" s="62">
        <f t="shared" ref="AF106:AF122" si="68">+IF(AA106&gt;1,AA106*$AF$1,"")</f>
        <v>750.37499999999989</v>
      </c>
      <c r="AG106" s="192">
        <v>0</v>
      </c>
      <c r="AH106" s="62">
        <f t="shared" ref="AH106:AH122" si="69">+IF(AA106&gt;1,AA106*$AH$1,"")</f>
        <v>471.04589353272024</v>
      </c>
      <c r="AI106" s="62">
        <f t="shared" ref="AI106:AI122" si="70">+_xlfn.IFS(F106&lt;2300,(AA106*$AI$1),F106&gt;=2300,(AA106*$AI$2),F106="","")</f>
        <v>152.41403322516058</v>
      </c>
      <c r="AJ106" s="62"/>
      <c r="AK106" s="62">
        <v>0</v>
      </c>
      <c r="AL106" s="256">
        <f t="shared" ref="AL106:AL122" si="71">SUM(AC106:AK106)</f>
        <v>24454.469926757873</v>
      </c>
      <c r="AM106" s="256">
        <f t="shared" ref="AM106:AM122" si="72">AA106</f>
        <v>51749.999999999993</v>
      </c>
      <c r="AN106" s="256">
        <f t="shared" ref="AN106:AN122" si="73">SUM(AL106:AM106)</f>
        <v>76204.469926757869</v>
      </c>
    </row>
    <row r="107" spans="1:40" x14ac:dyDescent="0.2">
      <c r="A107" s="311" t="str">
        <f>IF('Employee Detail FY25'!A107="","",'Employee Detail FY25'!A107)</f>
        <v>VACANT</v>
      </c>
      <c r="B107" s="311">
        <f>IF('Employee Detail FY25'!B107="","",'Employee Detail FY25'!B107)</f>
        <v>250</v>
      </c>
      <c r="C107" s="311" t="str">
        <f>IF('Employee Detail FY25'!C107="","",'Employee Detail FY25'!C107)</f>
        <v>000</v>
      </c>
      <c r="D107" s="311"/>
      <c r="E107" s="311">
        <f>IF('Employee Detail FY25'!E107="","",'Employee Detail FY25'!E107)</f>
        <v>200</v>
      </c>
      <c r="F107" s="311">
        <f>IF('Employee Detail FY25'!F107="","",'Employee Detail FY25'!F107)</f>
        <v>1000</v>
      </c>
      <c r="G107" s="311" t="str">
        <f>IF('Employee Detail FY25'!G107="","",'Employee Detail FY25'!G107)</f>
        <v>0101</v>
      </c>
      <c r="H107" s="311"/>
      <c r="I107" s="312" t="str">
        <f>IF('Employee Detail FY25'!I107="","",'Employee Detail FY25'!I107)</f>
        <v>VACANT</v>
      </c>
      <c r="J107" s="312" t="str">
        <f>IF('Employee Detail FY25'!J107="","",'Employee Detail FY25'!J107)</f>
        <v>FY24</v>
      </c>
      <c r="K107" s="312" t="str">
        <f>IF('Employee Detail FY25'!K107="","",'Employee Detail FY25'!K107)</f>
        <v>Licensed Staff</v>
      </c>
      <c r="L107" s="312" t="str">
        <f>IF('Employee Detail FY25'!L107="","",'Employee Detail FY25'!L107)</f>
        <v>SPED TEACHER</v>
      </c>
      <c r="M107" s="313">
        <v>1</v>
      </c>
      <c r="N107" s="311"/>
      <c r="O107" s="311"/>
      <c r="P107" s="311" t="s">
        <v>342</v>
      </c>
      <c r="Q107" s="311"/>
      <c r="R107" s="311"/>
      <c r="S107" s="311"/>
      <c r="T107" s="263"/>
      <c r="U107" s="269">
        <f>IF('Employee Detail FY25'!U107="","",'Employee Detail FY25'!U107)</f>
        <v>45500</v>
      </c>
      <c r="V107" s="270">
        <f t="shared" si="61"/>
        <v>52324.999999999993</v>
      </c>
      <c r="W107" s="270" t="str">
        <f t="shared" si="62"/>
        <v/>
      </c>
      <c r="X107" s="270">
        <f t="shared" si="63"/>
        <v>52324.999999999993</v>
      </c>
      <c r="Y107" s="62">
        <v>0</v>
      </c>
      <c r="Z107" s="62">
        <v>0</v>
      </c>
      <c r="AA107" s="256">
        <f t="shared" si="64"/>
        <v>52324.999999999993</v>
      </c>
      <c r="AB107" s="3"/>
      <c r="AC107" s="62">
        <f t="shared" si="65"/>
        <v>7943.76</v>
      </c>
      <c r="AD107" s="62" t="str">
        <f t="shared" si="66"/>
        <v/>
      </c>
      <c r="AE107" s="62">
        <f t="shared" si="67"/>
        <v>15305.062499999996</v>
      </c>
      <c r="AF107" s="62">
        <f t="shared" si="68"/>
        <v>758.71249999999998</v>
      </c>
      <c r="AG107" s="192">
        <v>0</v>
      </c>
      <c r="AH107" s="62">
        <f t="shared" si="69"/>
        <v>476.27973679419489</v>
      </c>
      <c r="AI107" s="62">
        <f t="shared" si="70"/>
        <v>154.10752248321793</v>
      </c>
      <c r="AJ107" s="62"/>
      <c r="AK107" s="62">
        <v>0</v>
      </c>
      <c r="AL107" s="256">
        <f t="shared" si="71"/>
        <v>24637.922259277409</v>
      </c>
      <c r="AM107" s="256">
        <f t="shared" si="72"/>
        <v>52324.999999999993</v>
      </c>
      <c r="AN107" s="256">
        <f t="shared" si="73"/>
        <v>76962.922259277402</v>
      </c>
    </row>
    <row r="108" spans="1:40" x14ac:dyDescent="0.2">
      <c r="A108" s="311" t="s">
        <v>1149</v>
      </c>
      <c r="B108" s="311">
        <v>100</v>
      </c>
      <c r="C108" s="311" t="s">
        <v>145</v>
      </c>
      <c r="D108" s="311"/>
      <c r="E108" s="311">
        <v>100</v>
      </c>
      <c r="F108" s="311">
        <v>1000</v>
      </c>
      <c r="G108" s="311" t="s">
        <v>169</v>
      </c>
      <c r="H108" s="311"/>
      <c r="I108" s="312" t="s">
        <v>1149</v>
      </c>
      <c r="J108" s="312" t="s">
        <v>506</v>
      </c>
      <c r="K108" s="312" t="s">
        <v>384</v>
      </c>
      <c r="L108" s="312" t="s">
        <v>989</v>
      </c>
      <c r="M108" s="313">
        <v>1</v>
      </c>
      <c r="N108" s="311"/>
      <c r="O108" s="311"/>
      <c r="P108" s="311" t="s">
        <v>342</v>
      </c>
      <c r="Q108" s="311"/>
      <c r="R108" s="311"/>
      <c r="S108" s="311"/>
      <c r="T108" s="263" t="str">
        <f t="shared" ref="T108:T114" si="74">+IF(R108="","",R108*S108)</f>
        <v/>
      </c>
      <c r="U108" s="269">
        <v>31500</v>
      </c>
      <c r="V108" s="270">
        <f t="shared" si="61"/>
        <v>36225</v>
      </c>
      <c r="W108" s="270" t="str">
        <f t="shared" si="62"/>
        <v/>
      </c>
      <c r="X108" s="270">
        <f t="shared" si="63"/>
        <v>36225</v>
      </c>
      <c r="Y108" s="62">
        <v>0</v>
      </c>
      <c r="Z108" s="62">
        <v>0</v>
      </c>
      <c r="AA108" s="256">
        <f t="shared" si="64"/>
        <v>36225</v>
      </c>
      <c r="AB108" s="3"/>
      <c r="AC108" s="62">
        <f t="shared" si="65"/>
        <v>7943.76</v>
      </c>
      <c r="AD108" s="62" t="str">
        <f t="shared" si="66"/>
        <v/>
      </c>
      <c r="AE108" s="62">
        <f t="shared" si="67"/>
        <v>10595.8125</v>
      </c>
      <c r="AF108" s="62">
        <f t="shared" si="68"/>
        <v>525.26250000000005</v>
      </c>
      <c r="AG108" s="192">
        <v>0</v>
      </c>
      <c r="AH108" s="62">
        <f t="shared" si="69"/>
        <v>329.73212547290422</v>
      </c>
      <c r="AI108" s="62">
        <f t="shared" si="70"/>
        <v>106.68982325761242</v>
      </c>
      <c r="AJ108" s="62"/>
      <c r="AK108" s="62">
        <v>0</v>
      </c>
      <c r="AL108" s="256">
        <f t="shared" si="71"/>
        <v>19501.256948730519</v>
      </c>
      <c r="AM108" s="256">
        <f t="shared" si="72"/>
        <v>36225</v>
      </c>
      <c r="AN108" s="256">
        <f t="shared" si="73"/>
        <v>55726.256948730515</v>
      </c>
    </row>
    <row r="109" spans="1:40" x14ac:dyDescent="0.2">
      <c r="A109" s="311" t="str">
        <f>IF('Employee Detail FY25'!A109="","",'Employee Detail FY25'!A109)</f>
        <v>VACANT</v>
      </c>
      <c r="B109" s="311">
        <f>IF('Employee Detail FY25'!B109="","",'Employee Detail FY25'!B109)</f>
        <v>250</v>
      </c>
      <c r="C109" s="311" t="str">
        <f>IF('Employee Detail FY25'!C109="","",'Employee Detail FY25'!C109)</f>
        <v>000</v>
      </c>
      <c r="D109" s="311"/>
      <c r="E109" s="311">
        <f>IF('Employee Detail FY25'!E109="","",'Employee Detail FY25'!E109)</f>
        <v>200</v>
      </c>
      <c r="F109" s="311">
        <f>IF('Employee Detail FY25'!F109="","",'Employee Detail FY25'!F109)</f>
        <v>1000</v>
      </c>
      <c r="G109" s="311" t="str">
        <f>IF('Employee Detail FY25'!G109="","",'Employee Detail FY25'!G109)</f>
        <v>0101</v>
      </c>
      <c r="H109" s="311"/>
      <c r="I109" s="312" t="str">
        <f>IF('Employee Detail FY25'!I109="","",'Employee Detail FY25'!I109)</f>
        <v>VACANT</v>
      </c>
      <c r="J109" s="312" t="s">
        <v>506</v>
      </c>
      <c r="K109" s="312" t="str">
        <f>IF('Employee Detail FY25'!K109="","",'Employee Detail FY25'!K109)</f>
        <v>Licensed Staff</v>
      </c>
      <c r="L109" s="312" t="str">
        <f>IF('Employee Detail FY25'!L109="","",'Employee Detail FY25'!L109)</f>
        <v>RtI Facilitators</v>
      </c>
      <c r="M109" s="313">
        <v>1</v>
      </c>
      <c r="N109" s="311"/>
      <c r="O109" s="311"/>
      <c r="P109" s="311" t="s">
        <v>342</v>
      </c>
      <c r="Q109" s="311"/>
      <c r="R109" s="311" t="str">
        <f>IF('Employee Detail FY25'!R109="","",'Employee Detail FY25'!R109)</f>
        <v/>
      </c>
      <c r="S109" s="311" t="str">
        <f>IF('Employee Detail FY25'!S109="","",'Employee Detail FY25'!S109)</f>
        <v/>
      </c>
      <c r="T109" s="263" t="str">
        <f t="shared" si="74"/>
        <v/>
      </c>
      <c r="U109" s="269">
        <f>IF('Employee Detail FY25'!U109="","",'Employee Detail FY25'!U109)</f>
        <v>45000</v>
      </c>
      <c r="V109" s="270">
        <f t="shared" si="61"/>
        <v>51749.999999999993</v>
      </c>
      <c r="W109" s="270" t="str">
        <f t="shared" si="62"/>
        <v/>
      </c>
      <c r="X109" s="270">
        <f t="shared" si="63"/>
        <v>51749.999999999993</v>
      </c>
      <c r="Y109" s="62">
        <v>0</v>
      </c>
      <c r="Z109" s="62">
        <v>0</v>
      </c>
      <c r="AA109" s="256">
        <f t="shared" si="64"/>
        <v>51749.999999999993</v>
      </c>
      <c r="AB109" s="3"/>
      <c r="AC109" s="62">
        <f t="shared" si="65"/>
        <v>7943.76</v>
      </c>
      <c r="AD109" s="62" t="str">
        <f t="shared" si="66"/>
        <v/>
      </c>
      <c r="AE109" s="62">
        <f t="shared" si="67"/>
        <v>15136.874999999996</v>
      </c>
      <c r="AF109" s="62">
        <f t="shared" si="68"/>
        <v>750.37499999999989</v>
      </c>
      <c r="AG109" s="192">
        <v>0</v>
      </c>
      <c r="AH109" s="62">
        <f t="shared" si="69"/>
        <v>471.04589353272024</v>
      </c>
      <c r="AI109" s="62">
        <f t="shared" si="70"/>
        <v>152.41403322516058</v>
      </c>
      <c r="AJ109" s="62"/>
      <c r="AK109" s="62">
        <v>0</v>
      </c>
      <c r="AL109" s="256">
        <f t="shared" si="71"/>
        <v>24454.469926757873</v>
      </c>
      <c r="AM109" s="256">
        <f t="shared" si="72"/>
        <v>51749.999999999993</v>
      </c>
      <c r="AN109" s="256">
        <f t="shared" si="73"/>
        <v>76204.469926757869</v>
      </c>
    </row>
    <row r="110" spans="1:40" hidden="1" x14ac:dyDescent="0.2">
      <c r="A110" s="311" t="str">
        <f>IF('Employee Detail FY25'!A110="","",'Employee Detail FY25'!A110)</f>
        <v>VACANT</v>
      </c>
      <c r="B110" s="311" t="str">
        <f>IF('Employee Detail FY25'!B110="","",'Employee Detail FY25'!B110)</f>
        <v>100</v>
      </c>
      <c r="C110" s="311" t="str">
        <f>IF('Employee Detail FY25'!C110="","",'Employee Detail FY25'!C110)</f>
        <v>000</v>
      </c>
      <c r="D110" s="311"/>
      <c r="E110" s="311" t="str">
        <f>IF('Employee Detail FY25'!E110="","",'Employee Detail FY25'!E110)</f>
        <v>100</v>
      </c>
      <c r="F110" s="311" t="str">
        <f>IF('Employee Detail FY25'!F110="","",'Employee Detail FY25'!F110)</f>
        <v>2120</v>
      </c>
      <c r="G110" s="311" t="str">
        <f>IF('Employee Detail FY25'!G110="","",'Employee Detail FY25'!G110)</f>
        <v>0106</v>
      </c>
      <c r="H110" s="311"/>
      <c r="I110" s="312" t="str">
        <f>IF('Employee Detail FY25'!I110="","",'Employee Detail FY25'!I110)</f>
        <v>VACANT</v>
      </c>
      <c r="J110" s="312" t="str">
        <f>IF('Employee Detail FY25'!J110="","",'Employee Detail FY25'!J110)</f>
        <v>FY24</v>
      </c>
      <c r="K110" s="311" t="s">
        <v>389</v>
      </c>
      <c r="L110" s="312" t="str">
        <f>IF('Employee Detail FY25'!L110="","",'Employee Detail FY25'!L110)</f>
        <v>CAREER PATHWAYS COORDINATOR</v>
      </c>
      <c r="M110" s="313">
        <v>1</v>
      </c>
      <c r="N110" s="311"/>
      <c r="O110" s="311"/>
      <c r="P110" s="311" t="s">
        <v>342</v>
      </c>
      <c r="Q110" s="311" t="str">
        <f>IF('Employee Detail FY25'!Q110="","",'Employee Detail FY25'!Q110)</f>
        <v/>
      </c>
      <c r="R110" s="311" t="str">
        <f>IF('Employee Detail FY25'!R110="","",'Employee Detail FY25'!R110)</f>
        <v/>
      </c>
      <c r="S110" s="311" t="str">
        <f>IF('Employee Detail FY25'!S110="","",'Employee Detail FY25'!S110)</f>
        <v/>
      </c>
      <c r="T110" s="263" t="str">
        <f t="shared" si="74"/>
        <v/>
      </c>
      <c r="U110" s="269">
        <v>35000</v>
      </c>
      <c r="V110" s="270">
        <f t="shared" si="61"/>
        <v>40250</v>
      </c>
      <c r="W110" s="270" t="str">
        <f t="shared" si="62"/>
        <v/>
      </c>
      <c r="X110" s="270">
        <f t="shared" si="63"/>
        <v>40250</v>
      </c>
      <c r="Y110" s="62">
        <v>0</v>
      </c>
      <c r="Z110" s="62">
        <v>0</v>
      </c>
      <c r="AA110" s="256">
        <f t="shared" si="64"/>
        <v>40250</v>
      </c>
      <c r="AB110" s="3"/>
      <c r="AC110" s="62">
        <f t="shared" si="65"/>
        <v>7943.76</v>
      </c>
      <c r="AD110" s="62" t="str">
        <f t="shared" si="66"/>
        <v/>
      </c>
      <c r="AE110" s="62">
        <f t="shared" si="67"/>
        <v>11773.125</v>
      </c>
      <c r="AF110" s="62">
        <f t="shared" si="68"/>
        <v>583.625</v>
      </c>
      <c r="AG110" s="192">
        <v>0</v>
      </c>
      <c r="AH110" s="62">
        <f t="shared" si="69"/>
        <v>366.36902830322691</v>
      </c>
      <c r="AI110" s="62">
        <f t="shared" si="70"/>
        <v>118.5442480640138</v>
      </c>
      <c r="AJ110" s="62"/>
      <c r="AK110" s="62">
        <v>0</v>
      </c>
      <c r="AL110" s="256">
        <f t="shared" si="71"/>
        <v>20785.423276367241</v>
      </c>
      <c r="AM110" s="256">
        <f t="shared" si="72"/>
        <v>40250</v>
      </c>
      <c r="AN110" s="256">
        <f t="shared" si="73"/>
        <v>61035.423276367241</v>
      </c>
    </row>
    <row r="111" spans="1:40" hidden="1" x14ac:dyDescent="0.2">
      <c r="A111" s="311" t="str">
        <f>IF('Employee Detail FY23'!A142="","",'Employee Detail FY23'!A142)</f>
        <v/>
      </c>
      <c r="B111" s="311" t="str">
        <f>IF('Employee Detail FY23'!B142="","",'Employee Detail FY23'!B142)</f>
        <v/>
      </c>
      <c r="C111" s="311" t="str">
        <f>IF('Employee Detail FY23'!C142="","",'Employee Detail FY23'!C142)</f>
        <v/>
      </c>
      <c r="D111" s="311"/>
      <c r="E111" s="311" t="str">
        <f>IF('Employee Detail FY23'!E142="","",'Employee Detail FY23'!E142)</f>
        <v/>
      </c>
      <c r="F111" s="311" t="str">
        <f>IF('Employee Detail FY23'!F142="","",'Employee Detail FY23'!F142)</f>
        <v/>
      </c>
      <c r="G111" s="311" t="str">
        <f>IF('Employee Detail FY23'!G142="","",'Employee Detail FY23'!G142)</f>
        <v/>
      </c>
      <c r="H111" s="311"/>
      <c r="I111" s="312" t="str">
        <f>IF('Employee Detail FY23'!I142="","",'Employee Detail FY23'!I142)</f>
        <v/>
      </c>
      <c r="J111" s="312" t="str">
        <f>IF('Employee Detail FY23'!J142="","",'Employee Detail FY23'!J142)</f>
        <v/>
      </c>
      <c r="K111" s="312" t="str">
        <f>IF('Employee Detail FY23'!K142="","",'Employee Detail FY23'!K142)</f>
        <v/>
      </c>
      <c r="L111" s="312" t="str">
        <f>IF('Employee Detail FY23'!L142="","",'Employee Detail FY23'!L142)</f>
        <v/>
      </c>
      <c r="M111" s="313"/>
      <c r="N111" s="311"/>
      <c r="O111" s="311"/>
      <c r="P111" s="311"/>
      <c r="Q111" s="311" t="str">
        <f>IF('Employee Detail FY23'!Q142="","",'Employee Detail FY23'!Q142)</f>
        <v/>
      </c>
      <c r="R111" s="311" t="str">
        <f>IF('Employee Detail FY23'!R142="","",'Employee Detail FY23'!R142)</f>
        <v/>
      </c>
      <c r="S111" s="311" t="str">
        <f>IF('Employee Detail FY23'!S142="","",'Employee Detail FY23'!S142)</f>
        <v/>
      </c>
      <c r="T111" s="263" t="str">
        <f t="shared" si="74"/>
        <v/>
      </c>
      <c r="U111" s="269" t="str">
        <f>IF('Employee Detail FY23'!U142="","",'Employee Detail FY23'!U142)</f>
        <v/>
      </c>
      <c r="V111" s="270" t="str">
        <f t="shared" si="61"/>
        <v/>
      </c>
      <c r="W111" s="270" t="str">
        <f t="shared" si="62"/>
        <v/>
      </c>
      <c r="X111" s="270" t="str">
        <f t="shared" si="63"/>
        <v/>
      </c>
      <c r="Y111" s="62">
        <v>0</v>
      </c>
      <c r="Z111" s="62">
        <v>0</v>
      </c>
      <c r="AA111" s="256">
        <f t="shared" si="64"/>
        <v>0</v>
      </c>
      <c r="AB111" s="3"/>
      <c r="AC111" s="62" t="str">
        <f t="shared" si="65"/>
        <v/>
      </c>
      <c r="AD111" s="62" t="str">
        <f t="shared" si="66"/>
        <v/>
      </c>
      <c r="AE111" s="62" t="str">
        <f t="shared" si="67"/>
        <v/>
      </c>
      <c r="AF111" s="62" t="str">
        <f t="shared" si="68"/>
        <v/>
      </c>
      <c r="AG111" s="192">
        <v>0</v>
      </c>
      <c r="AH111" s="62" t="str">
        <f t="shared" si="69"/>
        <v/>
      </c>
      <c r="AI111" s="62">
        <f t="shared" si="70"/>
        <v>0</v>
      </c>
      <c r="AJ111" s="62"/>
      <c r="AK111" s="62">
        <v>0</v>
      </c>
      <c r="AL111" s="256">
        <f t="shared" si="71"/>
        <v>0</v>
      </c>
      <c r="AM111" s="256">
        <f t="shared" si="72"/>
        <v>0</v>
      </c>
      <c r="AN111" s="256">
        <f t="shared" si="73"/>
        <v>0</v>
      </c>
    </row>
    <row r="112" spans="1:40" x14ac:dyDescent="0.2">
      <c r="A112" s="311" t="s">
        <v>1149</v>
      </c>
      <c r="B112" s="351">
        <v>100</v>
      </c>
      <c r="C112" s="351" t="s">
        <v>145</v>
      </c>
      <c r="D112" s="351"/>
      <c r="E112" s="351">
        <v>100</v>
      </c>
      <c r="F112" s="351">
        <v>1000</v>
      </c>
      <c r="G112" s="351" t="s">
        <v>161</v>
      </c>
      <c r="H112" s="351" t="s">
        <v>497</v>
      </c>
      <c r="I112" s="312" t="str">
        <f>IF('Employee Detail FY25'!I112="","",'Employee Detail FY25'!I112)</f>
        <v>VACANT</v>
      </c>
      <c r="J112" s="311" t="s">
        <v>508</v>
      </c>
      <c r="K112" s="311" t="s">
        <v>389</v>
      </c>
      <c r="L112" s="311" t="s">
        <v>498</v>
      </c>
      <c r="M112" s="313">
        <v>1</v>
      </c>
      <c r="N112" s="311"/>
      <c r="O112" s="311"/>
      <c r="P112" s="311" t="s">
        <v>342</v>
      </c>
      <c r="Q112" s="311" t="s">
        <v>386</v>
      </c>
      <c r="R112" s="311" t="s">
        <v>386</v>
      </c>
      <c r="S112" s="311" t="s">
        <v>386</v>
      </c>
      <c r="T112" s="263" t="str">
        <f t="shared" si="74"/>
        <v/>
      </c>
      <c r="U112" s="269">
        <v>45000</v>
      </c>
      <c r="V112" s="270">
        <f t="shared" si="61"/>
        <v>51749.999999999993</v>
      </c>
      <c r="W112" s="270" t="str">
        <f t="shared" si="62"/>
        <v/>
      </c>
      <c r="X112" s="270">
        <f t="shared" si="63"/>
        <v>51749.999999999993</v>
      </c>
      <c r="Y112" s="62">
        <v>0</v>
      </c>
      <c r="Z112" s="62">
        <v>0</v>
      </c>
      <c r="AA112" s="256">
        <f t="shared" si="64"/>
        <v>51749.999999999993</v>
      </c>
      <c r="AB112" s="3"/>
      <c r="AC112" s="62">
        <f t="shared" si="65"/>
        <v>7943.76</v>
      </c>
      <c r="AD112" s="62" t="str">
        <f t="shared" si="66"/>
        <v/>
      </c>
      <c r="AE112" s="62">
        <f t="shared" si="67"/>
        <v>15136.874999999996</v>
      </c>
      <c r="AF112" s="62">
        <f t="shared" si="68"/>
        <v>750.37499999999989</v>
      </c>
      <c r="AG112" s="192">
        <v>0</v>
      </c>
      <c r="AH112" s="62">
        <f t="shared" si="69"/>
        <v>471.04589353272024</v>
      </c>
      <c r="AI112" s="62">
        <f t="shared" si="70"/>
        <v>152.41403322516058</v>
      </c>
      <c r="AJ112" s="62"/>
      <c r="AK112" s="62">
        <v>0</v>
      </c>
      <c r="AL112" s="256">
        <f t="shared" si="71"/>
        <v>24454.469926757873</v>
      </c>
      <c r="AM112" s="256">
        <f t="shared" si="72"/>
        <v>51749.999999999993</v>
      </c>
      <c r="AN112" s="256">
        <f t="shared" si="73"/>
        <v>76204.469926757869</v>
      </c>
    </row>
    <row r="113" spans="1:40" x14ac:dyDescent="0.2">
      <c r="A113" s="311" t="s">
        <v>1149</v>
      </c>
      <c r="B113" s="351">
        <v>100</v>
      </c>
      <c r="C113" s="351" t="s">
        <v>145</v>
      </c>
      <c r="D113" s="351"/>
      <c r="E113" s="351">
        <v>100</v>
      </c>
      <c r="F113" s="351">
        <v>1000</v>
      </c>
      <c r="G113" s="351" t="s">
        <v>161</v>
      </c>
      <c r="H113" s="351" t="s">
        <v>497</v>
      </c>
      <c r="I113" s="312" t="str">
        <f>IF('Employee Detail FY25'!I113="","",'Employee Detail FY25'!I113)</f>
        <v>VACANT</v>
      </c>
      <c r="J113" s="311" t="s">
        <v>508</v>
      </c>
      <c r="K113" s="311" t="s">
        <v>389</v>
      </c>
      <c r="L113" s="311" t="s">
        <v>498</v>
      </c>
      <c r="M113" s="313">
        <v>1</v>
      </c>
      <c r="N113" s="311"/>
      <c r="O113" s="311"/>
      <c r="P113" s="311" t="s">
        <v>342</v>
      </c>
      <c r="Q113" s="311" t="s">
        <v>386</v>
      </c>
      <c r="R113" s="311" t="s">
        <v>386</v>
      </c>
      <c r="S113" s="311" t="s">
        <v>386</v>
      </c>
      <c r="T113" s="263" t="str">
        <f t="shared" si="74"/>
        <v/>
      </c>
      <c r="U113" s="269">
        <v>45000</v>
      </c>
      <c r="V113" s="270">
        <f t="shared" si="61"/>
        <v>51749.999999999993</v>
      </c>
      <c r="W113" s="270" t="str">
        <f t="shared" si="62"/>
        <v/>
      </c>
      <c r="X113" s="270">
        <f t="shared" si="63"/>
        <v>51749.999999999993</v>
      </c>
      <c r="Y113" s="62">
        <v>0</v>
      </c>
      <c r="Z113" s="62">
        <v>0</v>
      </c>
      <c r="AA113" s="256">
        <f t="shared" si="64"/>
        <v>51749.999999999993</v>
      </c>
      <c r="AB113" s="3"/>
      <c r="AC113" s="62">
        <f t="shared" si="65"/>
        <v>7943.76</v>
      </c>
      <c r="AD113" s="62" t="str">
        <f t="shared" si="66"/>
        <v/>
      </c>
      <c r="AE113" s="62">
        <f t="shared" si="67"/>
        <v>15136.874999999996</v>
      </c>
      <c r="AF113" s="62">
        <f t="shared" si="68"/>
        <v>750.37499999999989</v>
      </c>
      <c r="AG113" s="192">
        <v>0</v>
      </c>
      <c r="AH113" s="62">
        <f t="shared" si="69"/>
        <v>471.04589353272024</v>
      </c>
      <c r="AI113" s="62">
        <f t="shared" si="70"/>
        <v>152.41403322516058</v>
      </c>
      <c r="AJ113" s="62"/>
      <c r="AK113" s="62">
        <v>0</v>
      </c>
      <c r="AL113" s="256">
        <f t="shared" si="71"/>
        <v>24454.469926757873</v>
      </c>
      <c r="AM113" s="256">
        <f t="shared" si="72"/>
        <v>51749.999999999993</v>
      </c>
      <c r="AN113" s="256">
        <f t="shared" si="73"/>
        <v>76204.469926757869</v>
      </c>
    </row>
    <row r="114" spans="1:40" x14ac:dyDescent="0.2">
      <c r="A114" s="311" t="s">
        <v>1149</v>
      </c>
      <c r="B114" s="351">
        <v>250</v>
      </c>
      <c r="C114" s="351" t="s">
        <v>145</v>
      </c>
      <c r="D114" s="351"/>
      <c r="E114" s="351">
        <v>200</v>
      </c>
      <c r="F114" s="351">
        <v>1000</v>
      </c>
      <c r="G114" s="351" t="s">
        <v>161</v>
      </c>
      <c r="H114" s="351" t="s">
        <v>497</v>
      </c>
      <c r="I114" s="312" t="str">
        <f>IF('Employee Detail FY25'!I114="","",'Employee Detail FY25'!I114)</f>
        <v>VACANT</v>
      </c>
      <c r="J114" s="311" t="s">
        <v>508</v>
      </c>
      <c r="K114" s="311" t="s">
        <v>389</v>
      </c>
      <c r="L114" s="311" t="s">
        <v>495</v>
      </c>
      <c r="M114" s="313">
        <v>1</v>
      </c>
      <c r="N114" s="311"/>
      <c r="O114" s="311"/>
      <c r="P114" s="311" t="s">
        <v>342</v>
      </c>
      <c r="Q114" s="311" t="s">
        <v>386</v>
      </c>
      <c r="R114" s="311" t="s">
        <v>386</v>
      </c>
      <c r="S114" s="311" t="s">
        <v>386</v>
      </c>
      <c r="T114" s="263" t="str">
        <f t="shared" si="74"/>
        <v/>
      </c>
      <c r="U114" s="269">
        <v>45000</v>
      </c>
      <c r="V114" s="270">
        <f t="shared" si="61"/>
        <v>51749.999999999993</v>
      </c>
      <c r="W114" s="270" t="str">
        <f t="shared" si="62"/>
        <v/>
      </c>
      <c r="X114" s="270">
        <f t="shared" si="63"/>
        <v>51749.999999999993</v>
      </c>
      <c r="Y114" s="62">
        <v>0</v>
      </c>
      <c r="Z114" s="62">
        <v>0</v>
      </c>
      <c r="AA114" s="256">
        <f t="shared" si="64"/>
        <v>51749.999999999993</v>
      </c>
      <c r="AB114" s="3"/>
      <c r="AC114" s="62">
        <f t="shared" si="65"/>
        <v>7943.76</v>
      </c>
      <c r="AD114" s="62" t="str">
        <f t="shared" si="66"/>
        <v/>
      </c>
      <c r="AE114" s="62">
        <f t="shared" si="67"/>
        <v>15136.874999999996</v>
      </c>
      <c r="AF114" s="62">
        <f t="shared" si="68"/>
        <v>750.37499999999989</v>
      </c>
      <c r="AG114" s="192">
        <v>0</v>
      </c>
      <c r="AH114" s="62">
        <f t="shared" si="69"/>
        <v>471.04589353272024</v>
      </c>
      <c r="AI114" s="62">
        <f t="shared" si="70"/>
        <v>152.41403322516058</v>
      </c>
      <c r="AJ114" s="62"/>
      <c r="AK114" s="62">
        <v>0</v>
      </c>
      <c r="AL114" s="256">
        <f t="shared" si="71"/>
        <v>24454.469926757873</v>
      </c>
      <c r="AM114" s="256">
        <f t="shared" si="72"/>
        <v>51749.999999999993</v>
      </c>
      <c r="AN114" s="256">
        <f t="shared" si="73"/>
        <v>76204.469926757869</v>
      </c>
    </row>
    <row r="115" spans="1:40" x14ac:dyDescent="0.2">
      <c r="A115" s="311" t="s">
        <v>1149</v>
      </c>
      <c r="B115" s="311" t="s">
        <v>462</v>
      </c>
      <c r="C115" s="311" t="s">
        <v>145</v>
      </c>
      <c r="D115" s="311"/>
      <c r="E115" s="311" t="s">
        <v>463</v>
      </c>
      <c r="F115" s="311" t="s">
        <v>461</v>
      </c>
      <c r="G115" s="311" t="s">
        <v>161</v>
      </c>
      <c r="H115" s="311"/>
      <c r="I115" s="312" t="str">
        <f>IF('Employee Detail FY25'!I115="","",'Employee Detail FY25'!I115)</f>
        <v>VACANT</v>
      </c>
      <c r="J115" s="311" t="s">
        <v>508</v>
      </c>
      <c r="K115" s="312" t="s">
        <v>389</v>
      </c>
      <c r="L115" s="312" t="s">
        <v>896</v>
      </c>
      <c r="M115" s="313">
        <v>1</v>
      </c>
      <c r="N115" s="311"/>
      <c r="O115" s="311"/>
      <c r="P115" s="311" t="s">
        <v>342</v>
      </c>
      <c r="Q115" s="311" t="s">
        <v>386</v>
      </c>
      <c r="R115" s="311"/>
      <c r="S115" s="311"/>
      <c r="T115" s="263"/>
      <c r="U115" s="269">
        <v>65000</v>
      </c>
      <c r="V115" s="270">
        <f t="shared" si="61"/>
        <v>74750</v>
      </c>
      <c r="W115" s="270" t="str">
        <f t="shared" si="62"/>
        <v/>
      </c>
      <c r="X115" s="270">
        <f t="shared" si="63"/>
        <v>74750</v>
      </c>
      <c r="Y115" s="62">
        <v>0</v>
      </c>
      <c r="Z115" s="62">
        <v>0</v>
      </c>
      <c r="AA115" s="256">
        <f t="shared" si="64"/>
        <v>74750</v>
      </c>
      <c r="AB115" s="3"/>
      <c r="AC115" s="62">
        <f t="shared" si="65"/>
        <v>7943.76</v>
      </c>
      <c r="AD115" s="62" t="str">
        <f t="shared" si="66"/>
        <v/>
      </c>
      <c r="AE115" s="62">
        <f t="shared" si="67"/>
        <v>21864.375</v>
      </c>
      <c r="AF115" s="62">
        <f t="shared" si="68"/>
        <v>1083.875</v>
      </c>
      <c r="AG115" s="192">
        <v>0</v>
      </c>
      <c r="AH115" s="62">
        <f t="shared" si="69"/>
        <v>680.39962399170713</v>
      </c>
      <c r="AI115" s="62">
        <f t="shared" si="70"/>
        <v>220.1536035474542</v>
      </c>
      <c r="AJ115" s="62"/>
      <c r="AK115" s="62">
        <v>0</v>
      </c>
      <c r="AL115" s="256">
        <f t="shared" si="71"/>
        <v>31792.563227539162</v>
      </c>
      <c r="AM115" s="256">
        <f t="shared" si="72"/>
        <v>74750</v>
      </c>
      <c r="AN115" s="256">
        <f t="shared" si="73"/>
        <v>106542.56322753915</v>
      </c>
    </row>
    <row r="116" spans="1:40" hidden="1" x14ac:dyDescent="0.2">
      <c r="A116" s="311"/>
      <c r="B116" s="351"/>
      <c r="C116" s="351"/>
      <c r="D116" s="351"/>
      <c r="E116" s="351"/>
      <c r="F116" s="351"/>
      <c r="G116" s="351"/>
      <c r="H116" s="35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263" t="str">
        <f t="shared" ref="T116:T122" si="75">+IF(R116="","",R116*S116)</f>
        <v/>
      </c>
      <c r="U116" s="269"/>
      <c r="V116" s="270" t="str">
        <f t="shared" si="61"/>
        <v/>
      </c>
      <c r="W116" s="270" t="str">
        <f t="shared" si="62"/>
        <v/>
      </c>
      <c r="X116" s="270" t="str">
        <f t="shared" si="63"/>
        <v/>
      </c>
      <c r="Y116" s="62">
        <v>0</v>
      </c>
      <c r="Z116" s="62">
        <v>0</v>
      </c>
      <c r="AA116" s="256">
        <f t="shared" si="64"/>
        <v>0</v>
      </c>
      <c r="AB116" s="3"/>
      <c r="AC116" s="62" t="str">
        <f t="shared" si="65"/>
        <v/>
      </c>
      <c r="AD116" s="62" t="str">
        <f t="shared" si="66"/>
        <v/>
      </c>
      <c r="AE116" s="62" t="str">
        <f t="shared" si="67"/>
        <v/>
      </c>
      <c r="AF116" s="62" t="str">
        <f t="shared" si="68"/>
        <v/>
      </c>
      <c r="AG116" s="192">
        <v>0</v>
      </c>
      <c r="AH116" s="62" t="str">
        <f t="shared" si="69"/>
        <v/>
      </c>
      <c r="AI116" s="62">
        <f t="shared" si="70"/>
        <v>0</v>
      </c>
      <c r="AJ116" s="62"/>
      <c r="AK116" s="62">
        <v>0</v>
      </c>
      <c r="AL116" s="256">
        <f t="shared" si="71"/>
        <v>0</v>
      </c>
      <c r="AM116" s="256">
        <f t="shared" si="72"/>
        <v>0</v>
      </c>
      <c r="AN116" s="256">
        <f t="shared" si="73"/>
        <v>0</v>
      </c>
    </row>
    <row r="117" spans="1:40" x14ac:dyDescent="0.2">
      <c r="A117" s="311" t="s">
        <v>1149</v>
      </c>
      <c r="B117" s="351">
        <v>100</v>
      </c>
      <c r="C117" s="351" t="s">
        <v>145</v>
      </c>
      <c r="D117" s="351"/>
      <c r="E117" s="351">
        <v>100</v>
      </c>
      <c r="F117" s="351">
        <v>1000</v>
      </c>
      <c r="G117" s="351" t="s">
        <v>161</v>
      </c>
      <c r="H117" s="351" t="s">
        <v>497</v>
      </c>
      <c r="I117" s="312" t="str">
        <f>IF('Employee Detail FY25'!I117="","",'Employee Detail FY25'!I117)</f>
        <v>VACANT</v>
      </c>
      <c r="J117" s="311" t="s">
        <v>1262</v>
      </c>
      <c r="K117" s="311" t="s">
        <v>389</v>
      </c>
      <c r="L117" s="311" t="s">
        <v>498</v>
      </c>
      <c r="M117" s="313">
        <v>1</v>
      </c>
      <c r="N117" s="311"/>
      <c r="O117" s="311"/>
      <c r="P117" s="311" t="s">
        <v>342</v>
      </c>
      <c r="Q117" s="311" t="s">
        <v>386</v>
      </c>
      <c r="R117" s="311" t="s">
        <v>386</v>
      </c>
      <c r="S117" s="311" t="s">
        <v>386</v>
      </c>
      <c r="T117" s="263" t="str">
        <f t="shared" si="75"/>
        <v/>
      </c>
      <c r="U117" s="269">
        <v>45000</v>
      </c>
      <c r="V117" s="270">
        <f t="shared" si="61"/>
        <v>51749.999999999993</v>
      </c>
      <c r="W117" s="270" t="str">
        <f t="shared" si="62"/>
        <v/>
      </c>
      <c r="X117" s="270">
        <f t="shared" si="63"/>
        <v>51749.999999999993</v>
      </c>
      <c r="Y117" s="62">
        <v>0</v>
      </c>
      <c r="Z117" s="62">
        <v>0</v>
      </c>
      <c r="AA117" s="256">
        <f t="shared" si="64"/>
        <v>51749.999999999993</v>
      </c>
      <c r="AB117" s="3"/>
      <c r="AC117" s="62">
        <f t="shared" si="65"/>
        <v>7943.76</v>
      </c>
      <c r="AD117" s="62" t="str">
        <f t="shared" si="66"/>
        <v/>
      </c>
      <c r="AE117" s="62">
        <f t="shared" si="67"/>
        <v>15136.874999999996</v>
      </c>
      <c r="AF117" s="62">
        <f t="shared" si="68"/>
        <v>750.37499999999989</v>
      </c>
      <c r="AG117" s="192">
        <v>0</v>
      </c>
      <c r="AH117" s="62">
        <f t="shared" si="69"/>
        <v>471.04589353272024</v>
      </c>
      <c r="AI117" s="62">
        <f t="shared" si="70"/>
        <v>152.41403322516058</v>
      </c>
      <c r="AJ117" s="62"/>
      <c r="AK117" s="62">
        <v>0</v>
      </c>
      <c r="AL117" s="256">
        <f t="shared" si="71"/>
        <v>24454.469926757873</v>
      </c>
      <c r="AM117" s="256">
        <f t="shared" si="72"/>
        <v>51749.999999999993</v>
      </c>
      <c r="AN117" s="256">
        <f t="shared" si="73"/>
        <v>76204.469926757869</v>
      </c>
    </row>
    <row r="118" spans="1:40" x14ac:dyDescent="0.2">
      <c r="A118" s="311" t="s">
        <v>1149</v>
      </c>
      <c r="B118" s="351">
        <v>100</v>
      </c>
      <c r="C118" s="351" t="s">
        <v>145</v>
      </c>
      <c r="D118" s="351"/>
      <c r="E118" s="351">
        <v>100</v>
      </c>
      <c r="F118" s="351">
        <v>1000</v>
      </c>
      <c r="G118" s="351" t="s">
        <v>161</v>
      </c>
      <c r="H118" s="351" t="s">
        <v>497</v>
      </c>
      <c r="I118" s="312" t="str">
        <f>IF('Employee Detail FY25'!I118="","",'Employee Detail FY25'!I118)</f>
        <v>VACANT</v>
      </c>
      <c r="J118" s="311" t="s">
        <v>1262</v>
      </c>
      <c r="K118" s="311" t="s">
        <v>389</v>
      </c>
      <c r="L118" s="311" t="s">
        <v>498</v>
      </c>
      <c r="M118" s="313">
        <v>1</v>
      </c>
      <c r="N118" s="311"/>
      <c r="O118" s="311"/>
      <c r="P118" s="311" t="s">
        <v>342</v>
      </c>
      <c r="Q118" s="311" t="s">
        <v>386</v>
      </c>
      <c r="R118" s="311" t="s">
        <v>386</v>
      </c>
      <c r="S118" s="311" t="s">
        <v>386</v>
      </c>
      <c r="T118" s="263" t="str">
        <f t="shared" si="75"/>
        <v/>
      </c>
      <c r="U118" s="269">
        <v>45000</v>
      </c>
      <c r="V118" s="270">
        <f t="shared" si="61"/>
        <v>51749.999999999993</v>
      </c>
      <c r="W118" s="270" t="str">
        <f t="shared" si="62"/>
        <v/>
      </c>
      <c r="X118" s="270">
        <f t="shared" si="63"/>
        <v>51749.999999999993</v>
      </c>
      <c r="Y118" s="62">
        <v>0</v>
      </c>
      <c r="Z118" s="62">
        <v>0</v>
      </c>
      <c r="AA118" s="256">
        <f t="shared" si="64"/>
        <v>51749.999999999993</v>
      </c>
      <c r="AB118" s="3"/>
      <c r="AC118" s="62">
        <f t="shared" si="65"/>
        <v>7943.76</v>
      </c>
      <c r="AD118" s="62" t="str">
        <f t="shared" si="66"/>
        <v/>
      </c>
      <c r="AE118" s="62">
        <f t="shared" si="67"/>
        <v>15136.874999999996</v>
      </c>
      <c r="AF118" s="62">
        <f t="shared" si="68"/>
        <v>750.37499999999989</v>
      </c>
      <c r="AG118" s="192">
        <v>0</v>
      </c>
      <c r="AH118" s="62">
        <f t="shared" si="69"/>
        <v>471.04589353272024</v>
      </c>
      <c r="AI118" s="62">
        <f t="shared" si="70"/>
        <v>152.41403322516058</v>
      </c>
      <c r="AJ118" s="62"/>
      <c r="AK118" s="62">
        <v>0</v>
      </c>
      <c r="AL118" s="256">
        <f t="shared" si="71"/>
        <v>24454.469926757873</v>
      </c>
      <c r="AM118" s="256">
        <f t="shared" si="72"/>
        <v>51749.999999999993</v>
      </c>
      <c r="AN118" s="256">
        <f t="shared" si="73"/>
        <v>76204.469926757869</v>
      </c>
    </row>
    <row r="119" spans="1:40" x14ac:dyDescent="0.2">
      <c r="A119" s="311" t="s">
        <v>1149</v>
      </c>
      <c r="B119" s="351">
        <v>250</v>
      </c>
      <c r="C119" s="351" t="s">
        <v>145</v>
      </c>
      <c r="D119" s="351"/>
      <c r="E119" s="351">
        <v>200</v>
      </c>
      <c r="F119" s="351">
        <v>1000</v>
      </c>
      <c r="G119" s="351" t="s">
        <v>161</v>
      </c>
      <c r="H119" s="351" t="s">
        <v>497</v>
      </c>
      <c r="I119" s="312" t="str">
        <f>IF('Employee Detail FY25'!I119="","",'Employee Detail FY25'!I119)</f>
        <v>VACANT</v>
      </c>
      <c r="J119" s="311" t="s">
        <v>1262</v>
      </c>
      <c r="K119" s="311" t="s">
        <v>389</v>
      </c>
      <c r="L119" s="311" t="s">
        <v>495</v>
      </c>
      <c r="M119" s="313">
        <v>1</v>
      </c>
      <c r="N119" s="311"/>
      <c r="O119" s="311"/>
      <c r="P119" s="311" t="s">
        <v>342</v>
      </c>
      <c r="Q119" s="311" t="s">
        <v>386</v>
      </c>
      <c r="R119" s="311" t="s">
        <v>386</v>
      </c>
      <c r="S119" s="311" t="s">
        <v>386</v>
      </c>
      <c r="T119" s="263" t="str">
        <f t="shared" si="75"/>
        <v/>
      </c>
      <c r="U119" s="269">
        <v>45000</v>
      </c>
      <c r="V119" s="270">
        <f t="shared" si="61"/>
        <v>51749.999999999993</v>
      </c>
      <c r="W119" s="270" t="str">
        <f t="shared" si="62"/>
        <v/>
      </c>
      <c r="X119" s="270">
        <f t="shared" si="63"/>
        <v>51749.999999999993</v>
      </c>
      <c r="Y119" s="62">
        <v>0</v>
      </c>
      <c r="Z119" s="62">
        <v>0</v>
      </c>
      <c r="AA119" s="256">
        <f t="shared" si="64"/>
        <v>51749.999999999993</v>
      </c>
      <c r="AB119" s="3"/>
      <c r="AC119" s="62">
        <f t="shared" si="65"/>
        <v>7943.76</v>
      </c>
      <c r="AD119" s="62" t="str">
        <f t="shared" si="66"/>
        <v/>
      </c>
      <c r="AE119" s="62">
        <f t="shared" si="67"/>
        <v>15136.874999999996</v>
      </c>
      <c r="AF119" s="62">
        <f t="shared" si="68"/>
        <v>750.37499999999989</v>
      </c>
      <c r="AG119" s="192">
        <v>0</v>
      </c>
      <c r="AH119" s="62">
        <f t="shared" si="69"/>
        <v>471.04589353272024</v>
      </c>
      <c r="AI119" s="62">
        <f t="shared" si="70"/>
        <v>152.41403322516058</v>
      </c>
      <c r="AJ119" s="62"/>
      <c r="AK119" s="62">
        <v>0</v>
      </c>
      <c r="AL119" s="256">
        <f t="shared" si="71"/>
        <v>24454.469926757873</v>
      </c>
      <c r="AM119" s="256">
        <f t="shared" si="72"/>
        <v>51749.999999999993</v>
      </c>
      <c r="AN119" s="256">
        <f t="shared" si="73"/>
        <v>76204.469926757869</v>
      </c>
    </row>
    <row r="120" spans="1:40" x14ac:dyDescent="0.2">
      <c r="A120" s="311" t="s">
        <v>1149</v>
      </c>
      <c r="B120" s="311">
        <v>100</v>
      </c>
      <c r="C120" s="311" t="s">
        <v>145</v>
      </c>
      <c r="D120" s="311"/>
      <c r="E120" s="311">
        <v>100</v>
      </c>
      <c r="F120" s="311">
        <v>1000</v>
      </c>
      <c r="G120" s="311" t="s">
        <v>169</v>
      </c>
      <c r="H120" s="311"/>
      <c r="I120" s="312" t="s">
        <v>1149</v>
      </c>
      <c r="J120" s="312" t="s">
        <v>1262</v>
      </c>
      <c r="K120" s="312" t="s">
        <v>384</v>
      </c>
      <c r="L120" s="312" t="s">
        <v>989</v>
      </c>
      <c r="M120" s="313">
        <v>1</v>
      </c>
      <c r="N120" s="311"/>
      <c r="O120" s="311"/>
      <c r="P120" s="311" t="s">
        <v>342</v>
      </c>
      <c r="Q120" s="311"/>
      <c r="R120" s="311"/>
      <c r="S120" s="311"/>
      <c r="T120" s="263" t="str">
        <f t="shared" si="75"/>
        <v/>
      </c>
      <c r="U120" s="269">
        <v>31500</v>
      </c>
      <c r="V120" s="270">
        <f t="shared" si="61"/>
        <v>36225</v>
      </c>
      <c r="W120" s="270" t="str">
        <f t="shared" si="62"/>
        <v/>
      </c>
      <c r="X120" s="270">
        <f t="shared" si="63"/>
        <v>36225</v>
      </c>
      <c r="Y120" s="62">
        <v>0</v>
      </c>
      <c r="Z120" s="62">
        <v>0</v>
      </c>
      <c r="AA120" s="256">
        <f t="shared" si="64"/>
        <v>36225</v>
      </c>
      <c r="AB120" s="3"/>
      <c r="AC120" s="62">
        <f t="shared" si="65"/>
        <v>7943.76</v>
      </c>
      <c r="AD120" s="62" t="str">
        <f t="shared" si="66"/>
        <v/>
      </c>
      <c r="AE120" s="62">
        <f t="shared" si="67"/>
        <v>10595.8125</v>
      </c>
      <c r="AF120" s="62">
        <f t="shared" si="68"/>
        <v>525.26250000000005</v>
      </c>
      <c r="AG120" s="192">
        <v>0</v>
      </c>
      <c r="AH120" s="62">
        <f t="shared" si="69"/>
        <v>329.73212547290422</v>
      </c>
      <c r="AI120" s="62">
        <f t="shared" si="70"/>
        <v>106.68982325761242</v>
      </c>
      <c r="AJ120" s="62"/>
      <c r="AK120" s="62">
        <v>0</v>
      </c>
      <c r="AL120" s="256">
        <f t="shared" si="71"/>
        <v>19501.256948730519</v>
      </c>
      <c r="AM120" s="256">
        <f t="shared" si="72"/>
        <v>36225</v>
      </c>
      <c r="AN120" s="256">
        <f t="shared" si="73"/>
        <v>55726.256948730515</v>
      </c>
    </row>
    <row r="121" spans="1:40" hidden="1" x14ac:dyDescent="0.2">
      <c r="A121" s="311" t="str">
        <f>IF('Employee Detail FY25'!A121="","",'Employee Detail FY25'!A121)</f>
        <v/>
      </c>
      <c r="B121" s="311" t="str">
        <f>IF('Employee Detail FY25'!B121="","",'Employee Detail FY25'!B121)</f>
        <v/>
      </c>
      <c r="C121" s="311" t="str">
        <f>IF('Employee Detail FY25'!C121="","",'Employee Detail FY25'!C121)</f>
        <v/>
      </c>
      <c r="D121" s="311"/>
      <c r="E121" s="311" t="str">
        <f>IF('Employee Detail FY25'!E121="","",'Employee Detail FY25'!E121)</f>
        <v/>
      </c>
      <c r="F121" s="311" t="str">
        <f>IF('Employee Detail FY25'!F121="","",'Employee Detail FY25'!F121)</f>
        <v/>
      </c>
      <c r="G121" s="311" t="str">
        <f>IF('Employee Detail FY25'!G121="","",'Employee Detail FY25'!G121)</f>
        <v/>
      </c>
      <c r="H121" s="311"/>
      <c r="I121" s="312" t="str">
        <f>IF('Employee Detail FY25'!I121="","",'Employee Detail FY25'!I121)</f>
        <v/>
      </c>
      <c r="J121" s="312" t="str">
        <f>IF('Employee Detail FY25'!J121="","",'Employee Detail FY25'!J121)</f>
        <v/>
      </c>
      <c r="K121" s="312" t="str">
        <f>IF('Employee Detail FY25'!K121="","",'Employee Detail FY25'!K121)</f>
        <v/>
      </c>
      <c r="L121" s="312" t="str">
        <f>IF('Employee Detail FY25'!L121="","",'Employee Detail FY25'!L121)</f>
        <v/>
      </c>
      <c r="M121" s="313"/>
      <c r="N121" s="311"/>
      <c r="O121" s="311"/>
      <c r="P121" s="311"/>
      <c r="Q121" s="311"/>
      <c r="R121" s="311"/>
      <c r="S121" s="311"/>
      <c r="T121" s="263" t="str">
        <f t="shared" si="75"/>
        <v/>
      </c>
      <c r="U121" s="269" t="str">
        <f>IF('Employee Detail FY25'!U121="","",'Employee Detail FY25'!U121)</f>
        <v/>
      </c>
      <c r="V121" s="270" t="str">
        <f t="shared" si="61"/>
        <v/>
      </c>
      <c r="W121" s="270" t="str">
        <f t="shared" si="62"/>
        <v/>
      </c>
      <c r="X121" s="270" t="str">
        <f t="shared" si="63"/>
        <v/>
      </c>
      <c r="Y121" s="62">
        <v>0</v>
      </c>
      <c r="Z121" s="62">
        <v>0</v>
      </c>
      <c r="AA121" s="256">
        <f t="shared" si="64"/>
        <v>0</v>
      </c>
      <c r="AB121" s="3"/>
      <c r="AC121" s="62" t="str">
        <f t="shared" si="65"/>
        <v/>
      </c>
      <c r="AD121" s="62" t="str">
        <f t="shared" si="66"/>
        <v/>
      </c>
      <c r="AE121" s="62" t="str">
        <f t="shared" si="67"/>
        <v/>
      </c>
      <c r="AF121" s="62" t="str">
        <f t="shared" si="68"/>
        <v/>
      </c>
      <c r="AG121" s="192">
        <v>0</v>
      </c>
      <c r="AH121" s="62" t="str">
        <f t="shared" si="69"/>
        <v/>
      </c>
      <c r="AI121" s="62">
        <f t="shared" si="70"/>
        <v>0</v>
      </c>
      <c r="AJ121" s="62"/>
      <c r="AK121" s="62">
        <v>0</v>
      </c>
      <c r="AL121" s="256">
        <f t="shared" si="71"/>
        <v>0</v>
      </c>
      <c r="AM121" s="256">
        <f t="shared" si="72"/>
        <v>0</v>
      </c>
      <c r="AN121" s="256">
        <f t="shared" si="73"/>
        <v>0</v>
      </c>
    </row>
    <row r="122" spans="1:40" x14ac:dyDescent="0.2">
      <c r="A122" s="311" t="s">
        <v>1149</v>
      </c>
      <c r="B122" s="351">
        <v>250</v>
      </c>
      <c r="C122" s="351" t="s">
        <v>145</v>
      </c>
      <c r="D122" s="351"/>
      <c r="E122" s="351">
        <v>200</v>
      </c>
      <c r="F122" s="351">
        <v>1000</v>
      </c>
      <c r="G122" s="351" t="s">
        <v>161</v>
      </c>
      <c r="H122" s="351" t="s">
        <v>497</v>
      </c>
      <c r="I122" s="312" t="str">
        <f>IF('Employee Detail FY25'!I122="","",'Employee Detail FY25'!I122)</f>
        <v>VACANT</v>
      </c>
      <c r="J122" s="311" t="s">
        <v>1263</v>
      </c>
      <c r="K122" s="311" t="s">
        <v>389</v>
      </c>
      <c r="L122" s="311" t="s">
        <v>495</v>
      </c>
      <c r="M122" s="313">
        <v>1</v>
      </c>
      <c r="N122" s="311"/>
      <c r="O122" s="311"/>
      <c r="P122" s="311" t="s">
        <v>342</v>
      </c>
      <c r="Q122" s="311" t="s">
        <v>386</v>
      </c>
      <c r="R122" s="311" t="s">
        <v>386</v>
      </c>
      <c r="S122" s="311" t="s">
        <v>386</v>
      </c>
      <c r="T122" s="263" t="str">
        <f t="shared" si="75"/>
        <v/>
      </c>
      <c r="U122" s="269">
        <v>45000</v>
      </c>
      <c r="V122" s="270">
        <f t="shared" si="61"/>
        <v>51749.999999999993</v>
      </c>
      <c r="W122" s="270" t="str">
        <f t="shared" si="62"/>
        <v/>
      </c>
      <c r="X122" s="270">
        <f t="shared" si="63"/>
        <v>51749.999999999993</v>
      </c>
      <c r="Y122" s="62">
        <v>0</v>
      </c>
      <c r="Z122" s="62">
        <v>0</v>
      </c>
      <c r="AA122" s="256">
        <f t="shared" si="64"/>
        <v>51749.999999999993</v>
      </c>
      <c r="AB122" s="3"/>
      <c r="AC122" s="62">
        <f t="shared" si="65"/>
        <v>7943.76</v>
      </c>
      <c r="AD122" s="62" t="str">
        <f t="shared" si="66"/>
        <v/>
      </c>
      <c r="AE122" s="62">
        <f t="shared" si="67"/>
        <v>15136.874999999996</v>
      </c>
      <c r="AF122" s="62">
        <f t="shared" si="68"/>
        <v>750.37499999999989</v>
      </c>
      <c r="AG122" s="192">
        <v>0</v>
      </c>
      <c r="AH122" s="62">
        <f t="shared" si="69"/>
        <v>471.04589353272024</v>
      </c>
      <c r="AI122" s="62">
        <f t="shared" si="70"/>
        <v>152.41403322516058</v>
      </c>
      <c r="AJ122" s="62"/>
      <c r="AK122" s="62">
        <v>0</v>
      </c>
      <c r="AL122" s="256">
        <f t="shared" si="71"/>
        <v>24454.469926757873</v>
      </c>
      <c r="AM122" s="256">
        <f t="shared" si="72"/>
        <v>51749.999999999993</v>
      </c>
      <c r="AN122" s="256">
        <f t="shared" si="73"/>
        <v>76204.469926757869</v>
      </c>
    </row>
    <row r="123" spans="1:40" hidden="1" x14ac:dyDescent="0.2">
      <c r="A123" s="311" t="str">
        <f>IF('Employee Detail FY23'!A149="","",'Employee Detail FY23'!A149)</f>
        <v/>
      </c>
      <c r="B123" s="311" t="str">
        <f>IF('Employee Detail FY23'!B149="","",'Employee Detail FY23'!B149)</f>
        <v/>
      </c>
      <c r="C123" s="311" t="str">
        <f>IF('Employee Detail FY23'!C149="","",'Employee Detail FY23'!C149)</f>
        <v/>
      </c>
      <c r="D123" s="311"/>
      <c r="E123" s="311" t="str">
        <f>IF('Employee Detail FY23'!E149="","",'Employee Detail FY23'!E149)</f>
        <v/>
      </c>
      <c r="F123" s="311" t="str">
        <f>IF('Employee Detail FY23'!F149="","",'Employee Detail FY23'!F149)</f>
        <v/>
      </c>
      <c r="G123" s="311" t="str">
        <f>IF('Employee Detail FY23'!G149="","",'Employee Detail FY23'!G149)</f>
        <v/>
      </c>
      <c r="H123" s="311"/>
      <c r="I123" s="312" t="str">
        <f>IF('Employee Detail FY23'!I149="","",'Employee Detail FY23'!I149)</f>
        <v/>
      </c>
      <c r="J123" s="312" t="str">
        <f>IF('Employee Detail FY23'!J149="","",'Employee Detail FY23'!J149)</f>
        <v/>
      </c>
      <c r="K123" s="312" t="str">
        <f>IF('Employee Detail FY23'!K149="","",'Employee Detail FY23'!K149)</f>
        <v/>
      </c>
      <c r="L123" s="312" t="str">
        <f>IF('Employee Detail FY23'!L149="","",'Employee Detail FY23'!L149)</f>
        <v/>
      </c>
      <c r="M123" s="313"/>
      <c r="N123" s="311"/>
      <c r="O123" s="311"/>
      <c r="P123" s="311"/>
      <c r="Q123" s="311" t="str">
        <f>IF('Employee Detail FY23'!Q149="","",'Employee Detail FY23'!Q149)</f>
        <v/>
      </c>
      <c r="R123" s="311" t="str">
        <f>IF('Employee Detail FY23'!R149="","",'Employee Detail FY23'!R149)</f>
        <v/>
      </c>
      <c r="S123" s="311" t="str">
        <f>IF('Employee Detail FY23'!S149="","",'Employee Detail FY23'!S149)</f>
        <v/>
      </c>
      <c r="T123" s="263" t="str">
        <f t="shared" ref="T123" si="76">+IF(R123="","",R123*S123)</f>
        <v/>
      </c>
      <c r="U123" s="269" t="str">
        <f>IF('Employee Detail FY23'!U149="","",'Employee Detail FY23'!U149)</f>
        <v/>
      </c>
      <c r="V123" s="270" t="str">
        <f t="shared" si="61"/>
        <v/>
      </c>
      <c r="W123" s="270" t="str">
        <f t="shared" ref="W123" si="77">+IF(P123="EE",+V123*$W$1,"")</f>
        <v/>
      </c>
      <c r="X123" s="270" t="str">
        <f t="shared" ref="X123" si="78">_xlfn.IFS(P123="ER",V123,P123="EE",W123,P123="N",V123,P123="","")</f>
        <v/>
      </c>
      <c r="Y123" s="62">
        <v>0</v>
      </c>
      <c r="Z123" s="62">
        <v>0</v>
      </c>
      <c r="AA123" s="256">
        <f t="shared" ref="AA123" si="79">SUM(X123:Z123)</f>
        <v>0</v>
      </c>
      <c r="AB123" s="3"/>
      <c r="AC123" s="62" t="str">
        <f t="shared" ref="AC123" si="80">IF(AND(M123=1,P123&lt;&gt;"N"),$AC$1,"")</f>
        <v/>
      </c>
      <c r="AD123" s="62" t="str">
        <f t="shared" ref="AD123" si="81">_xlfn.IFS(P123="N",$AD$1*AA123,P123="EE","",P123="ER","",P123="","")</f>
        <v/>
      </c>
      <c r="AE123" s="62" t="str">
        <f t="shared" ref="AE123" si="82">_xlfn.IFS(P123="EE",X123*$AE$1,P123="ER",X123*$AE$2,P123="N","",P123="","")</f>
        <v/>
      </c>
      <c r="AF123" s="62" t="str">
        <f t="shared" ref="AF123" si="83">+IF(AA123&gt;1,AA123*$AF$1,"")</f>
        <v/>
      </c>
      <c r="AG123" s="192">
        <v>0</v>
      </c>
      <c r="AH123" s="62" t="str">
        <f t="shared" ref="AH123" si="84">+IF(AA123&gt;1,AA123*$AH$1,"")</f>
        <v/>
      </c>
      <c r="AI123" s="62">
        <f t="shared" ref="AI123" si="85">+_xlfn.IFS(F123&lt;2300,(AA123*$AI$1),F123&gt;=2300,(AA123*$AI$2),F123="","")</f>
        <v>0</v>
      </c>
      <c r="AJ123" s="62"/>
      <c r="AK123" s="62">
        <v>0</v>
      </c>
      <c r="AL123" s="256">
        <f t="shared" ref="AL123" si="86">SUM(AC123:AK123)</f>
        <v>0</v>
      </c>
      <c r="AM123" s="256">
        <f t="shared" ref="AM123" si="87">AA123</f>
        <v>0</v>
      </c>
      <c r="AN123" s="256">
        <f t="shared" ref="AN123" si="88">SUM(AL123:AM123)</f>
        <v>0</v>
      </c>
    </row>
    <row r="124" spans="1:40" hidden="1" x14ac:dyDescent="0.2">
      <c r="A124" s="311"/>
      <c r="B124" s="351"/>
      <c r="C124" s="351"/>
      <c r="D124" s="351"/>
      <c r="E124" s="351"/>
      <c r="F124" s="351"/>
      <c r="G124" s="351"/>
      <c r="H124" s="35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263" t="str">
        <f>+IF(R124="","",R124*S124)</f>
        <v/>
      </c>
      <c r="U124" s="269" t="str">
        <f>IF('Employee Detail FY23'!U111="","",'Employee Detail FY23'!U111)</f>
        <v/>
      </c>
      <c r="V124" s="270" t="str">
        <f t="shared" si="61"/>
        <v/>
      </c>
      <c r="W124" s="270" t="str">
        <f>+IF(P124="EE",+V124*$W$1,"")</f>
        <v/>
      </c>
      <c r="X124" s="270" t="str">
        <f>_xlfn.IFS(P124="ER",V124,P124="EE",W124,P124="N",V124,P124="","")</f>
        <v/>
      </c>
      <c r="Y124" s="62">
        <v>0</v>
      </c>
      <c r="Z124" s="62">
        <v>0</v>
      </c>
      <c r="AA124" s="256">
        <f>SUM(X124:Z124)</f>
        <v>0</v>
      </c>
      <c r="AB124" s="3"/>
      <c r="AC124" s="62" t="str">
        <f>IF(AND(M124=1,P124&lt;&gt;"N"),$AC$1,"")</f>
        <v/>
      </c>
      <c r="AD124" s="62" t="str">
        <f>_xlfn.IFS(P124="N",$AD$1*AA124,P124="EE","",P124="ER","",P124="","")</f>
        <v/>
      </c>
      <c r="AE124" s="62" t="str">
        <f>_xlfn.IFS(P124="EE",X124*$AE$1,P124="ER",X124*$AE$2,P124="N","",P124="","")</f>
        <v/>
      </c>
      <c r="AF124" s="62" t="str">
        <f>+IF(AA124&gt;1,AA124*$AF$1,"")</f>
        <v/>
      </c>
      <c r="AG124" s="192">
        <v>0</v>
      </c>
      <c r="AH124" s="62" t="str">
        <f>+IF(AA124&gt;1,AA124*$AH$1,"")</f>
        <v/>
      </c>
      <c r="AI124" s="62">
        <f>+_xlfn.IFS(F124&lt;2300,(AA124*$AI$1),F124&gt;=2300,(AA124*$AI$2),F124="","")</f>
        <v>0</v>
      </c>
      <c r="AJ124" s="62"/>
      <c r="AK124" s="62">
        <v>0</v>
      </c>
      <c r="AL124" s="256">
        <f>SUM(AC124:AK124)</f>
        <v>0</v>
      </c>
      <c r="AM124" s="256">
        <f>AA124</f>
        <v>0</v>
      </c>
      <c r="AN124" s="256">
        <f>SUM(AL124:AM124)</f>
        <v>0</v>
      </c>
    </row>
    <row r="125" spans="1:40" hidden="1" x14ac:dyDescent="0.2">
      <c r="A125" s="311" t="str">
        <f>IF('Employee Detail FY25'!A125="","",'Employee Detail FY25'!A125)</f>
        <v/>
      </c>
      <c r="B125" s="311" t="str">
        <f>IF('Employee Detail FY25'!B125="","",'Employee Detail FY25'!B125)</f>
        <v/>
      </c>
      <c r="C125" s="311" t="str">
        <f>IF('Employee Detail FY25'!C125="","",'Employee Detail FY25'!C125)</f>
        <v/>
      </c>
      <c r="D125" s="311"/>
      <c r="E125" s="311" t="str">
        <f>IF('Employee Detail FY25'!E125="","",'Employee Detail FY25'!E125)</f>
        <v/>
      </c>
      <c r="F125" s="311" t="str">
        <f>IF('Employee Detail FY25'!F125="","",'Employee Detail FY25'!F125)</f>
        <v/>
      </c>
      <c r="G125" s="311" t="str">
        <f>IF('Employee Detail FY25'!G125="","",'Employee Detail FY25'!G125)</f>
        <v/>
      </c>
      <c r="H125" s="311"/>
      <c r="I125" s="312" t="str">
        <f>IF('Employee Detail FY25'!I125="","",'Employee Detail FY25'!I125)</f>
        <v/>
      </c>
      <c r="J125" s="312" t="str">
        <f>IF('Employee Detail FY25'!J125="","",'Employee Detail FY25'!J125)</f>
        <v/>
      </c>
      <c r="K125" s="312" t="str">
        <f>IF('Employee Detail FY25'!K125="","",'Employee Detail FY25'!K125)</f>
        <v/>
      </c>
      <c r="L125" s="312" t="str">
        <f>IF('Employee Detail FY25'!L125="","",'Employee Detail FY25'!L125)</f>
        <v/>
      </c>
      <c r="M125" s="313"/>
      <c r="N125" s="311"/>
      <c r="O125" s="311"/>
      <c r="P125" s="311"/>
      <c r="Q125" s="311" t="str">
        <f>IF('Employee Detail FY25'!Q125="","",'Employee Detail FY25'!Q125)</f>
        <v/>
      </c>
      <c r="R125" s="311" t="str">
        <f>IF('Employee Detail FY25'!R125="","",'Employee Detail FY25'!R125)</f>
        <v/>
      </c>
      <c r="S125" s="311" t="str">
        <f>IF('Employee Detail FY25'!S125="","",'Employee Detail FY25'!S125)</f>
        <v/>
      </c>
      <c r="T125" s="263" t="str">
        <f>+IF(R125="","",R125*S125)</f>
        <v/>
      </c>
      <c r="U125" s="269" t="str">
        <f>IF('Employee Detail FY25'!U125="","",'Employee Detail FY25'!U125)</f>
        <v/>
      </c>
      <c r="V125" s="270" t="str">
        <f t="shared" si="61"/>
        <v/>
      </c>
      <c r="W125" s="270" t="str">
        <f>+IF(P125="EE",+V125*$W$1,"")</f>
        <v/>
      </c>
      <c r="X125" s="270" t="str">
        <f>_xlfn.IFS(P125="ER",V125,P125="EE",W125,P125="N",V125,P125="","")</f>
        <v/>
      </c>
      <c r="Y125" s="62">
        <v>0</v>
      </c>
      <c r="Z125" s="62">
        <v>0</v>
      </c>
      <c r="AA125" s="256">
        <f>SUM(X125:Z125)</f>
        <v>0</v>
      </c>
      <c r="AB125" s="3"/>
      <c r="AC125" s="62" t="str">
        <f>IF(AND(M125=1,P125&lt;&gt;"N"),$AC$1,"")</f>
        <v/>
      </c>
      <c r="AD125" s="62" t="str">
        <f>_xlfn.IFS(P125="N",$AD$1*AA125,P125="EE","",P125="ER","",P125="","")</f>
        <v/>
      </c>
      <c r="AE125" s="62" t="str">
        <f>_xlfn.IFS(P125="EE",X125*$AE$1,P125="ER",X125*$AE$2,P125="N","",P125="","")</f>
        <v/>
      </c>
      <c r="AF125" s="62" t="str">
        <f>+IF(AA125&gt;1,AA125*$AF$1,"")</f>
        <v/>
      </c>
      <c r="AG125" s="192">
        <v>0</v>
      </c>
      <c r="AH125" s="62" t="str">
        <f>+IF(AA125&gt;1,AA125*$AH$1,"")</f>
        <v/>
      </c>
      <c r="AI125" s="62">
        <f>+_xlfn.IFS(F125&lt;2300,(AA125*$AI$1),F125&gt;=2300,(AA125*$AI$2),F125="","")</f>
        <v>0</v>
      </c>
      <c r="AJ125" s="62"/>
      <c r="AK125" s="62">
        <v>0</v>
      </c>
      <c r="AL125" s="256">
        <f>SUM(AC125:AK125)</f>
        <v>0</v>
      </c>
      <c r="AM125" s="256">
        <f>AA125</f>
        <v>0</v>
      </c>
      <c r="AN125" s="256">
        <f>SUM(AL125:AM125)</f>
        <v>0</v>
      </c>
    </row>
    <row r="126" spans="1:40" hidden="1" x14ac:dyDescent="0.2">
      <c r="A126" s="311"/>
      <c r="B126" s="351"/>
      <c r="C126" s="351"/>
      <c r="D126" s="351"/>
      <c r="E126" s="351"/>
      <c r="F126" s="351"/>
      <c r="G126" s="351"/>
      <c r="H126" s="35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263" t="str">
        <f t="shared" si="47"/>
        <v/>
      </c>
      <c r="U126" s="269"/>
      <c r="V126" s="270" t="str">
        <f t="shared" si="48"/>
        <v/>
      </c>
      <c r="W126" s="270" t="str">
        <f t="shared" si="49"/>
        <v/>
      </c>
      <c r="X126" s="270" t="str">
        <f t="shared" si="50"/>
        <v/>
      </c>
      <c r="Y126" s="62">
        <v>0</v>
      </c>
      <c r="Z126" s="62">
        <v>0</v>
      </c>
      <c r="AA126" s="256">
        <f t="shared" si="51"/>
        <v>0</v>
      </c>
      <c r="AB126" s="3"/>
      <c r="AC126" s="62" t="str">
        <f t="shared" si="52"/>
        <v/>
      </c>
      <c r="AD126" s="62" t="str">
        <f t="shared" si="53"/>
        <v/>
      </c>
      <c r="AE126" s="62" t="str">
        <f t="shared" si="54"/>
        <v/>
      </c>
      <c r="AF126" s="62" t="str">
        <f t="shared" si="55"/>
        <v/>
      </c>
      <c r="AG126" s="192">
        <v>0</v>
      </c>
      <c r="AH126" s="62" t="str">
        <f t="shared" si="56"/>
        <v/>
      </c>
      <c r="AI126" s="62">
        <f t="shared" si="57"/>
        <v>0</v>
      </c>
      <c r="AJ126" s="62"/>
      <c r="AK126" s="62">
        <v>0</v>
      </c>
      <c r="AL126" s="256">
        <f t="shared" si="58"/>
        <v>0</v>
      </c>
      <c r="AM126" s="256">
        <f t="shared" si="59"/>
        <v>0</v>
      </c>
      <c r="AN126" s="256">
        <f t="shared" si="60"/>
        <v>0</v>
      </c>
    </row>
    <row r="127" spans="1:40" hidden="1" x14ac:dyDescent="0.2">
      <c r="A127" s="311" t="str">
        <f>IF('Employee Detail FY23'!A144="","",'Employee Detail FY23'!A144)</f>
        <v/>
      </c>
      <c r="B127" s="311" t="str">
        <f>IF('Employee Detail FY23'!B144="","",'Employee Detail FY23'!B144)</f>
        <v/>
      </c>
      <c r="C127" s="311" t="str">
        <f>IF('Employee Detail FY23'!C144="","",'Employee Detail FY23'!C144)</f>
        <v/>
      </c>
      <c r="D127" s="311"/>
      <c r="E127" s="311" t="str">
        <f>IF('Employee Detail FY23'!E144="","",'Employee Detail FY23'!E144)</f>
        <v/>
      </c>
      <c r="F127" s="311" t="str">
        <f>IF('Employee Detail FY23'!F144="","",'Employee Detail FY23'!F144)</f>
        <v/>
      </c>
      <c r="G127" s="311" t="str">
        <f>IF('Employee Detail FY23'!G144="","",'Employee Detail FY23'!G144)</f>
        <v/>
      </c>
      <c r="H127" s="311"/>
      <c r="I127" s="312" t="str">
        <f>IF('Employee Detail FY23'!I144="","",'Employee Detail FY23'!I144)</f>
        <v/>
      </c>
      <c r="J127" s="312" t="str">
        <f>IF('Employee Detail FY23'!J144="","",'Employee Detail FY23'!J144)</f>
        <v/>
      </c>
      <c r="K127" s="312" t="str">
        <f>IF('Employee Detail FY23'!K144="","",'Employee Detail FY23'!K144)</f>
        <v/>
      </c>
      <c r="L127" s="312" t="str">
        <f>IF('Employee Detail FY23'!L144="","",'Employee Detail FY23'!L144)</f>
        <v/>
      </c>
      <c r="M127" s="313"/>
      <c r="N127" s="311"/>
      <c r="O127" s="311"/>
      <c r="P127" s="311"/>
      <c r="Q127" s="311" t="str">
        <f>IF('Employee Detail FY23'!Q144="","",'Employee Detail FY23'!Q144)</f>
        <v/>
      </c>
      <c r="R127" s="311" t="str">
        <f>IF('Employee Detail FY23'!R144="","",'Employee Detail FY23'!R144)</f>
        <v/>
      </c>
      <c r="S127" s="311" t="str">
        <f>IF('Employee Detail FY23'!S144="","",'Employee Detail FY23'!S144)</f>
        <v/>
      </c>
      <c r="T127" s="263" t="str">
        <f t="shared" ref="T127" si="89">+IF(R127="","",R127*S127)</f>
        <v/>
      </c>
      <c r="U127" s="269" t="str">
        <f>IF('Employee Detail FY23'!U144="","",'Employee Detail FY23'!U144)</f>
        <v/>
      </c>
      <c r="V127" s="270" t="str">
        <f t="shared" si="48"/>
        <v/>
      </c>
      <c r="W127" s="270" t="str">
        <f t="shared" ref="W127" si="90">+IF(P127="EE",+V127*$W$1,"")</f>
        <v/>
      </c>
      <c r="X127" s="270" t="str">
        <f t="shared" ref="X127" si="91">_xlfn.IFS(P127="ER",V127,P127="EE",W127,P127="N",V127,P127="","")</f>
        <v/>
      </c>
      <c r="Y127" s="62">
        <v>0</v>
      </c>
      <c r="Z127" s="62">
        <v>0</v>
      </c>
      <c r="AA127" s="256">
        <f t="shared" ref="AA127" si="92">SUM(X127:Z127)</f>
        <v>0</v>
      </c>
      <c r="AB127" s="3"/>
      <c r="AC127" s="62" t="str">
        <f t="shared" ref="AC127" si="93">IF(AND(M127=1,P127&lt;&gt;"N"),$AC$1,"")</f>
        <v/>
      </c>
      <c r="AD127" s="62" t="str">
        <f t="shared" ref="AD127" si="94">_xlfn.IFS(P127="N",$AD$1*AA127,P127="EE","",P127="ER","",P127="","")</f>
        <v/>
      </c>
      <c r="AE127" s="62" t="str">
        <f t="shared" ref="AE127" si="95">_xlfn.IFS(P127="EE",X127*$AE$1,P127="ER",X127*$AE$2,P127="N","",P127="","")</f>
        <v/>
      </c>
      <c r="AF127" s="62" t="str">
        <f t="shared" ref="AF127" si="96">+IF(AA127&gt;1,AA127*$AF$1,"")</f>
        <v/>
      </c>
      <c r="AG127" s="192">
        <v>0</v>
      </c>
      <c r="AH127" s="62" t="str">
        <f t="shared" ref="AH127" si="97">+IF(AA127&gt;1,AA127*$AH$1,"")</f>
        <v/>
      </c>
      <c r="AI127" s="62">
        <f t="shared" ref="AI127" si="98">+_xlfn.IFS(F127&lt;2300,(AA127*$AI$1),F127&gt;=2300,(AA127*$AI$2),F127="","")</f>
        <v>0</v>
      </c>
      <c r="AJ127" s="62"/>
      <c r="AK127" s="62">
        <v>0</v>
      </c>
      <c r="AL127" s="256">
        <f t="shared" ref="AL127" si="99">SUM(AC127:AK127)</f>
        <v>0</v>
      </c>
      <c r="AM127" s="256">
        <f t="shared" ref="AM127" si="100">AA127</f>
        <v>0</v>
      </c>
      <c r="AN127" s="256">
        <f t="shared" ref="AN127" si="101">SUM(AL127:AM127)</f>
        <v>0</v>
      </c>
    </row>
    <row r="128" spans="1:40" hidden="1" x14ac:dyDescent="0.2">
      <c r="A128" s="311"/>
      <c r="B128" s="351"/>
      <c r="C128" s="351"/>
      <c r="D128" s="351"/>
      <c r="E128" s="351"/>
      <c r="F128" s="351"/>
      <c r="G128" s="351"/>
      <c r="H128" s="35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263" t="str">
        <f t="shared" si="47"/>
        <v/>
      </c>
      <c r="U128" s="269"/>
      <c r="V128" s="270" t="str">
        <f t="shared" si="48"/>
        <v/>
      </c>
      <c r="W128" s="270" t="str">
        <f t="shared" si="49"/>
        <v/>
      </c>
      <c r="X128" s="270" t="str">
        <f t="shared" si="50"/>
        <v/>
      </c>
      <c r="Y128" s="62">
        <v>0</v>
      </c>
      <c r="Z128" s="62">
        <v>0</v>
      </c>
      <c r="AA128" s="256">
        <f t="shared" si="51"/>
        <v>0</v>
      </c>
      <c r="AB128" s="3"/>
      <c r="AC128" s="62" t="str">
        <f t="shared" si="52"/>
        <v/>
      </c>
      <c r="AD128" s="62" t="str">
        <f t="shared" si="53"/>
        <v/>
      </c>
      <c r="AE128" s="62" t="str">
        <f t="shared" si="54"/>
        <v/>
      </c>
      <c r="AF128" s="62" t="str">
        <f t="shared" si="55"/>
        <v/>
      </c>
      <c r="AG128" s="192">
        <v>0</v>
      </c>
      <c r="AH128" s="62" t="str">
        <f t="shared" si="56"/>
        <v/>
      </c>
      <c r="AI128" s="62">
        <f t="shared" si="57"/>
        <v>0</v>
      </c>
      <c r="AJ128" s="62"/>
      <c r="AK128" s="62">
        <v>0</v>
      </c>
      <c r="AL128" s="256">
        <f t="shared" si="58"/>
        <v>0</v>
      </c>
      <c r="AM128" s="256">
        <f t="shared" si="59"/>
        <v>0</v>
      </c>
      <c r="AN128" s="256">
        <f t="shared" si="60"/>
        <v>0</v>
      </c>
    </row>
    <row r="129" spans="1:40" hidden="1" x14ac:dyDescent="0.2">
      <c r="A129" s="311" t="str">
        <f>IF('Employee Detail FY23'!A152="","",'Employee Detail FY23'!A152)</f>
        <v/>
      </c>
      <c r="B129" s="311" t="str">
        <f>IF('Employee Detail FY23'!B152="","",'Employee Detail FY23'!B152)</f>
        <v/>
      </c>
      <c r="C129" s="311" t="str">
        <f>IF('Employee Detail FY23'!C152="","",'Employee Detail FY23'!C152)</f>
        <v/>
      </c>
      <c r="D129" s="311"/>
      <c r="E129" s="311" t="str">
        <f>IF('Employee Detail FY23'!E152="","",'Employee Detail FY23'!E152)</f>
        <v/>
      </c>
      <c r="F129" s="311" t="str">
        <f>IF('Employee Detail FY23'!F152="","",'Employee Detail FY23'!F152)</f>
        <v/>
      </c>
      <c r="G129" s="311" t="str">
        <f>IF('Employee Detail FY23'!G152="","",'Employee Detail FY23'!G152)</f>
        <v/>
      </c>
      <c r="H129" s="311"/>
      <c r="I129" s="312" t="str">
        <f>IF('Employee Detail FY23'!I152="","",'Employee Detail FY23'!I152)</f>
        <v/>
      </c>
      <c r="J129" s="312" t="str">
        <f>IF('Employee Detail FY23'!J152="","",'Employee Detail FY23'!J152)</f>
        <v/>
      </c>
      <c r="K129" s="312" t="str">
        <f>IF('Employee Detail FY23'!K152="","",'Employee Detail FY23'!K152)</f>
        <v/>
      </c>
      <c r="L129" s="312" t="str">
        <f>IF('Employee Detail FY23'!L152="","",'Employee Detail FY23'!L152)</f>
        <v/>
      </c>
      <c r="M129" s="313"/>
      <c r="N129" s="311"/>
      <c r="O129" s="311"/>
      <c r="P129" s="311"/>
      <c r="Q129" s="311" t="str">
        <f>IF('Employee Detail FY23'!Q152="","",'Employee Detail FY23'!Q152)</f>
        <v/>
      </c>
      <c r="R129" s="311" t="str">
        <f>IF('Employee Detail FY23'!R152="","",'Employee Detail FY23'!R152)</f>
        <v/>
      </c>
      <c r="S129" s="311" t="str">
        <f>IF('Employee Detail FY23'!S152="","",'Employee Detail FY23'!S152)</f>
        <v/>
      </c>
      <c r="T129" s="263" t="str">
        <f>+IF(R129="","",R129*S129)</f>
        <v/>
      </c>
      <c r="U129" s="269" t="str">
        <f>IF('Employee Detail FY23'!U152="","",'Employee Detail FY23'!U152)</f>
        <v/>
      </c>
      <c r="V129" s="270" t="str">
        <f>IF($U129="","",$U129*(1+$V$1))</f>
        <v/>
      </c>
      <c r="W129" s="270" t="str">
        <f>+IF(P129="EE",+V129*$W$1,"")</f>
        <v/>
      </c>
      <c r="X129" s="270" t="str">
        <f>_xlfn.IFS(P129="ER",V129,P129="EE",W129,P129="N",V129,P129="","")</f>
        <v/>
      </c>
      <c r="Y129" s="62">
        <v>0</v>
      </c>
      <c r="Z129" s="62">
        <v>0</v>
      </c>
      <c r="AA129" s="256">
        <f>SUM(X129:Z129)</f>
        <v>0</v>
      </c>
      <c r="AB129" s="3"/>
      <c r="AC129" s="62" t="str">
        <f>IF(AND(M129=1,P129&lt;&gt;"N"),$AC$1,"")</f>
        <v/>
      </c>
      <c r="AD129" s="62" t="str">
        <f>_xlfn.IFS(P129="N",$AD$1*AA129,P129="EE","",P129="ER","",P129="","")</f>
        <v/>
      </c>
      <c r="AE129" s="62" t="str">
        <f>_xlfn.IFS(P129="EE",X129*$AE$1,P129="ER",X129*$AE$2,P129="N","",P129="","")</f>
        <v/>
      </c>
      <c r="AF129" s="62" t="str">
        <f>+IF(AA129&gt;1,AA129*$AF$1,"")</f>
        <v/>
      </c>
      <c r="AG129" s="192">
        <v>0</v>
      </c>
      <c r="AH129" s="62" t="str">
        <f>+IF(AA129&gt;1,AA129*$AH$1,"")</f>
        <v/>
      </c>
      <c r="AI129" s="62">
        <f>+_xlfn.IFS(F129&lt;2300,(AA129*$AI$1),F129&gt;=2300,(AA129*$AI$2),F129="","")</f>
        <v>0</v>
      </c>
      <c r="AJ129" s="62"/>
      <c r="AK129" s="62">
        <v>0</v>
      </c>
      <c r="AL129" s="256">
        <f>SUM(AC129:AK129)</f>
        <v>0</v>
      </c>
      <c r="AM129" s="256">
        <f>AA129</f>
        <v>0</v>
      </c>
      <c r="AN129" s="256">
        <f>SUM(AL129:AM129)</f>
        <v>0</v>
      </c>
    </row>
    <row r="130" spans="1:40" hidden="1" x14ac:dyDescent="0.2">
      <c r="A130" s="264" t="str">
        <f>IF('Employee Detail FY25'!A130="","",'Employee Detail FY25'!A130)</f>
        <v/>
      </c>
      <c r="B130" s="264" t="str">
        <f>IF('Employee Detail FY25'!B130="","",'Employee Detail FY25'!B130)</f>
        <v/>
      </c>
      <c r="C130" s="264" t="str">
        <f>IF('Employee Detail FY25'!C130="","",'Employee Detail FY25'!C130)</f>
        <v/>
      </c>
      <c r="D130" s="264"/>
      <c r="E130" s="264" t="str">
        <f>IF('Employee Detail FY25'!E130="","",'Employee Detail FY25'!E130)</f>
        <v/>
      </c>
      <c r="F130" s="264" t="str">
        <f>IF('Employee Detail FY25'!F130="","",'Employee Detail FY25'!F130)</f>
        <v/>
      </c>
      <c r="G130" s="264" t="str">
        <f>IF('Employee Detail FY25'!G130="","",'Employee Detail FY25'!G130)</f>
        <v/>
      </c>
      <c r="H130" s="264"/>
      <c r="I130" s="265" t="str">
        <f>IF('Employee Detail FY25'!I130="","",'Employee Detail FY25'!I130)</f>
        <v/>
      </c>
      <c r="J130" s="265" t="str">
        <f>IF('Employee Detail FY25'!J130="","",'Employee Detail FY25'!J130)</f>
        <v/>
      </c>
      <c r="K130" s="265" t="str">
        <f>IF('Employee Detail FY25'!K130="","",'Employee Detail FY25'!K130)</f>
        <v/>
      </c>
      <c r="L130" s="265" t="str">
        <f>IF('Employee Detail FY25'!L130="","",'Employee Detail FY25'!L130)</f>
        <v/>
      </c>
      <c r="M130" s="267" t="str">
        <f>IF('Employee Detail FY25'!M130="","",'Employee Detail FY25'!M130)</f>
        <v/>
      </c>
      <c r="N130" s="264" t="str">
        <f>IF('Employee Detail FY25'!N130="","",'Employee Detail FY25'!N130)</f>
        <v/>
      </c>
      <c r="O130" s="264" t="str">
        <f>IF('Employee Detail FY25'!O130="","",'Employee Detail FY25'!O130)</f>
        <v/>
      </c>
      <c r="P130" s="264" t="str">
        <f>IF('Employee Detail FY25'!P130="","",'Employee Detail FY25'!P130)</f>
        <v/>
      </c>
      <c r="Q130" s="264" t="str">
        <f>IF('Employee Detail FY25'!Q130="","",'Employee Detail FY25'!Q130)</f>
        <v/>
      </c>
      <c r="R130" s="264" t="str">
        <f>IF('Employee Detail FY25'!R130="","",'Employee Detail FY25'!R130)</f>
        <v/>
      </c>
      <c r="S130" s="264" t="str">
        <f>IF('Employee Detail FY25'!S130="","",'Employee Detail FY25'!S130)</f>
        <v/>
      </c>
      <c r="T130" s="263" t="str">
        <f t="shared" ref="T130" si="102">+IF(R130="","",R130*S130)</f>
        <v/>
      </c>
      <c r="U130" s="269" t="str">
        <f>IF('Employee Detail FY25'!U130="","",'Employee Detail FY25'!U130)</f>
        <v/>
      </c>
      <c r="V130" s="270" t="str">
        <f t="shared" si="48"/>
        <v/>
      </c>
      <c r="W130" s="270" t="str">
        <f t="shared" ref="W130" si="103">+IF(P130="EE",+V130*$W$1,"")</f>
        <v/>
      </c>
      <c r="X130" s="270" t="str">
        <f t="shared" ref="X130" si="104">_xlfn.IFS(P130="ER",V130,P130="EE",W130,P130="N",V130,P130="","")</f>
        <v/>
      </c>
      <c r="Y130" s="62">
        <v>0</v>
      </c>
      <c r="Z130" s="62">
        <v>0</v>
      </c>
      <c r="AA130" s="256">
        <f t="shared" si="0"/>
        <v>0</v>
      </c>
      <c r="AB130" s="3"/>
      <c r="AC130" s="62" t="str">
        <f t="shared" si="52"/>
        <v/>
      </c>
      <c r="AD130" s="62" t="str">
        <f t="shared" si="1"/>
        <v/>
      </c>
      <c r="AE130" s="62" t="str">
        <f t="shared" si="2"/>
        <v/>
      </c>
      <c r="AF130" s="62" t="str">
        <f t="shared" si="3"/>
        <v/>
      </c>
      <c r="AG130" s="192">
        <v>0</v>
      </c>
      <c r="AH130" s="62" t="str">
        <f t="shared" si="4"/>
        <v/>
      </c>
      <c r="AI130" s="62">
        <f t="shared" si="5"/>
        <v>0</v>
      </c>
      <c r="AJ130" s="62"/>
      <c r="AK130" s="62">
        <v>0</v>
      </c>
      <c r="AL130" s="256">
        <f t="shared" ref="AL130" si="105">SUM(AC130:AK130)</f>
        <v>0</v>
      </c>
      <c r="AM130" s="256">
        <f t="shared" ref="AM130" si="106">AA130</f>
        <v>0</v>
      </c>
      <c r="AN130" s="256">
        <f t="shared" ref="AN130" si="107">SUM(AL130:AM130)</f>
        <v>0</v>
      </c>
    </row>
    <row r="131" spans="1:40" ht="13.5" thickBot="1" x14ac:dyDescent="0.25">
      <c r="A131" s="259"/>
      <c r="B131" s="259"/>
      <c r="C131" s="259"/>
      <c r="D131" s="259"/>
      <c r="E131" s="259"/>
      <c r="F131" s="259"/>
      <c r="G131" s="259"/>
      <c r="H131" s="259"/>
      <c r="I131" s="260"/>
      <c r="J131" s="260"/>
      <c r="K131" s="260"/>
      <c r="L131" s="260"/>
      <c r="M131" s="261">
        <f>SUM(M6:M130)</f>
        <v>60.5</v>
      </c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8">
        <f>SUM(Y6:Y130)</f>
        <v>0</v>
      </c>
      <c r="Z131" s="258">
        <f>SUM(Z6:Z130)</f>
        <v>0</v>
      </c>
      <c r="AA131" s="258">
        <f>SUM(AA6:AA130)</f>
        <v>3720252.0839540209</v>
      </c>
      <c r="AB131" s="5"/>
      <c r="AC131" s="257">
        <f t="shared" ref="AC131:AN131" si="108">SUM(AC6:AC130)</f>
        <v>476625.60000000038</v>
      </c>
      <c r="AD131" s="257">
        <f t="shared" si="108"/>
        <v>2987.9690999999993</v>
      </c>
      <c r="AE131" s="257">
        <f t="shared" si="108"/>
        <v>886624.18007798831</v>
      </c>
      <c r="AF131" s="257">
        <f t="shared" si="108"/>
        <v>53943.655217333275</v>
      </c>
      <c r="AG131" s="257">
        <f t="shared" si="108"/>
        <v>0</v>
      </c>
      <c r="AH131" s="257">
        <f t="shared" si="108"/>
        <v>33862.984870591004</v>
      </c>
      <c r="AI131" s="257">
        <f t="shared" si="108"/>
        <v>10956.881637289685</v>
      </c>
      <c r="AJ131" s="257">
        <f t="shared" si="108"/>
        <v>0</v>
      </c>
      <c r="AK131" s="257">
        <f t="shared" si="108"/>
        <v>0</v>
      </c>
      <c r="AL131" s="257">
        <f t="shared" si="108"/>
        <v>1465001.2709032029</v>
      </c>
      <c r="AM131" s="257">
        <f t="shared" si="108"/>
        <v>3720252.0839540209</v>
      </c>
      <c r="AN131" s="257">
        <f t="shared" si="108"/>
        <v>5185253.3548572222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255"/>
      <c r="J132" s="255"/>
      <c r="K132" s="255"/>
      <c r="L132" s="2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259"/>
      <c r="B133" s="259"/>
      <c r="C133" s="259"/>
      <c r="D133" s="259"/>
      <c r="E133" s="259"/>
      <c r="F133" s="259"/>
      <c r="G133" s="259"/>
      <c r="H133" s="259"/>
      <c r="I133" s="260"/>
      <c r="J133" s="260"/>
      <c r="K133" s="260"/>
      <c r="L133" s="260"/>
      <c r="M133" s="261">
        <f>SUBTOTAL(9,M6:M130)</f>
        <v>33</v>
      </c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8">
        <f t="shared" ref="Y133:AN133" si="109">SUBTOTAL(9,Y6:Y130)</f>
        <v>0</v>
      </c>
      <c r="Z133" s="258">
        <f t="shared" si="109"/>
        <v>0</v>
      </c>
      <c r="AA133" s="258">
        <f t="shared" si="109"/>
        <v>1796328.4585738999</v>
      </c>
      <c r="AB133" s="258">
        <f t="shared" si="109"/>
        <v>0</v>
      </c>
      <c r="AC133" s="258">
        <f t="shared" si="109"/>
        <v>262144.08000000013</v>
      </c>
      <c r="AD133" s="258">
        <f t="shared" si="109"/>
        <v>0</v>
      </c>
      <c r="AE133" s="258">
        <f t="shared" si="109"/>
        <v>469614.8209325198</v>
      </c>
      <c r="AF133" s="258">
        <f t="shared" si="109"/>
        <v>26046.76264932155</v>
      </c>
      <c r="AG133" s="258">
        <f t="shared" si="109"/>
        <v>0</v>
      </c>
      <c r="AH133" s="258">
        <f t="shared" si="109"/>
        <v>16350.785388351636</v>
      </c>
      <c r="AI133" s="258">
        <f t="shared" si="109"/>
        <v>5290.5442583262593</v>
      </c>
      <c r="AJ133" s="258">
        <f t="shared" si="109"/>
        <v>0</v>
      </c>
      <c r="AK133" s="258">
        <f t="shared" si="109"/>
        <v>0</v>
      </c>
      <c r="AL133" s="258">
        <f t="shared" si="109"/>
        <v>779446.99322851899</v>
      </c>
      <c r="AM133" s="258">
        <f t="shared" si="109"/>
        <v>1796328.4585738999</v>
      </c>
      <c r="AN133" s="258">
        <f t="shared" si="109"/>
        <v>2575775.4518024181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255"/>
      <c r="J134" s="255"/>
      <c r="K134" s="255"/>
      <c r="L134" s="2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3"/>
      <c r="B138" s="3"/>
      <c r="C138" s="3"/>
      <c r="D138" s="3"/>
      <c r="E138" s="3"/>
      <c r="F138" s="3"/>
      <c r="G138" s="3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">
      <c r="A139" s="3"/>
      <c r="B139" s="3"/>
      <c r="C139" s="3"/>
      <c r="D139" s="3"/>
      <c r="E139" s="3"/>
      <c r="F139" s="3"/>
      <c r="G139" s="3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">
      <c r="A140" s="3"/>
      <c r="B140" s="3"/>
      <c r="C140" s="3"/>
      <c r="D140" s="3"/>
      <c r="E140" s="3"/>
      <c r="F140" s="3"/>
      <c r="G140" s="3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">
      <c r="A141" s="3"/>
      <c r="B141" s="3"/>
      <c r="C141" s="3"/>
      <c r="D141" s="3"/>
      <c r="E141" s="3"/>
      <c r="F141" s="3"/>
      <c r="G141" s="3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">
      <c r="A142" s="3"/>
      <c r="B142" s="3"/>
      <c r="C142" s="3"/>
      <c r="D142" s="3"/>
      <c r="E142" s="3"/>
      <c r="F142" s="3"/>
      <c r="G142" s="3"/>
      <c r="H142" s="3"/>
      <c r="I142" s="255"/>
      <c r="J142" s="255"/>
      <c r="K142" s="255"/>
      <c r="L142" s="2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">
      <c r="A143" s="3"/>
      <c r="B143" s="3"/>
      <c r="C143" s="3"/>
      <c r="D143" s="3"/>
      <c r="E143" s="3"/>
      <c r="F143" s="3"/>
      <c r="G143" s="3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">
      <c r="A144" s="3"/>
      <c r="B144" s="3"/>
      <c r="C144" s="3"/>
      <c r="D144" s="3"/>
      <c r="E144" s="3"/>
      <c r="F144" s="3"/>
      <c r="G144" s="3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">
      <c r="A145" s="3"/>
      <c r="B145" s="3"/>
      <c r="C145" s="3"/>
      <c r="D145" s="3"/>
      <c r="E145" s="3"/>
      <c r="F145" s="3"/>
      <c r="G145" s="3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">
      <c r="A146" s="3"/>
      <c r="B146" s="3"/>
      <c r="C146" s="3"/>
      <c r="D146" s="3"/>
      <c r="E146" s="3"/>
      <c r="F146" s="3"/>
      <c r="G146" s="3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">
      <c r="A147" s="3"/>
      <c r="B147" s="3"/>
      <c r="C147" s="3"/>
      <c r="D147" s="3"/>
      <c r="E147" s="3"/>
      <c r="F147" s="3"/>
      <c r="G147" s="3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">
      <c r="A148" s="3"/>
      <c r="B148" s="3"/>
      <c r="C148" s="3"/>
      <c r="D148" s="3"/>
      <c r="E148" s="3"/>
      <c r="F148" s="3"/>
      <c r="G148" s="3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">
      <c r="A149" s="3"/>
      <c r="B149" s="3"/>
      <c r="C149" s="3"/>
      <c r="D149" s="3"/>
      <c r="E149" s="3"/>
      <c r="F149" s="3"/>
      <c r="G149" s="3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">
      <c r="A150" s="3"/>
      <c r="B150" s="3"/>
      <c r="C150" s="3"/>
      <c r="D150" s="3"/>
      <c r="E150" s="3"/>
      <c r="F150" s="3"/>
      <c r="G150" s="3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">
      <c r="A151" s="3"/>
      <c r="B151" s="3"/>
      <c r="C151" s="3"/>
      <c r="D151" s="3"/>
      <c r="E151" s="3"/>
      <c r="F151" s="3"/>
      <c r="G151" s="3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">
      <c r="A152" s="3"/>
      <c r="B152" s="3"/>
      <c r="C152" s="3"/>
      <c r="D152" s="3"/>
      <c r="E152" s="3"/>
      <c r="F152" s="3"/>
      <c r="G152" s="3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">
      <c r="A153" s="3"/>
      <c r="B153" s="3"/>
      <c r="C153" s="3"/>
      <c r="D153" s="3"/>
      <c r="E153" s="3"/>
      <c r="F153" s="3"/>
      <c r="G153" s="3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">
      <c r="A154" s="3"/>
      <c r="B154" s="3"/>
      <c r="C154" s="3"/>
      <c r="D154" s="3"/>
      <c r="E154" s="3"/>
      <c r="F154" s="3"/>
      <c r="G154" s="3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</sheetData>
  <autoFilter ref="B3:H130" xr:uid="{39163F53-35E6-4EEF-BFEC-151531848D2B}">
    <filterColumn colId="4">
      <filters>
        <filter val="1000"/>
      </filters>
    </filterColumn>
  </autoFilter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B79B-6D4B-4785-A258-39F1F563A16E}">
  <sheetPr codeName="Sheet23"/>
  <dimension ref="A1:WWF154"/>
  <sheetViews>
    <sheetView workbookViewId="0">
      <pane xSplit="8" ySplit="5" topLeftCell="I6" activePane="bottomRight" state="frozen"/>
      <selection activeCell="AE370" sqref="AE370"/>
      <selection pane="topRight" activeCell="AE370" sqref="AE370"/>
      <selection pane="bottomLeft" activeCell="AE370" sqref="AE370"/>
      <selection pane="bottomRight" activeCell="AE370" sqref="AE370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style="253" bestFit="1" customWidth="1"/>
    <col min="10" max="10" width="9.42578125" style="253" bestFit="1" customWidth="1"/>
    <col min="11" max="11" width="10.140625" style="253" bestFit="1" customWidth="1"/>
    <col min="12" max="12" width="7.42578125" style="253" bestFit="1" customWidth="1"/>
    <col min="13" max="13" width="9.140625" customWidth="1"/>
    <col min="16" max="16" width="11.140625" customWidth="1"/>
    <col min="21" max="22" width="11" bestFit="1" customWidth="1"/>
    <col min="23" max="23" width="10" bestFit="1" customWidth="1"/>
    <col min="24" max="24" width="11.28515625" bestFit="1" customWidth="1"/>
    <col min="25" max="25" width="12.28515625" customWidth="1"/>
    <col min="26" max="26" width="10" bestFit="1" customWidth="1"/>
    <col min="27" max="27" width="12.5703125" bestFit="1" customWidth="1"/>
    <col min="28" max="28" width="1.7109375" customWidth="1"/>
    <col min="29" max="29" width="11.140625" bestFit="1" customWidth="1"/>
    <col min="30" max="30" width="11.7109375" bestFit="1" customWidth="1"/>
    <col min="31" max="31" width="11.140625" bestFit="1" customWidth="1"/>
    <col min="32" max="32" width="10.140625" bestFit="1" customWidth="1"/>
    <col min="33" max="33" width="12.7109375" bestFit="1" customWidth="1"/>
    <col min="34" max="34" width="12.85546875" bestFit="1" customWidth="1"/>
    <col min="35" max="35" width="10.140625" bestFit="1" customWidth="1"/>
    <col min="36" max="36" width="8" bestFit="1" customWidth="1"/>
    <col min="37" max="37" width="7.5703125" bestFit="1" customWidth="1"/>
    <col min="38" max="38" width="12.5703125" bestFit="1" customWidth="1"/>
    <col min="39" max="40" width="12.85546875" customWidth="1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f>'Employee Detail FY27'!V1+0.03</f>
        <v>0.18</v>
      </c>
      <c r="W1" s="226">
        <f>IF('Employee Detail FY25'!W1="","",'Employee Detail FY25'!W1)</f>
        <v>1.153586</v>
      </c>
      <c r="X1" s="229"/>
      <c r="Y1" s="229"/>
      <c r="Z1" s="229"/>
      <c r="AA1" s="229"/>
      <c r="AB1" s="229"/>
      <c r="AC1" s="192">
        <f>IF('Employee Detail FY25'!AC1="","",'Employee Detail FY25'!AC1)</f>
        <v>7943.76</v>
      </c>
      <c r="AD1" s="232">
        <v>6.2E-2</v>
      </c>
      <c r="AE1" s="232">
        <v>0.1525</v>
      </c>
      <c r="AF1" s="232">
        <v>1.4500000000000001E-2</v>
      </c>
      <c r="AG1" s="229"/>
      <c r="AH1" s="281">
        <f>'Employee Detail FY21'!AH1</f>
        <v>9.1023361069124693E-3</v>
      </c>
      <c r="AI1" s="282">
        <f>'Employee Detail FY21'!AI1</f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Students'!H6</f>
        <v>FY2627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0.29249999999999998</v>
      </c>
      <c r="AF2" s="229"/>
      <c r="AG2" s="229"/>
      <c r="AH2" s="229"/>
      <c r="AI2" s="282">
        <f>'Employee Detail FY21'!AI2</f>
        <v>2.9451987096649392E-3</v>
      </c>
      <c r="AJ2" s="229"/>
      <c r="AK2" s="229"/>
      <c r="AL2" s="229"/>
      <c r="AM2" s="229"/>
      <c r="AN2" s="229"/>
    </row>
    <row r="3" spans="1:16152" s="243" customFormat="1" ht="40.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238" t="s">
        <v>339</v>
      </c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x14ac:dyDescent="0.2">
      <c r="A6" s="264" t="str">
        <f>IF('Employee Detail FY27'!A6="","",'Employee Detail FY27'!A6)</f>
        <v/>
      </c>
      <c r="B6" s="264" t="str">
        <f>IF('Employee Detail FY27'!B6="","",'Employee Detail FY27'!B6)</f>
        <v/>
      </c>
      <c r="C6" s="264" t="str">
        <f>IF('Employee Detail FY27'!C6="","",'Employee Detail FY27'!C6)</f>
        <v/>
      </c>
      <c r="D6" s="264"/>
      <c r="E6" s="264" t="str">
        <f>IF('Employee Detail FY27'!E6="","",'Employee Detail FY27'!E6)</f>
        <v/>
      </c>
      <c r="F6" s="264" t="str">
        <f>IF('Employee Detail FY27'!F6="","",'Employee Detail FY27'!F6)</f>
        <v/>
      </c>
      <c r="G6" s="264" t="str">
        <f>IF('Employee Detail FY27'!G6="","",'Employee Detail FY27'!G6)</f>
        <v/>
      </c>
      <c r="H6" s="264"/>
      <c r="I6" s="264" t="str">
        <f>IF('Employee Detail FY27'!I6="","",'Employee Detail FY27'!I6)</f>
        <v/>
      </c>
      <c r="J6" s="264" t="str">
        <f>IF('Employee Detail FY27'!J6="","",'Employee Detail FY27'!J6)</f>
        <v/>
      </c>
      <c r="K6" s="264" t="str">
        <f>IF('Employee Detail FY27'!K6="","",'Employee Detail FY27'!K6)</f>
        <v/>
      </c>
      <c r="L6" s="264" t="str">
        <f>IF('Employee Detail FY27'!L6="","",'Employee Detail FY27'!L6)</f>
        <v/>
      </c>
      <c r="M6" s="267" t="str">
        <f>IF('Employee Detail FY27'!M6="","",'Employee Detail FY27'!M6)</f>
        <v/>
      </c>
      <c r="N6" s="264" t="str">
        <f>IF('Employee Detail FY27'!N6="","",'Employee Detail FY27'!N6)</f>
        <v/>
      </c>
      <c r="O6" s="264" t="str">
        <f>IF('Employee Detail FY27'!O6="","",'Employee Detail FY27'!O6)</f>
        <v/>
      </c>
      <c r="P6" s="264" t="str">
        <f>IF('Employee Detail FY27'!P6="","",'Employee Detail FY27'!P6)</f>
        <v/>
      </c>
      <c r="Q6" s="264" t="str">
        <f>IF('Employee Detail FY27'!Q6="","",'Employee Detail FY27'!Q6)</f>
        <v/>
      </c>
      <c r="R6" s="264" t="str">
        <f>IF('Employee Detail FY27'!R6="","",'Employee Detail FY27'!R6)</f>
        <v/>
      </c>
      <c r="S6" s="264" t="str">
        <f>IF('Employee Detail FY27'!S6="","",'Employee Detail FY27'!S6)</f>
        <v/>
      </c>
      <c r="T6" s="263" t="str">
        <f>+IF(R6="","",R6*S6)</f>
        <v/>
      </c>
      <c r="U6" s="269" t="str">
        <f>IF('Employee Detail FY27'!U6="","",'Employee Detail FY27'!U6)</f>
        <v/>
      </c>
      <c r="V6" s="270" t="str">
        <f>IF($U6="","",$U6*(1+$V$1))</f>
        <v/>
      </c>
      <c r="W6" s="270" t="str">
        <f>+IF(P6="EE",+V6*$W$1,"")</f>
        <v/>
      </c>
      <c r="X6" s="270" t="str">
        <f>_xlfn.IFS(P6="ER",V6,P6="EE",W6,P6="N",V6,P6="","")</f>
        <v/>
      </c>
      <c r="Y6" s="62">
        <v>0</v>
      </c>
      <c r="Z6" s="62">
        <v>0</v>
      </c>
      <c r="AA6" s="256">
        <f t="shared" ref="AA6:AA130" si="0">SUM(X6:Z6)</f>
        <v>0</v>
      </c>
      <c r="AB6" s="3"/>
      <c r="AC6" s="62" t="str">
        <f>IF(AND(M6=1,P6&lt;&gt;"N"),$AC$1,"")</f>
        <v/>
      </c>
      <c r="AD6" s="62" t="str">
        <f t="shared" ref="AD6:AD130" si="1">_xlfn.IFS(P6="N",$AD$1*AA6,P6="EE","",P6="ER","",P6="","")</f>
        <v/>
      </c>
      <c r="AE6" s="62" t="str">
        <f t="shared" ref="AE6:AE130" si="2">_xlfn.IFS(P6="EE",X6*$AE$1,P6="ER",X6*$AE$2,P6="N","",P6="","")</f>
        <v/>
      </c>
      <c r="AF6" s="62" t="str">
        <f t="shared" ref="AF6:AF130" si="3">+IF(AA6&gt;1,AA6*$AF$1,"")</f>
        <v/>
      </c>
      <c r="AG6" s="192">
        <v>0</v>
      </c>
      <c r="AH6" s="62" t="str">
        <f t="shared" ref="AH6:AH130" si="4">+IF(AA6&gt;1,AA6*$AH$1,"")</f>
        <v/>
      </c>
      <c r="AI6" s="62">
        <f t="shared" ref="AI6:AI130" si="5">+_xlfn.IFS(F6&lt;2300,(AA6*$AI$1),F6&gt;=2300,(AA6*$AI$2),F6="","")</f>
        <v>0</v>
      </c>
      <c r="AJ6" s="62"/>
      <c r="AK6" s="62">
        <v>0</v>
      </c>
      <c r="AL6" s="256">
        <f>SUM(AC6:AK6)</f>
        <v>0</v>
      </c>
      <c r="AM6" s="256">
        <f>AA6</f>
        <v>0</v>
      </c>
      <c r="AN6" s="256">
        <f>SUM(AL6:AM6)</f>
        <v>0</v>
      </c>
    </row>
    <row r="7" spans="1:16152" x14ac:dyDescent="0.2">
      <c r="A7" s="3" t="str">
        <f>IF('Employee Detail FY27'!A7="","",'Employee Detail FY27'!A7)</f>
        <v/>
      </c>
      <c r="B7" s="3">
        <f>IF('Employee Detail FY27'!B7="","",'Employee Detail FY27'!B7)</f>
        <v>100</v>
      </c>
      <c r="C7" s="3" t="str">
        <f>IF('Employee Detail FY27'!C7="","",'Employee Detail FY27'!C7)</f>
        <v>000</v>
      </c>
      <c r="D7" s="3"/>
      <c r="E7" s="3">
        <f>IF('Employee Detail FY27'!E7="","",'Employee Detail FY27'!E7)</f>
        <v>100</v>
      </c>
      <c r="F7" s="3" t="str">
        <f>IF('Employee Detail FY27'!F7="","",'Employee Detail FY27'!F7)</f>
        <v>2320</v>
      </c>
      <c r="G7" s="3" t="str">
        <f>IF('Employee Detail FY27'!G7="","",'Employee Detail FY27'!G7)</f>
        <v>0104</v>
      </c>
      <c r="H7" s="3"/>
      <c r="I7" s="255" t="str">
        <f>IF('Employee Detail FY27'!I7="","",'Employee Detail FY27'!I7)</f>
        <v>DAMORE</v>
      </c>
      <c r="J7" s="255" t="str">
        <f>IF('Employee Detail FY27'!J7="","",'Employee Detail FY27'!J7)</f>
        <v>ANDREA</v>
      </c>
      <c r="K7" s="255" t="str">
        <f>IF('Employee Detail FY27'!K7="","",'Employee Detail FY27'!K7)</f>
        <v>Admnistration</v>
      </c>
      <c r="L7" s="255" t="str">
        <f>IF('Employee Detail FY27'!L7="","",'Employee Detail FY27'!L7)</f>
        <v>EXEC. DIR. ACADEMICS</v>
      </c>
      <c r="M7" s="92">
        <f>IF('Employee Detail FY27'!M7="","",'Employee Detail FY27'!M7)</f>
        <v>1</v>
      </c>
      <c r="N7" s="3" t="str">
        <f>IF('Employee Detail FY27'!N7="","",'Employee Detail FY27'!N7)</f>
        <v>S</v>
      </c>
      <c r="O7" s="3">
        <f>IF('Employee Detail FY27'!O7="","",'Employee Detail FY27'!O7)</f>
        <v>1</v>
      </c>
      <c r="P7" s="3" t="str">
        <f>IF('Employee Detail FY27'!P7="","",'Employee Detail FY27'!P7)</f>
        <v>ER</v>
      </c>
      <c r="Q7" s="3" t="str">
        <f>IF('Employee Detail FY27'!Q7="","",'Employee Detail FY27'!Q7)</f>
        <v/>
      </c>
      <c r="R7" s="3">
        <f>IF('Employee Detail FY27'!R7="","",'Employee Detail FY27'!R7)</f>
        <v>261</v>
      </c>
      <c r="S7" s="3">
        <f>IF('Employee Detail FY27'!S7="","",'Employee Detail FY27'!S7)</f>
        <v>8</v>
      </c>
      <c r="T7" s="263">
        <f t="shared" ref="T7:T68" si="6">+IF(R7="","",R7*S7)</f>
        <v>2088</v>
      </c>
      <c r="U7" s="269">
        <f>IF('Employee Detail FY27'!U7="","",'Employee Detail FY27'!U7)</f>
        <v>123000</v>
      </c>
      <c r="V7" s="270">
        <f t="shared" ref="V7:V68" si="7">IF($U7="","",$U7*(1+$V$1))</f>
        <v>145140</v>
      </c>
      <c r="W7" s="270" t="str">
        <f t="shared" ref="W7:W68" si="8">+IF(P7="EE",+V7*$W$1,"")</f>
        <v/>
      </c>
      <c r="X7" s="270">
        <f t="shared" ref="X7:X68" si="9">_xlfn.IFS(P7="ER",V7,P7="EE",W7,P7="N",V7,P7="","")</f>
        <v>145140</v>
      </c>
      <c r="Y7" s="62">
        <v>0</v>
      </c>
      <c r="Z7" s="62">
        <v>0</v>
      </c>
      <c r="AA7" s="256">
        <f t="shared" ref="AA7:AA68" si="10">SUM(X7:Z7)</f>
        <v>145140</v>
      </c>
      <c r="AB7" s="3"/>
      <c r="AC7" s="62">
        <f t="shared" ref="AC7:AC68" si="11">IF(AND(M7=1,P7&lt;&gt;"N"),$AC$1,"")</f>
        <v>7943.76</v>
      </c>
      <c r="AD7" s="62" t="str">
        <f t="shared" ref="AD7:AD68" si="12">_xlfn.IFS(P7="N",$AD$1*AA7,P7="EE","",P7="ER","",P7="","")</f>
        <v/>
      </c>
      <c r="AE7" s="62">
        <f t="shared" ref="AE7:AE68" si="13">_xlfn.IFS(P7="EE",X7*$AE$1,P7="ER",X7*$AE$2,P7="N","",P7="","")</f>
        <v>42453.45</v>
      </c>
      <c r="AF7" s="62">
        <f t="shared" ref="AF7:AF68" si="14">+IF(AA7&gt;1,AA7*$AF$1,"")</f>
        <v>2104.5300000000002</v>
      </c>
      <c r="AG7" s="192">
        <v>0</v>
      </c>
      <c r="AH7" s="62">
        <f t="shared" ref="AH7:AH68" si="15">+IF(AA7&gt;1,AA7*$AH$1,"")</f>
        <v>1321.1130625572757</v>
      </c>
      <c r="AI7" s="62">
        <f t="shared" ref="AI7:AI68" si="16">+_xlfn.IFS(F7&lt;2300,(AA7*$AI$1),F7&gt;=2300,(AA7*$AI$2),F7="","")</f>
        <v>427.46614072076926</v>
      </c>
      <c r="AJ7" s="62"/>
      <c r="AK7" s="62">
        <v>0</v>
      </c>
      <c r="AL7" s="256">
        <f t="shared" ref="AL7:AL68" si="17">SUM(AC7:AK7)</f>
        <v>54250.319203278043</v>
      </c>
      <c r="AM7" s="256">
        <f t="shared" ref="AM7:AM68" si="18">AA7</f>
        <v>145140</v>
      </c>
      <c r="AN7" s="256">
        <f t="shared" ref="AN7:AN68" si="19">SUM(AL7:AM7)</f>
        <v>199390.31920327805</v>
      </c>
    </row>
    <row r="8" spans="1:16152" x14ac:dyDescent="0.2">
      <c r="A8" s="3" t="str">
        <f>IF('Employee Detail FY27'!A8="","",'Employee Detail FY27'!A8)</f>
        <v/>
      </c>
      <c r="B8" s="3">
        <f>IF('Employee Detail FY27'!B8="","",'Employee Detail FY27'!B8)</f>
        <v>100</v>
      </c>
      <c r="C8" s="3" t="str">
        <f>IF('Employee Detail FY27'!C8="","",'Employee Detail FY27'!C8)</f>
        <v>000</v>
      </c>
      <c r="D8" s="3"/>
      <c r="E8" s="3">
        <f>IF('Employee Detail FY27'!E8="","",'Employee Detail FY27'!E8)</f>
        <v>100</v>
      </c>
      <c r="F8" s="3" t="str">
        <f>IF('Employee Detail FY27'!F8="","",'Employee Detail FY27'!F8)</f>
        <v>2320</v>
      </c>
      <c r="G8" s="3" t="str">
        <f>IF('Employee Detail FY27'!G8="","",'Employee Detail FY27'!G8)</f>
        <v>0104</v>
      </c>
      <c r="H8" s="3"/>
      <c r="I8" s="255" t="str">
        <f>IF('Employee Detail FY27'!I8="","",'Employee Detail FY27'!I8)</f>
        <v>TONDRYK</v>
      </c>
      <c r="J8" s="255" t="str">
        <f>IF('Employee Detail FY27'!J8="","",'Employee Detail FY27'!J8)</f>
        <v>Tambre</v>
      </c>
      <c r="K8" s="255" t="str">
        <f>IF('Employee Detail FY27'!K8="","",'Employee Detail FY27'!K8)</f>
        <v>Administration</v>
      </c>
      <c r="L8" s="255" t="str">
        <f>IF('Employee Detail FY27'!L8="","",'Employee Detail FY27'!L8)</f>
        <v>Exec. Dir. Operations</v>
      </c>
      <c r="M8" s="92">
        <f>IF('Employee Detail FY27'!M8="","",'Employee Detail FY27'!M8)</f>
        <v>1</v>
      </c>
      <c r="N8" s="3" t="str">
        <f>IF('Employee Detail FY27'!N8="","",'Employee Detail FY27'!N8)</f>
        <v/>
      </c>
      <c r="O8" s="3">
        <f>IF('Employee Detail FY27'!O8="","",'Employee Detail FY27'!O8)</f>
        <v>26</v>
      </c>
      <c r="P8" s="3" t="str">
        <f>IF('Employee Detail FY27'!P8="","",'Employee Detail FY27'!P8)</f>
        <v>ER</v>
      </c>
      <c r="Q8" s="3" t="str">
        <f>IF('Employee Detail FY27'!Q8="","",'Employee Detail FY27'!Q8)</f>
        <v/>
      </c>
      <c r="R8" s="3">
        <f>IF('Employee Detail FY27'!R8="","",'Employee Detail FY27'!R8)</f>
        <v>261</v>
      </c>
      <c r="S8" s="3">
        <f>IF('Employee Detail FY27'!S8="","",'Employee Detail FY27'!S8)</f>
        <v>8</v>
      </c>
      <c r="T8" s="263">
        <f t="shared" si="6"/>
        <v>2088</v>
      </c>
      <c r="U8" s="269">
        <f>IF('Employee Detail FY27'!U8="","",'Employee Detail FY27'!U8)</f>
        <v>125000</v>
      </c>
      <c r="V8" s="270">
        <f>IF($U8="","",$U8*(1+0.06))</f>
        <v>132500</v>
      </c>
      <c r="W8" s="270" t="str">
        <f t="shared" si="8"/>
        <v/>
      </c>
      <c r="X8" s="270">
        <f t="shared" si="9"/>
        <v>132500</v>
      </c>
      <c r="Y8" s="62">
        <v>0</v>
      </c>
      <c r="Z8" s="62">
        <v>0</v>
      </c>
      <c r="AA8" s="256">
        <f t="shared" si="10"/>
        <v>132500</v>
      </c>
      <c r="AB8" s="3"/>
      <c r="AC8" s="62">
        <f t="shared" si="11"/>
        <v>7943.76</v>
      </c>
      <c r="AD8" s="62" t="str">
        <f t="shared" si="12"/>
        <v/>
      </c>
      <c r="AE8" s="62">
        <f t="shared" si="13"/>
        <v>38756.25</v>
      </c>
      <c r="AF8" s="62">
        <f t="shared" si="14"/>
        <v>1921.25</v>
      </c>
      <c r="AG8" s="192">
        <v>0</v>
      </c>
      <c r="AH8" s="62">
        <f t="shared" si="15"/>
        <v>1206.0595341659023</v>
      </c>
      <c r="AI8" s="62">
        <f t="shared" si="16"/>
        <v>390.23882903060445</v>
      </c>
      <c r="AJ8" s="62"/>
      <c r="AK8" s="62">
        <v>0</v>
      </c>
      <c r="AL8" s="256">
        <f t="shared" si="17"/>
        <v>50217.558363196506</v>
      </c>
      <c r="AM8" s="256">
        <f t="shared" si="18"/>
        <v>132500</v>
      </c>
      <c r="AN8" s="256">
        <f t="shared" si="19"/>
        <v>182717.5583631965</v>
      </c>
    </row>
    <row r="9" spans="1:16152" x14ac:dyDescent="0.2">
      <c r="A9" s="3" t="str">
        <f>IF('Employee Detail FY27'!A9="","",'Employee Detail FY27'!A9)</f>
        <v/>
      </c>
      <c r="B9" s="3" t="str">
        <f>IF('Employee Detail FY27'!B9="","",'Employee Detail FY27'!B9)</f>
        <v/>
      </c>
      <c r="C9" s="3" t="str">
        <f>IF('Employee Detail FY27'!C9="","",'Employee Detail FY27'!C9)</f>
        <v/>
      </c>
      <c r="D9" s="3"/>
      <c r="E9" s="3" t="str">
        <f>IF('Employee Detail FY27'!E9="","",'Employee Detail FY27'!E9)</f>
        <v/>
      </c>
      <c r="F9" s="3" t="str">
        <f>IF('Employee Detail FY27'!F9="","",'Employee Detail FY27'!F9)</f>
        <v/>
      </c>
      <c r="G9" s="3" t="str">
        <f>IF('Employee Detail FY27'!G9="","",'Employee Detail FY27'!G9)</f>
        <v/>
      </c>
      <c r="H9" s="3"/>
      <c r="I9" s="255" t="str">
        <f>IF('Employee Detail FY27'!I9="","",'Employee Detail FY27'!I9)</f>
        <v/>
      </c>
      <c r="J9" s="255" t="str">
        <f>IF('Employee Detail FY27'!J9="","",'Employee Detail FY27'!J9)</f>
        <v/>
      </c>
      <c r="K9" s="255" t="str">
        <f>IF('Employee Detail FY27'!K9="","",'Employee Detail FY27'!K9)</f>
        <v/>
      </c>
      <c r="L9" s="255" t="str">
        <f>IF('Employee Detail FY27'!L9="","",'Employee Detail FY27'!L9)</f>
        <v/>
      </c>
      <c r="M9" s="92" t="str">
        <f>IF('Employee Detail FY27'!M9="","",'Employee Detail FY27'!M9)</f>
        <v/>
      </c>
      <c r="N9" s="3" t="str">
        <f>IF('Employee Detail FY27'!N9="","",'Employee Detail FY27'!N9)</f>
        <v/>
      </c>
      <c r="O9" s="3" t="str">
        <f>IF('Employee Detail FY27'!O9="","",'Employee Detail FY27'!O9)</f>
        <v/>
      </c>
      <c r="P9" s="3" t="str">
        <f>IF('Employee Detail FY27'!P9="","",'Employee Detail FY27'!P9)</f>
        <v/>
      </c>
      <c r="Q9" s="3" t="str">
        <f>IF('Employee Detail FY27'!Q9="","",'Employee Detail FY27'!Q9)</f>
        <v/>
      </c>
      <c r="R9" s="3" t="str">
        <f>IF('Employee Detail FY27'!R9="","",'Employee Detail FY27'!R9)</f>
        <v/>
      </c>
      <c r="S9" s="3" t="str">
        <f>IF('Employee Detail FY27'!S9="","",'Employee Detail FY27'!S9)</f>
        <v/>
      </c>
      <c r="T9" s="263" t="str">
        <f t="shared" si="6"/>
        <v/>
      </c>
      <c r="U9" s="269" t="str">
        <f>IF('Employee Detail FY27'!U9="","",'Employee Detail FY27'!U9)</f>
        <v/>
      </c>
      <c r="V9" s="270" t="str">
        <f t="shared" si="7"/>
        <v/>
      </c>
      <c r="W9" s="270" t="str">
        <f t="shared" si="8"/>
        <v/>
      </c>
      <c r="X9" s="270" t="str">
        <f t="shared" si="9"/>
        <v/>
      </c>
      <c r="Y9" s="62">
        <v>0</v>
      </c>
      <c r="Z9" s="62">
        <v>0</v>
      </c>
      <c r="AA9" s="256">
        <f t="shared" si="10"/>
        <v>0</v>
      </c>
      <c r="AB9" s="3"/>
      <c r="AC9" s="62" t="str">
        <f t="shared" si="11"/>
        <v/>
      </c>
      <c r="AD9" s="62" t="str">
        <f t="shared" si="12"/>
        <v/>
      </c>
      <c r="AE9" s="62" t="str">
        <f t="shared" si="13"/>
        <v/>
      </c>
      <c r="AF9" s="62" t="str">
        <f t="shared" si="14"/>
        <v/>
      </c>
      <c r="AG9" s="192">
        <v>0</v>
      </c>
      <c r="AH9" s="62" t="str">
        <f t="shared" si="15"/>
        <v/>
      </c>
      <c r="AI9" s="62">
        <f t="shared" si="16"/>
        <v>0</v>
      </c>
      <c r="AJ9" s="62"/>
      <c r="AK9" s="62">
        <v>0</v>
      </c>
      <c r="AL9" s="256">
        <f t="shared" si="17"/>
        <v>0</v>
      </c>
      <c r="AM9" s="256">
        <f t="shared" si="18"/>
        <v>0</v>
      </c>
      <c r="AN9" s="256">
        <f t="shared" si="19"/>
        <v>0</v>
      </c>
    </row>
    <row r="10" spans="1:16152" x14ac:dyDescent="0.2">
      <c r="A10" s="3" t="str">
        <f>IF('Employee Detail FY27'!A10="","",'Employee Detail FY27'!A10)</f>
        <v>TITLE I 1003a</v>
      </c>
      <c r="B10" s="3">
        <f>IF('Employee Detail FY27'!B10="","",'Employee Detail FY27'!B10)</f>
        <v>280</v>
      </c>
      <c r="C10" s="3">
        <f>IF('Employee Detail FY27'!C10="","",'Employee Detail FY27'!C10)</f>
        <v>624</v>
      </c>
      <c r="D10" s="3"/>
      <c r="E10" s="3">
        <f>IF('Employee Detail FY27'!E10="","",'Employee Detail FY27'!E10)</f>
        <v>430</v>
      </c>
      <c r="F10" s="3">
        <f>IF('Employee Detail FY27'!F10="","",'Employee Detail FY27'!F10)</f>
        <v>2410</v>
      </c>
      <c r="G10" s="3" t="str">
        <f>IF('Employee Detail FY27'!G10="","",'Employee Detail FY27'!G10)</f>
        <v>0104</v>
      </c>
      <c r="H10" s="3"/>
      <c r="I10" s="255" t="str">
        <f>IF('Employee Detail FY27'!I10="","",'Employee Detail FY27'!I10)</f>
        <v>MEDINA</v>
      </c>
      <c r="J10" s="255" t="str">
        <f>IF('Employee Detail FY27'!J10="","",'Employee Detail FY27'!J10)</f>
        <v>VINCENT</v>
      </c>
      <c r="K10" s="255" t="str">
        <f>IF('Employee Detail FY27'!K10="","",'Employee Detail FY27'!K10)</f>
        <v>Licensed Staff</v>
      </c>
      <c r="L10" s="255" t="str">
        <f>IF('Employee Detail FY27'!L10="","",'Employee Detail FY27'!L10)</f>
        <v>ACADEMIC COORDINATOR</v>
      </c>
      <c r="M10" s="92">
        <f>IF('Employee Detail FY27'!M10="","",'Employee Detail FY27'!M10)</f>
        <v>1</v>
      </c>
      <c r="N10" s="3" t="str">
        <f>IF('Employee Detail FY27'!N10="","",'Employee Detail FY27'!N10)</f>
        <v/>
      </c>
      <c r="O10" s="3">
        <f>IF('Employee Detail FY27'!O10="","",'Employee Detail FY27'!O10)</f>
        <v>26</v>
      </c>
      <c r="P10" s="3" t="str">
        <f>IF('Employee Detail FY27'!P10="","",'Employee Detail FY27'!P10)</f>
        <v>ER</v>
      </c>
      <c r="Q10" s="3" t="str">
        <f>IF('Employee Detail FY27'!Q10="","",'Employee Detail FY27'!Q10)</f>
        <v/>
      </c>
      <c r="R10" s="3">
        <f>IF('Employee Detail FY27'!R10="","",'Employee Detail FY27'!R10)</f>
        <v>261</v>
      </c>
      <c r="S10" s="3">
        <f>IF('Employee Detail FY27'!S10="","",'Employee Detail FY27'!S10)</f>
        <v>8</v>
      </c>
      <c r="T10" s="263">
        <f t="shared" si="6"/>
        <v>2088</v>
      </c>
      <c r="U10" s="269">
        <f>IF('Employee Detail FY27'!U10="","",'Employee Detail FY27'!U10)</f>
        <v>89000</v>
      </c>
      <c r="V10" s="270">
        <f t="shared" si="7"/>
        <v>105020</v>
      </c>
      <c r="W10" s="270" t="str">
        <f t="shared" si="8"/>
        <v/>
      </c>
      <c r="X10" s="270">
        <f t="shared" si="9"/>
        <v>105020</v>
      </c>
      <c r="Y10" s="62">
        <v>0</v>
      </c>
      <c r="Z10" s="62">
        <v>0</v>
      </c>
      <c r="AA10" s="256">
        <f t="shared" si="10"/>
        <v>105020</v>
      </c>
      <c r="AB10" s="3"/>
      <c r="AC10" s="62">
        <f t="shared" si="11"/>
        <v>7943.76</v>
      </c>
      <c r="AD10" s="62" t="str">
        <f t="shared" si="12"/>
        <v/>
      </c>
      <c r="AE10" s="62">
        <f t="shared" si="13"/>
        <v>30718.35</v>
      </c>
      <c r="AF10" s="62">
        <f t="shared" si="14"/>
        <v>1522.79</v>
      </c>
      <c r="AG10" s="192">
        <v>0</v>
      </c>
      <c r="AH10" s="62">
        <f t="shared" si="15"/>
        <v>955.92733794794754</v>
      </c>
      <c r="AI10" s="62">
        <f t="shared" si="16"/>
        <v>309.30476848901191</v>
      </c>
      <c r="AJ10" s="62"/>
      <c r="AK10" s="62">
        <v>0</v>
      </c>
      <c r="AL10" s="256">
        <f t="shared" si="17"/>
        <v>41450.132106436962</v>
      </c>
      <c r="AM10" s="256">
        <f t="shared" si="18"/>
        <v>105020</v>
      </c>
      <c r="AN10" s="256">
        <f t="shared" si="19"/>
        <v>146470.13210643697</v>
      </c>
    </row>
    <row r="11" spans="1:16152" x14ac:dyDescent="0.2">
      <c r="A11" s="3" t="str">
        <f>IF('Employee Detail FY27'!A11="","",'Employee Detail FY27'!A11)</f>
        <v/>
      </c>
      <c r="B11" s="3" t="str">
        <f>IF('Employee Detail FY27'!B11="","",'Employee Detail FY27'!B11)</f>
        <v/>
      </c>
      <c r="C11" s="3" t="str">
        <f>IF('Employee Detail FY27'!C11="","",'Employee Detail FY27'!C11)</f>
        <v/>
      </c>
      <c r="D11" s="3"/>
      <c r="E11" s="3" t="str">
        <f>IF('Employee Detail FY27'!E11="","",'Employee Detail FY27'!E11)</f>
        <v/>
      </c>
      <c r="F11" s="3" t="str">
        <f>IF('Employee Detail FY27'!F11="","",'Employee Detail FY27'!F11)</f>
        <v/>
      </c>
      <c r="G11" s="3" t="str">
        <f>IF('Employee Detail FY27'!G11="","",'Employee Detail FY27'!G11)</f>
        <v/>
      </c>
      <c r="H11" s="3"/>
      <c r="I11" s="255" t="str">
        <f>IF('Employee Detail FY27'!I11="","",'Employee Detail FY27'!I11)</f>
        <v/>
      </c>
      <c r="J11" s="255" t="str">
        <f>IF('Employee Detail FY27'!J11="","",'Employee Detail FY27'!J11)</f>
        <v/>
      </c>
      <c r="K11" s="255" t="str">
        <f>IF('Employee Detail FY27'!K11="","",'Employee Detail FY27'!K11)</f>
        <v/>
      </c>
      <c r="L11" s="255" t="str">
        <f>IF('Employee Detail FY27'!L11="","",'Employee Detail FY27'!L11)</f>
        <v/>
      </c>
      <c r="M11" s="92" t="str">
        <f>IF('Employee Detail FY27'!M11="","",'Employee Detail FY27'!M11)</f>
        <v/>
      </c>
      <c r="N11" s="3" t="str">
        <f>IF('Employee Detail FY27'!N11="","",'Employee Detail FY27'!N11)</f>
        <v/>
      </c>
      <c r="O11" s="3" t="str">
        <f>IF('Employee Detail FY27'!O11="","",'Employee Detail FY27'!O11)</f>
        <v/>
      </c>
      <c r="P11" s="3" t="str">
        <f>IF('Employee Detail FY27'!P11="","",'Employee Detail FY27'!P11)</f>
        <v/>
      </c>
      <c r="Q11" s="3" t="str">
        <f>IF('Employee Detail FY27'!Q11="","",'Employee Detail FY27'!Q11)</f>
        <v/>
      </c>
      <c r="R11" s="3" t="str">
        <f>IF('Employee Detail FY27'!R11="","",'Employee Detail FY27'!R11)</f>
        <v/>
      </c>
      <c r="S11" s="3" t="str">
        <f>IF('Employee Detail FY27'!S11="","",'Employee Detail FY27'!S11)</f>
        <v/>
      </c>
      <c r="T11" s="263" t="str">
        <f t="shared" si="6"/>
        <v/>
      </c>
      <c r="U11" s="269" t="str">
        <f>IF('Employee Detail FY27'!U11="","",'Employee Detail FY27'!U11)</f>
        <v/>
      </c>
      <c r="V11" s="270" t="str">
        <f t="shared" si="7"/>
        <v/>
      </c>
      <c r="W11" s="270" t="str">
        <f t="shared" si="8"/>
        <v/>
      </c>
      <c r="X11" s="270" t="str">
        <f t="shared" si="9"/>
        <v/>
      </c>
      <c r="Y11" s="62">
        <v>0</v>
      </c>
      <c r="Z11" s="62">
        <v>0</v>
      </c>
      <c r="AA11" s="256">
        <f t="shared" si="10"/>
        <v>0</v>
      </c>
      <c r="AB11" s="3"/>
      <c r="AC11" s="62" t="str">
        <f t="shared" si="11"/>
        <v/>
      </c>
      <c r="AD11" s="62" t="str">
        <f t="shared" si="12"/>
        <v/>
      </c>
      <c r="AE11" s="62" t="str">
        <f t="shared" si="13"/>
        <v/>
      </c>
      <c r="AF11" s="62" t="str">
        <f t="shared" si="14"/>
        <v/>
      </c>
      <c r="AG11" s="192">
        <v>0</v>
      </c>
      <c r="AH11" s="62" t="str">
        <f t="shared" si="15"/>
        <v/>
      </c>
      <c r="AI11" s="62">
        <f t="shared" si="16"/>
        <v>0</v>
      </c>
      <c r="AJ11" s="62"/>
      <c r="AK11" s="62">
        <v>0</v>
      </c>
      <c r="AL11" s="256">
        <f t="shared" si="17"/>
        <v>0</v>
      </c>
      <c r="AM11" s="256">
        <f t="shared" si="18"/>
        <v>0</v>
      </c>
      <c r="AN11" s="256">
        <f t="shared" si="19"/>
        <v>0</v>
      </c>
    </row>
    <row r="12" spans="1:16152" x14ac:dyDescent="0.2">
      <c r="A12" s="3" t="str">
        <f>IF('Employee Detail FY27'!A12="","",'Employee Detail FY27'!A12)</f>
        <v>VACANT</v>
      </c>
      <c r="B12" s="3" t="str">
        <f>IF('Employee Detail FY27'!B12="","",'Employee Detail FY27'!B12)</f>
        <v>250</v>
      </c>
      <c r="C12" s="3" t="str">
        <f>IF('Employee Detail FY27'!C12="","",'Employee Detail FY27'!C12)</f>
        <v>205</v>
      </c>
      <c r="D12" s="3"/>
      <c r="E12" s="3" t="str">
        <f>IF('Employee Detail FY27'!E12="","",'Employee Detail FY27'!E12)</f>
        <v>200</v>
      </c>
      <c r="F12" s="3">
        <f>IF('Employee Detail FY27'!F12="","",'Employee Detail FY27'!F12)</f>
        <v>1000</v>
      </c>
      <c r="G12" s="3" t="str">
        <f>IF('Employee Detail FY27'!G12="","",'Employee Detail FY27'!G12)</f>
        <v>0105</v>
      </c>
      <c r="H12" s="3"/>
      <c r="I12" s="255" t="str">
        <f>IF('Employee Detail FY27'!I12="","",'Employee Detail FY27'!I12)</f>
        <v>VACANT</v>
      </c>
      <c r="J12" s="255" t="str">
        <f>IF('Employee Detail FY27'!J12="","",'Employee Detail FY27'!J12)</f>
        <v>FY23</v>
      </c>
      <c r="K12" s="255" t="str">
        <f>IF('Employee Detail FY27'!K12="","",'Employee Detail FY27'!K12)</f>
        <v>Administration</v>
      </c>
      <c r="L12" s="255" t="str">
        <f>IF('Employee Detail FY27'!L12="","",'Employee Detail FY27'!L12)</f>
        <v>SPECIAL PROGRAMS COORDINATOR</v>
      </c>
      <c r="M12" s="92">
        <f>IF('Employee Detail FY27'!M12="","",'Employee Detail FY27'!M12)</f>
        <v>1</v>
      </c>
      <c r="N12" s="3" t="str">
        <f>IF('Employee Detail FY27'!N12="","",'Employee Detail FY27'!N12)</f>
        <v/>
      </c>
      <c r="O12" s="3">
        <f>IF('Employee Detail FY27'!O12="","",'Employee Detail FY27'!O12)</f>
        <v>1</v>
      </c>
      <c r="P12" s="3" t="str">
        <f>IF('Employee Detail FY27'!P12="","",'Employee Detail FY27'!P12)</f>
        <v>ER</v>
      </c>
      <c r="Q12" s="3" t="str">
        <f>IF('Employee Detail FY27'!Q12="","",'Employee Detail FY27'!Q12)</f>
        <v/>
      </c>
      <c r="R12" s="3">
        <f>IF('Employee Detail FY27'!R12="","",'Employee Detail FY27'!R12)</f>
        <v>261</v>
      </c>
      <c r="S12" s="3">
        <f>IF('Employee Detail FY27'!S12="","",'Employee Detail FY27'!S12)</f>
        <v>8</v>
      </c>
      <c r="T12" s="263">
        <f t="shared" si="6"/>
        <v>2088</v>
      </c>
      <c r="U12" s="269">
        <f>IF('Employee Detail FY27'!U12="","",'Employee Detail FY27'!U12)</f>
        <v>81500</v>
      </c>
      <c r="V12" s="270">
        <f t="shared" si="7"/>
        <v>96170</v>
      </c>
      <c r="W12" s="270" t="str">
        <f t="shared" si="8"/>
        <v/>
      </c>
      <c r="X12" s="270">
        <f t="shared" si="9"/>
        <v>96170</v>
      </c>
      <c r="Y12" s="62">
        <v>0</v>
      </c>
      <c r="Z12" s="62">
        <v>0</v>
      </c>
      <c r="AA12" s="256">
        <f t="shared" si="10"/>
        <v>96170</v>
      </c>
      <c r="AB12" s="3"/>
      <c r="AC12" s="62">
        <f t="shared" si="11"/>
        <v>7943.76</v>
      </c>
      <c r="AD12" s="62" t="str">
        <f t="shared" si="12"/>
        <v/>
      </c>
      <c r="AE12" s="62">
        <f t="shared" si="13"/>
        <v>28129.724999999999</v>
      </c>
      <c r="AF12" s="62">
        <f t="shared" si="14"/>
        <v>1394.4650000000001</v>
      </c>
      <c r="AG12" s="192">
        <v>0</v>
      </c>
      <c r="AH12" s="62">
        <f t="shared" si="15"/>
        <v>875.37166340177214</v>
      </c>
      <c r="AI12" s="62">
        <f t="shared" si="16"/>
        <v>283.2397599084772</v>
      </c>
      <c r="AJ12" s="62"/>
      <c r="AK12" s="62">
        <v>0</v>
      </c>
      <c r="AL12" s="256">
        <f t="shared" si="17"/>
        <v>38626.561423310246</v>
      </c>
      <c r="AM12" s="256">
        <f t="shared" si="18"/>
        <v>96170</v>
      </c>
      <c r="AN12" s="256">
        <f t="shared" si="19"/>
        <v>134796.56142331025</v>
      </c>
    </row>
    <row r="13" spans="1:16152" x14ac:dyDescent="0.2">
      <c r="A13" s="3" t="str">
        <f>IF('Employee Detail FY27'!A13="","",'Employee Detail FY27'!A13)</f>
        <v/>
      </c>
      <c r="B13" s="3" t="str">
        <f>IF('Employee Detail FY27'!B13="","",'Employee Detail FY27'!B13)</f>
        <v/>
      </c>
      <c r="C13" s="3" t="str">
        <f>IF('Employee Detail FY27'!C13="","",'Employee Detail FY27'!C13)</f>
        <v/>
      </c>
      <c r="D13" s="3"/>
      <c r="E13" s="3" t="str">
        <f>IF('Employee Detail FY27'!E13="","",'Employee Detail FY27'!E13)</f>
        <v/>
      </c>
      <c r="F13" s="3" t="str">
        <f>IF('Employee Detail FY27'!F13="","",'Employee Detail FY27'!F13)</f>
        <v/>
      </c>
      <c r="G13" s="3" t="str">
        <f>IF('Employee Detail FY27'!G13="","",'Employee Detail FY27'!G13)</f>
        <v/>
      </c>
      <c r="H13" s="3"/>
      <c r="I13" s="255" t="str">
        <f>IF('Employee Detail FY27'!I13="","",'Employee Detail FY27'!I13)</f>
        <v/>
      </c>
      <c r="J13" s="255" t="str">
        <f>IF('Employee Detail FY27'!J13="","",'Employee Detail FY27'!J13)</f>
        <v/>
      </c>
      <c r="K13" s="255" t="str">
        <f>IF('Employee Detail FY27'!K13="","",'Employee Detail FY27'!K13)</f>
        <v/>
      </c>
      <c r="L13" s="255" t="str">
        <f>IF('Employee Detail FY27'!L13="","",'Employee Detail FY27'!L13)</f>
        <v/>
      </c>
      <c r="M13" s="92" t="str">
        <f>IF('Employee Detail FY27'!M13="","",'Employee Detail FY27'!M13)</f>
        <v/>
      </c>
      <c r="N13" s="3" t="str">
        <f>IF('Employee Detail FY27'!N13="","",'Employee Detail FY27'!N13)</f>
        <v/>
      </c>
      <c r="O13" s="3" t="str">
        <f>IF('Employee Detail FY27'!O13="","",'Employee Detail FY27'!O13)</f>
        <v/>
      </c>
      <c r="P13" s="3" t="str">
        <f>IF('Employee Detail FY27'!P13="","",'Employee Detail FY27'!P13)</f>
        <v/>
      </c>
      <c r="Q13" s="3" t="str">
        <f>IF('Employee Detail FY27'!Q13="","",'Employee Detail FY27'!Q13)</f>
        <v/>
      </c>
      <c r="R13" s="3" t="str">
        <f>IF('Employee Detail FY27'!R13="","",'Employee Detail FY27'!R13)</f>
        <v/>
      </c>
      <c r="S13" s="3" t="str">
        <f>IF('Employee Detail FY27'!S13="","",'Employee Detail FY27'!S13)</f>
        <v/>
      </c>
      <c r="T13" s="263" t="str">
        <f t="shared" si="6"/>
        <v/>
      </c>
      <c r="U13" s="269">
        <f>IF('Employee Detail FY27'!U13="","",'Employee Detail FY27'!U13)</f>
        <v>0</v>
      </c>
      <c r="V13" s="270">
        <f t="shared" si="7"/>
        <v>0</v>
      </c>
      <c r="W13" s="270" t="str">
        <f t="shared" si="8"/>
        <v/>
      </c>
      <c r="X13" s="270" t="str">
        <f t="shared" si="9"/>
        <v/>
      </c>
      <c r="Y13" s="62">
        <v>0</v>
      </c>
      <c r="Z13" s="62">
        <v>0</v>
      </c>
      <c r="AA13" s="256">
        <f t="shared" si="10"/>
        <v>0</v>
      </c>
      <c r="AB13" s="3"/>
      <c r="AC13" s="62" t="str">
        <f t="shared" si="11"/>
        <v/>
      </c>
      <c r="AD13" s="62" t="str">
        <f t="shared" si="12"/>
        <v/>
      </c>
      <c r="AE13" s="62" t="str">
        <f t="shared" si="13"/>
        <v/>
      </c>
      <c r="AF13" s="62" t="str">
        <f t="shared" si="14"/>
        <v/>
      </c>
      <c r="AG13" s="192">
        <v>0</v>
      </c>
      <c r="AH13" s="62" t="str">
        <f t="shared" si="15"/>
        <v/>
      </c>
      <c r="AI13" s="62">
        <f t="shared" si="16"/>
        <v>0</v>
      </c>
      <c r="AJ13" s="62"/>
      <c r="AK13" s="62">
        <v>0</v>
      </c>
      <c r="AL13" s="256">
        <f t="shared" si="17"/>
        <v>0</v>
      </c>
      <c r="AM13" s="256">
        <f t="shared" si="18"/>
        <v>0</v>
      </c>
      <c r="AN13" s="256">
        <f t="shared" si="19"/>
        <v>0</v>
      </c>
    </row>
    <row r="14" spans="1:16152" x14ac:dyDescent="0.2">
      <c r="A14" s="3" t="str">
        <f>IF('Employee Detail FY27'!A14="","",'Employee Detail FY27'!A14)</f>
        <v/>
      </c>
      <c r="B14" s="3">
        <f>IF('Employee Detail FY27'!B14="","",'Employee Detail FY27'!B14)</f>
        <v>100</v>
      </c>
      <c r="C14" s="3" t="str">
        <f>IF('Employee Detail FY27'!C14="","",'Employee Detail FY27'!C14)</f>
        <v>000</v>
      </c>
      <c r="D14" s="3"/>
      <c r="E14" s="3">
        <f>IF('Employee Detail FY27'!E14="","",'Employee Detail FY27'!E14)</f>
        <v>100</v>
      </c>
      <c r="F14" s="3">
        <f>IF('Employee Detail FY27'!F14="","",'Employee Detail FY27'!F14)</f>
        <v>1000</v>
      </c>
      <c r="G14" s="3" t="str">
        <f>IF('Employee Detail FY27'!G14="","",'Employee Detail FY27'!G14)</f>
        <v>0101</v>
      </c>
      <c r="H14" s="3"/>
      <c r="I14" s="255" t="str">
        <f>IF('Employee Detail FY27'!I14="","",'Employee Detail FY27'!I14)</f>
        <v>BAILEY</v>
      </c>
      <c r="J14" s="255" t="str">
        <f>IF('Employee Detail FY27'!J14="","",'Employee Detail FY27'!J14)</f>
        <v>SANDRA</v>
      </c>
      <c r="K14" s="255" t="str">
        <f>IF('Employee Detail FY27'!K14="","",'Employee Detail FY27'!K14)</f>
        <v>Licensed Staff</v>
      </c>
      <c r="L14" s="255" t="str">
        <f>IF('Employee Detail FY27'!L14="","",'Employee Detail FY27'!L14)</f>
        <v>TEACHER</v>
      </c>
      <c r="M14" s="92">
        <f>IF('Employee Detail FY27'!M14="","",'Employee Detail FY27'!M14)</f>
        <v>1</v>
      </c>
      <c r="N14" s="3" t="str">
        <f>IF('Employee Detail FY27'!N14="","",'Employee Detail FY27'!N14)</f>
        <v>S</v>
      </c>
      <c r="O14" s="3">
        <f>IF('Employee Detail FY27'!O14="","",'Employee Detail FY27'!O14)</f>
        <v>1</v>
      </c>
      <c r="P14" s="3" t="str">
        <f>IF('Employee Detail FY27'!P14="","",'Employee Detail FY27'!P14)</f>
        <v>EE</v>
      </c>
      <c r="Q14" s="3" t="str">
        <f>IF('Employee Detail FY27'!Q14="","",'Employee Detail FY27'!Q14)</f>
        <v/>
      </c>
      <c r="R14" s="3">
        <f>IF('Employee Detail FY27'!R14="","",'Employee Detail FY27'!R14)</f>
        <v>200</v>
      </c>
      <c r="S14" s="3">
        <f>IF('Employee Detail FY27'!S14="","",'Employee Detail FY27'!S14)</f>
        <v>8</v>
      </c>
      <c r="T14" s="263">
        <f t="shared" si="6"/>
        <v>1600</v>
      </c>
      <c r="U14" s="269">
        <f>IF('Employee Detail FY27'!U14="","",'Employee Detail FY27'!U14)</f>
        <v>44380</v>
      </c>
      <c r="V14" s="270">
        <f t="shared" si="7"/>
        <v>52368.399999999994</v>
      </c>
      <c r="W14" s="270">
        <f t="shared" si="8"/>
        <v>60411.453082399996</v>
      </c>
      <c r="X14" s="270">
        <f t="shared" si="9"/>
        <v>60411.453082399996</v>
      </c>
      <c r="Y14" s="62">
        <v>0</v>
      </c>
      <c r="Z14" s="62">
        <v>0</v>
      </c>
      <c r="AA14" s="256">
        <f t="shared" si="10"/>
        <v>60411.453082399996</v>
      </c>
      <c r="AB14" s="3"/>
      <c r="AC14" s="62">
        <f t="shared" si="11"/>
        <v>7943.76</v>
      </c>
      <c r="AD14" s="62" t="str">
        <f t="shared" si="12"/>
        <v/>
      </c>
      <c r="AE14" s="62">
        <f t="shared" si="13"/>
        <v>9212.7465950659989</v>
      </c>
      <c r="AF14" s="62">
        <f t="shared" si="14"/>
        <v>875.96606969480001</v>
      </c>
      <c r="AG14" s="192">
        <v>0</v>
      </c>
      <c r="AH14" s="62">
        <f t="shared" si="15"/>
        <v>549.88535066297811</v>
      </c>
      <c r="AI14" s="62">
        <f t="shared" si="16"/>
        <v>177.92373366726849</v>
      </c>
      <c r="AJ14" s="62"/>
      <c r="AK14" s="62">
        <v>0</v>
      </c>
      <c r="AL14" s="256">
        <f t="shared" si="17"/>
        <v>18760.281749091046</v>
      </c>
      <c r="AM14" s="256">
        <f t="shared" si="18"/>
        <v>60411.453082399996</v>
      </c>
      <c r="AN14" s="256">
        <f t="shared" si="19"/>
        <v>79171.734831491049</v>
      </c>
    </row>
    <row r="15" spans="1:16152" x14ac:dyDescent="0.2">
      <c r="A15" s="3" t="str">
        <f>IF('Employee Detail FY27'!A15="","",'Employee Detail FY27'!A15)</f>
        <v/>
      </c>
      <c r="B15" s="3">
        <f>IF('Employee Detail FY27'!B15="","",'Employee Detail FY27'!B15)</f>
        <v>100</v>
      </c>
      <c r="C15" s="3" t="str">
        <f>IF('Employee Detail FY27'!C15="","",'Employee Detail FY27'!C15)</f>
        <v>000</v>
      </c>
      <c r="D15" s="3"/>
      <c r="E15" s="3">
        <f>IF('Employee Detail FY27'!E15="","",'Employee Detail FY27'!E15)</f>
        <v>100</v>
      </c>
      <c r="F15" s="3">
        <f>IF('Employee Detail FY27'!F15="","",'Employee Detail FY27'!F15)</f>
        <v>1000</v>
      </c>
      <c r="G15" s="3" t="str">
        <f>IF('Employee Detail FY27'!G15="","",'Employee Detail FY27'!G15)</f>
        <v>0101</v>
      </c>
      <c r="H15" s="3"/>
      <c r="I15" s="255" t="str">
        <f>IF('Employee Detail FY27'!I15="","",'Employee Detail FY27'!I15)</f>
        <v>BALLEK</v>
      </c>
      <c r="J15" s="255" t="str">
        <f>IF('Employee Detail FY27'!J15="","",'Employee Detail FY27'!J15)</f>
        <v>DIANA</v>
      </c>
      <c r="K15" s="255" t="str">
        <f>IF('Employee Detail FY27'!K15="","",'Employee Detail FY27'!K15)</f>
        <v>Licensed Staff</v>
      </c>
      <c r="L15" s="255" t="str">
        <f>IF('Employee Detail FY27'!L15="","",'Employee Detail FY27'!L15)</f>
        <v>TEACHER</v>
      </c>
      <c r="M15" s="92">
        <f>IF('Employee Detail FY27'!M15="","",'Employee Detail FY27'!M15)</f>
        <v>1</v>
      </c>
      <c r="N15" s="3" t="str">
        <f>IF('Employee Detail FY27'!N15="","",'Employee Detail FY27'!N15)</f>
        <v/>
      </c>
      <c r="O15" s="3">
        <f>IF('Employee Detail FY27'!O15="","",'Employee Detail FY27'!O15)</f>
        <v>26</v>
      </c>
      <c r="P15" s="3" t="str">
        <f>IF('Employee Detail FY27'!P15="","",'Employee Detail FY27'!P15)</f>
        <v>ER</v>
      </c>
      <c r="Q15" s="3" t="str">
        <f>IF('Employee Detail FY27'!Q15="","",'Employee Detail FY27'!Q15)</f>
        <v/>
      </c>
      <c r="R15" s="3">
        <f>IF('Employee Detail FY27'!R15="","",'Employee Detail FY27'!R15)</f>
        <v>200</v>
      </c>
      <c r="S15" s="3">
        <f>IF('Employee Detail FY27'!S15="","",'Employee Detail FY27'!S15)</f>
        <v>8</v>
      </c>
      <c r="T15" s="263">
        <f t="shared" si="6"/>
        <v>1600</v>
      </c>
      <c r="U15" s="269">
        <f>IF('Employee Detail FY27'!U15="","",'Employee Detail FY27'!U15)</f>
        <v>55000</v>
      </c>
      <c r="V15" s="270">
        <f t="shared" si="7"/>
        <v>64900</v>
      </c>
      <c r="W15" s="270" t="str">
        <f t="shared" si="8"/>
        <v/>
      </c>
      <c r="X15" s="270">
        <f t="shared" si="9"/>
        <v>64900</v>
      </c>
      <c r="Y15" s="62">
        <v>0</v>
      </c>
      <c r="Z15" s="62">
        <v>0</v>
      </c>
      <c r="AA15" s="256">
        <f t="shared" si="10"/>
        <v>64900</v>
      </c>
      <c r="AB15" s="3"/>
      <c r="AC15" s="62">
        <f t="shared" si="11"/>
        <v>7943.76</v>
      </c>
      <c r="AD15" s="62" t="str">
        <f t="shared" si="12"/>
        <v/>
      </c>
      <c r="AE15" s="62">
        <f t="shared" si="13"/>
        <v>18983.25</v>
      </c>
      <c r="AF15" s="62">
        <f t="shared" si="14"/>
        <v>941.05000000000007</v>
      </c>
      <c r="AG15" s="192">
        <v>0</v>
      </c>
      <c r="AH15" s="62">
        <f t="shared" si="15"/>
        <v>590.74161333861923</v>
      </c>
      <c r="AI15" s="62">
        <f t="shared" si="16"/>
        <v>191.14339625725455</v>
      </c>
      <c r="AJ15" s="62"/>
      <c r="AK15" s="62">
        <v>0</v>
      </c>
      <c r="AL15" s="256">
        <f t="shared" si="17"/>
        <v>28649.945009595875</v>
      </c>
      <c r="AM15" s="256">
        <f t="shared" si="18"/>
        <v>64900</v>
      </c>
      <c r="AN15" s="256">
        <f t="shared" si="19"/>
        <v>93549.945009595875</v>
      </c>
    </row>
    <row r="16" spans="1:16152" x14ac:dyDescent="0.2">
      <c r="A16" s="3" t="str">
        <f>IF('Employee Detail FY27'!A16="","",'Employee Detail FY27'!A16)</f>
        <v/>
      </c>
      <c r="B16" s="3">
        <f>IF('Employee Detail FY27'!B16="","",'Employee Detail FY27'!B16)</f>
        <v>100</v>
      </c>
      <c r="C16" s="3" t="str">
        <f>IF('Employee Detail FY27'!C16="","",'Employee Detail FY27'!C16)</f>
        <v>000</v>
      </c>
      <c r="D16" s="3"/>
      <c r="E16" s="3">
        <f>IF('Employee Detail FY27'!E16="","",'Employee Detail FY27'!E16)</f>
        <v>100</v>
      </c>
      <c r="F16" s="3">
        <f>IF('Employee Detail FY27'!F16="","",'Employee Detail FY27'!F16)</f>
        <v>1000</v>
      </c>
      <c r="G16" s="3" t="str">
        <f>IF('Employee Detail FY27'!G16="","",'Employee Detail FY27'!G16)</f>
        <v>0101</v>
      </c>
      <c r="H16" s="3"/>
      <c r="I16" s="255" t="str">
        <f>IF('Employee Detail FY27'!I16="","",'Employee Detail FY27'!I16)</f>
        <v>BLANCHARD</v>
      </c>
      <c r="J16" s="255" t="str">
        <f>IF('Employee Detail FY27'!J16="","",'Employee Detail FY27'!J16)</f>
        <v>BARBARA</v>
      </c>
      <c r="K16" s="255" t="str">
        <f>IF('Employee Detail FY27'!K16="","",'Employee Detail FY27'!K16)</f>
        <v>Licensed Staff</v>
      </c>
      <c r="L16" s="255" t="str">
        <f>IF('Employee Detail FY27'!L16="","",'Employee Detail FY27'!L16)</f>
        <v>TEACHER</v>
      </c>
      <c r="M16" s="92">
        <f>IF('Employee Detail FY27'!M16="","",'Employee Detail FY27'!M16)</f>
        <v>1</v>
      </c>
      <c r="N16" s="3" t="str">
        <f>IF('Employee Detail FY27'!N16="","",'Employee Detail FY27'!N16)</f>
        <v/>
      </c>
      <c r="O16" s="3">
        <f>IF('Employee Detail FY27'!O16="","",'Employee Detail FY27'!O16)</f>
        <v>26</v>
      </c>
      <c r="P16" s="3" t="str">
        <f>IF('Employee Detail FY27'!P16="","",'Employee Detail FY27'!P16)</f>
        <v>ER</v>
      </c>
      <c r="Q16" s="3" t="str">
        <f>IF('Employee Detail FY27'!Q16="","",'Employee Detail FY27'!Q16)</f>
        <v/>
      </c>
      <c r="R16" s="3">
        <f>IF('Employee Detail FY27'!R16="","",'Employee Detail FY27'!R16)</f>
        <v>200</v>
      </c>
      <c r="S16" s="3">
        <f>IF('Employee Detail FY27'!S16="","",'Employee Detail FY27'!S16)</f>
        <v>8</v>
      </c>
      <c r="T16" s="263">
        <f t="shared" si="6"/>
        <v>1600</v>
      </c>
      <c r="U16" s="269">
        <f>IF('Employee Detail FY27'!U16="","",'Employee Detail FY27'!U16)</f>
        <v>55000</v>
      </c>
      <c r="V16" s="270">
        <f t="shared" si="7"/>
        <v>64900</v>
      </c>
      <c r="W16" s="270" t="str">
        <f t="shared" si="8"/>
        <v/>
      </c>
      <c r="X16" s="270">
        <f t="shared" si="9"/>
        <v>64900</v>
      </c>
      <c r="Y16" s="62">
        <v>0</v>
      </c>
      <c r="Z16" s="62">
        <v>0</v>
      </c>
      <c r="AA16" s="256">
        <f t="shared" si="10"/>
        <v>64900</v>
      </c>
      <c r="AB16" s="3"/>
      <c r="AC16" s="62">
        <f t="shared" si="11"/>
        <v>7943.76</v>
      </c>
      <c r="AD16" s="62" t="str">
        <f t="shared" si="12"/>
        <v/>
      </c>
      <c r="AE16" s="62">
        <f t="shared" si="13"/>
        <v>18983.25</v>
      </c>
      <c r="AF16" s="62">
        <f t="shared" si="14"/>
        <v>941.05000000000007</v>
      </c>
      <c r="AG16" s="192">
        <v>0</v>
      </c>
      <c r="AH16" s="62">
        <f t="shared" si="15"/>
        <v>590.74161333861923</v>
      </c>
      <c r="AI16" s="62">
        <f t="shared" si="16"/>
        <v>191.14339625725455</v>
      </c>
      <c r="AJ16" s="62"/>
      <c r="AK16" s="62">
        <v>0</v>
      </c>
      <c r="AL16" s="256">
        <f t="shared" si="17"/>
        <v>28649.945009595875</v>
      </c>
      <c r="AM16" s="256">
        <f t="shared" si="18"/>
        <v>64900</v>
      </c>
      <c r="AN16" s="256">
        <f t="shared" si="19"/>
        <v>93549.945009595875</v>
      </c>
    </row>
    <row r="17" spans="1:40" x14ac:dyDescent="0.2">
      <c r="A17" s="3" t="str">
        <f>IF('Employee Detail FY27'!A17="","",'Employee Detail FY27'!A17)</f>
        <v/>
      </c>
      <c r="B17" s="3" t="str">
        <f>IF('Employee Detail FY27'!B17="","",'Employee Detail FY27'!B17)</f>
        <v>100</v>
      </c>
      <c r="C17" s="3" t="str">
        <f>IF('Employee Detail FY27'!C17="","",'Employee Detail FY27'!C17)</f>
        <v>000</v>
      </c>
      <c r="D17" s="3"/>
      <c r="E17" s="3" t="str">
        <f>IF('Employee Detail FY27'!E17="","",'Employee Detail FY27'!E17)</f>
        <v>100</v>
      </c>
      <c r="F17" s="3">
        <f>IF('Employee Detail FY27'!F17="","",'Employee Detail FY27'!F17)</f>
        <v>1000</v>
      </c>
      <c r="G17" s="3" t="str">
        <f>IF('Employee Detail FY27'!G17="","",'Employee Detail FY27'!G17)</f>
        <v>0101</v>
      </c>
      <c r="H17" s="3"/>
      <c r="I17" s="255" t="str">
        <f>IF('Employee Detail FY27'!I17="","",'Employee Detail FY27'!I17)</f>
        <v>GRANT</v>
      </c>
      <c r="J17" s="255" t="str">
        <f>IF('Employee Detail FY27'!J17="","",'Employee Detail FY27'!J17)</f>
        <v>BRIEN</v>
      </c>
      <c r="K17" s="255" t="str">
        <f>IF('Employee Detail FY27'!K17="","",'Employee Detail FY27'!K17)</f>
        <v>Licensed Support Staff</v>
      </c>
      <c r="L17" s="255" t="str">
        <f>IF('Employee Detail FY27'!L17="","",'Employee Detail FY27'!L17)</f>
        <v>TEACHER</v>
      </c>
      <c r="M17" s="92">
        <f>IF('Employee Detail FY27'!M17="","",'Employee Detail FY27'!M17)</f>
        <v>1</v>
      </c>
      <c r="N17" s="3" t="str">
        <f>IF('Employee Detail FY27'!N17="","",'Employee Detail FY27'!N17)</f>
        <v>H</v>
      </c>
      <c r="O17" s="3">
        <f>IF('Employee Detail FY27'!O17="","",'Employee Detail FY27'!O17)</f>
        <v>26</v>
      </c>
      <c r="P17" s="3" t="str">
        <f>IF('Employee Detail FY27'!P17="","",'Employee Detail FY27'!P17)</f>
        <v>EE</v>
      </c>
      <c r="Q17" s="3" t="str">
        <f>IF('Employee Detail FY27'!Q17="","",'Employee Detail FY27'!Q17)</f>
        <v/>
      </c>
      <c r="R17" s="3">
        <f>IF('Employee Detail FY27'!R17="","",'Employee Detail FY27'!R17)</f>
        <v>200</v>
      </c>
      <c r="S17" s="3">
        <f>IF('Employee Detail FY27'!S17="","",'Employee Detail FY27'!S17)</f>
        <v>8</v>
      </c>
      <c r="T17" s="263">
        <f t="shared" si="6"/>
        <v>1600</v>
      </c>
      <c r="U17" s="269">
        <f>IF('Employee Detail FY27'!U17="","",'Employee Detail FY27'!U17)</f>
        <v>40725</v>
      </c>
      <c r="V17" s="270">
        <f t="shared" si="7"/>
        <v>48055.5</v>
      </c>
      <c r="W17" s="270">
        <f t="shared" si="8"/>
        <v>55436.152023000002</v>
      </c>
      <c r="X17" s="270">
        <f t="shared" si="9"/>
        <v>55436.152023000002</v>
      </c>
      <c r="Y17" s="62">
        <v>0</v>
      </c>
      <c r="Z17" s="62">
        <v>0</v>
      </c>
      <c r="AA17" s="256">
        <f t="shared" si="10"/>
        <v>55436.152023000002</v>
      </c>
      <c r="AB17" s="3"/>
      <c r="AC17" s="62">
        <f t="shared" si="11"/>
        <v>7943.76</v>
      </c>
      <c r="AD17" s="62" t="str">
        <f t="shared" si="12"/>
        <v/>
      </c>
      <c r="AE17" s="62">
        <f t="shared" si="13"/>
        <v>8454.0131835075008</v>
      </c>
      <c r="AF17" s="62">
        <f t="shared" si="14"/>
        <v>803.82420433350012</v>
      </c>
      <c r="AG17" s="192">
        <v>0</v>
      </c>
      <c r="AH17" s="62">
        <f t="shared" si="15"/>
        <v>504.59848818724163</v>
      </c>
      <c r="AI17" s="62">
        <f t="shared" si="16"/>
        <v>163.27048340692903</v>
      </c>
      <c r="AJ17" s="62"/>
      <c r="AK17" s="62">
        <v>0</v>
      </c>
      <c r="AL17" s="256">
        <f t="shared" si="17"/>
        <v>17869.466359435177</v>
      </c>
      <c r="AM17" s="256">
        <f t="shared" si="18"/>
        <v>55436.152023000002</v>
      </c>
      <c r="AN17" s="256">
        <f t="shared" si="19"/>
        <v>73305.618382435176</v>
      </c>
    </row>
    <row r="18" spans="1:40" x14ac:dyDescent="0.2">
      <c r="A18" s="3" t="str">
        <f>IF('Employee Detail FY27'!A18="","",'Employee Detail FY27'!A18)</f>
        <v/>
      </c>
      <c r="B18" s="3">
        <f>IF('Employee Detail FY27'!B18="","",'Employee Detail FY27'!B18)</f>
        <v>100</v>
      </c>
      <c r="C18" s="3" t="str">
        <f>IF('Employee Detail FY27'!C18="","",'Employee Detail FY27'!C18)</f>
        <v>000</v>
      </c>
      <c r="D18" s="3"/>
      <c r="E18" s="3">
        <f>IF('Employee Detail FY27'!E18="","",'Employee Detail FY27'!E18)</f>
        <v>100</v>
      </c>
      <c r="F18" s="3">
        <f>IF('Employee Detail FY27'!F18="","",'Employee Detail FY27'!F18)</f>
        <v>1000</v>
      </c>
      <c r="G18" s="3" t="str">
        <f>IF('Employee Detail FY27'!G18="","",'Employee Detail FY27'!G18)</f>
        <v>0101</v>
      </c>
      <c r="H18" s="3"/>
      <c r="I18" s="255" t="str">
        <f>IF('Employee Detail FY27'!I18="","",'Employee Detail FY27'!I18)</f>
        <v>LEWIS</v>
      </c>
      <c r="J18" s="255" t="str">
        <f>IF('Employee Detail FY27'!J18="","",'Employee Detail FY27'!J18)</f>
        <v>JENNIFER</v>
      </c>
      <c r="K18" s="255" t="str">
        <f>IF('Employee Detail FY27'!K18="","",'Employee Detail FY27'!K18)</f>
        <v>Licensed Staff</v>
      </c>
      <c r="L18" s="255" t="str">
        <f>IF('Employee Detail FY27'!L18="","",'Employee Detail FY27'!L18)</f>
        <v>TEACHER</v>
      </c>
      <c r="M18" s="92">
        <f>IF('Employee Detail FY27'!M18="","",'Employee Detail FY27'!M18)</f>
        <v>1</v>
      </c>
      <c r="N18" s="3" t="str">
        <f>IF('Employee Detail FY27'!N18="","",'Employee Detail FY27'!N18)</f>
        <v/>
      </c>
      <c r="O18" s="3">
        <f>IF('Employee Detail FY27'!O18="","",'Employee Detail FY27'!O18)</f>
        <v>26</v>
      </c>
      <c r="P18" s="3" t="str">
        <f>IF('Employee Detail FY27'!P18="","",'Employee Detail FY27'!P18)</f>
        <v>ER</v>
      </c>
      <c r="Q18" s="3" t="str">
        <f>IF('Employee Detail FY27'!Q18="","",'Employee Detail FY27'!Q18)</f>
        <v/>
      </c>
      <c r="R18" s="3">
        <f>IF('Employee Detail FY27'!R18="","",'Employee Detail FY27'!R18)</f>
        <v>200</v>
      </c>
      <c r="S18" s="3">
        <f>IF('Employee Detail FY27'!S18="","",'Employee Detail FY27'!S18)</f>
        <v>8</v>
      </c>
      <c r="T18" s="263">
        <f t="shared" si="6"/>
        <v>1600</v>
      </c>
      <c r="U18" s="269">
        <f>IF('Employee Detail FY27'!U18="","",'Employee Detail FY27'!U18)</f>
        <v>55000</v>
      </c>
      <c r="V18" s="270">
        <f t="shared" si="7"/>
        <v>64900</v>
      </c>
      <c r="W18" s="270" t="str">
        <f t="shared" si="8"/>
        <v/>
      </c>
      <c r="X18" s="270">
        <f t="shared" si="9"/>
        <v>64900</v>
      </c>
      <c r="Y18" s="62">
        <v>0</v>
      </c>
      <c r="Z18" s="62">
        <v>0</v>
      </c>
      <c r="AA18" s="256">
        <f t="shared" si="10"/>
        <v>64900</v>
      </c>
      <c r="AB18" s="3"/>
      <c r="AC18" s="62">
        <f t="shared" si="11"/>
        <v>7943.76</v>
      </c>
      <c r="AD18" s="62" t="str">
        <f t="shared" si="12"/>
        <v/>
      </c>
      <c r="AE18" s="62">
        <f t="shared" si="13"/>
        <v>18983.25</v>
      </c>
      <c r="AF18" s="62">
        <f t="shared" si="14"/>
        <v>941.05000000000007</v>
      </c>
      <c r="AG18" s="192">
        <v>0</v>
      </c>
      <c r="AH18" s="62">
        <f t="shared" si="15"/>
        <v>590.74161333861923</v>
      </c>
      <c r="AI18" s="62">
        <f t="shared" si="16"/>
        <v>191.14339625725455</v>
      </c>
      <c r="AJ18" s="62"/>
      <c r="AK18" s="62">
        <v>0</v>
      </c>
      <c r="AL18" s="256">
        <f t="shared" si="17"/>
        <v>28649.945009595875</v>
      </c>
      <c r="AM18" s="256">
        <f t="shared" si="18"/>
        <v>64900</v>
      </c>
      <c r="AN18" s="256">
        <f t="shared" si="19"/>
        <v>93549.945009595875</v>
      </c>
    </row>
    <row r="19" spans="1:40" x14ac:dyDescent="0.2">
      <c r="A19" s="3" t="str">
        <f>IF('Employee Detail FY27'!A19="","",'Employee Detail FY27'!A19)</f>
        <v/>
      </c>
      <c r="B19" s="3">
        <f>IF('Employee Detail FY27'!B19="","",'Employee Detail FY27'!B19)</f>
        <v>100</v>
      </c>
      <c r="C19" s="3" t="str">
        <f>IF('Employee Detail FY27'!C19="","",'Employee Detail FY27'!C19)</f>
        <v>000</v>
      </c>
      <c r="D19" s="3"/>
      <c r="E19" s="3">
        <f>IF('Employee Detail FY27'!E19="","",'Employee Detail FY27'!E19)</f>
        <v>100</v>
      </c>
      <c r="F19" s="3">
        <f>IF('Employee Detail FY27'!F19="","",'Employee Detail FY27'!F19)</f>
        <v>1000</v>
      </c>
      <c r="G19" s="3" t="str">
        <f>IF('Employee Detail FY27'!G19="","",'Employee Detail FY27'!G19)</f>
        <v>0101</v>
      </c>
      <c r="H19" s="3"/>
      <c r="I19" s="255" t="str">
        <f>IF('Employee Detail FY27'!I19="","",'Employee Detail FY27'!I19)</f>
        <v>SEVERIN</v>
      </c>
      <c r="J19" s="255" t="str">
        <f>IF('Employee Detail FY27'!J19="","",'Employee Detail FY27'!J19)</f>
        <v>RYAN</v>
      </c>
      <c r="K19" s="255" t="str">
        <f>IF('Employee Detail FY27'!K19="","",'Employee Detail FY27'!K19)</f>
        <v>Licensed Staff</v>
      </c>
      <c r="L19" s="255" t="str">
        <f>IF('Employee Detail FY27'!L19="","",'Employee Detail FY27'!L19)</f>
        <v>TEACHER</v>
      </c>
      <c r="M19" s="92">
        <f>IF('Employee Detail FY27'!M19="","",'Employee Detail FY27'!M19)</f>
        <v>1</v>
      </c>
      <c r="N19" s="3" t="str">
        <f>IF('Employee Detail FY27'!N19="","",'Employee Detail FY27'!N19)</f>
        <v/>
      </c>
      <c r="O19" s="3">
        <f>IF('Employee Detail FY27'!O19="","",'Employee Detail FY27'!O19)</f>
        <v>26</v>
      </c>
      <c r="P19" s="3" t="str">
        <f>IF('Employee Detail FY27'!P19="","",'Employee Detail FY27'!P19)</f>
        <v>ER</v>
      </c>
      <c r="Q19" s="3" t="str">
        <f>IF('Employee Detail FY27'!Q19="","",'Employee Detail FY27'!Q19)</f>
        <v/>
      </c>
      <c r="R19" s="3">
        <f>IF('Employee Detail FY27'!R19="","",'Employee Detail FY27'!R19)</f>
        <v>200</v>
      </c>
      <c r="S19" s="3">
        <f>IF('Employee Detail FY27'!S19="","",'Employee Detail FY27'!S19)</f>
        <v>8</v>
      </c>
      <c r="T19" s="263">
        <f t="shared" si="6"/>
        <v>1600</v>
      </c>
      <c r="U19" s="269">
        <f>IF('Employee Detail FY27'!U19="","",'Employee Detail FY27'!U19)</f>
        <v>52840</v>
      </c>
      <c r="V19" s="270">
        <f t="shared" si="7"/>
        <v>62351.199999999997</v>
      </c>
      <c r="W19" s="270" t="str">
        <f t="shared" si="8"/>
        <v/>
      </c>
      <c r="X19" s="270">
        <f t="shared" si="9"/>
        <v>62351.199999999997</v>
      </c>
      <c r="Y19" s="62">
        <v>0</v>
      </c>
      <c r="Z19" s="62">
        <v>0</v>
      </c>
      <c r="AA19" s="256">
        <f t="shared" si="10"/>
        <v>62351.199999999997</v>
      </c>
      <c r="AB19" s="3"/>
      <c r="AC19" s="62">
        <f t="shared" si="11"/>
        <v>7943.76</v>
      </c>
      <c r="AD19" s="62" t="str">
        <f t="shared" si="12"/>
        <v/>
      </c>
      <c r="AE19" s="62">
        <f t="shared" si="13"/>
        <v>18237.725999999999</v>
      </c>
      <c r="AF19" s="62">
        <f t="shared" si="14"/>
        <v>904.0924</v>
      </c>
      <c r="AG19" s="192">
        <v>0</v>
      </c>
      <c r="AH19" s="62">
        <f t="shared" si="15"/>
        <v>567.54157906932073</v>
      </c>
      <c r="AI19" s="62">
        <f t="shared" si="16"/>
        <v>183.63667378606056</v>
      </c>
      <c r="AJ19" s="62"/>
      <c r="AK19" s="62">
        <v>0</v>
      </c>
      <c r="AL19" s="256">
        <f t="shared" si="17"/>
        <v>27836.75665285538</v>
      </c>
      <c r="AM19" s="256">
        <f t="shared" si="18"/>
        <v>62351.199999999997</v>
      </c>
      <c r="AN19" s="256">
        <f t="shared" si="19"/>
        <v>90187.956652855384</v>
      </c>
    </row>
    <row r="20" spans="1:40" x14ac:dyDescent="0.2">
      <c r="A20" s="3" t="str">
        <f>IF('Employee Detail FY27'!A20="","",'Employee Detail FY27'!A20)</f>
        <v>VACANT</v>
      </c>
      <c r="B20" s="3">
        <f>IF('Employee Detail FY27'!B20="","",'Employee Detail FY27'!B20)</f>
        <v>100</v>
      </c>
      <c r="C20" s="3" t="str">
        <f>IF('Employee Detail FY27'!C20="","",'Employee Detail FY27'!C20)</f>
        <v>000</v>
      </c>
      <c r="D20" s="3"/>
      <c r="E20" s="3">
        <f>IF('Employee Detail FY27'!E20="","",'Employee Detail FY27'!E20)</f>
        <v>100</v>
      </c>
      <c r="F20" s="3">
        <f>IF('Employee Detail FY27'!F20="","",'Employee Detail FY27'!F20)</f>
        <v>1000</v>
      </c>
      <c r="G20" s="3" t="str">
        <f>IF('Employee Detail FY27'!G20="","",'Employee Detail FY27'!G20)</f>
        <v>0101</v>
      </c>
      <c r="H20" s="3"/>
      <c r="I20" s="255" t="str">
        <f>IF('Employee Detail FY27'!I20="","",'Employee Detail FY27'!I20)</f>
        <v>VACANT</v>
      </c>
      <c r="J20" s="255" t="str">
        <f>IF('Employee Detail FY27'!J20="","",'Employee Detail FY27'!J20)</f>
        <v>TBD</v>
      </c>
      <c r="K20" s="255" t="str">
        <f>IF('Employee Detail FY27'!K20="","",'Employee Detail FY27'!K20)</f>
        <v>Licensed Staff</v>
      </c>
      <c r="L20" s="255" t="str">
        <f>IF('Employee Detail FY27'!L20="","",'Employee Detail FY27'!L20)</f>
        <v>SOCIAL STUDIES TEACHER</v>
      </c>
      <c r="M20" s="92">
        <f>IF('Employee Detail FY27'!M20="","",'Employee Detail FY27'!M20)</f>
        <v>1</v>
      </c>
      <c r="N20" s="3" t="str">
        <f>IF('Employee Detail FY27'!N20="","",'Employee Detail FY27'!N20)</f>
        <v/>
      </c>
      <c r="O20" s="3">
        <f>IF('Employee Detail FY27'!O20="","",'Employee Detail FY27'!O20)</f>
        <v>26</v>
      </c>
      <c r="P20" s="3" t="str">
        <f>IF('Employee Detail FY27'!P20="","",'Employee Detail FY27'!P20)</f>
        <v>ER</v>
      </c>
      <c r="Q20" s="3" t="str">
        <f>IF('Employee Detail FY27'!Q20="","",'Employee Detail FY27'!Q20)</f>
        <v/>
      </c>
      <c r="R20" s="3">
        <f>IF('Employee Detail FY27'!R20="","",'Employee Detail FY27'!R20)</f>
        <v>200</v>
      </c>
      <c r="S20" s="3">
        <f>IF('Employee Detail FY27'!S20="","",'Employee Detail FY27'!S20)</f>
        <v>8</v>
      </c>
      <c r="T20" s="263">
        <f t="shared" si="6"/>
        <v>1600</v>
      </c>
      <c r="U20" s="269">
        <f>IF('Employee Detail FY27'!U20="","",'Employee Detail FY27'!U20)</f>
        <v>45500</v>
      </c>
      <c r="V20" s="270">
        <f t="shared" si="7"/>
        <v>53690</v>
      </c>
      <c r="W20" s="270" t="str">
        <f t="shared" si="8"/>
        <v/>
      </c>
      <c r="X20" s="270">
        <f t="shared" si="9"/>
        <v>53690</v>
      </c>
      <c r="Y20" s="62">
        <v>0</v>
      </c>
      <c r="Z20" s="62">
        <v>0</v>
      </c>
      <c r="AA20" s="256">
        <f t="shared" si="10"/>
        <v>53690</v>
      </c>
      <c r="AB20" s="3"/>
      <c r="AC20" s="62">
        <f t="shared" si="11"/>
        <v>7943.76</v>
      </c>
      <c r="AD20" s="62" t="str">
        <f t="shared" si="12"/>
        <v/>
      </c>
      <c r="AE20" s="62">
        <f t="shared" si="13"/>
        <v>15704.324999999999</v>
      </c>
      <c r="AF20" s="62">
        <f t="shared" si="14"/>
        <v>778.505</v>
      </c>
      <c r="AG20" s="192">
        <v>0</v>
      </c>
      <c r="AH20" s="62">
        <f t="shared" si="15"/>
        <v>488.70442558013048</v>
      </c>
      <c r="AI20" s="62">
        <f t="shared" si="16"/>
        <v>158.12771872191058</v>
      </c>
      <c r="AJ20" s="62"/>
      <c r="AK20" s="62">
        <v>0</v>
      </c>
      <c r="AL20" s="256">
        <f t="shared" si="17"/>
        <v>25073.42214430204</v>
      </c>
      <c r="AM20" s="256">
        <f t="shared" si="18"/>
        <v>53690</v>
      </c>
      <c r="AN20" s="256">
        <f t="shared" si="19"/>
        <v>78763.422144302036</v>
      </c>
    </row>
    <row r="21" spans="1:40" x14ac:dyDescent="0.2">
      <c r="A21" s="3" t="str">
        <f>IF('Employee Detail FY27'!A21="","",'Employee Detail FY27'!A21)</f>
        <v/>
      </c>
      <c r="B21" s="3" t="str">
        <f>IF('Employee Detail FY27'!B21="","",'Employee Detail FY27'!B21)</f>
        <v/>
      </c>
      <c r="C21" s="3" t="str">
        <f>IF('Employee Detail FY27'!C21="","",'Employee Detail FY27'!C21)</f>
        <v/>
      </c>
      <c r="D21" s="3"/>
      <c r="E21" s="3" t="str">
        <f>IF('Employee Detail FY27'!E21="","",'Employee Detail FY27'!E21)</f>
        <v/>
      </c>
      <c r="F21" s="3" t="str">
        <f>IF('Employee Detail FY27'!F21="","",'Employee Detail FY27'!F21)</f>
        <v/>
      </c>
      <c r="G21" s="3" t="str">
        <f>IF('Employee Detail FY27'!G21="","",'Employee Detail FY27'!G21)</f>
        <v/>
      </c>
      <c r="H21" s="3"/>
      <c r="I21" s="255" t="str">
        <f>IF('Employee Detail FY27'!I21="","",'Employee Detail FY27'!I21)</f>
        <v/>
      </c>
      <c r="J21" s="255" t="str">
        <f>IF('Employee Detail FY27'!J21="","",'Employee Detail FY27'!J21)</f>
        <v/>
      </c>
      <c r="K21" s="255" t="str">
        <f>IF('Employee Detail FY27'!K21="","",'Employee Detail FY27'!K21)</f>
        <v/>
      </c>
      <c r="L21" s="255" t="str">
        <f>IF('Employee Detail FY27'!L21="","",'Employee Detail FY27'!L21)</f>
        <v/>
      </c>
      <c r="M21" s="92" t="str">
        <f>IF('Employee Detail FY27'!M21="","",'Employee Detail FY27'!M21)</f>
        <v/>
      </c>
      <c r="N21" s="3" t="str">
        <f>IF('Employee Detail FY27'!N21="","",'Employee Detail FY27'!N21)</f>
        <v/>
      </c>
      <c r="O21" s="3" t="str">
        <f>IF('Employee Detail FY27'!O21="","",'Employee Detail FY27'!O21)</f>
        <v/>
      </c>
      <c r="P21" s="3" t="str">
        <f>IF('Employee Detail FY27'!P21="","",'Employee Detail FY27'!P21)</f>
        <v/>
      </c>
      <c r="Q21" s="3" t="str">
        <f>IF('Employee Detail FY27'!Q21="","",'Employee Detail FY27'!Q21)</f>
        <v/>
      </c>
      <c r="R21" s="3" t="str">
        <f>IF('Employee Detail FY27'!R21="","",'Employee Detail FY27'!R21)</f>
        <v/>
      </c>
      <c r="S21" s="3" t="str">
        <f>IF('Employee Detail FY27'!S21="","",'Employee Detail FY27'!S21)</f>
        <v/>
      </c>
      <c r="T21" s="263" t="str">
        <f t="shared" si="6"/>
        <v/>
      </c>
      <c r="U21" s="269">
        <f>IF('Employee Detail FY27'!U21="","",'Employee Detail FY27'!U21)</f>
        <v>45000</v>
      </c>
      <c r="V21" s="270">
        <f t="shared" si="7"/>
        <v>53100</v>
      </c>
      <c r="W21" s="270" t="str">
        <f t="shared" si="8"/>
        <v/>
      </c>
      <c r="X21" s="270" t="str">
        <f t="shared" si="9"/>
        <v/>
      </c>
      <c r="Y21" s="62">
        <v>0</v>
      </c>
      <c r="Z21" s="62">
        <v>0</v>
      </c>
      <c r="AA21" s="256">
        <f t="shared" si="10"/>
        <v>0</v>
      </c>
      <c r="AB21" s="3"/>
      <c r="AC21" s="62" t="str">
        <f t="shared" si="11"/>
        <v/>
      </c>
      <c r="AD21" s="62" t="str">
        <f t="shared" si="12"/>
        <v/>
      </c>
      <c r="AE21" s="62" t="str">
        <f t="shared" si="13"/>
        <v/>
      </c>
      <c r="AF21" s="62" t="str">
        <f t="shared" si="14"/>
        <v/>
      </c>
      <c r="AG21" s="192">
        <v>0</v>
      </c>
      <c r="AH21" s="62" t="str">
        <f t="shared" si="15"/>
        <v/>
      </c>
      <c r="AI21" s="62">
        <f t="shared" si="16"/>
        <v>0</v>
      </c>
      <c r="AJ21" s="62"/>
      <c r="AK21" s="62">
        <v>0</v>
      </c>
      <c r="AL21" s="256">
        <f t="shared" si="17"/>
        <v>0</v>
      </c>
      <c r="AM21" s="256">
        <f t="shared" si="18"/>
        <v>0</v>
      </c>
      <c r="AN21" s="256">
        <f t="shared" si="19"/>
        <v>0</v>
      </c>
    </row>
    <row r="22" spans="1:40" x14ac:dyDescent="0.2">
      <c r="A22" s="3" t="str">
        <f>IF('Employee Detail FY27'!A22="","",'Employee Detail FY27'!A22)</f>
        <v/>
      </c>
      <c r="B22" s="3">
        <f>IF('Employee Detail FY27'!B22="","",'Employee Detail FY27'!B22)</f>
        <v>250</v>
      </c>
      <c r="C22" s="3" t="str">
        <f>IF('Employee Detail FY27'!C22="","",'Employee Detail FY27'!C22)</f>
        <v>000</v>
      </c>
      <c r="D22" s="3"/>
      <c r="E22" s="3">
        <f>IF('Employee Detail FY27'!E22="","",'Employee Detail FY27'!E22)</f>
        <v>200</v>
      </c>
      <c r="F22" s="3">
        <f>IF('Employee Detail FY27'!F22="","",'Employee Detail FY27'!F22)</f>
        <v>1000</v>
      </c>
      <c r="G22" s="3" t="str">
        <f>IF('Employee Detail FY27'!G22="","",'Employee Detail FY27'!G22)</f>
        <v>0101</v>
      </c>
      <c r="H22" s="3"/>
      <c r="I22" s="255" t="str">
        <f>IF('Employee Detail FY27'!I22="","",'Employee Detail FY27'!I22)</f>
        <v>CRAWFORD</v>
      </c>
      <c r="J22" s="255" t="str">
        <f>IF('Employee Detail FY27'!J22="","",'Employee Detail FY27'!J22)</f>
        <v>TONY</v>
      </c>
      <c r="K22" s="255" t="str">
        <f>IF('Employee Detail FY27'!K22="","",'Employee Detail FY27'!K22)</f>
        <v>Licensed Staff</v>
      </c>
      <c r="L22" s="255" t="str">
        <f>IF('Employee Detail FY27'!L22="","",'Employee Detail FY27'!L22)</f>
        <v>SPED TEACHER</v>
      </c>
      <c r="M22" s="92">
        <f>IF('Employee Detail FY27'!M22="","",'Employee Detail FY27'!M22)</f>
        <v>1</v>
      </c>
      <c r="N22" s="3" t="str">
        <f>IF('Employee Detail FY27'!N22="","",'Employee Detail FY27'!N22)</f>
        <v/>
      </c>
      <c r="O22" s="3">
        <f>IF('Employee Detail FY27'!O22="","",'Employee Detail FY27'!O22)</f>
        <v>26</v>
      </c>
      <c r="P22" s="3" t="str">
        <f>IF('Employee Detail FY27'!P22="","",'Employee Detail FY27'!P22)</f>
        <v>ER</v>
      </c>
      <c r="Q22" s="3" t="str">
        <f>IF('Employee Detail FY27'!Q22="","",'Employee Detail FY27'!Q22)</f>
        <v/>
      </c>
      <c r="R22" s="3">
        <f>IF('Employee Detail FY27'!R22="","",'Employee Detail FY27'!R22)</f>
        <v>200</v>
      </c>
      <c r="S22" s="3">
        <f>IF('Employee Detail FY27'!S22="","",'Employee Detail FY27'!S22)</f>
        <v>8</v>
      </c>
      <c r="T22" s="263">
        <f t="shared" si="6"/>
        <v>1600</v>
      </c>
      <c r="U22" s="269">
        <f>IF('Employee Detail FY27'!U22="","",'Employee Detail FY27'!U22)</f>
        <v>55000</v>
      </c>
      <c r="V22" s="270">
        <f t="shared" si="7"/>
        <v>64900</v>
      </c>
      <c r="W22" s="270" t="str">
        <f t="shared" si="8"/>
        <v/>
      </c>
      <c r="X22" s="270">
        <f t="shared" si="9"/>
        <v>64900</v>
      </c>
      <c r="Y22" s="62">
        <v>0</v>
      </c>
      <c r="Z22" s="62">
        <v>0</v>
      </c>
      <c r="AA22" s="256">
        <f t="shared" si="10"/>
        <v>64900</v>
      </c>
      <c r="AB22" s="3"/>
      <c r="AC22" s="62">
        <f t="shared" si="11"/>
        <v>7943.76</v>
      </c>
      <c r="AD22" s="62" t="str">
        <f t="shared" si="12"/>
        <v/>
      </c>
      <c r="AE22" s="62">
        <f t="shared" si="13"/>
        <v>18983.25</v>
      </c>
      <c r="AF22" s="62">
        <f t="shared" si="14"/>
        <v>941.05000000000007</v>
      </c>
      <c r="AG22" s="192">
        <v>0</v>
      </c>
      <c r="AH22" s="62">
        <f t="shared" si="15"/>
        <v>590.74161333861923</v>
      </c>
      <c r="AI22" s="62">
        <f t="shared" si="16"/>
        <v>191.14339625725455</v>
      </c>
      <c r="AJ22" s="62"/>
      <c r="AK22" s="62">
        <v>0</v>
      </c>
      <c r="AL22" s="256">
        <f t="shared" si="17"/>
        <v>28649.945009595875</v>
      </c>
      <c r="AM22" s="256">
        <f t="shared" si="18"/>
        <v>64900</v>
      </c>
      <c r="AN22" s="256">
        <f t="shared" si="19"/>
        <v>93549.945009595875</v>
      </c>
    </row>
    <row r="23" spans="1:40" x14ac:dyDescent="0.2">
      <c r="A23" s="3" t="str">
        <f>IF('Employee Detail FY27'!A23="","",'Employee Detail FY27'!A23)</f>
        <v/>
      </c>
      <c r="B23" s="3">
        <f>IF('Employee Detail FY27'!B23="","",'Employee Detail FY27'!B23)</f>
        <v>250</v>
      </c>
      <c r="C23" s="3" t="str">
        <f>IF('Employee Detail FY27'!C23="","",'Employee Detail FY27'!C23)</f>
        <v>000</v>
      </c>
      <c r="D23" s="3"/>
      <c r="E23" s="3">
        <f>IF('Employee Detail FY27'!E23="","",'Employee Detail FY27'!E23)</f>
        <v>200</v>
      </c>
      <c r="F23" s="3">
        <f>IF('Employee Detail FY27'!F23="","",'Employee Detail FY27'!F23)</f>
        <v>1000</v>
      </c>
      <c r="G23" s="3" t="str">
        <f>IF('Employee Detail FY27'!G23="","",'Employee Detail FY27'!G23)</f>
        <v>0101</v>
      </c>
      <c r="H23" s="3"/>
      <c r="I23" s="255" t="str">
        <f>IF('Employee Detail FY27'!I23="","",'Employee Detail FY27'!I23)</f>
        <v>SPED TEACHER</v>
      </c>
      <c r="J23" s="255" t="str">
        <f>IF('Employee Detail FY27'!J23="","",'Employee Detail FY27'!J23)</f>
        <v>FY23</v>
      </c>
      <c r="K23" s="255" t="str">
        <f>IF('Employee Detail FY27'!K23="","",'Employee Detail FY27'!K23)</f>
        <v>Licensed Staff</v>
      </c>
      <c r="L23" s="255" t="str">
        <f>IF('Employee Detail FY27'!L23="","",'Employee Detail FY27'!L23)</f>
        <v>SPED TEACHER</v>
      </c>
      <c r="M23" s="92">
        <f>IF('Employee Detail FY27'!M23="","",'Employee Detail FY27'!M23)</f>
        <v>1</v>
      </c>
      <c r="N23" s="3" t="str">
        <f>IF('Employee Detail FY27'!N23="","",'Employee Detail FY27'!N23)</f>
        <v/>
      </c>
      <c r="O23" s="3" t="str">
        <f>IF('Employee Detail FY27'!O23="","",'Employee Detail FY27'!O23)</f>
        <v/>
      </c>
      <c r="P23" s="3" t="str">
        <f>IF('Employee Detail FY27'!P23="","",'Employee Detail FY27'!P23)</f>
        <v>ER</v>
      </c>
      <c r="Q23" s="3" t="str">
        <f>IF('Employee Detail FY27'!Q23="","",'Employee Detail FY27'!Q23)</f>
        <v/>
      </c>
      <c r="R23" s="3" t="str">
        <f>IF('Employee Detail FY27'!R23="","",'Employee Detail FY27'!R23)</f>
        <v/>
      </c>
      <c r="S23" s="3" t="str">
        <f>IF('Employee Detail FY27'!S23="","",'Employee Detail FY27'!S23)</f>
        <v/>
      </c>
      <c r="T23" s="263" t="str">
        <f t="shared" si="6"/>
        <v/>
      </c>
      <c r="U23" s="269">
        <f>IF('Employee Detail FY27'!U23="","",'Employee Detail FY27'!U23)</f>
        <v>45000</v>
      </c>
      <c r="V23" s="270">
        <f t="shared" si="7"/>
        <v>53100</v>
      </c>
      <c r="W23" s="270" t="str">
        <f t="shared" si="8"/>
        <v/>
      </c>
      <c r="X23" s="270">
        <f t="shared" si="9"/>
        <v>53100</v>
      </c>
      <c r="Y23" s="62">
        <v>0</v>
      </c>
      <c r="Z23" s="62">
        <v>0</v>
      </c>
      <c r="AA23" s="256">
        <f t="shared" si="10"/>
        <v>53100</v>
      </c>
      <c r="AB23" s="3"/>
      <c r="AC23" s="62">
        <f t="shared" si="11"/>
        <v>7943.76</v>
      </c>
      <c r="AD23" s="62" t="str">
        <f t="shared" si="12"/>
        <v/>
      </c>
      <c r="AE23" s="62">
        <f t="shared" si="13"/>
        <v>15531.749999999998</v>
      </c>
      <c r="AF23" s="62">
        <f t="shared" si="14"/>
        <v>769.95</v>
      </c>
      <c r="AG23" s="192">
        <v>0</v>
      </c>
      <c r="AH23" s="62">
        <f t="shared" si="15"/>
        <v>483.33404727705209</v>
      </c>
      <c r="AI23" s="62">
        <f t="shared" si="16"/>
        <v>156.39005148320828</v>
      </c>
      <c r="AJ23" s="62"/>
      <c r="AK23" s="62">
        <v>0</v>
      </c>
      <c r="AL23" s="256">
        <f t="shared" si="17"/>
        <v>24885.184098760259</v>
      </c>
      <c r="AM23" s="256">
        <f t="shared" si="18"/>
        <v>53100</v>
      </c>
      <c r="AN23" s="256">
        <f t="shared" si="19"/>
        <v>77985.184098760263</v>
      </c>
    </row>
    <row r="24" spans="1:40" x14ac:dyDescent="0.2">
      <c r="A24" s="3" t="str">
        <f>IF('Employee Detail FY27'!A24="","",'Employee Detail FY27'!A24)</f>
        <v>SPED IDEA</v>
      </c>
      <c r="B24" s="3" t="str">
        <f>IF('Employee Detail FY27'!B24="","",'Employee Detail FY27'!B24)</f>
        <v>280</v>
      </c>
      <c r="C24" s="3" t="str">
        <f>IF('Employee Detail FY27'!C24="","",'Employee Detail FY27'!C24)</f>
        <v>639</v>
      </c>
      <c r="D24" s="3"/>
      <c r="E24" s="3">
        <f>IF('Employee Detail FY27'!E24="","",'Employee Detail FY27'!E24)</f>
        <v>200</v>
      </c>
      <c r="F24" s="3">
        <f>IF('Employee Detail FY27'!F24="","",'Employee Detail FY27'!F24)</f>
        <v>1000</v>
      </c>
      <c r="G24" s="3" t="str">
        <f>IF('Employee Detail FY27'!G24="","",'Employee Detail FY27'!G24)</f>
        <v>0101</v>
      </c>
      <c r="H24" s="3"/>
      <c r="I24" s="255" t="str">
        <f>IF('Employee Detail FY27'!I24="","",'Employee Detail FY27'!I24)</f>
        <v>JOHNSON</v>
      </c>
      <c r="J24" s="255" t="str">
        <f>IF('Employee Detail FY27'!J24="","",'Employee Detail FY27'!J24)</f>
        <v>KEVIN</v>
      </c>
      <c r="K24" s="255" t="str">
        <f>IF('Employee Detail FY27'!K24="","",'Employee Detail FY27'!K24)</f>
        <v>Licensed Staff</v>
      </c>
      <c r="L24" s="255" t="str">
        <f>IF('Employee Detail FY27'!L24="","",'Employee Detail FY27'!L24)</f>
        <v>SPED TEACHER</v>
      </c>
      <c r="M24" s="92">
        <f>IF('Employee Detail FY27'!M24="","",'Employee Detail FY27'!M24)</f>
        <v>1</v>
      </c>
      <c r="N24" s="3" t="str">
        <f>IF('Employee Detail FY27'!N24="","",'Employee Detail FY27'!N24)</f>
        <v/>
      </c>
      <c r="O24" s="3">
        <f>IF('Employee Detail FY27'!O24="","",'Employee Detail FY27'!O24)</f>
        <v>26</v>
      </c>
      <c r="P24" s="3" t="str">
        <f>IF('Employee Detail FY27'!P24="","",'Employee Detail FY27'!P24)</f>
        <v>ER</v>
      </c>
      <c r="Q24" s="3" t="str">
        <f>IF('Employee Detail FY27'!Q24="","",'Employee Detail FY27'!Q24)</f>
        <v/>
      </c>
      <c r="R24" s="3">
        <f>IF('Employee Detail FY27'!R24="","",'Employee Detail FY27'!R24)</f>
        <v>200</v>
      </c>
      <c r="S24" s="3">
        <f>IF('Employee Detail FY27'!S24="","",'Employee Detail FY27'!S24)</f>
        <v>8</v>
      </c>
      <c r="T24" s="263">
        <f t="shared" si="6"/>
        <v>1600</v>
      </c>
      <c r="U24" s="269">
        <f>IF('Employee Detail FY27'!U24="","",'Employee Detail FY27'!U24)</f>
        <v>49792</v>
      </c>
      <c r="V24" s="270">
        <f t="shared" si="7"/>
        <v>58754.559999999998</v>
      </c>
      <c r="W24" s="270" t="str">
        <f t="shared" si="8"/>
        <v/>
      </c>
      <c r="X24" s="270">
        <f t="shared" si="9"/>
        <v>58754.559999999998</v>
      </c>
      <c r="Y24" s="62">
        <v>0</v>
      </c>
      <c r="Z24" s="62">
        <v>0</v>
      </c>
      <c r="AA24" s="256">
        <f t="shared" si="10"/>
        <v>58754.559999999998</v>
      </c>
      <c r="AB24" s="3"/>
      <c r="AC24" s="62">
        <f t="shared" si="11"/>
        <v>7943.76</v>
      </c>
      <c r="AD24" s="62" t="str">
        <f t="shared" si="12"/>
        <v/>
      </c>
      <c r="AE24" s="62">
        <f t="shared" si="13"/>
        <v>17185.708799999997</v>
      </c>
      <c r="AF24" s="62">
        <f t="shared" si="14"/>
        <v>851.94111999999996</v>
      </c>
      <c r="AG24" s="192">
        <v>0</v>
      </c>
      <c r="AH24" s="62">
        <f t="shared" si="15"/>
        <v>534.80375293375505</v>
      </c>
      <c r="AI24" s="62">
        <f t="shared" si="16"/>
        <v>173.04385429893125</v>
      </c>
      <c r="AJ24" s="62"/>
      <c r="AK24" s="62">
        <v>0</v>
      </c>
      <c r="AL24" s="256">
        <f t="shared" si="17"/>
        <v>26689.257527232683</v>
      </c>
      <c r="AM24" s="256">
        <f t="shared" si="18"/>
        <v>58754.559999999998</v>
      </c>
      <c r="AN24" s="256">
        <f t="shared" si="19"/>
        <v>85443.817527232677</v>
      </c>
    </row>
    <row r="25" spans="1:40" x14ac:dyDescent="0.2">
      <c r="A25" s="3" t="str">
        <f>IF('Employee Detail FY27'!A25="","",'Employee Detail FY27'!A25)</f>
        <v>SPED IDEA</v>
      </c>
      <c r="B25" s="3" t="str">
        <f>IF('Employee Detail FY27'!B25="","",'Employee Detail FY27'!B25)</f>
        <v>280</v>
      </c>
      <c r="C25" s="3" t="str">
        <f>IF('Employee Detail FY27'!C25="","",'Employee Detail FY27'!C25)</f>
        <v>639</v>
      </c>
      <c r="D25" s="3"/>
      <c r="E25" s="3">
        <f>IF('Employee Detail FY27'!E25="","",'Employee Detail FY27'!E25)</f>
        <v>200</v>
      </c>
      <c r="F25" s="3">
        <f>IF('Employee Detail FY27'!F25="","",'Employee Detail FY27'!F25)</f>
        <v>1000</v>
      </c>
      <c r="G25" s="3" t="str">
        <f>IF('Employee Detail FY27'!G25="","",'Employee Detail FY27'!G25)</f>
        <v>0101</v>
      </c>
      <c r="H25" s="3"/>
      <c r="I25" s="255" t="str">
        <f>IF('Employee Detail FY27'!I25="","",'Employee Detail FY27'!I25)</f>
        <v>MINER-JAMES</v>
      </c>
      <c r="J25" s="255" t="str">
        <f>IF('Employee Detail FY27'!J25="","",'Employee Detail FY27'!J25)</f>
        <v>Diane</v>
      </c>
      <c r="K25" s="255" t="str">
        <f>IF('Employee Detail FY27'!K25="","",'Employee Detail FY27'!K25)</f>
        <v>Licensed Staff</v>
      </c>
      <c r="L25" s="255" t="str">
        <f>IF('Employee Detail FY27'!L25="","",'Employee Detail FY27'!L25)</f>
        <v>SPED TEACHER</v>
      </c>
      <c r="M25" s="92">
        <f>IF('Employee Detail FY27'!M25="","",'Employee Detail FY27'!M25)</f>
        <v>1</v>
      </c>
      <c r="N25" s="3" t="str">
        <f>IF('Employee Detail FY27'!N25="","",'Employee Detail FY27'!N25)</f>
        <v/>
      </c>
      <c r="O25" s="3">
        <f>IF('Employee Detail FY27'!O25="","",'Employee Detail FY27'!O25)</f>
        <v>26</v>
      </c>
      <c r="P25" s="3" t="str">
        <f>IF('Employee Detail FY27'!P25="","",'Employee Detail FY27'!P25)</f>
        <v>ER</v>
      </c>
      <c r="Q25" s="3" t="str">
        <f>IF('Employee Detail FY27'!Q25="","",'Employee Detail FY27'!Q25)</f>
        <v/>
      </c>
      <c r="R25" s="3">
        <f>IF('Employee Detail FY27'!R25="","",'Employee Detail FY27'!R25)</f>
        <v>200</v>
      </c>
      <c r="S25" s="3">
        <f>IF('Employee Detail FY27'!S25="","",'Employee Detail FY27'!S25)</f>
        <v>8</v>
      </c>
      <c r="T25" s="263">
        <f t="shared" si="6"/>
        <v>1600</v>
      </c>
      <c r="U25" s="269">
        <f>IF('Employee Detail FY27'!U25="","",'Employee Detail FY27'!U25)</f>
        <v>58339</v>
      </c>
      <c r="V25" s="270">
        <f t="shared" si="7"/>
        <v>68840.01999999999</v>
      </c>
      <c r="W25" s="270" t="str">
        <f t="shared" si="8"/>
        <v/>
      </c>
      <c r="X25" s="270">
        <f t="shared" si="9"/>
        <v>68840.01999999999</v>
      </c>
      <c r="Y25" s="62">
        <v>0</v>
      </c>
      <c r="Z25" s="62">
        <v>0</v>
      </c>
      <c r="AA25" s="256">
        <f t="shared" si="10"/>
        <v>68840.01999999999</v>
      </c>
      <c r="AB25" s="3"/>
      <c r="AC25" s="62">
        <f t="shared" si="11"/>
        <v>7943.76</v>
      </c>
      <c r="AD25" s="62" t="str">
        <f t="shared" si="12"/>
        <v/>
      </c>
      <c r="AE25" s="62">
        <f t="shared" si="13"/>
        <v>20135.705849999995</v>
      </c>
      <c r="AF25" s="62">
        <f t="shared" si="14"/>
        <v>998.1802899999999</v>
      </c>
      <c r="AG25" s="192">
        <v>0</v>
      </c>
      <c r="AH25" s="62">
        <f t="shared" si="15"/>
        <v>626.6049996465764</v>
      </c>
      <c r="AI25" s="62">
        <f t="shared" si="16"/>
        <v>202.74753807730858</v>
      </c>
      <c r="AJ25" s="62"/>
      <c r="AK25" s="62">
        <v>0</v>
      </c>
      <c r="AL25" s="256">
        <f t="shared" si="17"/>
        <v>29906.998677723881</v>
      </c>
      <c r="AM25" s="256">
        <f t="shared" si="18"/>
        <v>68840.01999999999</v>
      </c>
      <c r="AN25" s="256">
        <f t="shared" si="19"/>
        <v>98747.01867772387</v>
      </c>
    </row>
    <row r="26" spans="1:40" x14ac:dyDescent="0.2">
      <c r="A26" s="3" t="str">
        <f>IF('Employee Detail FY27'!A26="","",'Employee Detail FY27'!A26)</f>
        <v/>
      </c>
      <c r="B26" s="3" t="str">
        <f>IF('Employee Detail FY27'!B26="","",'Employee Detail FY27'!B26)</f>
        <v/>
      </c>
      <c r="C26" s="3" t="str">
        <f>IF('Employee Detail FY27'!C26="","",'Employee Detail FY27'!C26)</f>
        <v/>
      </c>
      <c r="D26" s="3"/>
      <c r="E26" s="3" t="str">
        <f>IF('Employee Detail FY27'!E26="","",'Employee Detail FY27'!E26)</f>
        <v/>
      </c>
      <c r="F26" s="3" t="str">
        <f>IF('Employee Detail FY27'!F26="","",'Employee Detail FY27'!F26)</f>
        <v/>
      </c>
      <c r="G26" s="3" t="str">
        <f>IF('Employee Detail FY27'!G26="","",'Employee Detail FY27'!G26)</f>
        <v/>
      </c>
      <c r="H26" s="3"/>
      <c r="I26" s="255" t="str">
        <f>IF('Employee Detail FY27'!I26="","",'Employee Detail FY27'!I26)</f>
        <v/>
      </c>
      <c r="J26" s="255" t="str">
        <f>IF('Employee Detail FY27'!J26="","",'Employee Detail FY27'!J26)</f>
        <v/>
      </c>
      <c r="K26" s="255" t="str">
        <f>IF('Employee Detail FY27'!K26="","",'Employee Detail FY27'!K26)</f>
        <v/>
      </c>
      <c r="L26" s="255" t="str">
        <f>IF('Employee Detail FY27'!L26="","",'Employee Detail FY27'!L26)</f>
        <v/>
      </c>
      <c r="M26" s="92" t="str">
        <f>IF('Employee Detail FY27'!M26="","",'Employee Detail FY27'!M26)</f>
        <v/>
      </c>
      <c r="N26" s="3" t="str">
        <f>IF('Employee Detail FY27'!N26="","",'Employee Detail FY27'!N26)</f>
        <v/>
      </c>
      <c r="O26" s="3" t="str">
        <f>IF('Employee Detail FY27'!O26="","",'Employee Detail FY27'!O26)</f>
        <v/>
      </c>
      <c r="P26" s="3" t="str">
        <f>IF('Employee Detail FY27'!P26="","",'Employee Detail FY27'!P26)</f>
        <v/>
      </c>
      <c r="Q26" s="3" t="str">
        <f>IF('Employee Detail FY27'!Q26="","",'Employee Detail FY27'!Q26)</f>
        <v/>
      </c>
      <c r="R26" s="3" t="str">
        <f>IF('Employee Detail FY27'!R26="","",'Employee Detail FY27'!R26)</f>
        <v/>
      </c>
      <c r="S26" s="3" t="str">
        <f>IF('Employee Detail FY27'!S26="","",'Employee Detail FY27'!S26)</f>
        <v/>
      </c>
      <c r="T26" s="263" t="str">
        <f t="shared" si="6"/>
        <v/>
      </c>
      <c r="U26" s="269" t="str">
        <f>IF('Employee Detail FY27'!U26="","",'Employee Detail FY27'!U26)</f>
        <v/>
      </c>
      <c r="V26" s="270" t="str">
        <f t="shared" si="7"/>
        <v/>
      </c>
      <c r="W26" s="270" t="str">
        <f t="shared" si="8"/>
        <v/>
      </c>
      <c r="X26" s="270" t="str">
        <f t="shared" si="9"/>
        <v/>
      </c>
      <c r="Y26" s="62">
        <v>0</v>
      </c>
      <c r="Z26" s="62">
        <v>0</v>
      </c>
      <c r="AA26" s="256">
        <f t="shared" si="10"/>
        <v>0</v>
      </c>
      <c r="AB26" s="3"/>
      <c r="AC26" s="62" t="str">
        <f t="shared" si="11"/>
        <v/>
      </c>
      <c r="AD26" s="62" t="str">
        <f t="shared" si="12"/>
        <v/>
      </c>
      <c r="AE26" s="62" t="str">
        <f t="shared" si="13"/>
        <v/>
      </c>
      <c r="AF26" s="62" t="str">
        <f t="shared" si="14"/>
        <v/>
      </c>
      <c r="AG26" s="192">
        <v>0</v>
      </c>
      <c r="AH26" s="62" t="str">
        <f t="shared" si="15"/>
        <v/>
      </c>
      <c r="AI26" s="62">
        <f t="shared" si="16"/>
        <v>0</v>
      </c>
      <c r="AJ26" s="62"/>
      <c r="AK26" s="62">
        <v>0</v>
      </c>
      <c r="AL26" s="256">
        <f t="shared" si="17"/>
        <v>0</v>
      </c>
      <c r="AM26" s="256">
        <f t="shared" si="18"/>
        <v>0</v>
      </c>
      <c r="AN26" s="256">
        <f t="shared" si="19"/>
        <v>0</v>
      </c>
    </row>
    <row r="27" spans="1:40" x14ac:dyDescent="0.2">
      <c r="A27" s="3" t="str">
        <f>IF('Employee Detail FY27'!A27="","",'Employee Detail FY27'!A27)</f>
        <v>ESSER II</v>
      </c>
      <c r="B27" s="3">
        <f>IF('Employee Detail FY27'!B27="","",'Employee Detail FY27'!B27)</f>
        <v>280</v>
      </c>
      <c r="C27" s="3">
        <f>IF('Employee Detail FY27'!C27="","",'Employee Detail FY27'!C27)</f>
        <v>741</v>
      </c>
      <c r="D27" s="3"/>
      <c r="E27" s="3" t="str">
        <f>IF('Employee Detail FY27'!E27="","",'Employee Detail FY27'!E27)</f>
        <v>100</v>
      </c>
      <c r="F27" s="3" t="str">
        <f>IF('Employee Detail FY27'!F27="","",'Employee Detail FY27'!F27)</f>
        <v>2110</v>
      </c>
      <c r="G27" s="3" t="str">
        <f>IF('Employee Detail FY27'!G27="","",'Employee Detail FY27'!G27)</f>
        <v>0106</v>
      </c>
      <c r="H27" s="3"/>
      <c r="I27" s="255" t="str">
        <f>IF('Employee Detail FY27'!I27="","",'Employee Detail FY27'!I27)</f>
        <v>VACANT</v>
      </c>
      <c r="J27" s="255" t="str">
        <f>IF('Employee Detail FY27'!J27="","",'Employee Detail FY27'!J27)</f>
        <v/>
      </c>
      <c r="K27" s="255" t="str">
        <f>IF('Employee Detail FY27'!K27="","",'Employee Detail FY27'!K27)</f>
        <v>Licensed Support Staff</v>
      </c>
      <c r="L27" s="255" t="str">
        <f>IF('Employee Detail FY27'!L27="","",'Employee Detail FY27'!L27)</f>
        <v xml:space="preserve">WRAP AROUND FACILITATOR (SOCIAL WORKER) </v>
      </c>
      <c r="M27" s="92">
        <f>IF('Employee Detail FY27'!M27="","",'Employee Detail FY27'!M27)</f>
        <v>1</v>
      </c>
      <c r="N27" s="3" t="str">
        <f>IF('Employee Detail FY27'!N27="","",'Employee Detail FY27'!N27)</f>
        <v/>
      </c>
      <c r="O27" s="3">
        <f>IF('Employee Detail FY27'!O27="","",'Employee Detail FY27'!O27)</f>
        <v>26</v>
      </c>
      <c r="P27" s="3" t="str">
        <f>IF('Employee Detail FY27'!P27="","",'Employee Detail FY27'!P27)</f>
        <v>EE</v>
      </c>
      <c r="Q27" s="3" t="str">
        <f>IF('Employee Detail FY27'!Q27="","",'Employee Detail FY27'!Q27)</f>
        <v/>
      </c>
      <c r="R27" s="3">
        <f>IF('Employee Detail FY27'!R27="","",'Employee Detail FY27'!R27)</f>
        <v>200</v>
      </c>
      <c r="S27" s="3">
        <f>IF('Employee Detail FY27'!S27="","",'Employee Detail FY27'!S27)</f>
        <v>8</v>
      </c>
      <c r="T27" s="263">
        <f t="shared" si="6"/>
        <v>1600</v>
      </c>
      <c r="U27" s="269">
        <f>IF('Employee Detail FY27'!U27="","",'Employee Detail FY27'!U27)</f>
        <v>39919</v>
      </c>
      <c r="V27" s="270">
        <f t="shared" si="7"/>
        <v>47104.42</v>
      </c>
      <c r="W27" s="270">
        <f t="shared" si="8"/>
        <v>54338.999450119998</v>
      </c>
      <c r="X27" s="270">
        <f t="shared" si="9"/>
        <v>54338.999450119998</v>
      </c>
      <c r="Y27" s="62">
        <v>0</v>
      </c>
      <c r="Z27" s="62">
        <v>0</v>
      </c>
      <c r="AA27" s="256">
        <f t="shared" si="10"/>
        <v>54338.999450119998</v>
      </c>
      <c r="AB27" s="3"/>
      <c r="AC27" s="62">
        <f t="shared" si="11"/>
        <v>7943.76</v>
      </c>
      <c r="AD27" s="62" t="str">
        <f t="shared" si="12"/>
        <v/>
      </c>
      <c r="AE27" s="62">
        <f t="shared" si="13"/>
        <v>8286.6974161432991</v>
      </c>
      <c r="AF27" s="62">
        <f t="shared" si="14"/>
        <v>787.91549202674003</v>
      </c>
      <c r="AG27" s="192">
        <v>0</v>
      </c>
      <c r="AH27" s="62">
        <f t="shared" si="15"/>
        <v>494.61183670832406</v>
      </c>
      <c r="AI27" s="62">
        <f t="shared" si="16"/>
        <v>160.03915106497726</v>
      </c>
      <c r="AJ27" s="62"/>
      <c r="AK27" s="62">
        <v>0</v>
      </c>
      <c r="AL27" s="256">
        <f t="shared" si="17"/>
        <v>17673.023895943345</v>
      </c>
      <c r="AM27" s="256">
        <f t="shared" si="18"/>
        <v>54338.999450119998</v>
      </c>
      <c r="AN27" s="256">
        <f t="shared" si="19"/>
        <v>72012.023346063346</v>
      </c>
    </row>
    <row r="28" spans="1:40" x14ac:dyDescent="0.2">
      <c r="A28" s="3" t="str">
        <f>IF('Employee Detail FY27'!A28="","",'Employee Detail FY27'!A28)</f>
        <v/>
      </c>
      <c r="B28" s="3" t="str">
        <f>IF('Employee Detail FY27'!B28="","",'Employee Detail FY27'!B28)</f>
        <v/>
      </c>
      <c r="C28" s="3" t="str">
        <f>IF('Employee Detail FY27'!C28="","",'Employee Detail FY27'!C28)</f>
        <v/>
      </c>
      <c r="D28" s="3"/>
      <c r="E28" s="3" t="str">
        <f>IF('Employee Detail FY27'!E28="","",'Employee Detail FY27'!E28)</f>
        <v/>
      </c>
      <c r="F28" s="3" t="str">
        <f>IF('Employee Detail FY27'!F28="","",'Employee Detail FY27'!F28)</f>
        <v/>
      </c>
      <c r="G28" s="3" t="str">
        <f>IF('Employee Detail FY27'!G28="","",'Employee Detail FY27'!G28)</f>
        <v/>
      </c>
      <c r="H28" s="3"/>
      <c r="I28" s="255" t="str">
        <f>IF('Employee Detail FY27'!I28="","",'Employee Detail FY27'!I28)</f>
        <v/>
      </c>
      <c r="J28" s="255" t="str">
        <f>IF('Employee Detail FY27'!J28="","",'Employee Detail FY27'!J28)</f>
        <v/>
      </c>
      <c r="K28" s="255" t="str">
        <f>IF('Employee Detail FY27'!K28="","",'Employee Detail FY27'!K28)</f>
        <v/>
      </c>
      <c r="L28" s="255" t="str">
        <f>IF('Employee Detail FY27'!L28="","",'Employee Detail FY27'!L28)</f>
        <v/>
      </c>
      <c r="M28" s="92" t="str">
        <f>IF('Employee Detail FY27'!M28="","",'Employee Detail FY27'!M28)</f>
        <v/>
      </c>
      <c r="N28" s="3" t="str">
        <f>IF('Employee Detail FY27'!N28="","",'Employee Detail FY27'!N28)</f>
        <v/>
      </c>
      <c r="O28" s="3" t="str">
        <f>IF('Employee Detail FY27'!O28="","",'Employee Detail FY27'!O28)</f>
        <v/>
      </c>
      <c r="P28" s="3" t="str">
        <f>IF('Employee Detail FY27'!P28="","",'Employee Detail FY27'!P28)</f>
        <v/>
      </c>
      <c r="Q28" s="3" t="str">
        <f>IF('Employee Detail FY27'!Q28="","",'Employee Detail FY27'!Q28)</f>
        <v/>
      </c>
      <c r="R28" s="3" t="str">
        <f>IF('Employee Detail FY27'!R28="","",'Employee Detail FY27'!R28)</f>
        <v/>
      </c>
      <c r="S28" s="3" t="str">
        <f>IF('Employee Detail FY27'!S28="","",'Employee Detail FY27'!S28)</f>
        <v/>
      </c>
      <c r="T28" s="263" t="str">
        <f t="shared" si="6"/>
        <v/>
      </c>
      <c r="U28" s="269" t="str">
        <f>IF('Employee Detail FY27'!U28="","",'Employee Detail FY27'!U28)</f>
        <v/>
      </c>
      <c r="V28" s="270" t="str">
        <f t="shared" si="7"/>
        <v/>
      </c>
      <c r="W28" s="270" t="str">
        <f t="shared" si="8"/>
        <v/>
      </c>
      <c r="X28" s="270" t="str">
        <f t="shared" si="9"/>
        <v/>
      </c>
      <c r="Y28" s="62">
        <v>0</v>
      </c>
      <c r="Z28" s="62">
        <v>0</v>
      </c>
      <c r="AA28" s="256">
        <f t="shared" si="10"/>
        <v>0</v>
      </c>
      <c r="AB28" s="3"/>
      <c r="AC28" s="62" t="str">
        <f t="shared" si="11"/>
        <v/>
      </c>
      <c r="AD28" s="62" t="str">
        <f t="shared" si="12"/>
        <v/>
      </c>
      <c r="AE28" s="62" t="str">
        <f t="shared" si="13"/>
        <v/>
      </c>
      <c r="AF28" s="62" t="str">
        <f t="shared" si="14"/>
        <v/>
      </c>
      <c r="AG28" s="192">
        <v>0</v>
      </c>
      <c r="AH28" s="62" t="str">
        <f t="shared" si="15"/>
        <v/>
      </c>
      <c r="AI28" s="62">
        <f t="shared" si="16"/>
        <v>0</v>
      </c>
      <c r="AJ28" s="62"/>
      <c r="AK28" s="62">
        <v>0</v>
      </c>
      <c r="AL28" s="256">
        <f t="shared" si="17"/>
        <v>0</v>
      </c>
      <c r="AM28" s="256">
        <f t="shared" si="18"/>
        <v>0</v>
      </c>
      <c r="AN28" s="256">
        <f t="shared" si="19"/>
        <v>0</v>
      </c>
    </row>
    <row r="29" spans="1:40" x14ac:dyDescent="0.2">
      <c r="A29" s="3" t="str">
        <f>IF('Employee Detail FY27'!A29="","",'Employee Detail FY27'!A29)</f>
        <v/>
      </c>
      <c r="B29" s="3" t="str">
        <f>IF('Employee Detail FY27'!B29="","",'Employee Detail FY27'!B29)</f>
        <v>100</v>
      </c>
      <c r="C29" s="3" t="str">
        <f>IF('Employee Detail FY27'!C29="","",'Employee Detail FY27'!C29)</f>
        <v>000</v>
      </c>
      <c r="D29" s="3"/>
      <c r="E29" s="3" t="str">
        <f>IF('Employee Detail FY27'!E29="","",'Employee Detail FY27'!E29)</f>
        <v>100</v>
      </c>
      <c r="F29" s="3" t="str">
        <f>IF('Employee Detail FY27'!F29="","",'Employee Detail FY27'!F29)</f>
        <v>2110</v>
      </c>
      <c r="G29" s="3" t="str">
        <f>IF('Employee Detail FY27'!G29="","",'Employee Detail FY27'!G29)</f>
        <v>0106</v>
      </c>
      <c r="H29" s="3"/>
      <c r="I29" s="255" t="str">
        <f>IF('Employee Detail FY27'!I29="","",'Employee Detail FY27'!I29)</f>
        <v>KAYS</v>
      </c>
      <c r="J29" s="255" t="str">
        <f>IF('Employee Detail FY27'!J29="","",'Employee Detail FY27'!J29)</f>
        <v>JILL</v>
      </c>
      <c r="K29" s="255" t="str">
        <f>IF('Employee Detail FY27'!K29="","",'Employee Detail FY27'!K29)</f>
        <v>Licensed Staff</v>
      </c>
      <c r="L29" s="255" t="str">
        <f>IF('Employee Detail FY27'!L29="","",'Employee Detail FY27'!L29)</f>
        <v>SOCIAL WORKER</v>
      </c>
      <c r="M29" s="92">
        <f>IF('Employee Detail FY27'!M29="","",'Employee Detail FY27'!M29)</f>
        <v>1</v>
      </c>
      <c r="N29" s="3" t="str">
        <f>IF('Employee Detail FY27'!N29="","",'Employee Detail FY27'!N29)</f>
        <v/>
      </c>
      <c r="O29" s="3">
        <f>IF('Employee Detail FY27'!O29="","",'Employee Detail FY27'!O29)</f>
        <v>26</v>
      </c>
      <c r="P29" s="3" t="str">
        <f>IF('Employee Detail FY27'!P29="","",'Employee Detail FY27'!P29)</f>
        <v>ER</v>
      </c>
      <c r="Q29" s="3" t="str">
        <f>IF('Employee Detail FY27'!Q29="","",'Employee Detail FY27'!Q29)</f>
        <v/>
      </c>
      <c r="R29" s="3">
        <f>IF('Employee Detail FY27'!R29="","",'Employee Detail FY27'!R29)</f>
        <v>200</v>
      </c>
      <c r="S29" s="3">
        <f>IF('Employee Detail FY27'!S29="","",'Employee Detail FY27'!S29)</f>
        <v>8</v>
      </c>
      <c r="T29" s="263">
        <f t="shared" si="6"/>
        <v>1600</v>
      </c>
      <c r="U29" s="269">
        <f>IF('Employee Detail FY27'!U29="","",'Employee Detail FY27'!U29)</f>
        <v>50788</v>
      </c>
      <c r="V29" s="270">
        <f t="shared" si="7"/>
        <v>59929.84</v>
      </c>
      <c r="W29" s="270" t="str">
        <f t="shared" si="8"/>
        <v/>
      </c>
      <c r="X29" s="270">
        <f t="shared" si="9"/>
        <v>59929.84</v>
      </c>
      <c r="Y29" s="62">
        <v>0</v>
      </c>
      <c r="Z29" s="62">
        <v>0</v>
      </c>
      <c r="AA29" s="256">
        <f t="shared" si="10"/>
        <v>59929.84</v>
      </c>
      <c r="AB29" s="3"/>
      <c r="AC29" s="62">
        <f t="shared" si="11"/>
        <v>7943.76</v>
      </c>
      <c r="AD29" s="62" t="str">
        <f t="shared" si="12"/>
        <v/>
      </c>
      <c r="AE29" s="62">
        <f t="shared" si="13"/>
        <v>17529.478199999998</v>
      </c>
      <c r="AF29" s="62">
        <f t="shared" si="14"/>
        <v>868.98267999999996</v>
      </c>
      <c r="AG29" s="192">
        <v>0</v>
      </c>
      <c r="AH29" s="62">
        <f t="shared" si="15"/>
        <v>545.50154651348714</v>
      </c>
      <c r="AI29" s="62">
        <f t="shared" si="16"/>
        <v>176.50528743842625</v>
      </c>
      <c r="AJ29" s="62"/>
      <c r="AK29" s="62">
        <v>0</v>
      </c>
      <c r="AL29" s="256">
        <f t="shared" si="17"/>
        <v>27064.227713951914</v>
      </c>
      <c r="AM29" s="256">
        <f t="shared" si="18"/>
        <v>59929.84</v>
      </c>
      <c r="AN29" s="256">
        <f t="shared" si="19"/>
        <v>86994.06771395191</v>
      </c>
    </row>
    <row r="30" spans="1:40" x14ac:dyDescent="0.2">
      <c r="A30" s="3" t="str">
        <f>IF('Employee Detail FY27'!A30="","",'Employee Detail FY27'!A30)</f>
        <v/>
      </c>
      <c r="B30" s="3">
        <f>IF('Employee Detail FY27'!B30="","",'Employee Detail FY27'!B30)</f>
        <v>100</v>
      </c>
      <c r="C30" s="3" t="str">
        <f>IF('Employee Detail FY27'!C30="","",'Employee Detail FY27'!C30)</f>
        <v>000</v>
      </c>
      <c r="D30" s="3"/>
      <c r="E30" s="3">
        <f>IF('Employee Detail FY27'!E30="","",'Employee Detail FY27'!E30)</f>
        <v>100</v>
      </c>
      <c r="F30" s="3">
        <f>IF('Employee Detail FY27'!F30="","",'Employee Detail FY27'!F30)</f>
        <v>2110</v>
      </c>
      <c r="G30" s="3" t="str">
        <f>IF('Employee Detail FY27'!G30="","",'Employee Detail FY27'!G30)</f>
        <v>0106</v>
      </c>
      <c r="H30" s="3"/>
      <c r="I30" s="255" t="str">
        <f>IF('Employee Detail FY27'!I30="","",'Employee Detail FY27'!I30)</f>
        <v>DIAZ</v>
      </c>
      <c r="J30" s="255" t="str">
        <f>IF('Employee Detail FY27'!J30="","",'Employee Detail FY27'!J30)</f>
        <v>ALBERTO</v>
      </c>
      <c r="K30" s="255" t="str">
        <f>IF('Employee Detail FY27'!K30="","",'Employee Detail FY27'!K30)</f>
        <v>Licensed Staff</v>
      </c>
      <c r="L30" s="255" t="str">
        <f>IF('Employee Detail FY27'!L30="","",'Employee Detail FY27'!L30)</f>
        <v>SOCIAL WORKER 01</v>
      </c>
      <c r="M30" s="92">
        <f>IF('Employee Detail FY27'!M30="","",'Employee Detail FY27'!M30)</f>
        <v>1</v>
      </c>
      <c r="N30" s="3" t="str">
        <f>IF('Employee Detail FY27'!N30="","",'Employee Detail FY27'!N30)</f>
        <v/>
      </c>
      <c r="O30" s="3">
        <f>IF('Employee Detail FY27'!O30="","",'Employee Detail FY27'!O30)</f>
        <v>26</v>
      </c>
      <c r="P30" s="3" t="str">
        <f>IF('Employee Detail FY27'!P30="","",'Employee Detail FY27'!P30)</f>
        <v>EE</v>
      </c>
      <c r="Q30" s="3" t="str">
        <f>IF('Employee Detail FY27'!Q30="","",'Employee Detail FY27'!Q30)</f>
        <v/>
      </c>
      <c r="R30" s="3">
        <f>IF('Employee Detail FY27'!R30="","",'Employee Detail FY27'!R30)</f>
        <v>200</v>
      </c>
      <c r="S30" s="3">
        <f>IF('Employee Detail FY27'!S30="","",'Employee Detail FY27'!S30)</f>
        <v>8</v>
      </c>
      <c r="T30" s="263">
        <f t="shared" si="6"/>
        <v>1600</v>
      </c>
      <c r="U30" s="269">
        <f>IF('Employee Detail FY27'!U30="","",'Employee Detail FY27'!U30)</f>
        <v>55000</v>
      </c>
      <c r="V30" s="270">
        <f t="shared" si="7"/>
        <v>64900</v>
      </c>
      <c r="W30" s="270">
        <f t="shared" si="8"/>
        <v>74867.731400000004</v>
      </c>
      <c r="X30" s="270">
        <f t="shared" si="9"/>
        <v>74867.731400000004</v>
      </c>
      <c r="Y30" s="62">
        <v>0</v>
      </c>
      <c r="Z30" s="62">
        <v>0</v>
      </c>
      <c r="AA30" s="256">
        <f t="shared" si="10"/>
        <v>74867.731400000004</v>
      </c>
      <c r="AB30" s="3"/>
      <c r="AC30" s="62">
        <f t="shared" si="11"/>
        <v>7943.76</v>
      </c>
      <c r="AD30" s="62" t="str">
        <f t="shared" si="12"/>
        <v/>
      </c>
      <c r="AE30" s="62">
        <f t="shared" si="13"/>
        <v>11417.3290385</v>
      </c>
      <c r="AF30" s="62">
        <f t="shared" si="14"/>
        <v>1085.5821053000002</v>
      </c>
      <c r="AG30" s="192">
        <v>0</v>
      </c>
      <c r="AH30" s="62">
        <f t="shared" si="15"/>
        <v>681.4712547648445</v>
      </c>
      <c r="AI30" s="62">
        <f t="shared" si="16"/>
        <v>220.50034591482125</v>
      </c>
      <c r="AJ30" s="62"/>
      <c r="AK30" s="62">
        <v>0</v>
      </c>
      <c r="AL30" s="256">
        <f t="shared" si="17"/>
        <v>21348.642744479668</v>
      </c>
      <c r="AM30" s="256">
        <f t="shared" si="18"/>
        <v>74867.731400000004</v>
      </c>
      <c r="AN30" s="256">
        <f t="shared" si="19"/>
        <v>96216.374144479676</v>
      </c>
    </row>
    <row r="31" spans="1:40" x14ac:dyDescent="0.2">
      <c r="A31" s="3" t="str">
        <f>IF('Employee Detail FY27'!A31="","",'Employee Detail FY27'!A31)</f>
        <v>ESSER II</v>
      </c>
      <c r="B31" s="3">
        <f>IF('Employee Detail FY27'!B31="","",'Employee Detail FY27'!B31)</f>
        <v>280</v>
      </c>
      <c r="C31" s="3">
        <f>IF('Employee Detail FY27'!C31="","",'Employee Detail FY27'!C31)</f>
        <v>741</v>
      </c>
      <c r="D31" s="3"/>
      <c r="E31" s="3">
        <f>IF('Employee Detail FY27'!E31="","",'Employee Detail FY27'!E31)</f>
        <v>100</v>
      </c>
      <c r="F31" s="3">
        <f>IF('Employee Detail FY27'!F31="","",'Employee Detail FY27'!F31)</f>
        <v>2110</v>
      </c>
      <c r="G31" s="3" t="str">
        <f>IF('Employee Detail FY27'!G31="","",'Employee Detail FY27'!G31)</f>
        <v>0106</v>
      </c>
      <c r="H31" s="3"/>
      <c r="I31" s="255" t="str">
        <f>IF('Employee Detail FY27'!I31="","",'Employee Detail FY27'!I31)</f>
        <v>HERNANDEZ</v>
      </c>
      <c r="J31" s="255" t="str">
        <f>IF('Employee Detail FY27'!J31="","",'Employee Detail FY27'!J31)</f>
        <v>ALLISON</v>
      </c>
      <c r="K31" s="255" t="str">
        <f>IF('Employee Detail FY27'!K31="","",'Employee Detail FY27'!K31)</f>
        <v>Licensed Staff</v>
      </c>
      <c r="L31" s="255" t="str">
        <f>IF('Employee Detail FY27'!L31="","",'Employee Detail FY27'!L31)</f>
        <v>SOCIAL WORKER 02</v>
      </c>
      <c r="M31" s="92">
        <f>IF('Employee Detail FY27'!M31="","",'Employee Detail FY27'!M31)</f>
        <v>1</v>
      </c>
      <c r="N31" s="3" t="str">
        <f>IF('Employee Detail FY27'!N31="","",'Employee Detail FY27'!N31)</f>
        <v/>
      </c>
      <c r="O31" s="3">
        <f>IF('Employee Detail FY27'!O31="","",'Employee Detail FY27'!O31)</f>
        <v>26</v>
      </c>
      <c r="P31" s="3" t="str">
        <f>IF('Employee Detail FY27'!P31="","",'Employee Detail FY27'!P31)</f>
        <v>EE</v>
      </c>
      <c r="Q31" s="3" t="str">
        <f>IF('Employee Detail FY27'!Q31="","",'Employee Detail FY27'!Q31)</f>
        <v/>
      </c>
      <c r="R31" s="3">
        <f>IF('Employee Detail FY27'!R31="","",'Employee Detail FY27'!R31)</f>
        <v>200</v>
      </c>
      <c r="S31" s="3">
        <f>IF('Employee Detail FY27'!S31="","",'Employee Detail FY27'!S31)</f>
        <v>8</v>
      </c>
      <c r="T31" s="263">
        <f t="shared" si="6"/>
        <v>1600</v>
      </c>
      <c r="U31" s="269">
        <f>IF('Employee Detail FY27'!U31="","",'Employee Detail FY27'!U31)</f>
        <v>55000</v>
      </c>
      <c r="V31" s="270">
        <f t="shared" si="7"/>
        <v>64900</v>
      </c>
      <c r="W31" s="270">
        <f t="shared" si="8"/>
        <v>74867.731400000004</v>
      </c>
      <c r="X31" s="270">
        <f t="shared" si="9"/>
        <v>74867.731400000004</v>
      </c>
      <c r="Y31" s="62">
        <v>0</v>
      </c>
      <c r="Z31" s="62">
        <v>0</v>
      </c>
      <c r="AA31" s="256">
        <f t="shared" si="10"/>
        <v>74867.731400000004</v>
      </c>
      <c r="AB31" s="3"/>
      <c r="AC31" s="62">
        <f t="shared" si="11"/>
        <v>7943.76</v>
      </c>
      <c r="AD31" s="62" t="str">
        <f t="shared" si="12"/>
        <v/>
      </c>
      <c r="AE31" s="62">
        <f t="shared" si="13"/>
        <v>11417.3290385</v>
      </c>
      <c r="AF31" s="62">
        <f t="shared" si="14"/>
        <v>1085.5821053000002</v>
      </c>
      <c r="AG31" s="192">
        <v>0</v>
      </c>
      <c r="AH31" s="62">
        <f t="shared" si="15"/>
        <v>681.4712547648445</v>
      </c>
      <c r="AI31" s="62">
        <f t="shared" si="16"/>
        <v>220.50034591482125</v>
      </c>
      <c r="AJ31" s="62"/>
      <c r="AK31" s="62">
        <v>0</v>
      </c>
      <c r="AL31" s="256">
        <f t="shared" si="17"/>
        <v>21348.642744479668</v>
      </c>
      <c r="AM31" s="256">
        <f t="shared" si="18"/>
        <v>74867.731400000004</v>
      </c>
      <c r="AN31" s="256">
        <f t="shared" si="19"/>
        <v>96216.374144479676</v>
      </c>
    </row>
    <row r="32" spans="1:40" x14ac:dyDescent="0.2">
      <c r="A32" s="3" t="str">
        <f>IF('Employee Detail FY27'!A32="","",'Employee Detail FY27'!A32)</f>
        <v/>
      </c>
      <c r="B32" s="3" t="str">
        <f>IF('Employee Detail FY27'!B32="","",'Employee Detail FY27'!B32)</f>
        <v/>
      </c>
      <c r="C32" s="3" t="str">
        <f>IF('Employee Detail FY27'!C32="","",'Employee Detail FY27'!C32)</f>
        <v/>
      </c>
      <c r="D32" s="3"/>
      <c r="E32" s="3" t="str">
        <f>IF('Employee Detail FY27'!E32="","",'Employee Detail FY27'!E32)</f>
        <v/>
      </c>
      <c r="F32" s="3" t="str">
        <f>IF('Employee Detail FY27'!F32="","",'Employee Detail FY27'!F32)</f>
        <v/>
      </c>
      <c r="G32" s="3" t="str">
        <f>IF('Employee Detail FY27'!G32="","",'Employee Detail FY27'!G32)</f>
        <v/>
      </c>
      <c r="H32" s="3"/>
      <c r="I32" s="255" t="str">
        <f>IF('Employee Detail FY27'!I32="","",'Employee Detail FY27'!I32)</f>
        <v/>
      </c>
      <c r="J32" s="255" t="str">
        <f>IF('Employee Detail FY27'!J32="","",'Employee Detail FY27'!J32)</f>
        <v/>
      </c>
      <c r="K32" s="255" t="str">
        <f>IF('Employee Detail FY27'!K32="","",'Employee Detail FY27'!K32)</f>
        <v/>
      </c>
      <c r="L32" s="255" t="str">
        <f>IF('Employee Detail FY27'!L32="","",'Employee Detail FY27'!L32)</f>
        <v/>
      </c>
      <c r="M32" s="92" t="str">
        <f>IF('Employee Detail FY27'!M32="","",'Employee Detail FY27'!M32)</f>
        <v/>
      </c>
      <c r="N32" s="3" t="str">
        <f>IF('Employee Detail FY27'!N32="","",'Employee Detail FY27'!N32)</f>
        <v/>
      </c>
      <c r="O32" s="3" t="str">
        <f>IF('Employee Detail FY27'!O32="","",'Employee Detail FY27'!O32)</f>
        <v/>
      </c>
      <c r="P32" s="3" t="str">
        <f>IF('Employee Detail FY27'!P32="","",'Employee Detail FY27'!P32)</f>
        <v/>
      </c>
      <c r="Q32" s="3" t="str">
        <f>IF('Employee Detail FY27'!Q32="","",'Employee Detail FY27'!Q32)</f>
        <v/>
      </c>
      <c r="R32" s="3" t="str">
        <f>IF('Employee Detail FY27'!R32="","",'Employee Detail FY27'!R32)</f>
        <v/>
      </c>
      <c r="S32" s="3" t="str">
        <f>IF('Employee Detail FY27'!S32="","",'Employee Detail FY27'!S32)</f>
        <v/>
      </c>
      <c r="T32" s="263" t="str">
        <f t="shared" si="6"/>
        <v/>
      </c>
      <c r="U32" s="269" t="str">
        <f>IF('Employee Detail FY27'!U32="","",'Employee Detail FY27'!U32)</f>
        <v/>
      </c>
      <c r="V32" s="270" t="str">
        <f t="shared" si="7"/>
        <v/>
      </c>
      <c r="W32" s="270" t="str">
        <f t="shared" si="8"/>
        <v/>
      </c>
      <c r="X32" s="270" t="str">
        <f t="shared" si="9"/>
        <v/>
      </c>
      <c r="Y32" s="62">
        <v>0</v>
      </c>
      <c r="Z32" s="62">
        <v>0</v>
      </c>
      <c r="AA32" s="256">
        <f t="shared" si="10"/>
        <v>0</v>
      </c>
      <c r="AB32" s="3"/>
      <c r="AC32" s="62" t="str">
        <f t="shared" si="11"/>
        <v/>
      </c>
      <c r="AD32" s="62" t="str">
        <f t="shared" si="12"/>
        <v/>
      </c>
      <c r="AE32" s="62" t="str">
        <f t="shared" si="13"/>
        <v/>
      </c>
      <c r="AF32" s="62" t="str">
        <f t="shared" si="14"/>
        <v/>
      </c>
      <c r="AG32" s="192">
        <v>0</v>
      </c>
      <c r="AH32" s="62" t="str">
        <f t="shared" si="15"/>
        <v/>
      </c>
      <c r="AI32" s="62">
        <f t="shared" si="16"/>
        <v>0</v>
      </c>
      <c r="AJ32" s="62"/>
      <c r="AK32" s="62">
        <v>0</v>
      </c>
      <c r="AL32" s="256">
        <f t="shared" si="17"/>
        <v>0</v>
      </c>
      <c r="AM32" s="256">
        <f t="shared" si="18"/>
        <v>0</v>
      </c>
      <c r="AN32" s="256">
        <f t="shared" si="19"/>
        <v>0</v>
      </c>
    </row>
    <row r="33" spans="1:40" x14ac:dyDescent="0.2">
      <c r="A33" s="3" t="str">
        <f>IF('Employee Detail FY27'!A33="","",'Employee Detail FY27'!A33)</f>
        <v/>
      </c>
      <c r="B33" s="3">
        <f>IF('Employee Detail FY27'!B33="","",'Employee Detail FY27'!B33)</f>
        <v>100</v>
      </c>
      <c r="C33" s="3" t="str">
        <f>IF('Employee Detail FY27'!C33="","",'Employee Detail FY27'!C33)</f>
        <v>000</v>
      </c>
      <c r="D33" s="3"/>
      <c r="E33" s="3">
        <f>IF('Employee Detail FY27'!E33="","",'Employee Detail FY27'!E33)</f>
        <v>100</v>
      </c>
      <c r="F33" s="3" t="str">
        <f>IF('Employee Detail FY27'!F33="","",'Employee Detail FY27'!F33)</f>
        <v>2120</v>
      </c>
      <c r="G33" s="3" t="str">
        <f>IF('Employee Detail FY27'!G33="","",'Employee Detail FY27'!G33)</f>
        <v>0106</v>
      </c>
      <c r="H33" s="3"/>
      <c r="I33" s="255" t="str">
        <f>IF('Employee Detail FY27'!I33="","",'Employee Detail FY27'!I33)</f>
        <v>BATES (BOLTON)</v>
      </c>
      <c r="J33" s="255" t="str">
        <f>IF('Employee Detail FY27'!J33="","",'Employee Detail FY27'!J33)</f>
        <v>TOISHAUNA</v>
      </c>
      <c r="K33" s="255" t="str">
        <f>IF('Employee Detail FY27'!K33="","",'Employee Detail FY27'!K33)</f>
        <v>Licensed Support Staff</v>
      </c>
      <c r="L33" s="255" t="str">
        <f>IF('Employee Detail FY27'!L33="","",'Employee Detail FY27'!L33)</f>
        <v>ACADEMIC COUNSELOR</v>
      </c>
      <c r="M33" s="92">
        <f>IF('Employee Detail FY27'!M33="","",'Employee Detail FY27'!M33)</f>
        <v>1</v>
      </c>
      <c r="N33" s="3" t="str">
        <f>IF('Employee Detail FY27'!N33="","",'Employee Detail FY27'!N33)</f>
        <v>S</v>
      </c>
      <c r="O33" s="3">
        <f>IF('Employee Detail FY27'!O33="","",'Employee Detail FY27'!O33)</f>
        <v>1</v>
      </c>
      <c r="P33" s="3" t="str">
        <f>IF('Employee Detail FY27'!P33="","",'Employee Detail FY27'!P33)</f>
        <v>EE</v>
      </c>
      <c r="Q33" s="3" t="str">
        <f>IF('Employee Detail FY27'!Q33="","",'Employee Detail FY27'!Q33)</f>
        <v/>
      </c>
      <c r="R33" s="3">
        <f>IF('Employee Detail FY27'!R33="","",'Employee Detail FY27'!R33)</f>
        <v>261</v>
      </c>
      <c r="S33" s="3">
        <f>IF('Employee Detail FY27'!S33="","",'Employee Detail FY27'!S33)</f>
        <v>8</v>
      </c>
      <c r="T33" s="263">
        <f t="shared" si="6"/>
        <v>2088</v>
      </c>
      <c r="U33" s="269">
        <f>IF('Employee Detail FY27'!U33="","",'Employee Detail FY27'!U33)</f>
        <v>62320</v>
      </c>
      <c r="V33" s="270">
        <f t="shared" si="7"/>
        <v>73537.599999999991</v>
      </c>
      <c r="W33" s="270">
        <f t="shared" si="8"/>
        <v>84831.945833599995</v>
      </c>
      <c r="X33" s="270">
        <f t="shared" si="9"/>
        <v>84831.945833599995</v>
      </c>
      <c r="Y33" s="62">
        <v>0</v>
      </c>
      <c r="Z33" s="62">
        <v>0</v>
      </c>
      <c r="AA33" s="256">
        <f t="shared" si="10"/>
        <v>84831.945833599995</v>
      </c>
      <c r="AB33" s="3"/>
      <c r="AC33" s="62">
        <f t="shared" si="11"/>
        <v>7943.76</v>
      </c>
      <c r="AD33" s="62" t="str">
        <f t="shared" si="12"/>
        <v/>
      </c>
      <c r="AE33" s="62">
        <f t="shared" si="13"/>
        <v>12936.871739623999</v>
      </c>
      <c r="AF33" s="62">
        <f t="shared" si="14"/>
        <v>1230.0632145872</v>
      </c>
      <c r="AG33" s="192">
        <v>0</v>
      </c>
      <c r="AH33" s="62">
        <f t="shared" si="15"/>
        <v>772.16888358082008</v>
      </c>
      <c r="AI33" s="62">
        <f t="shared" si="16"/>
        <v>249.84693740748472</v>
      </c>
      <c r="AJ33" s="62"/>
      <c r="AK33" s="62">
        <v>0</v>
      </c>
      <c r="AL33" s="256">
        <f t="shared" si="17"/>
        <v>23132.710775199503</v>
      </c>
      <c r="AM33" s="256">
        <f t="shared" si="18"/>
        <v>84831.945833599995</v>
      </c>
      <c r="AN33" s="256">
        <f t="shared" si="19"/>
        <v>107964.6566087995</v>
      </c>
    </row>
    <row r="34" spans="1:40" x14ac:dyDescent="0.2">
      <c r="A34" s="311" t="str">
        <f>IF('Employee Detail FY27'!A34="","",'Employee Detail FY27'!A34)</f>
        <v>VACANT</v>
      </c>
      <c r="B34" s="311">
        <f>IF('Employee Detail FY27'!B34="","",'Employee Detail FY27'!B34)</f>
        <v>100</v>
      </c>
      <c r="C34" s="311" t="str">
        <f>IF('Employee Detail FY27'!C34="","",'Employee Detail FY27'!C34)</f>
        <v>000</v>
      </c>
      <c r="D34" s="311"/>
      <c r="E34" s="311">
        <f>IF('Employee Detail FY27'!E34="","",'Employee Detail FY27'!E34)</f>
        <v>100</v>
      </c>
      <c r="F34" s="311" t="str">
        <f>IF('Employee Detail FY27'!F34="","",'Employee Detail FY27'!F34)</f>
        <v>2120</v>
      </c>
      <c r="G34" s="311" t="str">
        <f>IF('Employee Detail FY27'!G34="","",'Employee Detail FY27'!G34)</f>
        <v>0106</v>
      </c>
      <c r="H34" s="311"/>
      <c r="I34" s="312" t="str">
        <f>IF('Employee Detail FY27'!I34="","",'Employee Detail FY27'!I34)</f>
        <v>VACANT</v>
      </c>
      <c r="J34" s="312" t="str">
        <f>IF('Employee Detail FY27'!J34="","",'Employee Detail FY27'!J34)</f>
        <v>FY23</v>
      </c>
      <c r="K34" s="312" t="str">
        <f>IF('Employee Detail FY27'!K34="","",'Employee Detail FY27'!K34)</f>
        <v>Licensed Support Staff</v>
      </c>
      <c r="L34" s="312" t="str">
        <f>IF('Employee Detail FY27'!L34="","",'Employee Detail FY27'!L34)</f>
        <v>ACADEMIC COUNSELOR</v>
      </c>
      <c r="M34" s="92">
        <f>IF('Employee Detail FY27'!M34="","",'Employee Detail FY27'!M34)</f>
        <v>1</v>
      </c>
      <c r="N34" s="311" t="str">
        <f>IF('Employee Detail FY27'!N34="","",'Employee Detail FY27'!N34)</f>
        <v>S</v>
      </c>
      <c r="O34" s="311">
        <f>IF('Employee Detail FY27'!O34="","",'Employee Detail FY27'!O34)</f>
        <v>1</v>
      </c>
      <c r="P34" s="311" t="str">
        <f>IF('Employee Detail FY27'!P34="","",'Employee Detail FY27'!P34)</f>
        <v>EE</v>
      </c>
      <c r="Q34" s="311" t="str">
        <f>IF('Employee Detail FY27'!Q34="","",'Employee Detail FY27'!Q34)</f>
        <v/>
      </c>
      <c r="R34" s="311">
        <f>IF('Employee Detail FY27'!R34="","",'Employee Detail FY27'!R34)</f>
        <v>261</v>
      </c>
      <c r="S34" s="311">
        <f>IF('Employee Detail FY27'!S34="","",'Employee Detail FY27'!S34)</f>
        <v>8</v>
      </c>
      <c r="T34" s="263">
        <f t="shared" si="6"/>
        <v>2088</v>
      </c>
      <c r="U34" s="269">
        <f>IF('Employee Detail FY27'!U34="","",'Employee Detail FY27'!U34)</f>
        <v>62320</v>
      </c>
      <c r="V34" s="270">
        <f t="shared" si="7"/>
        <v>73537.599999999991</v>
      </c>
      <c r="W34" s="270">
        <f t="shared" si="8"/>
        <v>84831.945833599995</v>
      </c>
      <c r="X34" s="270">
        <f t="shared" si="9"/>
        <v>84831.945833599995</v>
      </c>
      <c r="Y34" s="62">
        <v>0</v>
      </c>
      <c r="Z34" s="62">
        <v>0</v>
      </c>
      <c r="AA34" s="256">
        <f t="shared" si="10"/>
        <v>84831.945833599995</v>
      </c>
      <c r="AB34" s="3"/>
      <c r="AC34" s="62">
        <f t="shared" si="11"/>
        <v>7943.76</v>
      </c>
      <c r="AD34" s="62" t="str">
        <f t="shared" si="12"/>
        <v/>
      </c>
      <c r="AE34" s="62">
        <f t="shared" si="13"/>
        <v>12936.871739623999</v>
      </c>
      <c r="AF34" s="62">
        <f t="shared" si="14"/>
        <v>1230.0632145872</v>
      </c>
      <c r="AG34" s="192">
        <v>0</v>
      </c>
      <c r="AH34" s="62">
        <f t="shared" si="15"/>
        <v>772.16888358082008</v>
      </c>
      <c r="AI34" s="62">
        <f t="shared" si="16"/>
        <v>249.84693740748472</v>
      </c>
      <c r="AJ34" s="62"/>
      <c r="AK34" s="62">
        <v>0</v>
      </c>
      <c r="AL34" s="256">
        <f t="shared" si="17"/>
        <v>23132.710775199503</v>
      </c>
      <c r="AM34" s="256">
        <f t="shared" si="18"/>
        <v>84831.945833599995</v>
      </c>
      <c r="AN34" s="256">
        <f t="shared" si="19"/>
        <v>107964.6566087995</v>
      </c>
    </row>
    <row r="35" spans="1:40" x14ac:dyDescent="0.2">
      <c r="A35" s="3" t="str">
        <f>IF('Employee Detail FY27'!A35="","",'Employee Detail FY27'!A35)</f>
        <v/>
      </c>
      <c r="B35" s="3" t="str">
        <f>IF('Employee Detail FY27'!B35="","",'Employee Detail FY27'!B35)</f>
        <v/>
      </c>
      <c r="C35" s="3" t="str">
        <f>IF('Employee Detail FY27'!C35="","",'Employee Detail FY27'!C35)</f>
        <v/>
      </c>
      <c r="D35" s="3"/>
      <c r="E35" s="3" t="str">
        <f>IF('Employee Detail FY27'!E35="","",'Employee Detail FY27'!E35)</f>
        <v/>
      </c>
      <c r="F35" s="3" t="str">
        <f>IF('Employee Detail FY27'!F35="","",'Employee Detail FY27'!F35)</f>
        <v/>
      </c>
      <c r="G35" s="3" t="str">
        <f>IF('Employee Detail FY27'!G35="","",'Employee Detail FY27'!G35)</f>
        <v/>
      </c>
      <c r="H35" s="3"/>
      <c r="I35" s="255" t="str">
        <f>IF('Employee Detail FY27'!I35="","",'Employee Detail FY27'!I35)</f>
        <v/>
      </c>
      <c r="J35" s="255" t="str">
        <f>IF('Employee Detail FY27'!J35="","",'Employee Detail FY27'!J35)</f>
        <v/>
      </c>
      <c r="K35" s="255" t="str">
        <f>IF('Employee Detail FY27'!K35="","",'Employee Detail FY27'!K35)</f>
        <v/>
      </c>
      <c r="L35" s="255" t="str">
        <f>IF('Employee Detail FY27'!L35="","",'Employee Detail FY27'!L35)</f>
        <v/>
      </c>
      <c r="M35" s="92" t="str">
        <f>IF('Employee Detail FY27'!M35="","",'Employee Detail FY27'!M35)</f>
        <v/>
      </c>
      <c r="N35" s="3" t="str">
        <f>IF('Employee Detail FY27'!N35="","",'Employee Detail FY27'!N35)</f>
        <v/>
      </c>
      <c r="O35" s="3" t="str">
        <f>IF('Employee Detail FY27'!O35="","",'Employee Detail FY27'!O35)</f>
        <v/>
      </c>
      <c r="P35" s="3" t="str">
        <f>IF('Employee Detail FY27'!P35="","",'Employee Detail FY27'!P35)</f>
        <v/>
      </c>
      <c r="Q35" s="3" t="str">
        <f>IF('Employee Detail FY27'!Q35="","",'Employee Detail FY27'!Q35)</f>
        <v/>
      </c>
      <c r="R35" s="3" t="str">
        <f>IF('Employee Detail FY27'!R35="","",'Employee Detail FY27'!R35)</f>
        <v/>
      </c>
      <c r="S35" s="3" t="str">
        <f>IF('Employee Detail FY27'!S35="","",'Employee Detail FY27'!S35)</f>
        <v/>
      </c>
      <c r="T35" s="263" t="str">
        <f t="shared" si="6"/>
        <v/>
      </c>
      <c r="U35" s="269" t="str">
        <f>IF('Employee Detail FY27'!U35="","",'Employee Detail FY27'!U35)</f>
        <v/>
      </c>
      <c r="V35" s="270" t="str">
        <f t="shared" si="7"/>
        <v/>
      </c>
      <c r="W35" s="270" t="str">
        <f t="shared" si="8"/>
        <v/>
      </c>
      <c r="X35" s="270" t="str">
        <f t="shared" si="9"/>
        <v/>
      </c>
      <c r="Y35" s="62">
        <v>0</v>
      </c>
      <c r="Z35" s="62">
        <v>0</v>
      </c>
      <c r="AA35" s="256">
        <f t="shared" si="10"/>
        <v>0</v>
      </c>
      <c r="AB35" s="3"/>
      <c r="AC35" s="62" t="str">
        <f t="shared" si="11"/>
        <v/>
      </c>
      <c r="AD35" s="62" t="str">
        <f t="shared" si="12"/>
        <v/>
      </c>
      <c r="AE35" s="62" t="str">
        <f t="shared" si="13"/>
        <v/>
      </c>
      <c r="AF35" s="62" t="str">
        <f t="shared" si="14"/>
        <v/>
      </c>
      <c r="AG35" s="192">
        <v>0</v>
      </c>
      <c r="AH35" s="62" t="str">
        <f t="shared" si="15"/>
        <v/>
      </c>
      <c r="AI35" s="62">
        <f t="shared" si="16"/>
        <v>0</v>
      </c>
      <c r="AJ35" s="62"/>
      <c r="AK35" s="62">
        <v>0</v>
      </c>
      <c r="AL35" s="256">
        <f t="shared" si="17"/>
        <v>0</v>
      </c>
      <c r="AM35" s="256">
        <f t="shared" si="18"/>
        <v>0</v>
      </c>
      <c r="AN35" s="256">
        <f t="shared" si="19"/>
        <v>0</v>
      </c>
    </row>
    <row r="36" spans="1:40" x14ac:dyDescent="0.2">
      <c r="A36" s="3" t="str">
        <f>IF('Employee Detail FY27'!A36="","",'Employee Detail FY27'!A36)</f>
        <v>CSP</v>
      </c>
      <c r="B36" s="3" t="str">
        <f>IF('Employee Detail FY27'!B36="","",'Employee Detail FY27'!B36)</f>
        <v>100</v>
      </c>
      <c r="C36" s="3" t="str">
        <f>IF('Employee Detail FY27'!C36="","",'Employee Detail FY27'!C36)</f>
        <v>000</v>
      </c>
      <c r="D36" s="3"/>
      <c r="E36" s="3">
        <f>IF('Employee Detail FY27'!E36="","",'Employee Detail FY27'!E36)</f>
        <v>100</v>
      </c>
      <c r="F36" s="3" t="str">
        <f>IF('Employee Detail FY27'!F36="","",'Employee Detail FY27'!F36)</f>
        <v>2110</v>
      </c>
      <c r="G36" s="3" t="str">
        <f>IF('Employee Detail FY27'!G36="","",'Employee Detail FY27'!G36)</f>
        <v>0106</v>
      </c>
      <c r="H36" s="3"/>
      <c r="I36" s="255" t="str">
        <f>IF('Employee Detail FY27'!I36="","",'Employee Detail FY27'!I36)</f>
        <v>GARCIA</v>
      </c>
      <c r="J36" s="255" t="str">
        <f>IF('Employee Detail FY27'!J36="","",'Employee Detail FY27'!J36)</f>
        <v>VANESSA</v>
      </c>
      <c r="K36" s="255" t="str">
        <f>IF('Employee Detail FY27'!K36="","",'Employee Detail FY27'!K36)</f>
        <v>Licensed Support Staff</v>
      </c>
      <c r="L36" s="255" t="str">
        <f>IF('Employee Detail FY27'!L36="","",'Employee Detail FY27'!L36)</f>
        <v>STUDENT PERSISTENCE FACILITATOR</v>
      </c>
      <c r="M36" s="92">
        <f>IF('Employee Detail FY27'!M36="","",'Employee Detail FY27'!M36)</f>
        <v>1</v>
      </c>
      <c r="N36" s="3" t="str">
        <f>IF('Employee Detail FY27'!N36="","",'Employee Detail FY27'!N36)</f>
        <v/>
      </c>
      <c r="O36" s="3">
        <f>IF('Employee Detail FY27'!O36="","",'Employee Detail FY27'!O36)</f>
        <v>26</v>
      </c>
      <c r="P36" s="3" t="str">
        <f>IF('Employee Detail FY27'!P36="","",'Employee Detail FY27'!P36)</f>
        <v>EE</v>
      </c>
      <c r="Q36" s="3" t="str">
        <f>IF('Employee Detail FY27'!Q36="","",'Employee Detail FY27'!Q36)</f>
        <v/>
      </c>
      <c r="R36" s="3">
        <f>IF('Employee Detail FY27'!R36="","",'Employee Detail FY27'!R36)</f>
        <v>261</v>
      </c>
      <c r="S36" s="3">
        <f>IF('Employee Detail FY27'!S36="","",'Employee Detail FY27'!S36)</f>
        <v>8</v>
      </c>
      <c r="T36" s="263">
        <f t="shared" si="6"/>
        <v>2088</v>
      </c>
      <c r="U36" s="269">
        <f>IF('Employee Detail FY27'!U36="","",'Employee Detail FY27'!U36)</f>
        <v>57704</v>
      </c>
      <c r="V36" s="270">
        <f t="shared" si="7"/>
        <v>68090.720000000001</v>
      </c>
      <c r="W36" s="270">
        <f t="shared" si="8"/>
        <v>78548.501321920005</v>
      </c>
      <c r="X36" s="270">
        <f t="shared" si="9"/>
        <v>78548.501321920005</v>
      </c>
      <c r="Y36" s="62">
        <v>0</v>
      </c>
      <c r="Z36" s="62">
        <v>0</v>
      </c>
      <c r="AA36" s="256">
        <f t="shared" si="10"/>
        <v>78548.501321920005</v>
      </c>
      <c r="AB36" s="3"/>
      <c r="AC36" s="62">
        <f t="shared" si="11"/>
        <v>7943.76</v>
      </c>
      <c r="AD36" s="62" t="str">
        <f t="shared" si="12"/>
        <v/>
      </c>
      <c r="AE36" s="62">
        <f t="shared" si="13"/>
        <v>11978.6464515928</v>
      </c>
      <c r="AF36" s="62">
        <f t="shared" si="14"/>
        <v>1138.9532691678401</v>
      </c>
      <c r="AG36" s="192">
        <v>0</v>
      </c>
      <c r="AH36" s="62">
        <f t="shared" si="15"/>
        <v>714.97485972637423</v>
      </c>
      <c r="AI36" s="62">
        <f t="shared" si="16"/>
        <v>231.34094473943358</v>
      </c>
      <c r="AJ36" s="62"/>
      <c r="AK36" s="62">
        <v>0</v>
      </c>
      <c r="AL36" s="256">
        <f t="shared" si="17"/>
        <v>22007.675525226448</v>
      </c>
      <c r="AM36" s="256">
        <f t="shared" si="18"/>
        <v>78548.501321920005</v>
      </c>
      <c r="AN36" s="256">
        <f t="shared" si="19"/>
        <v>100556.17684714645</v>
      </c>
    </row>
    <row r="37" spans="1:40" x14ac:dyDescent="0.2">
      <c r="A37" s="3" t="str">
        <f>IF('Employee Detail FY27'!A37="","",'Employee Detail FY27'!A37)</f>
        <v>VACANT</v>
      </c>
      <c r="B37" s="3">
        <f>IF('Employee Detail FY27'!B37="","",'Employee Detail FY27'!B37)</f>
        <v>100</v>
      </c>
      <c r="C37" s="3" t="str">
        <f>IF('Employee Detail FY27'!C37="","",'Employee Detail FY27'!C37)</f>
        <v>000</v>
      </c>
      <c r="D37" s="3"/>
      <c r="E37" s="3">
        <f>IF('Employee Detail FY27'!E37="","",'Employee Detail FY27'!E37)</f>
        <v>100</v>
      </c>
      <c r="F37" s="3">
        <f>IF('Employee Detail FY27'!F37="","",'Employee Detail FY27'!F37)</f>
        <v>2110</v>
      </c>
      <c r="G37" s="3" t="str">
        <f>IF('Employee Detail FY27'!G37="","",'Employee Detail FY27'!G37)</f>
        <v>0106</v>
      </c>
      <c r="H37" s="3"/>
      <c r="I37" s="255" t="str">
        <f>IF('Employee Detail FY27'!I37="","",'Employee Detail FY27'!I37)</f>
        <v>VACANT</v>
      </c>
      <c r="J37" s="255" t="str">
        <f>IF('Employee Detail FY27'!J37="","",'Employee Detail FY27'!J37)</f>
        <v>FY23</v>
      </c>
      <c r="K37" s="255" t="str">
        <f>IF('Employee Detail FY27'!K37="","",'Employee Detail FY27'!K37)</f>
        <v>Licensed Staff</v>
      </c>
      <c r="L37" s="255" t="str">
        <f>IF('Employee Detail FY27'!L37="","",'Employee Detail FY27'!L37)</f>
        <v>Dropout Prevention Facilitator</v>
      </c>
      <c r="M37" s="92">
        <f>IF('Employee Detail FY27'!M37="","",'Employee Detail FY27'!M37)</f>
        <v>0</v>
      </c>
      <c r="N37" s="3" t="str">
        <f>IF('Employee Detail FY27'!N37="","",'Employee Detail FY27'!N37)</f>
        <v/>
      </c>
      <c r="O37" s="3">
        <f>IF('Employee Detail FY27'!O37="","",'Employee Detail FY27'!O37)</f>
        <v>26</v>
      </c>
      <c r="P37" s="3" t="str">
        <f>IF('Employee Detail FY27'!P37="","",'Employee Detail FY27'!P37)</f>
        <v/>
      </c>
      <c r="Q37" s="3" t="str">
        <f>IF('Employee Detail FY27'!Q37="","",'Employee Detail FY27'!Q37)</f>
        <v/>
      </c>
      <c r="R37" s="3" t="str">
        <f>IF('Employee Detail FY27'!R37="","",'Employee Detail FY27'!R37)</f>
        <v/>
      </c>
      <c r="S37" s="3" t="str">
        <f>IF('Employee Detail FY27'!S37="","",'Employee Detail FY27'!S37)</f>
        <v/>
      </c>
      <c r="T37" s="263" t="str">
        <f>+IF(R37="","",R37*S37)</f>
        <v/>
      </c>
      <c r="U37" s="269">
        <f>IF('Employee Detail FY27'!U37="","",'Employee Detail FY27'!U37)</f>
        <v>45000</v>
      </c>
      <c r="V37" s="270">
        <f>IF($U37="","",$U37*(1+$V$1))</f>
        <v>53100</v>
      </c>
      <c r="W37" s="270" t="str">
        <f>+IF(P37="EE",+V37*$W$1,"")</f>
        <v/>
      </c>
      <c r="X37" s="270" t="str">
        <f>_xlfn.IFS(P37="ER",V37,P37="EE",W37,P37="N",V37,P37="","")</f>
        <v/>
      </c>
      <c r="Y37" s="62">
        <v>0</v>
      </c>
      <c r="Z37" s="62">
        <v>0</v>
      </c>
      <c r="AA37" s="256">
        <f>SUM(X37:Z37)</f>
        <v>0</v>
      </c>
      <c r="AB37" s="3"/>
      <c r="AC37" s="62" t="str">
        <f>IF(AND(M37=1,P37&lt;&gt;"N"),$AC$1,"")</f>
        <v/>
      </c>
      <c r="AD37" s="62" t="str">
        <f>_xlfn.IFS(P37="N",$AD$1*AA37,P37="EE","",P37="ER","",P37="","")</f>
        <v/>
      </c>
      <c r="AE37" s="62" t="str">
        <f>_xlfn.IFS(P37="EE",X37*$AE$1,P37="ER",X37*$AE$2,P37="N","",P37="","")</f>
        <v/>
      </c>
      <c r="AF37" s="62" t="str">
        <f>+IF(AA37&gt;1,AA37*$AF$1,"")</f>
        <v/>
      </c>
      <c r="AG37" s="192">
        <v>0</v>
      </c>
      <c r="AH37" s="62" t="str">
        <f>+IF(AA37&gt;1,AA37*$AH$1,"")</f>
        <v/>
      </c>
      <c r="AI37" s="62">
        <f>+_xlfn.IFS(F37&lt;2300,(AA37*$AI$1),F37&gt;=2300,(AA37*$AI$2),F37="","")</f>
        <v>0</v>
      </c>
      <c r="AJ37" s="62"/>
      <c r="AK37" s="62">
        <v>0</v>
      </c>
      <c r="AL37" s="256">
        <f>SUM(AC37:AK37)</f>
        <v>0</v>
      </c>
      <c r="AM37" s="256">
        <f>AA37</f>
        <v>0</v>
      </c>
      <c r="AN37" s="256">
        <f>SUM(AL37:AM37)</f>
        <v>0</v>
      </c>
    </row>
    <row r="38" spans="1:40" x14ac:dyDescent="0.2">
      <c r="A38" s="3" t="str">
        <f>IF('Employee Detail FY27'!A38="","",'Employee Detail FY27'!A38)</f>
        <v>TITLE I 1003a</v>
      </c>
      <c r="B38" s="3" t="str">
        <f>IF('Employee Detail FY27'!B38="","",'Employee Detail FY27'!B38)</f>
        <v>280</v>
      </c>
      <c r="C38" s="3" t="str">
        <f>IF('Employee Detail FY27'!C38="","",'Employee Detail FY27'!C38)</f>
        <v>624</v>
      </c>
      <c r="D38" s="3"/>
      <c r="E38" s="3" t="str">
        <f>IF('Employee Detail FY27'!E38="","",'Employee Detail FY27'!E38)</f>
        <v>430</v>
      </c>
      <c r="F38" s="3" t="str">
        <f>IF('Employee Detail FY27'!F38="","",'Employee Detail FY27'!F38)</f>
        <v>2210</v>
      </c>
      <c r="G38" s="3" t="str">
        <f>IF('Employee Detail FY27'!G38="","",'Employee Detail FY27'!G38)</f>
        <v>0101</v>
      </c>
      <c r="H38" s="3"/>
      <c r="I38" s="255" t="str">
        <f>IF('Employee Detail FY27'!I38="","",'Employee Detail FY27'!I38)</f>
        <v>HUNT</v>
      </c>
      <c r="J38" s="255" t="str">
        <f>IF('Employee Detail FY27'!J38="","",'Employee Detail FY27'!J38)</f>
        <v>KATHRYN</v>
      </c>
      <c r="K38" s="255" t="str">
        <f>IF('Employee Detail FY27'!K38="","",'Employee Detail FY27'!K38)</f>
        <v>Licensed Support Staff</v>
      </c>
      <c r="L38" s="255" t="str">
        <f>IF('Employee Detail FY27'!L38="","",'Employee Detail FY27'!L38)</f>
        <v xml:space="preserve">LITERACY &amp; DATA FACILITATOR, INSTRUCTIONAL FACILITATOR </v>
      </c>
      <c r="M38" s="92">
        <f>IF('Employee Detail FY27'!M38="","",'Employee Detail FY27'!M38)</f>
        <v>1</v>
      </c>
      <c r="N38" s="3" t="str">
        <f>IF('Employee Detail FY27'!N38="","",'Employee Detail FY27'!N38)</f>
        <v>S</v>
      </c>
      <c r="O38" s="3">
        <f>IF('Employee Detail FY27'!O38="","",'Employee Detail FY27'!O38)</f>
        <v>26</v>
      </c>
      <c r="P38" s="3" t="str">
        <f>IF('Employee Detail FY27'!P38="","",'Employee Detail FY27'!P38)</f>
        <v>ER</v>
      </c>
      <c r="Q38" s="3" t="str">
        <f>IF('Employee Detail FY27'!Q38="","",'Employee Detail FY27'!Q38)</f>
        <v/>
      </c>
      <c r="R38" s="3">
        <f>IF('Employee Detail FY27'!R38="","",'Employee Detail FY27'!R38)</f>
        <v>200</v>
      </c>
      <c r="S38" s="3">
        <f>IF('Employee Detail FY27'!S38="","",'Employee Detail FY27'!S38)</f>
        <v>8</v>
      </c>
      <c r="T38" s="263">
        <f t="shared" si="6"/>
        <v>1600</v>
      </c>
      <c r="U38" s="269">
        <f>IF('Employee Detail FY27'!U38="","",'Employee Detail FY27'!U38)</f>
        <v>63148</v>
      </c>
      <c r="V38" s="270">
        <f t="shared" si="7"/>
        <v>74514.64</v>
      </c>
      <c r="W38" s="270" t="str">
        <f t="shared" si="8"/>
        <v/>
      </c>
      <c r="X38" s="270">
        <f t="shared" si="9"/>
        <v>74514.64</v>
      </c>
      <c r="Y38" s="62">
        <v>0</v>
      </c>
      <c r="Z38" s="62">
        <v>0</v>
      </c>
      <c r="AA38" s="256">
        <f t="shared" si="10"/>
        <v>74514.64</v>
      </c>
      <c r="AB38" s="3"/>
      <c r="AC38" s="62">
        <f t="shared" si="11"/>
        <v>7943.76</v>
      </c>
      <c r="AD38" s="62" t="str">
        <f t="shared" si="12"/>
        <v/>
      </c>
      <c r="AE38" s="62">
        <f t="shared" si="13"/>
        <v>21795.532199999998</v>
      </c>
      <c r="AF38" s="62">
        <f t="shared" si="14"/>
        <v>1080.46228</v>
      </c>
      <c r="AG38" s="192">
        <v>0</v>
      </c>
      <c r="AH38" s="62">
        <f t="shared" si="15"/>
        <v>678.25729816558419</v>
      </c>
      <c r="AI38" s="62">
        <f t="shared" si="16"/>
        <v>219.46042157914746</v>
      </c>
      <c r="AJ38" s="62"/>
      <c r="AK38" s="62">
        <v>0</v>
      </c>
      <c r="AL38" s="256">
        <f t="shared" si="17"/>
        <v>31717.472199744727</v>
      </c>
      <c r="AM38" s="256">
        <f t="shared" si="18"/>
        <v>74514.64</v>
      </c>
      <c r="AN38" s="256">
        <f t="shared" si="19"/>
        <v>106232.11219974473</v>
      </c>
    </row>
    <row r="39" spans="1:40" x14ac:dyDescent="0.2">
      <c r="A39" s="3" t="str">
        <f>IF('Employee Detail FY27'!A39="","",'Employee Detail FY27'!A39)</f>
        <v>CSP</v>
      </c>
      <c r="B39" s="3" t="str">
        <f>IF('Employee Detail FY27'!B39="","",'Employee Detail FY27'!B39)</f>
        <v>100</v>
      </c>
      <c r="C39" s="3" t="str">
        <f>IF('Employee Detail FY27'!C39="","",'Employee Detail FY27'!C39)</f>
        <v>000</v>
      </c>
      <c r="D39" s="3"/>
      <c r="E39" s="3">
        <f>IF('Employee Detail FY27'!E39="","",'Employee Detail FY27'!E39)</f>
        <v>100</v>
      </c>
      <c r="F39" s="3" t="str">
        <f>IF('Employee Detail FY27'!F39="","",'Employee Detail FY27'!F39)</f>
        <v>1000</v>
      </c>
      <c r="G39" s="3" t="str">
        <f>IF('Employee Detail FY27'!G39="","",'Employee Detail FY27'!G39)</f>
        <v>0101</v>
      </c>
      <c r="H39" s="3"/>
      <c r="I39" s="255" t="str">
        <f>IF('Employee Detail FY27'!I39="","",'Employee Detail FY27'!I39)</f>
        <v>RODILOSSO</v>
      </c>
      <c r="J39" s="255" t="str">
        <f>IF('Employee Detail FY27'!J39="","",'Employee Detail FY27'!J39)</f>
        <v>KRISTINA</v>
      </c>
      <c r="K39" s="255" t="str">
        <f>IF('Employee Detail FY27'!K39="","",'Employee Detail FY27'!K39)</f>
        <v>Licensed Staff</v>
      </c>
      <c r="L39" s="255" t="str">
        <f>IF('Employee Detail FY27'!L39="","",'Employee Detail FY27'!L39)</f>
        <v>BLENDED LEARNING FACILITATOR</v>
      </c>
      <c r="M39" s="92">
        <f>IF('Employee Detail FY27'!M39="","",'Employee Detail FY27'!M39)</f>
        <v>1</v>
      </c>
      <c r="N39" s="3" t="str">
        <f>IF('Employee Detail FY27'!N39="","",'Employee Detail FY27'!N39)</f>
        <v/>
      </c>
      <c r="O39" s="3">
        <f>IF('Employee Detail FY27'!O39="","",'Employee Detail FY27'!O39)</f>
        <v>26</v>
      </c>
      <c r="P39" s="3" t="str">
        <f>IF('Employee Detail FY27'!P39="","",'Employee Detail FY27'!P39)</f>
        <v>EE</v>
      </c>
      <c r="Q39" s="3" t="str">
        <f>IF('Employee Detail FY27'!Q39="","",'Employee Detail FY27'!Q39)</f>
        <v/>
      </c>
      <c r="R39" s="3">
        <f>IF('Employee Detail FY27'!R39="","",'Employee Detail FY27'!R39)</f>
        <v>200</v>
      </c>
      <c r="S39" s="3">
        <f>IF('Employee Detail FY27'!S39="","",'Employee Detail FY27'!S39)</f>
        <v>8</v>
      </c>
      <c r="T39" s="263">
        <f t="shared" si="6"/>
        <v>1600</v>
      </c>
      <c r="U39" s="269">
        <f>IF('Employee Detail FY27'!U39="","",'Employee Detail FY27'!U39)</f>
        <v>57896</v>
      </c>
      <c r="V39" s="270">
        <f t="shared" si="7"/>
        <v>68317.279999999999</v>
      </c>
      <c r="W39" s="270">
        <f t="shared" si="8"/>
        <v>78809.857766079993</v>
      </c>
      <c r="X39" s="270">
        <f t="shared" si="9"/>
        <v>78809.857766079993</v>
      </c>
      <c r="Y39" s="62">
        <v>0</v>
      </c>
      <c r="Z39" s="62">
        <v>0</v>
      </c>
      <c r="AA39" s="256">
        <f t="shared" si="10"/>
        <v>78809.857766079993</v>
      </c>
      <c r="AB39" s="3"/>
      <c r="AC39" s="62">
        <f t="shared" si="11"/>
        <v>7943.76</v>
      </c>
      <c r="AD39" s="62" t="str">
        <f t="shared" si="12"/>
        <v/>
      </c>
      <c r="AE39" s="62">
        <f t="shared" si="13"/>
        <v>12018.5033093272</v>
      </c>
      <c r="AF39" s="62">
        <f t="shared" si="14"/>
        <v>1142.74293760816</v>
      </c>
      <c r="AG39" s="192">
        <v>0</v>
      </c>
      <c r="AH39" s="62">
        <f t="shared" si="15"/>
        <v>717.353813924826</v>
      </c>
      <c r="AI39" s="62">
        <f t="shared" si="16"/>
        <v>232.11069140153617</v>
      </c>
      <c r="AJ39" s="62"/>
      <c r="AK39" s="62">
        <v>0</v>
      </c>
      <c r="AL39" s="256">
        <f t="shared" si="17"/>
        <v>22054.470752261725</v>
      </c>
      <c r="AM39" s="256">
        <f t="shared" si="18"/>
        <v>78809.857766079993</v>
      </c>
      <c r="AN39" s="256">
        <f t="shared" si="19"/>
        <v>100864.32851834172</v>
      </c>
    </row>
    <row r="40" spans="1:40" x14ac:dyDescent="0.2">
      <c r="A40" s="3" t="str">
        <f>IF('Employee Detail FY27'!A40="","",'Employee Detail FY27'!A40)</f>
        <v>TITLE Ia</v>
      </c>
      <c r="B40" s="3">
        <f>IF('Employee Detail FY27'!B40="","",'Employee Detail FY27'!B40)</f>
        <v>280</v>
      </c>
      <c r="C40" s="3">
        <f>IF('Employee Detail FY27'!C40="","",'Employee Detail FY27'!C40)</f>
        <v>633</v>
      </c>
      <c r="D40" s="3"/>
      <c r="E40" s="3">
        <f>IF('Employee Detail FY27'!E40="","",'Employee Detail FY27'!E40)</f>
        <v>430</v>
      </c>
      <c r="F40" s="3">
        <f>IF('Employee Detail FY27'!F40="","",'Employee Detail FY27'!F40)</f>
        <v>2210</v>
      </c>
      <c r="G40" s="3" t="str">
        <f>IF('Employee Detail FY27'!G40="","",'Employee Detail FY27'!G40)</f>
        <v>0101</v>
      </c>
      <c r="H40" s="3"/>
      <c r="I40" s="255" t="str">
        <f>IF('Employee Detail FY27'!I40="","",'Employee Detail FY27'!I40)</f>
        <v>WILNEWIC</v>
      </c>
      <c r="J40" s="255" t="str">
        <f>IF('Employee Detail FY27'!J40="","",'Employee Detail FY27'!J40)</f>
        <v>Jennifer</v>
      </c>
      <c r="K40" s="255" t="str">
        <f>IF('Employee Detail FY27'!K40="","",'Employee Detail FY27'!K40)</f>
        <v>Licensed Staff</v>
      </c>
      <c r="L40" s="255" t="str">
        <f>IF('Employee Detail FY27'!L40="","",'Employee Detail FY27'!L40)</f>
        <v>MATH FACILITATOR</v>
      </c>
      <c r="M40" s="92">
        <f>IF('Employee Detail FY27'!M40="","",'Employee Detail FY27'!M40)</f>
        <v>1</v>
      </c>
      <c r="N40" s="3" t="str">
        <f>IF('Employee Detail FY27'!N40="","",'Employee Detail FY27'!N40)</f>
        <v/>
      </c>
      <c r="O40" s="3">
        <f>IF('Employee Detail FY27'!O40="","",'Employee Detail FY27'!O40)</f>
        <v>26</v>
      </c>
      <c r="P40" s="3" t="str">
        <f>IF('Employee Detail FY27'!P40="","",'Employee Detail FY27'!P40)</f>
        <v>EE</v>
      </c>
      <c r="Q40" s="3" t="str">
        <f>IF('Employee Detail FY27'!Q40="","",'Employee Detail FY27'!Q40)</f>
        <v/>
      </c>
      <c r="R40" s="3">
        <f>IF('Employee Detail FY27'!R40="","",'Employee Detail FY27'!R40)</f>
        <v>200</v>
      </c>
      <c r="S40" s="3">
        <f>IF('Employee Detail FY27'!S40="","",'Employee Detail FY27'!S40)</f>
        <v>8</v>
      </c>
      <c r="T40" s="263">
        <f t="shared" si="6"/>
        <v>1600</v>
      </c>
      <c r="U40" s="269">
        <f>IF('Employee Detail FY27'!U40="","",'Employee Detail FY27'!U40)</f>
        <v>64411</v>
      </c>
      <c r="V40" s="270">
        <f t="shared" si="7"/>
        <v>76004.98</v>
      </c>
      <c r="W40" s="270">
        <f t="shared" si="8"/>
        <v>87678.280858279992</v>
      </c>
      <c r="X40" s="270">
        <f t="shared" si="9"/>
        <v>87678.280858279992</v>
      </c>
      <c r="Y40" s="62">
        <v>0</v>
      </c>
      <c r="Z40" s="62">
        <v>0</v>
      </c>
      <c r="AA40" s="256">
        <f t="shared" si="10"/>
        <v>87678.280858279992</v>
      </c>
      <c r="AB40" s="3"/>
      <c r="AC40" s="62">
        <f t="shared" si="11"/>
        <v>7943.76</v>
      </c>
      <c r="AD40" s="62" t="str">
        <f t="shared" si="12"/>
        <v/>
      </c>
      <c r="AE40" s="62">
        <f t="shared" si="13"/>
        <v>13370.937830887699</v>
      </c>
      <c r="AF40" s="62">
        <f t="shared" si="14"/>
        <v>1271.33507244506</v>
      </c>
      <c r="AG40" s="192">
        <v>0</v>
      </c>
      <c r="AH40" s="62">
        <f t="shared" si="15"/>
        <v>798.07718164833432</v>
      </c>
      <c r="AI40" s="62">
        <f t="shared" si="16"/>
        <v>258.22995964944636</v>
      </c>
      <c r="AJ40" s="62"/>
      <c r="AK40" s="62">
        <v>0</v>
      </c>
      <c r="AL40" s="256">
        <f t="shared" si="17"/>
        <v>23642.340044630542</v>
      </c>
      <c r="AM40" s="256">
        <f t="shared" si="18"/>
        <v>87678.280858279992</v>
      </c>
      <c r="AN40" s="256">
        <f t="shared" si="19"/>
        <v>111320.62090291054</v>
      </c>
    </row>
    <row r="41" spans="1:40" x14ac:dyDescent="0.2">
      <c r="A41" s="3" t="str">
        <f>IF('Employee Detail FY27'!A41="","",'Employee Detail FY27'!A41)</f>
        <v/>
      </c>
      <c r="B41" s="3" t="str">
        <f>IF('Employee Detail FY27'!B41="","",'Employee Detail FY27'!B41)</f>
        <v/>
      </c>
      <c r="C41" s="3" t="str">
        <f>IF('Employee Detail FY27'!C41="","",'Employee Detail FY27'!C41)</f>
        <v/>
      </c>
      <c r="D41" s="3"/>
      <c r="E41" s="3" t="str">
        <f>IF('Employee Detail FY27'!E41="","",'Employee Detail FY27'!E41)</f>
        <v/>
      </c>
      <c r="F41" s="3" t="str">
        <f>IF('Employee Detail FY27'!F41="","",'Employee Detail FY27'!F41)</f>
        <v/>
      </c>
      <c r="G41" s="3" t="str">
        <f>IF('Employee Detail FY27'!G41="","",'Employee Detail FY27'!G41)</f>
        <v/>
      </c>
      <c r="H41" s="3"/>
      <c r="I41" s="255" t="str">
        <f>IF('Employee Detail FY27'!I41="","",'Employee Detail FY27'!I41)</f>
        <v/>
      </c>
      <c r="J41" s="255" t="str">
        <f>IF('Employee Detail FY27'!J41="","",'Employee Detail FY27'!J41)</f>
        <v/>
      </c>
      <c r="K41" s="255" t="str">
        <f>IF('Employee Detail FY27'!K41="","",'Employee Detail FY27'!K41)</f>
        <v/>
      </c>
      <c r="L41" s="255"/>
      <c r="M41" s="92" t="str">
        <f>IF('Employee Detail FY27'!M41="","",'Employee Detail FY27'!M41)</f>
        <v/>
      </c>
      <c r="N41" s="3" t="str">
        <f>IF('Employee Detail FY27'!N41="","",'Employee Detail FY27'!N41)</f>
        <v/>
      </c>
      <c r="O41" s="3" t="str">
        <f>IF('Employee Detail FY27'!O41="","",'Employee Detail FY27'!O41)</f>
        <v/>
      </c>
      <c r="P41" s="3" t="str">
        <f>IF('Employee Detail FY27'!P41="","",'Employee Detail FY27'!P41)</f>
        <v/>
      </c>
      <c r="Q41" s="3" t="str">
        <f>IF('Employee Detail FY27'!Q41="","",'Employee Detail FY27'!Q41)</f>
        <v/>
      </c>
      <c r="R41" s="3" t="str">
        <f>IF('Employee Detail FY27'!R41="","",'Employee Detail FY27'!R41)</f>
        <v/>
      </c>
      <c r="S41" s="3" t="str">
        <f>IF('Employee Detail FY27'!S41="","",'Employee Detail FY27'!S41)</f>
        <v/>
      </c>
      <c r="T41" s="263" t="str">
        <f t="shared" si="6"/>
        <v/>
      </c>
      <c r="U41" s="269" t="str">
        <f>IF('Employee Detail FY27'!U41="","",'Employee Detail FY27'!U41)</f>
        <v/>
      </c>
      <c r="V41" s="270" t="str">
        <f t="shared" si="7"/>
        <v/>
      </c>
      <c r="W41" s="270" t="str">
        <f t="shared" si="8"/>
        <v/>
      </c>
      <c r="X41" s="270" t="str">
        <f t="shared" si="9"/>
        <v/>
      </c>
      <c r="Y41" s="62">
        <v>0</v>
      </c>
      <c r="Z41" s="62">
        <v>0</v>
      </c>
      <c r="AA41" s="256">
        <f t="shared" si="10"/>
        <v>0</v>
      </c>
      <c r="AB41" s="3"/>
      <c r="AC41" s="62" t="str">
        <f t="shared" si="11"/>
        <v/>
      </c>
      <c r="AD41" s="62" t="str">
        <f t="shared" si="12"/>
        <v/>
      </c>
      <c r="AE41" s="62" t="str">
        <f t="shared" si="13"/>
        <v/>
      </c>
      <c r="AF41" s="62" t="str">
        <f t="shared" si="14"/>
        <v/>
      </c>
      <c r="AG41" s="192">
        <v>0</v>
      </c>
      <c r="AH41" s="62" t="str">
        <f t="shared" si="15"/>
        <v/>
      </c>
      <c r="AI41" s="62">
        <f t="shared" si="16"/>
        <v>0</v>
      </c>
      <c r="AJ41" s="62"/>
      <c r="AK41" s="62">
        <v>0</v>
      </c>
      <c r="AL41" s="256">
        <f t="shared" si="17"/>
        <v>0</v>
      </c>
      <c r="AM41" s="256">
        <f t="shared" si="18"/>
        <v>0</v>
      </c>
      <c r="AN41" s="256">
        <f t="shared" si="19"/>
        <v>0</v>
      </c>
    </row>
    <row r="42" spans="1:40" x14ac:dyDescent="0.2">
      <c r="A42" s="3" t="str">
        <f>IF('Employee Detail FY27'!A42="","",'Employee Detail FY27'!A42)</f>
        <v/>
      </c>
      <c r="B42" s="3" t="str">
        <f>IF('Employee Detail FY27'!B42="","",'Employee Detail FY27'!B42)</f>
        <v>250</v>
      </c>
      <c r="C42" s="3" t="str">
        <f>IF('Employee Detail FY27'!C42="","",'Employee Detail FY27'!C42)</f>
        <v>000</v>
      </c>
      <c r="D42" s="3"/>
      <c r="E42" s="3" t="str">
        <f>IF('Employee Detail FY27'!E42="","",'Employee Detail FY27'!E42)</f>
        <v>200</v>
      </c>
      <c r="F42" s="3" t="str">
        <f>IF('Employee Detail FY27'!F42="","",'Employee Detail FY27'!F42)</f>
        <v>1000</v>
      </c>
      <c r="G42" s="3" t="str">
        <f>IF('Employee Detail FY27'!G42="","",'Employee Detail FY27'!G42)</f>
        <v>0101</v>
      </c>
      <c r="H42" s="3"/>
      <c r="I42" s="255" t="str">
        <f>IF('Employee Detail FY27'!I42="","",'Employee Detail FY27'!I42)</f>
        <v>SIMAO</v>
      </c>
      <c r="J42" s="255" t="str">
        <f>IF('Employee Detail FY27'!J42="","",'Employee Detail FY27'!J42)</f>
        <v>MICHAEL</v>
      </c>
      <c r="K42" s="255" t="str">
        <f>IF('Employee Detail FY27'!K42="","",'Employee Detail FY27'!K42)</f>
        <v>Licensed Staff</v>
      </c>
      <c r="L42" s="255" t="str">
        <f>IF('Employee Detail FY27'!L42="","",'Employee Detail FY27'!L42)</f>
        <v>SPED FACILITATOR</v>
      </c>
      <c r="M42" s="92">
        <f>IF('Employee Detail FY27'!M42="","",'Employee Detail FY27'!M42)</f>
        <v>1</v>
      </c>
      <c r="N42" s="3" t="str">
        <f>IF('Employee Detail FY27'!N42="","",'Employee Detail FY27'!N42)</f>
        <v/>
      </c>
      <c r="O42" s="3">
        <f>IF('Employee Detail FY27'!O42="","",'Employee Detail FY27'!O42)</f>
        <v>26</v>
      </c>
      <c r="P42" s="3" t="str">
        <f>IF('Employee Detail FY27'!P42="","",'Employee Detail FY27'!P42)</f>
        <v>ER</v>
      </c>
      <c r="Q42" s="3" t="str">
        <f>IF('Employee Detail FY27'!Q42="","",'Employee Detail FY27'!Q42)</f>
        <v/>
      </c>
      <c r="R42" s="3">
        <f>IF('Employee Detail FY27'!R42="","",'Employee Detail FY27'!R42)</f>
        <v>261</v>
      </c>
      <c r="S42" s="3">
        <f>IF('Employee Detail FY27'!S42="","",'Employee Detail FY27'!S42)</f>
        <v>8</v>
      </c>
      <c r="T42" s="263">
        <f t="shared" si="6"/>
        <v>2088</v>
      </c>
      <c r="U42" s="269">
        <f>IF('Employee Detail FY27'!U42="","",'Employee Detail FY27'!U42)</f>
        <v>65000</v>
      </c>
      <c r="V42" s="270">
        <f t="shared" si="7"/>
        <v>76700</v>
      </c>
      <c r="W42" s="270" t="str">
        <f t="shared" si="8"/>
        <v/>
      </c>
      <c r="X42" s="270">
        <f t="shared" si="9"/>
        <v>76700</v>
      </c>
      <c r="Y42" s="62">
        <v>0</v>
      </c>
      <c r="Z42" s="62">
        <v>0</v>
      </c>
      <c r="AA42" s="256">
        <f t="shared" si="10"/>
        <v>76700</v>
      </c>
      <c r="AB42" s="3"/>
      <c r="AC42" s="62">
        <f t="shared" si="11"/>
        <v>7943.76</v>
      </c>
      <c r="AD42" s="62" t="str">
        <f t="shared" si="12"/>
        <v/>
      </c>
      <c r="AE42" s="62">
        <f t="shared" si="13"/>
        <v>22434.75</v>
      </c>
      <c r="AF42" s="62">
        <f t="shared" si="14"/>
        <v>1112.1500000000001</v>
      </c>
      <c r="AG42" s="192">
        <v>0</v>
      </c>
      <c r="AH42" s="62">
        <f t="shared" si="15"/>
        <v>698.14917940018643</v>
      </c>
      <c r="AI42" s="62">
        <f t="shared" si="16"/>
        <v>225.89674103130085</v>
      </c>
      <c r="AJ42" s="62"/>
      <c r="AK42" s="62">
        <v>0</v>
      </c>
      <c r="AL42" s="256">
        <f t="shared" si="17"/>
        <v>32414.70592043149</v>
      </c>
      <c r="AM42" s="256">
        <f t="shared" si="18"/>
        <v>76700</v>
      </c>
      <c r="AN42" s="256">
        <f t="shared" si="19"/>
        <v>109114.70592043149</v>
      </c>
    </row>
    <row r="43" spans="1:40" x14ac:dyDescent="0.2">
      <c r="A43" s="3" t="str">
        <f>IF('Employee Detail FY27'!A43="","",'Employee Detail FY27'!A43)</f>
        <v/>
      </c>
      <c r="B43" s="3" t="str">
        <f>IF('Employee Detail FY27'!B43="","",'Employee Detail FY27'!B43)</f>
        <v/>
      </c>
      <c r="C43" s="3" t="str">
        <f>IF('Employee Detail FY27'!C43="","",'Employee Detail FY27'!C43)</f>
        <v/>
      </c>
      <c r="D43" s="3"/>
      <c r="E43" s="3" t="str">
        <f>IF('Employee Detail FY27'!E43="","",'Employee Detail FY27'!E43)</f>
        <v/>
      </c>
      <c r="F43" s="3" t="str">
        <f>IF('Employee Detail FY27'!F43="","",'Employee Detail FY27'!F43)</f>
        <v/>
      </c>
      <c r="G43" s="3" t="str">
        <f>IF('Employee Detail FY27'!G43="","",'Employee Detail FY27'!G43)</f>
        <v/>
      </c>
      <c r="H43" s="3"/>
      <c r="I43" s="255" t="str">
        <f>IF('Employee Detail FY27'!I43="","",'Employee Detail FY27'!I43)</f>
        <v/>
      </c>
      <c r="J43" s="255" t="str">
        <f>IF('Employee Detail FY27'!J43="","",'Employee Detail FY27'!J43)</f>
        <v/>
      </c>
      <c r="K43" s="255" t="str">
        <f>IF('Employee Detail FY27'!K43="","",'Employee Detail FY27'!K43)</f>
        <v/>
      </c>
      <c r="L43" s="255" t="str">
        <f>IF('Employee Detail FY27'!L43="","",'Employee Detail FY27'!L43)</f>
        <v/>
      </c>
      <c r="M43" s="92" t="str">
        <f>IF('Employee Detail FY27'!M43="","",'Employee Detail FY27'!M43)</f>
        <v/>
      </c>
      <c r="N43" s="3" t="str">
        <f>IF('Employee Detail FY27'!N43="","",'Employee Detail FY27'!N43)</f>
        <v/>
      </c>
      <c r="O43" s="3" t="str">
        <f>IF('Employee Detail FY27'!O43="","",'Employee Detail FY27'!O43)</f>
        <v/>
      </c>
      <c r="P43" s="3" t="str">
        <f>IF('Employee Detail FY27'!P43="","",'Employee Detail FY27'!P43)</f>
        <v/>
      </c>
      <c r="Q43" s="3" t="str">
        <f>IF('Employee Detail FY27'!Q43="","",'Employee Detail FY27'!Q43)</f>
        <v/>
      </c>
      <c r="R43" s="3" t="str">
        <f>IF('Employee Detail FY27'!R43="","",'Employee Detail FY27'!R43)</f>
        <v/>
      </c>
      <c r="S43" s="3" t="str">
        <f>IF('Employee Detail FY27'!S43="","",'Employee Detail FY27'!S43)</f>
        <v/>
      </c>
      <c r="T43" s="263" t="str">
        <f t="shared" si="6"/>
        <v/>
      </c>
      <c r="U43" s="269" t="str">
        <f>IF('Employee Detail FY27'!U43="","",'Employee Detail FY27'!U43)</f>
        <v/>
      </c>
      <c r="V43" s="270" t="str">
        <f t="shared" si="7"/>
        <v/>
      </c>
      <c r="W43" s="270" t="str">
        <f t="shared" si="8"/>
        <v/>
      </c>
      <c r="X43" s="270" t="str">
        <f t="shared" si="9"/>
        <v/>
      </c>
      <c r="Y43" s="62">
        <v>0</v>
      </c>
      <c r="Z43" s="62">
        <v>0</v>
      </c>
      <c r="AA43" s="256">
        <f t="shared" si="10"/>
        <v>0</v>
      </c>
      <c r="AB43" s="3"/>
      <c r="AC43" s="62" t="str">
        <f t="shared" si="11"/>
        <v/>
      </c>
      <c r="AD43" s="62" t="str">
        <f t="shared" si="12"/>
        <v/>
      </c>
      <c r="AE43" s="62" t="str">
        <f t="shared" si="13"/>
        <v/>
      </c>
      <c r="AF43" s="62" t="str">
        <f t="shared" si="14"/>
        <v/>
      </c>
      <c r="AG43" s="192">
        <v>0</v>
      </c>
      <c r="AH43" s="62" t="str">
        <f t="shared" si="15"/>
        <v/>
      </c>
      <c r="AI43" s="62">
        <f t="shared" si="16"/>
        <v>0</v>
      </c>
      <c r="AJ43" s="62"/>
      <c r="AK43" s="62">
        <v>0</v>
      </c>
      <c r="AL43" s="256">
        <f t="shared" si="17"/>
        <v>0</v>
      </c>
      <c r="AM43" s="256">
        <f t="shared" si="18"/>
        <v>0</v>
      </c>
      <c r="AN43" s="256">
        <f t="shared" si="19"/>
        <v>0</v>
      </c>
    </row>
    <row r="44" spans="1:40" x14ac:dyDescent="0.2">
      <c r="A44" s="3" t="str">
        <f>IF('Employee Detail FY27'!A44="","",'Employee Detail FY27'!A44)</f>
        <v/>
      </c>
      <c r="B44" s="3">
        <f>IF('Employee Detail FY27'!B44="","",'Employee Detail FY27'!B44)</f>
        <v>250</v>
      </c>
      <c r="C44" s="3" t="str">
        <f>IF('Employee Detail FY27'!C44="","",'Employee Detail FY27'!C44)</f>
        <v>205</v>
      </c>
      <c r="D44" s="3"/>
      <c r="E44" s="3">
        <f>IF('Employee Detail FY27'!E44="","",'Employee Detail FY27'!E44)</f>
        <v>200</v>
      </c>
      <c r="F44" s="3">
        <f>IF('Employee Detail FY27'!F44="","",'Employee Detail FY27'!F44)</f>
        <v>2140</v>
      </c>
      <c r="G44" s="3" t="str">
        <f>IF('Employee Detail FY27'!G44="","",'Employee Detail FY27'!G44)</f>
        <v>0106</v>
      </c>
      <c r="H44" s="3"/>
      <c r="I44" s="255" t="str">
        <f>IF('Employee Detail FY27'!I44="","",'Employee Detail FY27'!I44)</f>
        <v>NASH</v>
      </c>
      <c r="J44" s="255" t="str">
        <f>IF('Employee Detail FY27'!J44="","",'Employee Detail FY27'!J44)</f>
        <v>Mala</v>
      </c>
      <c r="K44" s="255" t="str">
        <f>IF('Employee Detail FY27'!K44="","",'Employee Detail FY27'!K44)</f>
        <v>Licensed Support Staff</v>
      </c>
      <c r="L44" s="255" t="str">
        <f>IF('Employee Detail FY27'!L44="","",'Employee Detail FY27'!L44)</f>
        <v>PSYCHOLOGIST</v>
      </c>
      <c r="M44" s="92">
        <f>IF('Employee Detail FY27'!M44="","",'Employee Detail FY27'!M44)</f>
        <v>1</v>
      </c>
      <c r="N44" s="3" t="str">
        <f>IF('Employee Detail FY27'!N44="","",'Employee Detail FY27'!N44)</f>
        <v/>
      </c>
      <c r="O44" s="3">
        <f>IF('Employee Detail FY27'!O44="","",'Employee Detail FY27'!O44)</f>
        <v>26</v>
      </c>
      <c r="P44" s="3" t="str">
        <f>IF('Employee Detail FY27'!P44="","",'Employee Detail FY27'!P44)</f>
        <v>EE</v>
      </c>
      <c r="Q44" s="3" t="str">
        <f>IF('Employee Detail FY27'!Q44="","",'Employee Detail FY27'!Q44)</f>
        <v/>
      </c>
      <c r="R44" s="3">
        <f>IF('Employee Detail FY27'!R44="","",'Employee Detail FY27'!R44)</f>
        <v>200</v>
      </c>
      <c r="S44" s="3">
        <f>IF('Employee Detail FY27'!S44="","",'Employee Detail FY27'!S44)</f>
        <v>8</v>
      </c>
      <c r="T44" s="263">
        <f t="shared" si="6"/>
        <v>1600</v>
      </c>
      <c r="U44" s="269">
        <f>IF('Employee Detail FY27'!U44="","",'Employee Detail FY27'!U44)</f>
        <v>72768.800000000003</v>
      </c>
      <c r="V44" s="270">
        <f t="shared" si="7"/>
        <v>85867.183999999994</v>
      </c>
      <c r="W44" s="270">
        <f t="shared" si="8"/>
        <v>99055.181321823999</v>
      </c>
      <c r="X44" s="270">
        <f t="shared" si="9"/>
        <v>99055.181321823999</v>
      </c>
      <c r="Y44" s="62">
        <v>0</v>
      </c>
      <c r="Z44" s="62">
        <v>0</v>
      </c>
      <c r="AA44" s="256">
        <f t="shared" si="10"/>
        <v>99055.181321823999</v>
      </c>
      <c r="AB44" s="3"/>
      <c r="AC44" s="62">
        <f t="shared" si="11"/>
        <v>7943.76</v>
      </c>
      <c r="AD44" s="62" t="str">
        <f t="shared" si="12"/>
        <v/>
      </c>
      <c r="AE44" s="62">
        <f t="shared" si="13"/>
        <v>15105.91515157816</v>
      </c>
      <c r="AF44" s="62">
        <f t="shared" si="14"/>
        <v>1436.300129166448</v>
      </c>
      <c r="AG44" s="192">
        <v>0</v>
      </c>
      <c r="AH44" s="62">
        <f t="shared" si="15"/>
        <v>901.63355352240023</v>
      </c>
      <c r="AI44" s="62">
        <f t="shared" si="16"/>
        <v>291.73719221466263</v>
      </c>
      <c r="AJ44" s="62"/>
      <c r="AK44" s="62">
        <v>0</v>
      </c>
      <c r="AL44" s="256">
        <f t="shared" si="17"/>
        <v>25679.346026481668</v>
      </c>
      <c r="AM44" s="256">
        <f t="shared" si="18"/>
        <v>99055.181321823999</v>
      </c>
      <c r="AN44" s="256">
        <f t="shared" si="19"/>
        <v>124734.52734830567</v>
      </c>
    </row>
    <row r="45" spans="1:40" x14ac:dyDescent="0.2">
      <c r="A45" s="3" t="str">
        <f>IF('Employee Detail FY27'!A45="","",'Employee Detail FY27'!A45)</f>
        <v/>
      </c>
      <c r="B45" s="3" t="str">
        <f>IF('Employee Detail FY27'!B45="","",'Employee Detail FY27'!B45)</f>
        <v/>
      </c>
      <c r="C45" s="3" t="str">
        <f>IF('Employee Detail FY27'!C45="","",'Employee Detail FY27'!C45)</f>
        <v/>
      </c>
      <c r="D45" s="3"/>
      <c r="E45" s="3" t="str">
        <f>IF('Employee Detail FY27'!E45="","",'Employee Detail FY27'!E45)</f>
        <v/>
      </c>
      <c r="F45" s="3" t="str">
        <f>IF('Employee Detail FY27'!F45="","",'Employee Detail FY27'!F45)</f>
        <v/>
      </c>
      <c r="G45" s="3" t="str">
        <f>IF('Employee Detail FY27'!G45="","",'Employee Detail FY27'!G45)</f>
        <v/>
      </c>
      <c r="H45" s="3"/>
      <c r="I45" s="255" t="str">
        <f>IF('Employee Detail FY27'!I45="","",'Employee Detail FY27'!I45)</f>
        <v/>
      </c>
      <c r="J45" s="255" t="str">
        <f>IF('Employee Detail FY27'!J45="","",'Employee Detail FY27'!J45)</f>
        <v/>
      </c>
      <c r="K45" s="255" t="str">
        <f>IF('Employee Detail FY27'!K45="","",'Employee Detail FY27'!K45)</f>
        <v/>
      </c>
      <c r="L45" s="255" t="str">
        <f>IF('Employee Detail FY27'!L45="","",'Employee Detail FY27'!L45)</f>
        <v/>
      </c>
      <c r="M45" s="92" t="str">
        <f>IF('Employee Detail FY27'!M45="","",'Employee Detail FY27'!M45)</f>
        <v/>
      </c>
      <c r="N45" s="3" t="str">
        <f>IF('Employee Detail FY27'!N45="","",'Employee Detail FY27'!N45)</f>
        <v/>
      </c>
      <c r="O45" s="3" t="str">
        <f>IF('Employee Detail FY27'!O45="","",'Employee Detail FY27'!O45)</f>
        <v/>
      </c>
      <c r="P45" s="3" t="str">
        <f>IF('Employee Detail FY27'!P45="","",'Employee Detail FY27'!P45)</f>
        <v/>
      </c>
      <c r="Q45" s="3" t="str">
        <f>IF('Employee Detail FY27'!Q45="","",'Employee Detail FY27'!Q45)</f>
        <v/>
      </c>
      <c r="R45" s="3" t="str">
        <f>IF('Employee Detail FY27'!R45="","",'Employee Detail FY27'!R45)</f>
        <v/>
      </c>
      <c r="S45" s="3" t="str">
        <f>IF('Employee Detail FY27'!S45="","",'Employee Detail FY27'!S45)</f>
        <v/>
      </c>
      <c r="T45" s="263" t="str">
        <f t="shared" si="6"/>
        <v/>
      </c>
      <c r="U45" s="269" t="str">
        <f>IF('Employee Detail FY27'!U45="","",'Employee Detail FY27'!U45)</f>
        <v/>
      </c>
      <c r="V45" s="270" t="str">
        <f t="shared" si="7"/>
        <v/>
      </c>
      <c r="W45" s="270" t="str">
        <f t="shared" si="8"/>
        <v/>
      </c>
      <c r="X45" s="270" t="str">
        <f t="shared" si="9"/>
        <v/>
      </c>
      <c r="Y45" s="62">
        <v>0</v>
      </c>
      <c r="Z45" s="62">
        <v>0</v>
      </c>
      <c r="AA45" s="256">
        <f t="shared" si="10"/>
        <v>0</v>
      </c>
      <c r="AB45" s="3"/>
      <c r="AC45" s="62" t="str">
        <f t="shared" si="11"/>
        <v/>
      </c>
      <c r="AD45" s="62" t="str">
        <f t="shared" si="12"/>
        <v/>
      </c>
      <c r="AE45" s="62" t="str">
        <f t="shared" si="13"/>
        <v/>
      </c>
      <c r="AF45" s="62" t="str">
        <f t="shared" si="14"/>
        <v/>
      </c>
      <c r="AG45" s="192">
        <v>0</v>
      </c>
      <c r="AH45" s="62" t="str">
        <f t="shared" si="15"/>
        <v/>
      </c>
      <c r="AI45" s="62">
        <f t="shared" si="16"/>
        <v>0</v>
      </c>
      <c r="AJ45" s="62"/>
      <c r="AK45" s="62">
        <v>0</v>
      </c>
      <c r="AL45" s="256">
        <f t="shared" si="17"/>
        <v>0</v>
      </c>
      <c r="AM45" s="256">
        <f t="shared" si="18"/>
        <v>0</v>
      </c>
      <c r="AN45" s="256">
        <f t="shared" si="19"/>
        <v>0</v>
      </c>
    </row>
    <row r="46" spans="1:40" x14ac:dyDescent="0.2">
      <c r="A46" s="3" t="str">
        <f>IF('Employee Detail FY27'!A46="","",'Employee Detail FY27'!A46)</f>
        <v/>
      </c>
      <c r="B46" s="3">
        <f>IF('Employee Detail FY27'!B46="","",'Employee Detail FY27'!B46)</f>
        <v>250</v>
      </c>
      <c r="C46" s="3" t="str">
        <f>IF('Employee Detail FY27'!C46="","",'Employee Detail FY27'!C46)</f>
        <v>205</v>
      </c>
      <c r="D46" s="3"/>
      <c r="E46" s="3" t="str">
        <f>IF('Employee Detail FY27'!E46="","",'Employee Detail FY27'!E46)</f>
        <v>200</v>
      </c>
      <c r="F46" s="3">
        <f>IF('Employee Detail FY27'!F46="","",'Employee Detail FY27'!F46)</f>
        <v>2130</v>
      </c>
      <c r="G46" s="3" t="str">
        <f>IF('Employee Detail FY27'!G46="","",'Employee Detail FY27'!G46)</f>
        <v>0106</v>
      </c>
      <c r="H46" s="3"/>
      <c r="I46" s="255" t="str">
        <f>IF('Employee Detail FY27'!I46="","",'Employee Detail FY27'!I46)</f>
        <v>LAGRUTTA</v>
      </c>
      <c r="J46" s="255" t="str">
        <f>IF('Employee Detail FY27'!J46="","",'Employee Detail FY27'!J46)</f>
        <v>JUDY</v>
      </c>
      <c r="K46" s="255" t="str">
        <f>IF('Employee Detail FY27'!K46="","",'Employee Detail FY27'!K46)</f>
        <v>Licensed Support Staff</v>
      </c>
      <c r="L46" s="255" t="str">
        <f>IF('Employee Detail FY27'!L46="","",'Employee Detail FY27'!L46)</f>
        <v>NURSE</v>
      </c>
      <c r="M46" s="92">
        <f>IF('Employee Detail FY27'!M46="","",'Employee Detail FY27'!M46)</f>
        <v>0.3</v>
      </c>
      <c r="N46" s="3">
        <f>IF('Employee Detail FY27'!N46="","",'Employee Detail FY27'!N46)</f>
        <v>45</v>
      </c>
      <c r="O46" s="3">
        <f>IF('Employee Detail FY27'!O46="","",'Employee Detail FY27'!O46)</f>
        <v>26</v>
      </c>
      <c r="P46" s="3" t="str">
        <f>IF('Employee Detail FY27'!P46="","",'Employee Detail FY27'!P46)</f>
        <v>N</v>
      </c>
      <c r="Q46" s="3">
        <f>IF('Employee Detail FY27'!Q46="","",'Employee Detail FY27'!Q46)</f>
        <v>45</v>
      </c>
      <c r="R46" s="3">
        <f>IF('Employee Detail FY27'!R46="","",'Employee Detail FY27'!R46)</f>
        <v>1</v>
      </c>
      <c r="S46" s="3">
        <f>IF('Employee Detail FY27'!S46="","",'Employee Detail FY27'!S46)</f>
        <v>524</v>
      </c>
      <c r="T46" s="263">
        <f t="shared" si="6"/>
        <v>524</v>
      </c>
      <c r="U46" s="269">
        <f>IF('Employee Detail FY27'!U46="","",'Employee Detail FY27'!U46)</f>
        <v>23580</v>
      </c>
      <c r="V46" s="270">
        <f t="shared" si="7"/>
        <v>27824.399999999998</v>
      </c>
      <c r="W46" s="270" t="str">
        <f t="shared" si="8"/>
        <v/>
      </c>
      <c r="X46" s="270">
        <f t="shared" si="9"/>
        <v>27824.399999999998</v>
      </c>
      <c r="Y46" s="62">
        <v>0</v>
      </c>
      <c r="Z46" s="62">
        <v>0</v>
      </c>
      <c r="AA46" s="256">
        <f t="shared" si="10"/>
        <v>27824.399999999998</v>
      </c>
      <c r="AB46" s="3"/>
      <c r="AC46" s="62" t="str">
        <f t="shared" si="11"/>
        <v/>
      </c>
      <c r="AD46" s="62">
        <f t="shared" si="12"/>
        <v>1725.1127999999999</v>
      </c>
      <c r="AE46" s="62" t="str">
        <f t="shared" si="13"/>
        <v/>
      </c>
      <c r="AF46" s="62">
        <f t="shared" si="14"/>
        <v>403.4538</v>
      </c>
      <c r="AG46" s="192">
        <v>0</v>
      </c>
      <c r="AH46" s="62">
        <f t="shared" si="15"/>
        <v>253.2670407731753</v>
      </c>
      <c r="AI46" s="62">
        <f t="shared" si="16"/>
        <v>81.948386977201125</v>
      </c>
      <c r="AJ46" s="62"/>
      <c r="AK46" s="62">
        <v>0</v>
      </c>
      <c r="AL46" s="256">
        <f t="shared" si="17"/>
        <v>2463.7820277503765</v>
      </c>
      <c r="AM46" s="256">
        <f t="shared" si="18"/>
        <v>27824.399999999998</v>
      </c>
      <c r="AN46" s="256">
        <f t="shared" si="19"/>
        <v>30288.182027750376</v>
      </c>
    </row>
    <row r="47" spans="1:40" x14ac:dyDescent="0.2">
      <c r="A47" s="3" t="str">
        <f>IF('Employee Detail FY27'!A47="","",'Employee Detail FY27'!A47)</f>
        <v>TITLE IV</v>
      </c>
      <c r="B47" s="3">
        <f>IF('Employee Detail FY27'!B47="","",'Employee Detail FY27'!B47)</f>
        <v>280</v>
      </c>
      <c r="C47" s="3">
        <f>IF('Employee Detail FY27'!C47="","",'Employee Detail FY27'!C47)</f>
        <v>715</v>
      </c>
      <c r="D47" s="3"/>
      <c r="E47" s="3">
        <f>IF('Employee Detail FY27'!E47="","",'Employee Detail FY27'!E47)</f>
        <v>430</v>
      </c>
      <c r="F47" s="3">
        <f>IF('Employee Detail FY27'!F47="","",'Employee Detail FY27'!F47)</f>
        <v>2130</v>
      </c>
      <c r="G47" s="3" t="str">
        <f>IF('Employee Detail FY27'!G47="","",'Employee Detail FY27'!G47)</f>
        <v>0106</v>
      </c>
      <c r="H47" s="3"/>
      <c r="I47" s="255" t="str">
        <f>IF('Employee Detail FY27'!I47="","",'Employee Detail FY27'!I47)</f>
        <v>LAGRUTTA</v>
      </c>
      <c r="J47" s="255" t="str">
        <f>IF('Employee Detail FY27'!J47="","",'Employee Detail FY27'!J47)</f>
        <v>JUDY</v>
      </c>
      <c r="K47" s="255" t="str">
        <f>IF('Employee Detail FY27'!K47="","",'Employee Detail FY27'!K47)</f>
        <v>Licensed Support Staff</v>
      </c>
      <c r="L47" s="255" t="str">
        <f>IF('Employee Detail FY27'!L47="","",'Employee Detail FY27'!L47)</f>
        <v>NURSE</v>
      </c>
      <c r="M47" s="92">
        <f>IF('Employee Detail FY27'!M47="","",'Employee Detail FY27'!M47)</f>
        <v>0.2</v>
      </c>
      <c r="N47" s="3">
        <f>IF('Employee Detail FY27'!N47="","",'Employee Detail FY27'!N47)</f>
        <v>45</v>
      </c>
      <c r="O47" s="3">
        <f>IF('Employee Detail FY27'!O47="","",'Employee Detail FY27'!O47)</f>
        <v>26</v>
      </c>
      <c r="P47" s="3" t="str">
        <f>IF('Employee Detail FY27'!P47="","",'Employee Detail FY27'!P47)</f>
        <v>N</v>
      </c>
      <c r="Q47" s="3">
        <f>IF('Employee Detail FY27'!Q47="","",'Employee Detail FY27'!Q47)</f>
        <v>45</v>
      </c>
      <c r="R47" s="3">
        <f>IF('Employee Detail FY27'!R47="","",'Employee Detail FY27'!R47)</f>
        <v>1</v>
      </c>
      <c r="S47" s="3">
        <f>IF('Employee Detail FY27'!S47="","",'Employee Detail FY27'!S47)</f>
        <v>258.75555555555553</v>
      </c>
      <c r="T47" s="263">
        <f t="shared" si="6"/>
        <v>258.75555555555553</v>
      </c>
      <c r="U47" s="269">
        <f>IF('Employee Detail FY27'!U47="","",'Employee Detail FY27'!U47)</f>
        <v>11643.999999999998</v>
      </c>
      <c r="V47" s="270">
        <f t="shared" si="7"/>
        <v>13739.919999999996</v>
      </c>
      <c r="W47" s="270" t="str">
        <f t="shared" si="8"/>
        <v/>
      </c>
      <c r="X47" s="270">
        <f t="shared" si="9"/>
        <v>13739.919999999996</v>
      </c>
      <c r="Y47" s="62">
        <v>0</v>
      </c>
      <c r="Z47" s="62">
        <v>0</v>
      </c>
      <c r="AA47" s="256">
        <f t="shared" si="10"/>
        <v>13739.919999999996</v>
      </c>
      <c r="AB47" s="3"/>
      <c r="AC47" s="62" t="str">
        <f t="shared" si="11"/>
        <v/>
      </c>
      <c r="AD47" s="62">
        <f t="shared" si="12"/>
        <v>851.87503999999979</v>
      </c>
      <c r="AE47" s="62" t="str">
        <f t="shared" si="13"/>
        <v/>
      </c>
      <c r="AF47" s="62">
        <f t="shared" si="14"/>
        <v>199.22883999999996</v>
      </c>
      <c r="AG47" s="192">
        <v>0</v>
      </c>
      <c r="AH47" s="62">
        <f t="shared" si="15"/>
        <v>125.06536992208875</v>
      </c>
      <c r="AI47" s="62">
        <f t="shared" si="16"/>
        <v>40.466794654899481</v>
      </c>
      <c r="AJ47" s="62"/>
      <c r="AK47" s="62">
        <v>0</v>
      </c>
      <c r="AL47" s="256">
        <f t="shared" si="17"/>
        <v>1216.6360445769881</v>
      </c>
      <c r="AM47" s="256">
        <f t="shared" si="18"/>
        <v>13739.919999999996</v>
      </c>
      <c r="AN47" s="256">
        <f t="shared" si="19"/>
        <v>14956.556044576984</v>
      </c>
    </row>
    <row r="48" spans="1:40" x14ac:dyDescent="0.2">
      <c r="A48" s="3" t="str">
        <f>IF('Employee Detail FY27'!A48="","",'Employee Detail FY27'!A48)</f>
        <v/>
      </c>
      <c r="B48" s="3" t="str">
        <f>IF('Employee Detail FY27'!B48="","",'Employee Detail FY27'!B48)</f>
        <v/>
      </c>
      <c r="C48" s="3" t="str">
        <f>IF('Employee Detail FY27'!C48="","",'Employee Detail FY27'!C48)</f>
        <v/>
      </c>
      <c r="D48" s="3"/>
      <c r="E48" s="3" t="str">
        <f>IF('Employee Detail FY27'!E48="","",'Employee Detail FY27'!E48)</f>
        <v/>
      </c>
      <c r="F48" s="3" t="str">
        <f>IF('Employee Detail FY27'!F48="","",'Employee Detail FY27'!F48)</f>
        <v/>
      </c>
      <c r="G48" s="3" t="str">
        <f>IF('Employee Detail FY27'!G48="","",'Employee Detail FY27'!G48)</f>
        <v/>
      </c>
      <c r="H48" s="3"/>
      <c r="I48" s="255" t="str">
        <f>IF('Employee Detail FY27'!I48="","",'Employee Detail FY27'!I48)</f>
        <v/>
      </c>
      <c r="J48" s="255" t="str">
        <f>IF('Employee Detail FY27'!J48="","",'Employee Detail FY27'!J48)</f>
        <v/>
      </c>
      <c r="K48" s="255" t="str">
        <f>IF('Employee Detail FY27'!K48="","",'Employee Detail FY27'!K48)</f>
        <v/>
      </c>
      <c r="L48" s="255" t="str">
        <f>IF('Employee Detail FY27'!L48="","",'Employee Detail FY27'!L48)</f>
        <v/>
      </c>
      <c r="M48" s="92" t="str">
        <f>IF('Employee Detail FY27'!M48="","",'Employee Detail FY27'!M48)</f>
        <v/>
      </c>
      <c r="N48" s="3" t="str">
        <f>IF('Employee Detail FY27'!N48="","",'Employee Detail FY27'!N48)</f>
        <v/>
      </c>
      <c r="O48" s="3" t="str">
        <f>IF('Employee Detail FY27'!O48="","",'Employee Detail FY27'!O48)</f>
        <v/>
      </c>
      <c r="P48" s="3" t="str">
        <f>IF('Employee Detail FY27'!P48="","",'Employee Detail FY27'!P48)</f>
        <v/>
      </c>
      <c r="Q48" s="3" t="str">
        <f>IF('Employee Detail FY27'!Q48="","",'Employee Detail FY27'!Q48)</f>
        <v/>
      </c>
      <c r="R48" s="3" t="str">
        <f>IF('Employee Detail FY27'!R48="","",'Employee Detail FY27'!R48)</f>
        <v/>
      </c>
      <c r="S48" s="3" t="str">
        <f>IF('Employee Detail FY27'!S48="","",'Employee Detail FY27'!S48)</f>
        <v/>
      </c>
      <c r="T48" s="263" t="str">
        <f t="shared" si="6"/>
        <v/>
      </c>
      <c r="U48" s="269" t="str">
        <f>IF('Employee Detail FY27'!U48="","",'Employee Detail FY27'!U48)</f>
        <v/>
      </c>
      <c r="V48" s="270" t="str">
        <f t="shared" si="7"/>
        <v/>
      </c>
      <c r="W48" s="270" t="str">
        <f t="shared" si="8"/>
        <v/>
      </c>
      <c r="X48" s="270" t="str">
        <f t="shared" si="9"/>
        <v/>
      </c>
      <c r="Y48" s="62">
        <v>0</v>
      </c>
      <c r="Z48" s="62">
        <v>0</v>
      </c>
      <c r="AA48" s="256">
        <f t="shared" si="10"/>
        <v>0</v>
      </c>
      <c r="AB48" s="3"/>
      <c r="AC48" s="62" t="str">
        <f t="shared" si="11"/>
        <v/>
      </c>
      <c r="AD48" s="62" t="str">
        <f t="shared" si="12"/>
        <v/>
      </c>
      <c r="AE48" s="62" t="str">
        <f t="shared" si="13"/>
        <v/>
      </c>
      <c r="AF48" s="62" t="str">
        <f t="shared" si="14"/>
        <v/>
      </c>
      <c r="AG48" s="192">
        <v>0</v>
      </c>
      <c r="AH48" s="62" t="str">
        <f t="shared" si="15"/>
        <v/>
      </c>
      <c r="AI48" s="62">
        <f t="shared" si="16"/>
        <v>0</v>
      </c>
      <c r="AJ48" s="62"/>
      <c r="AK48" s="62">
        <v>0</v>
      </c>
      <c r="AL48" s="256">
        <f t="shared" si="17"/>
        <v>0</v>
      </c>
      <c r="AM48" s="256">
        <f t="shared" si="18"/>
        <v>0</v>
      </c>
      <c r="AN48" s="256">
        <f t="shared" si="19"/>
        <v>0</v>
      </c>
    </row>
    <row r="49" spans="1:40" x14ac:dyDescent="0.2">
      <c r="A49" s="3" t="str">
        <f>IF('Employee Detail FY27'!A49="","",'Employee Detail FY27'!A49)</f>
        <v/>
      </c>
      <c r="B49" s="3">
        <f>IF('Employee Detail FY27'!B49="","",'Employee Detail FY27'!B49)</f>
        <v>100</v>
      </c>
      <c r="C49" s="3" t="str">
        <f>IF('Employee Detail FY27'!C49="","",'Employee Detail FY27'!C49)</f>
        <v>000</v>
      </c>
      <c r="D49" s="3"/>
      <c r="E49" s="3">
        <f>IF('Employee Detail FY27'!E49="","",'Employee Detail FY27'!E49)</f>
        <v>100</v>
      </c>
      <c r="F49" s="3">
        <f>IF('Employee Detail FY27'!F49="","",'Employee Detail FY27'!F49)</f>
        <v>1000</v>
      </c>
      <c r="G49" s="3" t="str">
        <f>IF('Employee Detail FY27'!G49="","",'Employee Detail FY27'!G49)</f>
        <v>0102</v>
      </c>
      <c r="H49" s="3"/>
      <c r="I49" s="255" t="str">
        <f>IF('Employee Detail FY27'!I49="","",'Employee Detail FY27'!I49)</f>
        <v>CASUSO</v>
      </c>
      <c r="J49" s="255" t="str">
        <f>IF('Employee Detail FY27'!J49="","",'Employee Detail FY27'!J49)</f>
        <v>MONICA</v>
      </c>
      <c r="K49" s="255" t="str">
        <f>IF('Employee Detail FY27'!K49="","",'Employee Detail FY27'!K49)</f>
        <v>Support Staff</v>
      </c>
      <c r="L49" s="255" t="str">
        <f>IF('Employee Detail FY27'!L49="","",'Employee Detail FY27'!L49)</f>
        <v>BLENDED LEARNING TEACHER ASSISTANT</v>
      </c>
      <c r="M49" s="92">
        <f>IF('Employee Detail FY27'!M49="","",'Employee Detail FY27'!M49)</f>
        <v>1</v>
      </c>
      <c r="N49" s="3" t="str">
        <f>IF('Employee Detail FY27'!N49="","",'Employee Detail FY27'!N49)</f>
        <v>10</v>
      </c>
      <c r="O49" s="3">
        <f>IF('Employee Detail FY27'!O49="","",'Employee Detail FY27'!O49)</f>
        <v>22</v>
      </c>
      <c r="P49" s="3" t="str">
        <f>IF('Employee Detail FY27'!P49="","",'Employee Detail FY27'!P49)</f>
        <v>EE</v>
      </c>
      <c r="Q49" s="3">
        <f>IF('Employee Detail FY27'!Q49="","",'Employee Detail FY27'!Q49)</f>
        <v>25</v>
      </c>
      <c r="R49" s="3">
        <f>IF('Employee Detail FY27'!R49="","",'Employee Detail FY27'!R49)</f>
        <v>180</v>
      </c>
      <c r="S49" s="3">
        <f>IF('Employee Detail FY27'!S49="","",'Employee Detail FY27'!S49)</f>
        <v>7</v>
      </c>
      <c r="T49" s="263">
        <f t="shared" si="6"/>
        <v>1260</v>
      </c>
      <c r="U49" s="269">
        <f>IF('Employee Detail FY27'!U49="","",'Employee Detail FY27'!U49)</f>
        <v>31500</v>
      </c>
      <c r="V49" s="270">
        <f t="shared" si="7"/>
        <v>37170</v>
      </c>
      <c r="W49" s="270">
        <f t="shared" si="8"/>
        <v>42878.791620000004</v>
      </c>
      <c r="X49" s="270">
        <f t="shared" si="9"/>
        <v>42878.791620000004</v>
      </c>
      <c r="Y49" s="62">
        <v>0</v>
      </c>
      <c r="Z49" s="62">
        <v>0</v>
      </c>
      <c r="AA49" s="256">
        <f t="shared" si="10"/>
        <v>42878.791620000004</v>
      </c>
      <c r="AB49" s="3"/>
      <c r="AC49" s="62">
        <f t="shared" si="11"/>
        <v>7943.76</v>
      </c>
      <c r="AD49" s="62" t="str">
        <f t="shared" si="12"/>
        <v/>
      </c>
      <c r="AE49" s="62">
        <f t="shared" si="13"/>
        <v>6539.0157220500005</v>
      </c>
      <c r="AF49" s="62">
        <f t="shared" si="14"/>
        <v>621.74247849000005</v>
      </c>
      <c r="AG49" s="192">
        <v>0</v>
      </c>
      <c r="AH49" s="62">
        <f t="shared" si="15"/>
        <v>390.29717318350185</v>
      </c>
      <c r="AI49" s="62">
        <f t="shared" si="16"/>
        <v>126.28656175121581</v>
      </c>
      <c r="AJ49" s="62"/>
      <c r="AK49" s="62">
        <v>0</v>
      </c>
      <c r="AL49" s="256">
        <f t="shared" si="17"/>
        <v>15621.101935474719</v>
      </c>
      <c r="AM49" s="256">
        <f t="shared" si="18"/>
        <v>42878.791620000004</v>
      </c>
      <c r="AN49" s="256">
        <f t="shared" si="19"/>
        <v>58499.893555474722</v>
      </c>
    </row>
    <row r="50" spans="1:40" x14ac:dyDescent="0.2">
      <c r="A50" s="3" t="str">
        <f>IF('Employee Detail FY27'!A50="","",'Employee Detail FY27'!A50)</f>
        <v/>
      </c>
      <c r="B50" s="3">
        <f>IF('Employee Detail FY27'!B50="","",'Employee Detail FY27'!B50)</f>
        <v>100</v>
      </c>
      <c r="C50" s="3" t="str">
        <f>IF('Employee Detail FY27'!C50="","",'Employee Detail FY27'!C50)</f>
        <v>000</v>
      </c>
      <c r="D50" s="3"/>
      <c r="E50" s="3">
        <f>IF('Employee Detail FY27'!E50="","",'Employee Detail FY27'!E50)</f>
        <v>100</v>
      </c>
      <c r="F50" s="3">
        <f>IF('Employee Detail FY27'!F50="","",'Employee Detail FY27'!F50)</f>
        <v>1000</v>
      </c>
      <c r="G50" s="3" t="str">
        <f>IF('Employee Detail FY27'!G50="","",'Employee Detail FY27'!G50)</f>
        <v>0102</v>
      </c>
      <c r="H50" s="3"/>
      <c r="I50" s="255" t="str">
        <f>IF('Employee Detail FY27'!I50="","",'Employee Detail FY27'!I50)</f>
        <v>DEL TORO CONTRARES</v>
      </c>
      <c r="J50" s="255" t="str">
        <f>IF('Employee Detail FY27'!J50="","",'Employee Detail FY27'!J50)</f>
        <v>CLARISA</v>
      </c>
      <c r="K50" s="255" t="str">
        <f>IF('Employee Detail FY27'!K50="","",'Employee Detail FY27'!K50)</f>
        <v>Support Staff</v>
      </c>
      <c r="L50" s="255" t="str">
        <f>IF('Employee Detail FY27'!L50="","",'Employee Detail FY27'!L50)</f>
        <v>BLENDED LEARNING TEACHER ASSISTANT</v>
      </c>
      <c r="M50" s="92">
        <f>IF('Employee Detail FY27'!M50="","",'Employee Detail FY27'!M50)</f>
        <v>1</v>
      </c>
      <c r="N50" s="3">
        <f>IF('Employee Detail FY27'!N50="","",'Employee Detail FY27'!N50)</f>
        <v>10</v>
      </c>
      <c r="O50" s="3">
        <f>IF('Employee Detail FY27'!O50="","",'Employee Detail FY27'!O50)</f>
        <v>22</v>
      </c>
      <c r="P50" s="3" t="str">
        <f>IF('Employee Detail FY27'!P50="","",'Employee Detail FY27'!P50)</f>
        <v>ER</v>
      </c>
      <c r="Q50" s="3">
        <f>IF('Employee Detail FY27'!Q50="","",'Employee Detail FY27'!Q50)</f>
        <v>15</v>
      </c>
      <c r="R50" s="3">
        <f>IF('Employee Detail FY27'!R50="","",'Employee Detail FY27'!R50)</f>
        <v>180</v>
      </c>
      <c r="S50" s="3">
        <f>IF('Employee Detail FY27'!S50="","",'Employee Detail FY27'!S50)</f>
        <v>7</v>
      </c>
      <c r="T50" s="263">
        <f t="shared" si="6"/>
        <v>1260</v>
      </c>
      <c r="U50" s="269">
        <f>IF('Employee Detail FY27'!U50="","",'Employee Detail FY27'!U50)</f>
        <v>18900</v>
      </c>
      <c r="V50" s="270">
        <f t="shared" si="7"/>
        <v>22302</v>
      </c>
      <c r="W50" s="270" t="str">
        <f t="shared" si="8"/>
        <v/>
      </c>
      <c r="X50" s="270">
        <f t="shared" si="9"/>
        <v>22302</v>
      </c>
      <c r="Y50" s="62">
        <v>0</v>
      </c>
      <c r="Z50" s="62">
        <v>0</v>
      </c>
      <c r="AA50" s="256">
        <f t="shared" si="10"/>
        <v>22302</v>
      </c>
      <c r="AB50" s="3"/>
      <c r="AC50" s="62">
        <f t="shared" si="11"/>
        <v>7943.76</v>
      </c>
      <c r="AD50" s="62" t="str">
        <f t="shared" si="12"/>
        <v/>
      </c>
      <c r="AE50" s="62">
        <f t="shared" si="13"/>
        <v>6523.335</v>
      </c>
      <c r="AF50" s="62">
        <f t="shared" si="14"/>
        <v>323.37900000000002</v>
      </c>
      <c r="AG50" s="192">
        <v>0</v>
      </c>
      <c r="AH50" s="62">
        <f t="shared" si="15"/>
        <v>203.00029985636189</v>
      </c>
      <c r="AI50" s="62">
        <f t="shared" si="16"/>
        <v>65.683821622947477</v>
      </c>
      <c r="AJ50" s="62"/>
      <c r="AK50" s="62">
        <v>0</v>
      </c>
      <c r="AL50" s="256">
        <f t="shared" si="17"/>
        <v>15059.158121479311</v>
      </c>
      <c r="AM50" s="256">
        <f t="shared" si="18"/>
        <v>22302</v>
      </c>
      <c r="AN50" s="256">
        <f t="shared" si="19"/>
        <v>37361.158121479311</v>
      </c>
    </row>
    <row r="51" spans="1:40" x14ac:dyDescent="0.2">
      <c r="A51" s="3" t="str">
        <f>IF('Employee Detail FY27'!A51="","",'Employee Detail FY27'!A51)</f>
        <v/>
      </c>
      <c r="B51" s="3">
        <f>IF('Employee Detail FY27'!B51="","",'Employee Detail FY27'!B51)</f>
        <v>100</v>
      </c>
      <c r="C51" s="3" t="str">
        <f>IF('Employee Detail FY27'!C51="","",'Employee Detail FY27'!C51)</f>
        <v>000</v>
      </c>
      <c r="D51" s="3"/>
      <c r="E51" s="3">
        <f>IF('Employee Detail FY27'!E51="","",'Employee Detail FY27'!E51)</f>
        <v>100</v>
      </c>
      <c r="F51" s="3">
        <f>IF('Employee Detail FY27'!F51="","",'Employee Detail FY27'!F51)</f>
        <v>1000</v>
      </c>
      <c r="G51" s="3" t="str">
        <f>IF('Employee Detail FY27'!G51="","",'Employee Detail FY27'!G51)</f>
        <v>0102</v>
      </c>
      <c r="H51" s="3"/>
      <c r="I51" s="255" t="str">
        <f>IF('Employee Detail FY27'!I51="","",'Employee Detail FY27'!I51)</f>
        <v>NEGRETE</v>
      </c>
      <c r="J51" s="255" t="str">
        <f>IF('Employee Detail FY27'!J51="","",'Employee Detail FY27'!J51)</f>
        <v>ANJELICA</v>
      </c>
      <c r="K51" s="255" t="str">
        <f>IF('Employee Detail FY27'!K51="","",'Employee Detail FY27'!K51)</f>
        <v>Support Staff</v>
      </c>
      <c r="L51" s="255" t="str">
        <f>IF('Employee Detail FY27'!L51="","",'Employee Detail FY27'!L51)</f>
        <v>BLENDED LEARNING TEACHER ASSISTANT</v>
      </c>
      <c r="M51" s="92">
        <f>IF('Employee Detail FY27'!M51="","",'Employee Detail FY27'!M51)</f>
        <v>1</v>
      </c>
      <c r="N51" s="3" t="str">
        <f>IF('Employee Detail FY27'!N51="","",'Employee Detail FY27'!N51)</f>
        <v>10</v>
      </c>
      <c r="O51" s="3">
        <f>IF('Employee Detail FY27'!O51="","",'Employee Detail FY27'!O51)</f>
        <v>22</v>
      </c>
      <c r="P51" s="3" t="str">
        <f>IF('Employee Detail FY27'!P51="","",'Employee Detail FY27'!P51)</f>
        <v>EE</v>
      </c>
      <c r="Q51" s="3">
        <f>IF('Employee Detail FY27'!Q51="","",'Employee Detail FY27'!Q51)</f>
        <v>25</v>
      </c>
      <c r="R51" s="3">
        <f>IF('Employee Detail FY27'!R51="","",'Employee Detail FY27'!R51)</f>
        <v>180</v>
      </c>
      <c r="S51" s="3">
        <f>IF('Employee Detail FY27'!S51="","",'Employee Detail FY27'!S51)</f>
        <v>7</v>
      </c>
      <c r="T51" s="263">
        <f t="shared" si="6"/>
        <v>1260</v>
      </c>
      <c r="U51" s="269">
        <f>IF('Employee Detail FY27'!U51="","",'Employee Detail FY27'!U51)</f>
        <v>31500</v>
      </c>
      <c r="V51" s="270">
        <f t="shared" si="7"/>
        <v>37170</v>
      </c>
      <c r="W51" s="270">
        <f t="shared" si="8"/>
        <v>42878.791620000004</v>
      </c>
      <c r="X51" s="270">
        <f t="shared" si="9"/>
        <v>42878.791620000004</v>
      </c>
      <c r="Y51" s="62">
        <v>0</v>
      </c>
      <c r="Z51" s="62">
        <v>0</v>
      </c>
      <c r="AA51" s="256">
        <f t="shared" si="10"/>
        <v>42878.791620000004</v>
      </c>
      <c r="AB51" s="3"/>
      <c r="AC51" s="62">
        <f t="shared" si="11"/>
        <v>7943.76</v>
      </c>
      <c r="AD51" s="62" t="str">
        <f t="shared" si="12"/>
        <v/>
      </c>
      <c r="AE51" s="62">
        <f t="shared" si="13"/>
        <v>6539.0157220500005</v>
      </c>
      <c r="AF51" s="62">
        <f t="shared" si="14"/>
        <v>621.74247849000005</v>
      </c>
      <c r="AG51" s="192">
        <v>0</v>
      </c>
      <c r="AH51" s="62">
        <f t="shared" si="15"/>
        <v>390.29717318350185</v>
      </c>
      <c r="AI51" s="62">
        <f t="shared" si="16"/>
        <v>126.28656175121581</v>
      </c>
      <c r="AJ51" s="62"/>
      <c r="AK51" s="62">
        <v>0</v>
      </c>
      <c r="AL51" s="256">
        <f t="shared" si="17"/>
        <v>15621.101935474719</v>
      </c>
      <c r="AM51" s="256">
        <f t="shared" si="18"/>
        <v>42878.791620000004</v>
      </c>
      <c r="AN51" s="256">
        <f t="shared" si="19"/>
        <v>58499.893555474722</v>
      </c>
    </row>
    <row r="52" spans="1:40" x14ac:dyDescent="0.2">
      <c r="A52" s="3" t="str">
        <f>IF('Employee Detail FY27'!A52="","",'Employee Detail FY27'!A52)</f>
        <v/>
      </c>
      <c r="B52" s="3">
        <f>IF('Employee Detail FY27'!B52="","",'Employee Detail FY27'!B52)</f>
        <v>100</v>
      </c>
      <c r="C52" s="3" t="str">
        <f>IF('Employee Detail FY27'!C52="","",'Employee Detail FY27'!C52)</f>
        <v>000</v>
      </c>
      <c r="D52" s="3"/>
      <c r="E52" s="3">
        <f>IF('Employee Detail FY27'!E52="","",'Employee Detail FY27'!E52)</f>
        <v>100</v>
      </c>
      <c r="F52" s="3">
        <f>IF('Employee Detail FY27'!F52="","",'Employee Detail FY27'!F52)</f>
        <v>1000</v>
      </c>
      <c r="G52" s="3" t="str">
        <f>IF('Employee Detail FY27'!G52="","",'Employee Detail FY27'!G52)</f>
        <v>0102</v>
      </c>
      <c r="H52" s="3"/>
      <c r="I52" s="255" t="str">
        <f>IF('Employee Detail FY27'!I52="","",'Employee Detail FY27'!I52)</f>
        <v>REDZIC</v>
      </c>
      <c r="J52" s="255" t="str">
        <f>IF('Employee Detail FY27'!J52="","",'Employee Detail FY27'!J52)</f>
        <v>LAMIYA</v>
      </c>
      <c r="K52" s="255" t="str">
        <f>IF('Employee Detail FY27'!K52="","",'Employee Detail FY27'!K52)</f>
        <v>Support Staff</v>
      </c>
      <c r="L52" s="255" t="str">
        <f>IF('Employee Detail FY27'!L52="","",'Employee Detail FY27'!L52)</f>
        <v>BLENDED LEARNING TEACHER ASSISTANT</v>
      </c>
      <c r="M52" s="92">
        <f>IF('Employee Detail FY27'!M52="","",'Employee Detail FY27'!M52)</f>
        <v>1</v>
      </c>
      <c r="N52" s="3" t="str">
        <f>IF('Employee Detail FY27'!N52="","",'Employee Detail FY27'!N52)</f>
        <v>10</v>
      </c>
      <c r="O52" s="3">
        <f>IF('Employee Detail FY27'!O52="","",'Employee Detail FY27'!O52)</f>
        <v>22</v>
      </c>
      <c r="P52" s="3" t="str">
        <f>IF('Employee Detail FY27'!P52="","",'Employee Detail FY27'!P52)</f>
        <v>EE</v>
      </c>
      <c r="Q52" s="3">
        <f>IF('Employee Detail FY27'!Q52="","",'Employee Detail FY27'!Q52)</f>
        <v>25</v>
      </c>
      <c r="R52" s="3">
        <f>IF('Employee Detail FY27'!R52="","",'Employee Detail FY27'!R52)</f>
        <v>180</v>
      </c>
      <c r="S52" s="3">
        <f>IF('Employee Detail FY27'!S52="","",'Employee Detail FY27'!S52)</f>
        <v>7</v>
      </c>
      <c r="T52" s="263">
        <f t="shared" si="6"/>
        <v>1260</v>
      </c>
      <c r="U52" s="269">
        <f>IF('Employee Detail FY27'!U52="","",'Employee Detail FY27'!U52)</f>
        <v>31500</v>
      </c>
      <c r="V52" s="270">
        <f t="shared" si="7"/>
        <v>37170</v>
      </c>
      <c r="W52" s="270">
        <f t="shared" si="8"/>
        <v>42878.791620000004</v>
      </c>
      <c r="X52" s="270">
        <f t="shared" si="9"/>
        <v>42878.791620000004</v>
      </c>
      <c r="Y52" s="62">
        <v>0</v>
      </c>
      <c r="Z52" s="62">
        <v>0</v>
      </c>
      <c r="AA52" s="256">
        <f t="shared" si="10"/>
        <v>42878.791620000004</v>
      </c>
      <c r="AB52" s="3"/>
      <c r="AC52" s="62">
        <f t="shared" si="11"/>
        <v>7943.76</v>
      </c>
      <c r="AD52" s="62" t="str">
        <f t="shared" si="12"/>
        <v/>
      </c>
      <c r="AE52" s="62">
        <f t="shared" si="13"/>
        <v>6539.0157220500005</v>
      </c>
      <c r="AF52" s="62">
        <f t="shared" si="14"/>
        <v>621.74247849000005</v>
      </c>
      <c r="AG52" s="192">
        <v>0</v>
      </c>
      <c r="AH52" s="62">
        <f t="shared" si="15"/>
        <v>390.29717318350185</v>
      </c>
      <c r="AI52" s="62">
        <f t="shared" si="16"/>
        <v>126.28656175121581</v>
      </c>
      <c r="AJ52" s="62"/>
      <c r="AK52" s="62">
        <v>0</v>
      </c>
      <c r="AL52" s="256">
        <f t="shared" si="17"/>
        <v>15621.101935474719</v>
      </c>
      <c r="AM52" s="256">
        <f t="shared" si="18"/>
        <v>42878.791620000004</v>
      </c>
      <c r="AN52" s="256">
        <f t="shared" si="19"/>
        <v>58499.893555474722</v>
      </c>
    </row>
    <row r="53" spans="1:40" x14ac:dyDescent="0.2">
      <c r="A53" s="386" t="str">
        <f>IF('Employee Detail FY27'!A53="","",'Employee Detail FY27'!A53)</f>
        <v>TITLE Ia</v>
      </c>
      <c r="B53" s="386">
        <f>IF('Employee Detail FY27'!B53="","",'Employee Detail FY27'!B53)</f>
        <v>280</v>
      </c>
      <c r="C53" s="386">
        <f>IF('Employee Detail FY27'!C53="","",'Employee Detail FY27'!C53)</f>
        <v>633</v>
      </c>
      <c r="D53" s="386"/>
      <c r="E53" s="386">
        <f>IF('Employee Detail FY27'!E53="","",'Employee Detail FY27'!E53)</f>
        <v>430</v>
      </c>
      <c r="F53" s="386">
        <f>IF('Employee Detail FY27'!F53="","",'Employee Detail FY27'!F53)</f>
        <v>1000</v>
      </c>
      <c r="G53" s="386" t="str">
        <f>IF('Employee Detail FY27'!G53="","",'Employee Detail FY27'!G53)</f>
        <v>0102</v>
      </c>
      <c r="H53" s="386"/>
      <c r="I53" s="359" t="str">
        <f>IF('Employee Detail FY27'!I53="","",'Employee Detail FY27'!I53)</f>
        <v>SALVANI</v>
      </c>
      <c r="J53" s="359" t="str">
        <f>IF('Employee Detail FY27'!J53="","",'Employee Detail FY27'!J53)</f>
        <v>CRISELDA</v>
      </c>
      <c r="K53" s="359" t="str">
        <f>IF('Employee Detail FY27'!K53="","",'Employee Detail FY27'!K53)</f>
        <v>Support Staff</v>
      </c>
      <c r="L53" s="359" t="str">
        <f>IF('Employee Detail FY27'!L53="","",'Employee Detail FY27'!L53)</f>
        <v>BLENDED LEARNING TEACHER ASSISTANT</v>
      </c>
      <c r="M53" s="92">
        <f>IF('Employee Detail FY27'!M53="","",'Employee Detail FY27'!M53)</f>
        <v>1</v>
      </c>
      <c r="N53" s="386" t="str">
        <f>IF('Employee Detail FY27'!N53="","",'Employee Detail FY27'!N53)</f>
        <v>10</v>
      </c>
      <c r="O53" s="386">
        <f>IF('Employee Detail FY27'!O53="","",'Employee Detail FY27'!O53)</f>
        <v>22</v>
      </c>
      <c r="P53" s="386" t="str">
        <f>IF('Employee Detail FY27'!P53="","",'Employee Detail FY27'!P53)</f>
        <v>EE</v>
      </c>
      <c r="Q53" s="386">
        <f>IF('Employee Detail FY27'!Q53="","",'Employee Detail FY27'!Q53)</f>
        <v>25</v>
      </c>
      <c r="R53" s="386">
        <f>IF('Employee Detail FY27'!R53="","",'Employee Detail FY27'!R53)</f>
        <v>180</v>
      </c>
      <c r="S53" s="386">
        <f>IF('Employee Detail FY27'!S53="","",'Employee Detail FY27'!S53)</f>
        <v>7</v>
      </c>
      <c r="T53" s="263">
        <f t="shared" si="6"/>
        <v>1260</v>
      </c>
      <c r="U53" s="269">
        <f>IF('Employee Detail FY27'!U53="","",'Employee Detail FY27'!U53)</f>
        <v>31500</v>
      </c>
      <c r="V53" s="270">
        <f t="shared" si="7"/>
        <v>37170</v>
      </c>
      <c r="W53" s="270">
        <f t="shared" si="8"/>
        <v>42878.791620000004</v>
      </c>
      <c r="X53" s="270">
        <f t="shared" si="9"/>
        <v>42878.791620000004</v>
      </c>
      <c r="Y53" s="62">
        <v>0</v>
      </c>
      <c r="Z53" s="62">
        <v>0</v>
      </c>
      <c r="AA53" s="256">
        <f t="shared" si="10"/>
        <v>42878.791620000004</v>
      </c>
      <c r="AB53" s="3"/>
      <c r="AC53" s="62">
        <f t="shared" si="11"/>
        <v>7943.76</v>
      </c>
      <c r="AD53" s="62" t="str">
        <f t="shared" si="12"/>
        <v/>
      </c>
      <c r="AE53" s="62">
        <f t="shared" si="13"/>
        <v>6539.0157220500005</v>
      </c>
      <c r="AF53" s="62">
        <f t="shared" si="14"/>
        <v>621.74247849000005</v>
      </c>
      <c r="AG53" s="192">
        <v>0</v>
      </c>
      <c r="AH53" s="62">
        <f t="shared" si="15"/>
        <v>390.29717318350185</v>
      </c>
      <c r="AI53" s="62">
        <f t="shared" si="16"/>
        <v>126.28656175121581</v>
      </c>
      <c r="AJ53" s="62"/>
      <c r="AK53" s="62">
        <v>0</v>
      </c>
      <c r="AL53" s="256">
        <f t="shared" si="17"/>
        <v>15621.101935474719</v>
      </c>
      <c r="AM53" s="256">
        <f t="shared" si="18"/>
        <v>42878.791620000004</v>
      </c>
      <c r="AN53" s="256">
        <f t="shared" si="19"/>
        <v>58499.893555474722</v>
      </c>
    </row>
    <row r="54" spans="1:40" x14ac:dyDescent="0.2">
      <c r="A54" s="386" t="str">
        <f>IF('Employee Detail FY27'!A54="","",'Employee Detail FY27'!A54)</f>
        <v>VACANT</v>
      </c>
      <c r="B54" s="386">
        <f>IF('Employee Detail FY27'!B54="","",'Employee Detail FY27'!B54)</f>
        <v>100</v>
      </c>
      <c r="C54" s="386" t="str">
        <f>IF('Employee Detail FY27'!C54="","",'Employee Detail FY27'!C54)</f>
        <v>000</v>
      </c>
      <c r="D54" s="386"/>
      <c r="E54" s="386">
        <f>IF('Employee Detail FY27'!E54="","",'Employee Detail FY27'!E54)</f>
        <v>100</v>
      </c>
      <c r="F54" s="386">
        <f>IF('Employee Detail FY27'!F54="","",'Employee Detail FY27'!F54)</f>
        <v>1000</v>
      </c>
      <c r="G54" s="386" t="str">
        <f>IF('Employee Detail FY27'!G54="","",'Employee Detail FY27'!G54)</f>
        <v>0102</v>
      </c>
      <c r="H54" s="386"/>
      <c r="I54" s="359" t="str">
        <f>IF('Employee Detail FY27'!I54="","",'Employee Detail FY27'!I54)</f>
        <v>VACANT</v>
      </c>
      <c r="J54" s="359" t="str">
        <f>IF('Employee Detail FY27'!J54="","",'Employee Detail FY27'!J54)</f>
        <v>FY23</v>
      </c>
      <c r="K54" s="359" t="str">
        <f>IF('Employee Detail FY27'!K54="","",'Employee Detail FY27'!K54)</f>
        <v>Support Staff</v>
      </c>
      <c r="L54" s="359" t="str">
        <f>IF('Employee Detail FY27'!L54="","",'Employee Detail FY27'!L54)</f>
        <v>BLENDED LEARNING TEACHER ASSISTANT</v>
      </c>
      <c r="M54" s="92">
        <f>IF('Employee Detail FY27'!M54="","",'Employee Detail FY27'!M54)</f>
        <v>1</v>
      </c>
      <c r="N54" s="386" t="str">
        <f>IF('Employee Detail FY27'!N54="","",'Employee Detail FY27'!N54)</f>
        <v>10</v>
      </c>
      <c r="O54" s="386">
        <f>IF('Employee Detail FY27'!O54="","",'Employee Detail FY27'!O54)</f>
        <v>22</v>
      </c>
      <c r="P54" s="386" t="str">
        <f>IF('Employee Detail FY27'!P54="","",'Employee Detail FY27'!P54)</f>
        <v>EE</v>
      </c>
      <c r="Q54" s="386">
        <f>IF('Employee Detail FY27'!Q54="","",'Employee Detail FY27'!Q54)</f>
        <v>25</v>
      </c>
      <c r="R54" s="386">
        <f>IF('Employee Detail FY27'!R54="","",'Employee Detail FY27'!R54)</f>
        <v>180</v>
      </c>
      <c r="S54" s="386">
        <f>IF('Employee Detail FY27'!S54="","",'Employee Detail FY27'!S54)</f>
        <v>7</v>
      </c>
      <c r="T54" s="263">
        <f t="shared" si="6"/>
        <v>1260</v>
      </c>
      <c r="U54" s="269">
        <f>IF('Employee Detail FY27'!U54="","",'Employee Detail FY27'!U54)</f>
        <v>31500</v>
      </c>
      <c r="V54" s="270">
        <f t="shared" si="7"/>
        <v>37170</v>
      </c>
      <c r="W54" s="270">
        <f t="shared" si="8"/>
        <v>42878.791620000004</v>
      </c>
      <c r="X54" s="270">
        <f t="shared" si="9"/>
        <v>42878.791620000004</v>
      </c>
      <c r="Y54" s="62">
        <v>0</v>
      </c>
      <c r="Z54" s="62">
        <v>0</v>
      </c>
      <c r="AA54" s="256">
        <f t="shared" si="10"/>
        <v>42878.791620000004</v>
      </c>
      <c r="AB54" s="3"/>
      <c r="AC54" s="62">
        <f t="shared" si="11"/>
        <v>7943.76</v>
      </c>
      <c r="AD54" s="62" t="str">
        <f t="shared" si="12"/>
        <v/>
      </c>
      <c r="AE54" s="62">
        <f t="shared" si="13"/>
        <v>6539.0157220500005</v>
      </c>
      <c r="AF54" s="62">
        <f t="shared" si="14"/>
        <v>621.74247849000005</v>
      </c>
      <c r="AG54" s="192">
        <v>0</v>
      </c>
      <c r="AH54" s="62">
        <f t="shared" si="15"/>
        <v>390.29717318350185</v>
      </c>
      <c r="AI54" s="62">
        <f t="shared" si="16"/>
        <v>126.28656175121581</v>
      </c>
      <c r="AJ54" s="62"/>
      <c r="AK54" s="62">
        <v>0</v>
      </c>
      <c r="AL54" s="256">
        <f t="shared" si="17"/>
        <v>15621.101935474719</v>
      </c>
      <c r="AM54" s="256">
        <f t="shared" si="18"/>
        <v>42878.791620000004</v>
      </c>
      <c r="AN54" s="256">
        <f t="shared" si="19"/>
        <v>58499.893555474722</v>
      </c>
    </row>
    <row r="55" spans="1:40" x14ac:dyDescent="0.2">
      <c r="A55" s="3" t="str">
        <f>IF('Employee Detail FY27'!A55="","",'Employee Detail FY27'!A55)</f>
        <v>VACANT</v>
      </c>
      <c r="B55" s="3">
        <f>IF('Employee Detail FY27'!B55="","",'Employee Detail FY27'!B55)</f>
        <v>100</v>
      </c>
      <c r="C55" s="3" t="str">
        <f>IF('Employee Detail FY27'!C55="","",'Employee Detail FY27'!C55)</f>
        <v>000</v>
      </c>
      <c r="D55" s="3"/>
      <c r="E55" s="3">
        <f>IF('Employee Detail FY27'!E55="","",'Employee Detail FY27'!E55)</f>
        <v>100</v>
      </c>
      <c r="F55" s="3">
        <f>IF('Employee Detail FY27'!F55="","",'Employee Detail FY27'!F55)</f>
        <v>1000</v>
      </c>
      <c r="G55" s="3" t="str">
        <f>IF('Employee Detail FY27'!G55="","",'Employee Detail FY27'!G55)</f>
        <v>0102</v>
      </c>
      <c r="H55" s="3"/>
      <c r="I55" s="255" t="str">
        <f>IF('Employee Detail FY27'!I55="","",'Employee Detail FY27'!I55)</f>
        <v>VACANT</v>
      </c>
      <c r="J55" s="255" t="str">
        <f>IF('Employee Detail FY27'!J55="","",'Employee Detail FY27'!J55)</f>
        <v>FY23</v>
      </c>
      <c r="K55" s="255" t="str">
        <f>IF('Employee Detail FY27'!K55="","",'Employee Detail FY27'!K55)</f>
        <v>Support Staff</v>
      </c>
      <c r="L55" s="255" t="str">
        <f>IF('Employee Detail FY27'!L55="","",'Employee Detail FY27'!L55)</f>
        <v>BLENDED LEARNING TEACHER ASSISTANT</v>
      </c>
      <c r="M55" s="92" t="str">
        <f>IF('Employee Detail FY27'!M55="","",'Employee Detail FY27'!M55)</f>
        <v/>
      </c>
      <c r="N55" s="3" t="str">
        <f>IF('Employee Detail FY27'!N55="","",'Employee Detail FY27'!N55)</f>
        <v/>
      </c>
      <c r="O55" s="3" t="str">
        <f>IF('Employee Detail FY27'!O55="","",'Employee Detail FY27'!O55)</f>
        <v/>
      </c>
      <c r="P55" s="3" t="str">
        <f>IF('Employee Detail FY27'!P55="","",'Employee Detail FY27'!P55)</f>
        <v/>
      </c>
      <c r="Q55" s="3" t="str">
        <f>IF('Employee Detail FY27'!Q55="","",'Employee Detail FY27'!Q55)</f>
        <v/>
      </c>
      <c r="R55" s="3" t="str">
        <f>IF('Employee Detail FY27'!R55="","",'Employee Detail FY27'!R55)</f>
        <v/>
      </c>
      <c r="S55" s="3" t="str">
        <f>IF('Employee Detail FY27'!S55="","",'Employee Detail FY27'!S55)</f>
        <v/>
      </c>
      <c r="T55" s="263" t="str">
        <f t="shared" si="6"/>
        <v/>
      </c>
      <c r="U55" s="269">
        <f>IF('Employee Detail FY27'!U55="","",'Employee Detail FY27'!U55)</f>
        <v>31500</v>
      </c>
      <c r="V55" s="270">
        <f t="shared" si="7"/>
        <v>37170</v>
      </c>
      <c r="W55" s="270" t="str">
        <f t="shared" si="8"/>
        <v/>
      </c>
      <c r="X55" s="270" t="str">
        <f t="shared" si="9"/>
        <v/>
      </c>
      <c r="Y55" s="62">
        <v>0</v>
      </c>
      <c r="Z55" s="62">
        <v>0</v>
      </c>
      <c r="AA55" s="256">
        <f t="shared" si="10"/>
        <v>0</v>
      </c>
      <c r="AB55" s="3"/>
      <c r="AC55" s="62" t="str">
        <f t="shared" si="11"/>
        <v/>
      </c>
      <c r="AD55" s="62" t="str">
        <f t="shared" si="12"/>
        <v/>
      </c>
      <c r="AE55" s="62" t="str">
        <f t="shared" si="13"/>
        <v/>
      </c>
      <c r="AF55" s="62" t="str">
        <f t="shared" si="14"/>
        <v/>
      </c>
      <c r="AG55" s="192">
        <v>0</v>
      </c>
      <c r="AH55" s="62" t="str">
        <f t="shared" si="15"/>
        <v/>
      </c>
      <c r="AI55" s="62">
        <f t="shared" si="16"/>
        <v>0</v>
      </c>
      <c r="AJ55" s="62"/>
      <c r="AK55" s="62">
        <v>0</v>
      </c>
      <c r="AL55" s="256">
        <f t="shared" si="17"/>
        <v>0</v>
      </c>
      <c r="AM55" s="256">
        <f t="shared" si="18"/>
        <v>0</v>
      </c>
      <c r="AN55" s="256">
        <f t="shared" si="19"/>
        <v>0</v>
      </c>
    </row>
    <row r="56" spans="1:40" x14ac:dyDescent="0.2">
      <c r="A56" s="3" t="str">
        <f>IF('Employee Detail FY27'!A56="","",'Employee Detail FY27'!A56)</f>
        <v/>
      </c>
      <c r="B56" s="3" t="str">
        <f>IF('Employee Detail FY27'!B56="","",'Employee Detail FY27'!B56)</f>
        <v/>
      </c>
      <c r="C56" s="3" t="str">
        <f>IF('Employee Detail FY27'!C56="","",'Employee Detail FY27'!C56)</f>
        <v/>
      </c>
      <c r="D56" s="3"/>
      <c r="E56" s="3" t="str">
        <f>IF('Employee Detail FY27'!E56="","",'Employee Detail FY27'!E56)</f>
        <v/>
      </c>
      <c r="F56" s="3" t="str">
        <f>IF('Employee Detail FY27'!F56="","",'Employee Detail FY27'!F56)</f>
        <v/>
      </c>
      <c r="G56" s="3" t="str">
        <f>IF('Employee Detail FY27'!G56="","",'Employee Detail FY27'!G56)</f>
        <v/>
      </c>
      <c r="H56" s="3"/>
      <c r="I56" s="255" t="str">
        <f>IF('Employee Detail FY27'!I56="","",'Employee Detail FY27'!I56)</f>
        <v/>
      </c>
      <c r="J56" s="255" t="str">
        <f>IF('Employee Detail FY27'!J56="","",'Employee Detail FY27'!J56)</f>
        <v/>
      </c>
      <c r="K56" s="255" t="str">
        <f>IF('Employee Detail FY27'!K56="","",'Employee Detail FY27'!K56)</f>
        <v/>
      </c>
      <c r="L56" s="255" t="str">
        <f>IF('Employee Detail FY27'!L56="","",'Employee Detail FY27'!L56)</f>
        <v/>
      </c>
      <c r="M56" s="92" t="str">
        <f>IF('Employee Detail FY27'!M56="","",'Employee Detail FY27'!M56)</f>
        <v/>
      </c>
      <c r="N56" s="3" t="str">
        <f>IF('Employee Detail FY27'!N56="","",'Employee Detail FY27'!N56)</f>
        <v/>
      </c>
      <c r="O56" s="3" t="str">
        <f>IF('Employee Detail FY27'!O56="","",'Employee Detail FY27'!O56)</f>
        <v/>
      </c>
      <c r="P56" s="3" t="str">
        <f>IF('Employee Detail FY27'!P56="","",'Employee Detail FY27'!P56)</f>
        <v/>
      </c>
      <c r="Q56" s="3" t="str">
        <f>IF('Employee Detail FY27'!Q56="","",'Employee Detail FY27'!Q56)</f>
        <v/>
      </c>
      <c r="R56" s="3" t="str">
        <f>IF('Employee Detail FY27'!R56="","",'Employee Detail FY27'!R56)</f>
        <v/>
      </c>
      <c r="S56" s="3" t="str">
        <f>IF('Employee Detail FY27'!S56="","",'Employee Detail FY27'!S56)</f>
        <v/>
      </c>
      <c r="T56" s="263" t="str">
        <f t="shared" si="6"/>
        <v/>
      </c>
      <c r="U56" s="269" t="str">
        <f>IF('Employee Detail FY27'!U56="","",'Employee Detail FY27'!U56)</f>
        <v/>
      </c>
      <c r="V56" s="270" t="str">
        <f t="shared" si="7"/>
        <v/>
      </c>
      <c r="W56" s="270" t="str">
        <f t="shared" si="8"/>
        <v/>
      </c>
      <c r="X56" s="270" t="str">
        <f t="shared" si="9"/>
        <v/>
      </c>
      <c r="Y56" s="62">
        <v>0</v>
      </c>
      <c r="Z56" s="62">
        <v>0</v>
      </c>
      <c r="AA56" s="256">
        <f t="shared" si="10"/>
        <v>0</v>
      </c>
      <c r="AB56" s="3"/>
      <c r="AC56" s="62" t="str">
        <f t="shared" si="11"/>
        <v/>
      </c>
      <c r="AD56" s="62" t="str">
        <f t="shared" si="12"/>
        <v/>
      </c>
      <c r="AE56" s="62" t="str">
        <f t="shared" si="13"/>
        <v/>
      </c>
      <c r="AF56" s="62" t="str">
        <f t="shared" si="14"/>
        <v/>
      </c>
      <c r="AG56" s="192">
        <v>0</v>
      </c>
      <c r="AH56" s="62" t="str">
        <f t="shared" si="15"/>
        <v/>
      </c>
      <c r="AI56" s="62">
        <f t="shared" si="16"/>
        <v>0</v>
      </c>
      <c r="AJ56" s="62"/>
      <c r="AK56" s="62">
        <v>0</v>
      </c>
      <c r="AL56" s="256">
        <f t="shared" si="17"/>
        <v>0</v>
      </c>
      <c r="AM56" s="256">
        <f t="shared" si="18"/>
        <v>0</v>
      </c>
      <c r="AN56" s="256">
        <f t="shared" si="19"/>
        <v>0</v>
      </c>
    </row>
    <row r="57" spans="1:40" x14ac:dyDescent="0.2">
      <c r="A57" s="3" t="str">
        <f>IF('Employee Detail FY27'!A57="","",'Employee Detail FY27'!A57)</f>
        <v/>
      </c>
      <c r="B57" s="3">
        <f>IF('Employee Detail FY27'!B57="","",'Employee Detail FY27'!B57)</f>
        <v>100</v>
      </c>
      <c r="C57" s="3" t="str">
        <f>IF('Employee Detail FY27'!C57="","",'Employee Detail FY27'!C57)</f>
        <v>000</v>
      </c>
      <c r="D57" s="3"/>
      <c r="E57" s="3">
        <f>IF('Employee Detail FY27'!E57="","",'Employee Detail FY27'!E57)</f>
        <v>100</v>
      </c>
      <c r="F57" s="3" t="str">
        <f>IF('Employee Detail FY27'!F57="","",'Employee Detail FY27'!F57)</f>
        <v>2582</v>
      </c>
      <c r="G57" s="3" t="str">
        <f>IF('Employee Detail FY27'!G57="","",'Employee Detail FY27'!G57)</f>
        <v>0107</v>
      </c>
      <c r="H57" s="3"/>
      <c r="I57" s="255" t="str">
        <f>IF('Employee Detail FY27'!I57="","",'Employee Detail FY27'!I57)</f>
        <v>BROOKS</v>
      </c>
      <c r="J57" s="255" t="str">
        <f>IF('Employee Detail FY27'!J57="","",'Employee Detail FY27'!J57)</f>
        <v>LOLA</v>
      </c>
      <c r="K57" s="255" t="str">
        <f>IF('Employee Detail FY27'!K57="","",'Employee Detail FY27'!K57)</f>
        <v>Administration</v>
      </c>
      <c r="L57" s="255" t="str">
        <f>IF('Employee Detail FY27'!L57="","",'Employee Detail FY27'!L57)</f>
        <v>ASSESSMENT &amp; DATA COORDINATOR</v>
      </c>
      <c r="M57" s="92">
        <f>IF('Employee Detail FY27'!M57="","",'Employee Detail FY27'!M57)</f>
        <v>1</v>
      </c>
      <c r="N57" s="3" t="str">
        <f>IF('Employee Detail FY27'!N57="","",'Employee Detail FY27'!N57)</f>
        <v>S</v>
      </c>
      <c r="O57" s="3">
        <f>IF('Employee Detail FY27'!O57="","",'Employee Detail FY27'!O57)</f>
        <v>1</v>
      </c>
      <c r="P57" s="3" t="str">
        <f>IF('Employee Detail FY27'!P57="","",'Employee Detail FY27'!P57)</f>
        <v>EE</v>
      </c>
      <c r="Q57" s="3" t="str">
        <f>IF('Employee Detail FY27'!Q57="","",'Employee Detail FY27'!Q57)</f>
        <v/>
      </c>
      <c r="R57" s="3">
        <f>IF('Employee Detail FY27'!R57="","",'Employee Detail FY27'!R57)</f>
        <v>261</v>
      </c>
      <c r="S57" s="3">
        <f>IF('Employee Detail FY27'!S57="","",'Employee Detail FY27'!S57)</f>
        <v>8</v>
      </c>
      <c r="T57" s="263">
        <f t="shared" si="6"/>
        <v>2088</v>
      </c>
      <c r="U57" s="269">
        <f>IF('Employee Detail FY27'!U57="","",'Employee Detail FY27'!U57)</f>
        <v>68500</v>
      </c>
      <c r="V57" s="270">
        <f t="shared" si="7"/>
        <v>80830</v>
      </c>
      <c r="W57" s="270">
        <f t="shared" si="8"/>
        <v>93244.356379999997</v>
      </c>
      <c r="X57" s="270">
        <f t="shared" si="9"/>
        <v>93244.356379999997</v>
      </c>
      <c r="Y57" s="62">
        <v>0</v>
      </c>
      <c r="Z57" s="62">
        <v>0</v>
      </c>
      <c r="AA57" s="256">
        <f t="shared" si="10"/>
        <v>93244.356379999997</v>
      </c>
      <c r="AB57" s="3"/>
      <c r="AC57" s="62">
        <f t="shared" si="11"/>
        <v>7943.76</v>
      </c>
      <c r="AD57" s="62" t="str">
        <f t="shared" si="12"/>
        <v/>
      </c>
      <c r="AE57" s="62">
        <f t="shared" si="13"/>
        <v>14219.764347949998</v>
      </c>
      <c r="AF57" s="62">
        <f t="shared" si="14"/>
        <v>1352.0431675100001</v>
      </c>
      <c r="AG57" s="192">
        <v>0</v>
      </c>
      <c r="AH57" s="62">
        <f t="shared" si="15"/>
        <v>848.74147184348806</v>
      </c>
      <c r="AI57" s="62">
        <f t="shared" si="16"/>
        <v>274.62315809391373</v>
      </c>
      <c r="AJ57" s="62"/>
      <c r="AK57" s="62">
        <v>0</v>
      </c>
      <c r="AL57" s="256">
        <f t="shared" si="17"/>
        <v>24638.932145397401</v>
      </c>
      <c r="AM57" s="256">
        <f t="shared" si="18"/>
        <v>93244.356379999997</v>
      </c>
      <c r="AN57" s="256">
        <f t="shared" si="19"/>
        <v>117883.28852539739</v>
      </c>
    </row>
    <row r="58" spans="1:40" x14ac:dyDescent="0.2">
      <c r="A58" s="3" t="str">
        <f>IF('Employee Detail FY27'!A58="","",'Employee Detail FY27'!A58)</f>
        <v/>
      </c>
      <c r="B58" s="3">
        <f>IF('Employee Detail FY27'!B58="","",'Employee Detail FY27'!B58)</f>
        <v>100</v>
      </c>
      <c r="C58" s="3" t="str">
        <f>IF('Employee Detail FY27'!C58="","",'Employee Detail FY27'!C58)</f>
        <v>000</v>
      </c>
      <c r="D58" s="3"/>
      <c r="E58" s="3">
        <f>IF('Employee Detail FY27'!E58="","",'Employee Detail FY27'!E58)</f>
        <v>100</v>
      </c>
      <c r="F58" s="3">
        <f>IF('Employee Detail FY27'!F58="","",'Employee Detail FY27'!F58)</f>
        <v>2580</v>
      </c>
      <c r="G58" s="3" t="str">
        <f>IF('Employee Detail FY27'!G58="","",'Employee Detail FY27'!G58)</f>
        <v>0107</v>
      </c>
      <c r="H58" s="3"/>
      <c r="I58" s="255" t="str">
        <f>IF('Employee Detail FY27'!I58="","",'Employee Detail FY27'!I58)</f>
        <v>BABJI</v>
      </c>
      <c r="J58" s="255" t="str">
        <f>IF('Employee Detail FY27'!J58="","",'Employee Detail FY27'!J58)</f>
        <v>NIKOLAS</v>
      </c>
      <c r="K58" s="255" t="str">
        <f>IF('Employee Detail FY27'!K58="","",'Employee Detail FY27'!K58)</f>
        <v>Support Staff</v>
      </c>
      <c r="L58" s="255" t="str">
        <f>IF('Employee Detail FY27'!L58="","",'Employee Detail FY27'!L58)</f>
        <v>IT SPECIALIST</v>
      </c>
      <c r="M58" s="92">
        <f>IF('Employee Detail FY27'!M58="","",'Employee Detail FY27'!M58)</f>
        <v>1</v>
      </c>
      <c r="N58" s="3" t="str">
        <f>IF('Employee Detail FY27'!N58="","",'Employee Detail FY27'!N58)</f>
        <v/>
      </c>
      <c r="O58" s="3">
        <f>IF('Employee Detail FY27'!O58="","",'Employee Detail FY27'!O58)</f>
        <v>26</v>
      </c>
      <c r="P58" s="3" t="str">
        <f>IF('Employee Detail FY27'!P58="","",'Employee Detail FY27'!P58)</f>
        <v>ER</v>
      </c>
      <c r="Q58" s="3" t="str">
        <f>IF('Employee Detail FY27'!Q58="","",'Employee Detail FY27'!Q58)</f>
        <v/>
      </c>
      <c r="R58" s="3">
        <f>IF('Employee Detail FY27'!R58="","",'Employee Detail FY27'!R58)</f>
        <v>261</v>
      </c>
      <c r="S58" s="3">
        <f>IF('Employee Detail FY27'!S58="","",'Employee Detail FY27'!S58)</f>
        <v>8</v>
      </c>
      <c r="T58" s="263">
        <f t="shared" si="6"/>
        <v>2088</v>
      </c>
      <c r="U58" s="269">
        <f>IF('Employee Detail FY27'!U58="","",'Employee Detail FY27'!U58)</f>
        <v>49000</v>
      </c>
      <c r="V58" s="270">
        <f t="shared" si="7"/>
        <v>57820</v>
      </c>
      <c r="W58" s="270" t="str">
        <f t="shared" si="8"/>
        <v/>
      </c>
      <c r="X58" s="270">
        <f t="shared" si="9"/>
        <v>57820</v>
      </c>
      <c r="Y58" s="62">
        <v>0</v>
      </c>
      <c r="Z58" s="62">
        <v>0</v>
      </c>
      <c r="AA58" s="256">
        <f t="shared" si="10"/>
        <v>57820</v>
      </c>
      <c r="AB58" s="3"/>
      <c r="AC58" s="62">
        <f t="shared" si="11"/>
        <v>7943.76</v>
      </c>
      <c r="AD58" s="62" t="str">
        <f t="shared" si="12"/>
        <v/>
      </c>
      <c r="AE58" s="62">
        <f t="shared" si="13"/>
        <v>16912.349999999999</v>
      </c>
      <c r="AF58" s="62">
        <f t="shared" si="14"/>
        <v>838.39</v>
      </c>
      <c r="AG58" s="192">
        <v>0</v>
      </c>
      <c r="AH58" s="62">
        <f t="shared" si="15"/>
        <v>526.29707370167898</v>
      </c>
      <c r="AI58" s="62">
        <f t="shared" si="16"/>
        <v>170.29138939282677</v>
      </c>
      <c r="AJ58" s="62"/>
      <c r="AK58" s="62">
        <v>0</v>
      </c>
      <c r="AL58" s="256">
        <f t="shared" si="17"/>
        <v>26391.088463094507</v>
      </c>
      <c r="AM58" s="256">
        <f t="shared" si="18"/>
        <v>57820</v>
      </c>
      <c r="AN58" s="256">
        <f t="shared" si="19"/>
        <v>84211.088463094507</v>
      </c>
    </row>
    <row r="59" spans="1:40" x14ac:dyDescent="0.2">
      <c r="A59" s="3" t="str">
        <f>IF('Employee Detail FY27'!A59="","",'Employee Detail FY27'!A59)</f>
        <v/>
      </c>
      <c r="B59" s="3">
        <f>IF('Employee Detail FY27'!B59="","",'Employee Detail FY27'!B59)</f>
        <v>100</v>
      </c>
      <c r="C59" s="3" t="str">
        <f>IF('Employee Detail FY27'!C59="","",'Employee Detail FY27'!C59)</f>
        <v>000</v>
      </c>
      <c r="D59" s="3"/>
      <c r="E59" s="3">
        <f>IF('Employee Detail FY27'!E59="","",'Employee Detail FY27'!E59)</f>
        <v>100</v>
      </c>
      <c r="F59" s="3" t="str">
        <f>IF('Employee Detail FY27'!F59="","",'Employee Detail FY27'!F59)</f>
        <v>2510</v>
      </c>
      <c r="G59" s="3" t="str">
        <f>IF('Employee Detail FY27'!G59="","",'Employee Detail FY27'!G59)</f>
        <v>0105</v>
      </c>
      <c r="H59" s="3"/>
      <c r="I59" s="255" t="str">
        <f>IF('Employee Detail FY27'!I59="","",'Employee Detail FY27'!I59)</f>
        <v>BELLINGER</v>
      </c>
      <c r="J59" s="255" t="str">
        <f>IF('Employee Detail FY27'!J59="","",'Employee Detail FY27'!J59)</f>
        <v>MARY KAY</v>
      </c>
      <c r="K59" s="255" t="str">
        <f>IF('Employee Detail FY27'!K59="","",'Employee Detail FY27'!K59)</f>
        <v>Support Staff</v>
      </c>
      <c r="L59" s="255" t="str">
        <f>IF('Employee Detail FY27'!L59="","",'Employee Detail FY27'!L59)</f>
        <v>OPERATIONS COORDINATOR</v>
      </c>
      <c r="M59" s="92">
        <f>IF('Employee Detail FY27'!M59="","",'Employee Detail FY27'!M59)</f>
        <v>1</v>
      </c>
      <c r="N59" s="3" t="str">
        <f>IF('Employee Detail FY27'!N59="","",'Employee Detail FY27'!N59)</f>
        <v>H</v>
      </c>
      <c r="O59" s="3">
        <f>IF('Employee Detail FY27'!O59="","",'Employee Detail FY27'!O59)</f>
        <v>1</v>
      </c>
      <c r="P59" s="3" t="str">
        <f>IF('Employee Detail FY27'!P59="","",'Employee Detail FY27'!P59)</f>
        <v>ER</v>
      </c>
      <c r="Q59" s="3" t="str">
        <f>IF('Employee Detail FY27'!Q59="","",'Employee Detail FY27'!Q59)</f>
        <v/>
      </c>
      <c r="R59" s="3">
        <f>IF('Employee Detail FY27'!R59="","",'Employee Detail FY27'!R59)</f>
        <v>261</v>
      </c>
      <c r="S59" s="3">
        <f>IF('Employee Detail FY27'!S59="","",'Employee Detail FY27'!S59)</f>
        <v>8</v>
      </c>
      <c r="T59" s="263">
        <f t="shared" si="6"/>
        <v>2088</v>
      </c>
      <c r="U59" s="269">
        <f>IF('Employee Detail FY27'!U59="","",'Employee Detail FY27'!U59)</f>
        <v>62000</v>
      </c>
      <c r="V59" s="270">
        <f t="shared" si="7"/>
        <v>73160</v>
      </c>
      <c r="W59" s="270" t="str">
        <f t="shared" si="8"/>
        <v/>
      </c>
      <c r="X59" s="270">
        <f t="shared" si="9"/>
        <v>73160</v>
      </c>
      <c r="Y59" s="62">
        <v>0</v>
      </c>
      <c r="Z59" s="62">
        <v>0</v>
      </c>
      <c r="AA59" s="256">
        <f t="shared" si="10"/>
        <v>73160</v>
      </c>
      <c r="AB59" s="3"/>
      <c r="AC59" s="62">
        <f t="shared" si="11"/>
        <v>7943.76</v>
      </c>
      <c r="AD59" s="62" t="str">
        <f t="shared" si="12"/>
        <v/>
      </c>
      <c r="AE59" s="62">
        <f t="shared" si="13"/>
        <v>21399.3</v>
      </c>
      <c r="AF59" s="62">
        <f t="shared" si="14"/>
        <v>1060.8200000000002</v>
      </c>
      <c r="AG59" s="192">
        <v>0</v>
      </c>
      <c r="AH59" s="62">
        <f t="shared" si="15"/>
        <v>665.92690958171625</v>
      </c>
      <c r="AI59" s="62">
        <f t="shared" si="16"/>
        <v>215.47073759908696</v>
      </c>
      <c r="AJ59" s="62"/>
      <c r="AK59" s="62">
        <v>0</v>
      </c>
      <c r="AL59" s="256">
        <f t="shared" si="17"/>
        <v>31285.277647180799</v>
      </c>
      <c r="AM59" s="256">
        <f t="shared" si="18"/>
        <v>73160</v>
      </c>
      <c r="AN59" s="256">
        <f t="shared" si="19"/>
        <v>104445.2776471808</v>
      </c>
    </row>
    <row r="60" spans="1:40" x14ac:dyDescent="0.2">
      <c r="A60" s="439" t="str">
        <f>IF('Employee Detail FY27'!A60="","",'Employee Detail FY27'!A60)</f>
        <v/>
      </c>
      <c r="B60" s="439" t="str">
        <f>IF('Employee Detail FY27'!B60="","",'Employee Detail FY27'!B60)</f>
        <v/>
      </c>
      <c r="C60" s="439" t="str">
        <f>IF('Employee Detail FY27'!C60="","",'Employee Detail FY27'!C60)</f>
        <v/>
      </c>
      <c r="D60" s="439"/>
      <c r="E60" s="439" t="str">
        <f>IF('Employee Detail FY27'!E60="","",'Employee Detail FY27'!E60)</f>
        <v/>
      </c>
      <c r="F60" s="439" t="str">
        <f>IF('Employee Detail FY27'!F60="","",'Employee Detail FY27'!F60)</f>
        <v/>
      </c>
      <c r="G60" s="439" t="str">
        <f>IF('Employee Detail FY27'!G60="","",'Employee Detail FY27'!G60)</f>
        <v/>
      </c>
      <c r="H60" s="439"/>
      <c r="I60" s="441" t="str">
        <f>IF('Employee Detail FY27'!I60="","",'Employee Detail FY27'!I60)</f>
        <v/>
      </c>
      <c r="J60" s="441" t="str">
        <f>IF('Employee Detail FY27'!J60="","",'Employee Detail FY27'!J60)</f>
        <v/>
      </c>
      <c r="K60" s="441" t="str">
        <f>IF('Employee Detail FY27'!K60="","",'Employee Detail FY27'!K60)</f>
        <v/>
      </c>
      <c r="L60" s="441" t="str">
        <f>IF('Employee Detail FY27'!L60="","",'Employee Detail FY27'!L60)</f>
        <v/>
      </c>
      <c r="M60" s="92" t="str">
        <f>IF('Employee Detail FY27'!M60="","",'Employee Detail FY27'!M60)</f>
        <v/>
      </c>
      <c r="N60" s="439" t="str">
        <f>IF('Employee Detail FY27'!N60="","",'Employee Detail FY27'!N60)</f>
        <v/>
      </c>
      <c r="O60" s="439" t="str">
        <f>IF('Employee Detail FY27'!O60="","",'Employee Detail FY27'!O60)</f>
        <v/>
      </c>
      <c r="P60" s="439" t="str">
        <f>IF('Employee Detail FY27'!P60="","",'Employee Detail FY27'!P60)</f>
        <v/>
      </c>
      <c r="Q60" s="439" t="str">
        <f>IF('Employee Detail FY27'!Q60="","",'Employee Detail FY27'!Q60)</f>
        <v/>
      </c>
      <c r="R60" s="439" t="str">
        <f>IF('Employee Detail FY27'!R60="","",'Employee Detail FY27'!R60)</f>
        <v/>
      </c>
      <c r="S60" s="439" t="str">
        <f>IF('Employee Detail FY27'!S60="","",'Employee Detail FY27'!S60)</f>
        <v/>
      </c>
      <c r="T60" s="263" t="str">
        <f t="shared" si="6"/>
        <v/>
      </c>
      <c r="U60" s="269" t="str">
        <f>IF('Employee Detail FY27'!U60="","",'Employee Detail FY27'!U60)</f>
        <v/>
      </c>
      <c r="V60" s="270" t="str">
        <f t="shared" si="7"/>
        <v/>
      </c>
      <c r="W60" s="270" t="str">
        <f t="shared" si="8"/>
        <v/>
      </c>
      <c r="X60" s="270" t="str">
        <f t="shared" si="9"/>
        <v/>
      </c>
      <c r="Y60" s="62">
        <v>0</v>
      </c>
      <c r="Z60" s="62">
        <v>0</v>
      </c>
      <c r="AA60" s="256">
        <f t="shared" si="10"/>
        <v>0</v>
      </c>
      <c r="AB60" s="3"/>
      <c r="AC60" s="62" t="str">
        <f t="shared" si="11"/>
        <v/>
      </c>
      <c r="AD60" s="62" t="str">
        <f t="shared" si="12"/>
        <v/>
      </c>
      <c r="AE60" s="62" t="str">
        <f t="shared" si="13"/>
        <v/>
      </c>
      <c r="AF60" s="62" t="str">
        <f t="shared" si="14"/>
        <v/>
      </c>
      <c r="AG60" s="192">
        <v>0</v>
      </c>
      <c r="AH60" s="62" t="str">
        <f t="shared" si="15"/>
        <v/>
      </c>
      <c r="AI60" s="62">
        <f t="shared" si="16"/>
        <v>0</v>
      </c>
      <c r="AJ60" s="62"/>
      <c r="AK60" s="62">
        <v>0</v>
      </c>
      <c r="AL60" s="256">
        <f t="shared" si="17"/>
        <v>0</v>
      </c>
      <c r="AM60" s="256">
        <f t="shared" si="18"/>
        <v>0</v>
      </c>
      <c r="AN60" s="256">
        <f t="shared" si="19"/>
        <v>0</v>
      </c>
    </row>
    <row r="61" spans="1:40" x14ac:dyDescent="0.2">
      <c r="A61" s="3" t="str">
        <f>IF('Employee Detail FY27'!A61="","",'Employee Detail FY27'!A61)</f>
        <v>CSP</v>
      </c>
      <c r="B61" s="3" t="str">
        <f>IF('Employee Detail FY27'!B61="","",'Employee Detail FY27'!B61)</f>
        <v>100</v>
      </c>
      <c r="C61" s="3" t="str">
        <f>IF('Employee Detail FY27'!C61="","",'Employee Detail FY27'!C61)</f>
        <v>000</v>
      </c>
      <c r="D61" s="3"/>
      <c r="E61" s="3">
        <f>IF('Employee Detail FY27'!E61="","",'Employee Detail FY27'!E61)</f>
        <v>100</v>
      </c>
      <c r="F61" s="3">
        <f>IF('Employee Detail FY27'!F61="","",'Employee Detail FY27'!F61)</f>
        <v>2110</v>
      </c>
      <c r="G61" s="3" t="str">
        <f>IF('Employee Detail FY27'!G61="","",'Employee Detail FY27'!G61)</f>
        <v>0107</v>
      </c>
      <c r="H61" s="3"/>
      <c r="I61" s="255" t="str">
        <f>IF('Employee Detail FY27'!I61="","",'Employee Detail FY27'!I61)</f>
        <v>CAMARILLO</v>
      </c>
      <c r="J61" s="255" t="str">
        <f>IF('Employee Detail FY27'!J61="","",'Employee Detail FY27'!J61)</f>
        <v>GLENDI</v>
      </c>
      <c r="K61" s="255" t="str">
        <f>IF('Employee Detail FY27'!K61="","",'Employee Detail FY27'!K61)</f>
        <v>Support Staff</v>
      </c>
      <c r="L61" s="255" t="str">
        <f>IF('Employee Detail FY27'!L61="","",'Employee Detail FY27'!L61)</f>
        <v>STUDENT PERSISTENCE ASSISTANT</v>
      </c>
      <c r="M61" s="92">
        <f>IF('Employee Detail FY27'!M61="","",'Employee Detail FY27'!M61)</f>
        <v>1</v>
      </c>
      <c r="N61" s="3">
        <f>IF('Employee Detail FY27'!N61="","",'Employee Detail FY27'!N61)</f>
        <v>12</v>
      </c>
      <c r="O61" s="3">
        <f>IF('Employee Detail FY27'!O61="","",'Employee Detail FY27'!O61)</f>
        <v>24</v>
      </c>
      <c r="P61" s="3" t="str">
        <f>IF('Employee Detail FY27'!P61="","",'Employee Detail FY27'!P61)</f>
        <v>ER</v>
      </c>
      <c r="Q61" s="3">
        <f>IF('Employee Detail FY27'!Q61="","",'Employee Detail FY27'!Q61)</f>
        <v>19.88</v>
      </c>
      <c r="R61" s="3">
        <f>IF('Employee Detail FY27'!R61="","",'Employee Detail FY27'!R61)</f>
        <v>260</v>
      </c>
      <c r="S61" s="3">
        <f>IF('Employee Detail FY27'!S61="","",'Employee Detail FY27'!S61)</f>
        <v>8</v>
      </c>
      <c r="T61" s="263">
        <f>+IF(R61="","",R61*S61)</f>
        <v>2080</v>
      </c>
      <c r="U61" s="269">
        <f>IF('Employee Detail FY27'!U61="","",'Employee Detail FY27'!U61)</f>
        <v>41350.400000000001</v>
      </c>
      <c r="V61" s="270">
        <f>IF($U61="","",$U61*(1+$V$1))</f>
        <v>48793.472000000002</v>
      </c>
      <c r="W61" s="270" t="str">
        <f>+IF(P61="EE",+V61*$W$1,"")</f>
        <v/>
      </c>
      <c r="X61" s="270">
        <f>_xlfn.IFS(P61="ER",V61,P61="EE",W61,P61="N",V61,P61="","")</f>
        <v>48793.472000000002</v>
      </c>
      <c r="Y61" s="62">
        <v>0</v>
      </c>
      <c r="Z61" s="62">
        <v>0</v>
      </c>
      <c r="AA61" s="256">
        <f>SUM(X61:Z61)</f>
        <v>48793.472000000002</v>
      </c>
      <c r="AB61" s="3"/>
      <c r="AC61" s="62">
        <f>IF(AND(M61=1,P61&lt;&gt;"N"),$AC$1,"")</f>
        <v>7943.76</v>
      </c>
      <c r="AD61" s="62" t="str">
        <f>_xlfn.IFS(P61="N",$AD$1*AA61,P61="EE","",P61="ER","",P61="","")</f>
        <v/>
      </c>
      <c r="AE61" s="62">
        <f>_xlfn.IFS(P61="EE",X61*$AE$1,P61="ER",X61*$AE$2,P61="N","",P61="","")</f>
        <v>14272.090559999999</v>
      </c>
      <c r="AF61" s="62">
        <f>+IF(AA61&gt;1,AA61*$AF$1,"")</f>
        <v>707.50534400000004</v>
      </c>
      <c r="AG61" s="192">
        <v>0</v>
      </c>
      <c r="AH61" s="62">
        <f>+IF(AA61&gt;1,AA61*$AH$1,"")</f>
        <v>444.13458196722257</v>
      </c>
      <c r="AI61" s="62">
        <f>+_xlfn.IFS(F61&lt;2300,(AA61*$AI$1),F61&gt;=2300,(AA61*$AI$2),F61="","")</f>
        <v>143.70647077447234</v>
      </c>
      <c r="AJ61" s="62"/>
      <c r="AK61" s="62">
        <v>0</v>
      </c>
      <c r="AL61" s="256">
        <f>SUM(AC61:AK61)</f>
        <v>23511.196956741696</v>
      </c>
      <c r="AM61" s="256">
        <f>AA61</f>
        <v>48793.472000000002</v>
      </c>
      <c r="AN61" s="256">
        <f>SUM(AL61:AM61)</f>
        <v>72304.668956741691</v>
      </c>
    </row>
    <row r="62" spans="1:40" x14ac:dyDescent="0.2">
      <c r="A62" s="3" t="str">
        <f>IF('Employee Detail FY27'!A62="","",'Employee Detail FY27'!A62)</f>
        <v/>
      </c>
      <c r="B62" s="3" t="str">
        <f>IF('Employee Detail FY27'!B62="","",'Employee Detail FY27'!B62)</f>
        <v/>
      </c>
      <c r="C62" s="3" t="str">
        <f>IF('Employee Detail FY27'!C62="","",'Employee Detail FY27'!C62)</f>
        <v/>
      </c>
      <c r="D62" s="3"/>
      <c r="E62" s="3" t="str">
        <f>IF('Employee Detail FY27'!E62="","",'Employee Detail FY27'!E62)</f>
        <v/>
      </c>
      <c r="F62" s="3" t="str">
        <f>IF('Employee Detail FY27'!F62="","",'Employee Detail FY27'!F62)</f>
        <v/>
      </c>
      <c r="G62" s="3" t="str">
        <f>IF('Employee Detail FY27'!G62="","",'Employee Detail FY27'!G62)</f>
        <v/>
      </c>
      <c r="H62" s="3"/>
      <c r="I62" s="255" t="str">
        <f>IF('Employee Detail FY27'!I62="","",'Employee Detail FY27'!I62)</f>
        <v/>
      </c>
      <c r="J62" s="255" t="str">
        <f>IF('Employee Detail FY27'!J62="","",'Employee Detail FY27'!J62)</f>
        <v/>
      </c>
      <c r="K62" s="255" t="str">
        <f>IF('Employee Detail FY27'!K62="","",'Employee Detail FY27'!K62)</f>
        <v/>
      </c>
      <c r="L62" s="255" t="str">
        <f>IF('Employee Detail FY27'!L62="","",'Employee Detail FY27'!L62)</f>
        <v/>
      </c>
      <c r="M62" s="92" t="str">
        <f>IF('Employee Detail FY27'!M62="","",'Employee Detail FY27'!M62)</f>
        <v/>
      </c>
      <c r="N62" s="3" t="str">
        <f>IF('Employee Detail FY27'!N62="","",'Employee Detail FY27'!N62)</f>
        <v/>
      </c>
      <c r="O62" s="3" t="str">
        <f>IF('Employee Detail FY27'!O62="","",'Employee Detail FY27'!O62)</f>
        <v/>
      </c>
      <c r="P62" s="3" t="str">
        <f>IF('Employee Detail FY27'!P62="","",'Employee Detail FY27'!P62)</f>
        <v/>
      </c>
      <c r="Q62" s="3" t="str">
        <f>IF('Employee Detail FY27'!Q62="","",'Employee Detail FY27'!Q62)</f>
        <v/>
      </c>
      <c r="R62" s="3" t="str">
        <f>IF('Employee Detail FY27'!R62="","",'Employee Detail FY27'!R62)</f>
        <v/>
      </c>
      <c r="S62" s="3" t="str">
        <f>IF('Employee Detail FY27'!S62="","",'Employee Detail FY27'!S62)</f>
        <v/>
      </c>
      <c r="T62" s="263" t="str">
        <f>+IF(R62="","",R62*S62)</f>
        <v/>
      </c>
      <c r="U62" s="269">
        <f>IF('Employee Detail FY27'!U62="","",'Employee Detail FY27'!U62)</f>
        <v>0</v>
      </c>
      <c r="V62" s="270">
        <f>IF($U62="","",$U62*(1+$V$1))</f>
        <v>0</v>
      </c>
      <c r="W62" s="270" t="str">
        <f>+IF(P62="EE",+V62*$W$1,"")</f>
        <v/>
      </c>
      <c r="X62" s="270" t="str">
        <f>_xlfn.IFS(P62="ER",V62,P62="EE",W62,P62="N",V62,P62="","")</f>
        <v/>
      </c>
      <c r="Y62" s="62">
        <v>0</v>
      </c>
      <c r="Z62" s="62">
        <v>0</v>
      </c>
      <c r="AA62" s="256">
        <f>SUM(X62:Z62)</f>
        <v>0</v>
      </c>
      <c r="AB62" s="3"/>
      <c r="AC62" s="62" t="str">
        <f>IF(AND(M62=1,P62&lt;&gt;"N"),$AC$1,"")</f>
        <v/>
      </c>
      <c r="AD62" s="62" t="str">
        <f>_xlfn.IFS(P62="N",$AD$1*AA62,P62="EE","",P62="ER","",P62="","")</f>
        <v/>
      </c>
      <c r="AE62" s="62" t="str">
        <f>_xlfn.IFS(P62="EE",X62*$AE$1,P62="ER",X62*$AE$2,P62="N","",P62="","")</f>
        <v/>
      </c>
      <c r="AF62" s="62" t="str">
        <f>+IF(AA62&gt;1,AA62*$AF$1,"")</f>
        <v/>
      </c>
      <c r="AG62" s="192">
        <v>0</v>
      </c>
      <c r="AH62" s="62" t="str">
        <f>+IF(AA62&gt;1,AA62*$AH$1,"")</f>
        <v/>
      </c>
      <c r="AI62" s="62">
        <f>+_xlfn.IFS(F62&lt;2300,(AA62*$AI$1),F62&gt;=2300,(AA62*$AI$2),F62="","")</f>
        <v>0</v>
      </c>
      <c r="AJ62" s="62"/>
      <c r="AK62" s="62">
        <v>0</v>
      </c>
      <c r="AL62" s="256">
        <f>SUM(AC62:AK62)</f>
        <v>0</v>
      </c>
      <c r="AM62" s="256">
        <f>AA62</f>
        <v>0</v>
      </c>
      <c r="AN62" s="256">
        <f>SUM(AL62:AM62)</f>
        <v>0</v>
      </c>
    </row>
    <row r="63" spans="1:40" x14ac:dyDescent="0.2">
      <c r="A63" s="3" t="str">
        <f>IF('Employee Detail FY27'!A63="","",'Employee Detail FY27'!A63)</f>
        <v/>
      </c>
      <c r="B63" s="3">
        <f>IF('Employee Detail FY27'!B63="","",'Employee Detail FY27'!B63)</f>
        <v>100</v>
      </c>
      <c r="C63" s="3" t="str">
        <f>IF('Employee Detail FY27'!C63="","",'Employee Detail FY27'!C63)</f>
        <v>000</v>
      </c>
      <c r="D63" s="3"/>
      <c r="E63" s="3">
        <f>IF('Employee Detail FY27'!E63="","",'Employee Detail FY27'!E63)</f>
        <v>100</v>
      </c>
      <c r="F63" s="3">
        <f>IF('Employee Detail FY27'!F63="","",'Employee Detail FY27'!F63)</f>
        <v>2212</v>
      </c>
      <c r="G63" s="3" t="str">
        <f>IF('Employee Detail FY27'!G63="","",'Employee Detail FY27'!G63)</f>
        <v>0107</v>
      </c>
      <c r="H63" s="3"/>
      <c r="I63" s="255" t="str">
        <f>IF('Employee Detail FY27'!I63="","",'Employee Detail FY27'!I63)</f>
        <v>HERNANDEZ</v>
      </c>
      <c r="J63" s="255" t="str">
        <f>IF('Employee Detail FY27'!J63="","",'Employee Detail FY27'!J63)</f>
        <v>BRISSELLE</v>
      </c>
      <c r="K63" s="255" t="str">
        <f>IF('Employee Detail FY27'!K63="","",'Employee Detail FY27'!K63)</f>
        <v>Support Staff</v>
      </c>
      <c r="L63" s="255" t="str">
        <f>IF('Employee Detail FY27'!L63="","",'Employee Detail FY27'!L63)</f>
        <v>INSTRUCTIONAL DESIGNER</v>
      </c>
      <c r="M63" s="92">
        <f>IF('Employee Detail FY27'!M63="","",'Employee Detail FY27'!M63)</f>
        <v>1</v>
      </c>
      <c r="N63" s="3" t="str">
        <f>IF('Employee Detail FY27'!N63="","",'Employee Detail FY27'!N63)</f>
        <v/>
      </c>
      <c r="O63" s="3">
        <f>IF('Employee Detail FY27'!O63="","",'Employee Detail FY27'!O63)</f>
        <v>26</v>
      </c>
      <c r="P63" s="3" t="str">
        <f>IF('Employee Detail FY27'!P63="","",'Employee Detail FY27'!P63)</f>
        <v>EE</v>
      </c>
      <c r="Q63" s="3">
        <f>IF('Employee Detail FY27'!Q63="","",'Employee Detail FY27'!Q63)</f>
        <v>20</v>
      </c>
      <c r="R63" s="3">
        <f>IF('Employee Detail FY27'!R63="","",'Employee Detail FY27'!R63)</f>
        <v>261</v>
      </c>
      <c r="S63" s="3">
        <f>IF('Employee Detail FY27'!S63="","",'Employee Detail FY27'!S63)</f>
        <v>8</v>
      </c>
      <c r="T63" s="263">
        <f t="shared" si="6"/>
        <v>2088</v>
      </c>
      <c r="U63" s="269">
        <f>IF('Employee Detail FY27'!U63="","",'Employee Detail FY27'!U63)</f>
        <v>42600</v>
      </c>
      <c r="V63" s="270">
        <f t="shared" si="7"/>
        <v>50268</v>
      </c>
      <c r="W63" s="270">
        <f t="shared" si="8"/>
        <v>57988.461047999997</v>
      </c>
      <c r="X63" s="270">
        <f t="shared" si="9"/>
        <v>57988.461047999997</v>
      </c>
      <c r="Y63" s="62">
        <v>0</v>
      </c>
      <c r="Z63" s="62">
        <v>0</v>
      </c>
      <c r="AA63" s="256">
        <f t="shared" si="10"/>
        <v>57988.461047999997</v>
      </c>
      <c r="AB63" s="3"/>
      <c r="AC63" s="62">
        <f t="shared" si="11"/>
        <v>7943.76</v>
      </c>
      <c r="AD63" s="62" t="str">
        <f t="shared" si="12"/>
        <v/>
      </c>
      <c r="AE63" s="62">
        <f t="shared" si="13"/>
        <v>8843.2403098199993</v>
      </c>
      <c r="AF63" s="62">
        <f t="shared" si="14"/>
        <v>840.83268519600006</v>
      </c>
      <c r="AG63" s="192">
        <v>0</v>
      </c>
      <c r="AH63" s="62">
        <f t="shared" si="15"/>
        <v>527.83046278149766</v>
      </c>
      <c r="AI63" s="62">
        <f t="shared" si="16"/>
        <v>170.78754065402518</v>
      </c>
      <c r="AJ63" s="62"/>
      <c r="AK63" s="62">
        <v>0</v>
      </c>
      <c r="AL63" s="256">
        <f t="shared" si="17"/>
        <v>18326.450998451524</v>
      </c>
      <c r="AM63" s="256">
        <f t="shared" si="18"/>
        <v>57988.461047999997</v>
      </c>
      <c r="AN63" s="256">
        <f t="shared" si="19"/>
        <v>76314.912046451529</v>
      </c>
    </row>
    <row r="64" spans="1:40" x14ac:dyDescent="0.2">
      <c r="A64" s="3" t="str">
        <f>IF('Employee Detail FY27'!A64="","",'Employee Detail FY27'!A64)</f>
        <v/>
      </c>
      <c r="B64" s="3">
        <f>IF('Employee Detail FY27'!B64="","",'Employee Detail FY27'!B64)</f>
        <v>100</v>
      </c>
      <c r="C64" s="3" t="str">
        <f>IF('Employee Detail FY27'!C64="","",'Employee Detail FY27'!C64)</f>
        <v>000</v>
      </c>
      <c r="D64" s="3"/>
      <c r="E64" s="3">
        <f>IF('Employee Detail FY27'!E64="","",'Employee Detail FY27'!E64)</f>
        <v>100</v>
      </c>
      <c r="F64" s="3" t="str">
        <f>IF('Employee Detail FY27'!F64="","",'Employee Detail FY27'!F64)</f>
        <v>2410</v>
      </c>
      <c r="G64" s="3" t="str">
        <f>IF('Employee Detail FY27'!G64="","",'Employee Detail FY27'!G64)</f>
        <v>0107</v>
      </c>
      <c r="H64" s="3"/>
      <c r="I64" s="255" t="str">
        <f>IF('Employee Detail FY27'!I64="","",'Employee Detail FY27'!I64)</f>
        <v>RUIZ</v>
      </c>
      <c r="J64" s="255" t="str">
        <f>IF('Employee Detail FY27'!J64="","",'Employee Detail FY27'!J64)</f>
        <v>ANNETTE</v>
      </c>
      <c r="K64" s="255" t="str">
        <f>IF('Employee Detail FY27'!K64="","",'Employee Detail FY27'!K64)</f>
        <v>Support Staff</v>
      </c>
      <c r="L64" s="255" t="str">
        <f>IF('Employee Detail FY27'!L64="","",'Employee Detail FY27'!L64)</f>
        <v>REGISTRAR</v>
      </c>
      <c r="M64" s="92">
        <f>IF('Employee Detail FY27'!M64="","",'Employee Detail FY27'!M64)</f>
        <v>1</v>
      </c>
      <c r="N64" s="3" t="str">
        <f>IF('Employee Detail FY27'!N64="","",'Employee Detail FY27'!N64)</f>
        <v>H</v>
      </c>
      <c r="O64" s="3">
        <f>IF('Employee Detail FY27'!O64="","",'Employee Detail FY27'!O64)</f>
        <v>1</v>
      </c>
      <c r="P64" s="3" t="str">
        <f>IF('Employee Detail FY27'!P64="","",'Employee Detail FY27'!P64)</f>
        <v>EE</v>
      </c>
      <c r="Q64" s="3" t="str">
        <f>IF('Employee Detail FY27'!Q64="","",'Employee Detail FY27'!Q64)</f>
        <v/>
      </c>
      <c r="R64" s="3">
        <f>IF('Employee Detail FY27'!R64="","",'Employee Detail FY27'!R64)</f>
        <v>261</v>
      </c>
      <c r="S64" s="3">
        <f>IF('Employee Detail FY27'!S64="","",'Employee Detail FY27'!S64)</f>
        <v>8</v>
      </c>
      <c r="T64" s="263">
        <f t="shared" si="6"/>
        <v>2088</v>
      </c>
      <c r="U64" s="269">
        <f>IF('Employee Detail FY27'!U64="","",'Employee Detail FY27'!U64)</f>
        <v>43000</v>
      </c>
      <c r="V64" s="270">
        <f t="shared" si="7"/>
        <v>50740</v>
      </c>
      <c r="W64" s="270">
        <f t="shared" si="8"/>
        <v>58532.95364</v>
      </c>
      <c r="X64" s="270">
        <f t="shared" si="9"/>
        <v>58532.95364</v>
      </c>
      <c r="Y64" s="62">
        <v>0</v>
      </c>
      <c r="Z64" s="62">
        <v>0</v>
      </c>
      <c r="AA64" s="256">
        <f t="shared" si="10"/>
        <v>58532.95364</v>
      </c>
      <c r="AB64" s="3"/>
      <c r="AC64" s="62">
        <f t="shared" si="11"/>
        <v>7943.76</v>
      </c>
      <c r="AD64" s="62" t="str">
        <f t="shared" si="12"/>
        <v/>
      </c>
      <c r="AE64" s="62">
        <f t="shared" si="13"/>
        <v>8926.2754301000004</v>
      </c>
      <c r="AF64" s="62">
        <f t="shared" si="14"/>
        <v>848.72782777999998</v>
      </c>
      <c r="AG64" s="192">
        <v>0</v>
      </c>
      <c r="AH64" s="62">
        <f t="shared" si="15"/>
        <v>532.78661736160564</v>
      </c>
      <c r="AI64" s="62">
        <f t="shared" si="16"/>
        <v>172.3911795334057</v>
      </c>
      <c r="AJ64" s="62"/>
      <c r="AK64" s="62">
        <v>0</v>
      </c>
      <c r="AL64" s="256">
        <f t="shared" si="17"/>
        <v>18423.941054775012</v>
      </c>
      <c r="AM64" s="256">
        <f t="shared" si="18"/>
        <v>58532.95364</v>
      </c>
      <c r="AN64" s="256">
        <f t="shared" si="19"/>
        <v>76956.894694775008</v>
      </c>
    </row>
    <row r="65" spans="1:40" x14ac:dyDescent="0.2">
      <c r="A65" s="3" t="str">
        <f>IF('Employee Detail FY27'!A65="","",'Employee Detail FY27'!A65)</f>
        <v>CSP</v>
      </c>
      <c r="B65" s="3" t="str">
        <f>IF('Employee Detail FY27'!B65="","",'Employee Detail FY27'!B65)</f>
        <v>100</v>
      </c>
      <c r="C65" s="3" t="str">
        <f>IF('Employee Detail FY27'!C65="","",'Employee Detail FY27'!C65)</f>
        <v>000</v>
      </c>
      <c r="D65" s="3"/>
      <c r="E65" s="3">
        <f>IF('Employee Detail FY27'!E65="","",'Employee Detail FY27'!E65)</f>
        <v>100</v>
      </c>
      <c r="F65" s="3">
        <f>IF('Employee Detail FY27'!F65="","",'Employee Detail FY27'!F65)</f>
        <v>2410</v>
      </c>
      <c r="G65" s="3" t="str">
        <f>IF('Employee Detail FY27'!G65="","",'Employee Detail FY27'!G65)</f>
        <v>0107</v>
      </c>
      <c r="H65" s="3"/>
      <c r="I65" s="255" t="str">
        <f>IF('Employee Detail FY27'!I65="","",'Employee Detail FY27'!I65)</f>
        <v>ZEIDLER</v>
      </c>
      <c r="J65" s="255" t="str">
        <f>IF('Employee Detail FY27'!J65="","",'Employee Detail FY27'!J65)</f>
        <v>LINDA</v>
      </c>
      <c r="K65" s="255" t="str">
        <f>IF('Employee Detail FY27'!K65="","",'Employee Detail FY27'!K65)</f>
        <v>Support Staff</v>
      </c>
      <c r="L65" s="255" t="str">
        <f>IF('Employee Detail FY27'!L65="","",'Employee Detail FY27'!L65)</f>
        <v>RECORDS &amp; ENROLLMENT COORDINATOR</v>
      </c>
      <c r="M65" s="92">
        <f>IF('Employee Detail FY27'!M65="","",'Employee Detail FY27'!M65)</f>
        <v>1</v>
      </c>
      <c r="N65" s="3" t="str">
        <f>IF('Employee Detail FY27'!N65="","",'Employee Detail FY27'!N65)</f>
        <v/>
      </c>
      <c r="O65" s="3">
        <f>IF('Employee Detail FY27'!O65="","",'Employee Detail FY27'!O65)</f>
        <v>26</v>
      </c>
      <c r="P65" s="3" t="str">
        <f>IF('Employee Detail FY27'!P65="","",'Employee Detail FY27'!P65)</f>
        <v>ER</v>
      </c>
      <c r="Q65" s="3" t="str">
        <f>IF('Employee Detail FY27'!Q65="","",'Employee Detail FY27'!Q65)</f>
        <v/>
      </c>
      <c r="R65" s="3">
        <f>IF('Employee Detail FY27'!R65="","",'Employee Detail FY27'!R65)</f>
        <v>200</v>
      </c>
      <c r="S65" s="3">
        <f>IF('Employee Detail FY27'!S65="","",'Employee Detail FY27'!S65)</f>
        <v>8</v>
      </c>
      <c r="T65" s="263">
        <f t="shared" si="6"/>
        <v>1600</v>
      </c>
      <c r="U65" s="269">
        <f>IF('Employee Detail FY27'!U65="","",'Employee Detail FY27'!U65)</f>
        <v>70000</v>
      </c>
      <c r="V65" s="270">
        <f t="shared" si="7"/>
        <v>82600</v>
      </c>
      <c r="W65" s="270" t="str">
        <f t="shared" si="8"/>
        <v/>
      </c>
      <c r="X65" s="270">
        <f t="shared" si="9"/>
        <v>82600</v>
      </c>
      <c r="Y65" s="62">
        <v>0</v>
      </c>
      <c r="Z65" s="62">
        <v>0</v>
      </c>
      <c r="AA65" s="256">
        <f t="shared" si="10"/>
        <v>82600</v>
      </c>
      <c r="AB65" s="3"/>
      <c r="AC65" s="62">
        <f t="shared" si="11"/>
        <v>7943.76</v>
      </c>
      <c r="AD65" s="62" t="str">
        <f t="shared" si="12"/>
        <v/>
      </c>
      <c r="AE65" s="62">
        <f t="shared" si="13"/>
        <v>24160.5</v>
      </c>
      <c r="AF65" s="62">
        <f t="shared" si="14"/>
        <v>1197.7</v>
      </c>
      <c r="AG65" s="192">
        <v>0</v>
      </c>
      <c r="AH65" s="62">
        <f t="shared" si="15"/>
        <v>751.85296243096991</v>
      </c>
      <c r="AI65" s="62">
        <f t="shared" si="16"/>
        <v>243.27341341832397</v>
      </c>
      <c r="AJ65" s="62"/>
      <c r="AK65" s="62">
        <v>0</v>
      </c>
      <c r="AL65" s="256">
        <f t="shared" si="17"/>
        <v>34297.086375849292</v>
      </c>
      <c r="AM65" s="256">
        <f t="shared" si="18"/>
        <v>82600</v>
      </c>
      <c r="AN65" s="256">
        <f t="shared" si="19"/>
        <v>116897.08637584929</v>
      </c>
    </row>
    <row r="66" spans="1:40" x14ac:dyDescent="0.2">
      <c r="A66" s="3" t="str">
        <f>IF('Employee Detail FY27'!A66="","",'Employee Detail FY27'!A66)</f>
        <v/>
      </c>
      <c r="B66" s="3">
        <f>IF('Employee Detail FY27'!B66="","",'Employee Detail FY27'!B66)</f>
        <v>100</v>
      </c>
      <c r="C66" s="3" t="str">
        <f>IF('Employee Detail FY27'!C66="","",'Employee Detail FY27'!C66)</f>
        <v>000</v>
      </c>
      <c r="D66" s="3"/>
      <c r="E66" s="3">
        <f>IF('Employee Detail FY27'!E66="","",'Employee Detail FY27'!E66)</f>
        <v>100</v>
      </c>
      <c r="F66" s="3" t="str">
        <f>IF('Employee Detail FY27'!F66="","",'Employee Detail FY27'!F66)</f>
        <v>2410</v>
      </c>
      <c r="G66" s="3" t="str">
        <f>IF('Employee Detail FY27'!G66="","",'Employee Detail FY27'!G66)</f>
        <v>0107</v>
      </c>
      <c r="H66" s="3"/>
      <c r="I66" s="255" t="str">
        <f>IF('Employee Detail FY27'!I66="","",'Employee Detail FY27'!I66)</f>
        <v>GARCIA</v>
      </c>
      <c r="J66" s="255" t="str">
        <f>IF('Employee Detail FY27'!J66="","",'Employee Detail FY27'!J66)</f>
        <v>BELINDA</v>
      </c>
      <c r="K66" s="255" t="str">
        <f>IF('Employee Detail FY27'!K66="","",'Employee Detail FY27'!K66)</f>
        <v>Support Staff</v>
      </c>
      <c r="L66" s="255" t="str">
        <f>IF('Employee Detail FY27'!L66="","",'Employee Detail FY27'!L66)</f>
        <v>RECEPTIONIST</v>
      </c>
      <c r="M66" s="92">
        <f>IF('Employee Detail FY27'!M66="","",'Employee Detail FY27'!M66)</f>
        <v>1</v>
      </c>
      <c r="N66" s="3" t="str">
        <f>IF('Employee Detail FY27'!N66="","",'Employee Detail FY27'!N66)</f>
        <v>12</v>
      </c>
      <c r="O66" s="3">
        <f>IF('Employee Detail FY27'!O66="","",'Employee Detail FY27'!O66)</f>
        <v>22.5</v>
      </c>
      <c r="P66" s="3" t="str">
        <f>IF('Employee Detail FY27'!P66="","",'Employee Detail FY27'!P66)</f>
        <v>ER</v>
      </c>
      <c r="Q66" s="3">
        <f>IF('Employee Detail FY27'!Q66="","",'Employee Detail FY27'!Q66)</f>
        <v>15.95</v>
      </c>
      <c r="R66" s="3">
        <f>IF('Employee Detail FY27'!R66="","",'Employee Detail FY27'!R66)</f>
        <v>260</v>
      </c>
      <c r="S66" s="3">
        <f>IF('Employee Detail FY27'!S66="","",'Employee Detail FY27'!S66)</f>
        <v>8</v>
      </c>
      <c r="T66" s="263">
        <f t="shared" si="6"/>
        <v>2080</v>
      </c>
      <c r="U66" s="269">
        <f>IF('Employee Detail FY27'!U66="","",'Employee Detail FY27'!U66)</f>
        <v>33176</v>
      </c>
      <c r="V66" s="270">
        <f t="shared" si="7"/>
        <v>39147.68</v>
      </c>
      <c r="W66" s="270" t="str">
        <f t="shared" si="8"/>
        <v/>
      </c>
      <c r="X66" s="270">
        <f t="shared" si="9"/>
        <v>39147.68</v>
      </c>
      <c r="Y66" s="62">
        <v>0</v>
      </c>
      <c r="Z66" s="62">
        <v>0</v>
      </c>
      <c r="AA66" s="256">
        <f t="shared" si="10"/>
        <v>39147.68</v>
      </c>
      <c r="AB66" s="3"/>
      <c r="AC66" s="62">
        <f t="shared" si="11"/>
        <v>7943.76</v>
      </c>
      <c r="AD66" s="62" t="str">
        <f t="shared" si="12"/>
        <v/>
      </c>
      <c r="AE66" s="62">
        <f t="shared" si="13"/>
        <v>11450.696399999999</v>
      </c>
      <c r="AF66" s="62">
        <f t="shared" si="14"/>
        <v>567.64136000000008</v>
      </c>
      <c r="AG66" s="192">
        <v>0</v>
      </c>
      <c r="AH66" s="62">
        <f t="shared" si="15"/>
        <v>356.33534116585514</v>
      </c>
      <c r="AI66" s="62">
        <f t="shared" si="16"/>
        <v>115.29769662237595</v>
      </c>
      <c r="AJ66" s="62"/>
      <c r="AK66" s="62">
        <v>0</v>
      </c>
      <c r="AL66" s="256">
        <f t="shared" si="17"/>
        <v>20433.73079778823</v>
      </c>
      <c r="AM66" s="256">
        <f t="shared" si="18"/>
        <v>39147.68</v>
      </c>
      <c r="AN66" s="256">
        <f t="shared" si="19"/>
        <v>59581.41079778823</v>
      </c>
    </row>
    <row r="67" spans="1:40" x14ac:dyDescent="0.2">
      <c r="A67" s="3" t="str">
        <f>IF('Employee Detail FY27'!A67="","",'Employee Detail FY27'!A67)</f>
        <v/>
      </c>
      <c r="B67" s="3">
        <f>IF('Employee Detail FY27'!B67="","",'Employee Detail FY27'!B67)</f>
        <v>250</v>
      </c>
      <c r="C67" s="3">
        <f>IF('Employee Detail FY27'!C67="","",'Employee Detail FY27'!C67)</f>
        <v>205</v>
      </c>
      <c r="D67" s="3"/>
      <c r="E67" s="3">
        <f>IF('Employee Detail FY27'!E67="","",'Employee Detail FY27'!E67)</f>
        <v>200</v>
      </c>
      <c r="F67" s="3">
        <f>IF('Employee Detail FY27'!F67="","",'Employee Detail FY27'!F67)</f>
        <v>2410</v>
      </c>
      <c r="G67" s="3" t="str">
        <f>IF('Employee Detail FY27'!G67="","",'Employee Detail FY27'!G67)</f>
        <v>0107</v>
      </c>
      <c r="H67" s="3"/>
      <c r="I67" s="255" t="str">
        <f>IF('Employee Detail FY27'!I67="","",'Employee Detail FY27'!I67)</f>
        <v>CLADERA RABELO</v>
      </c>
      <c r="J67" s="255" t="str">
        <f>IF('Employee Detail FY27'!J67="","",'Employee Detail FY27'!J67)</f>
        <v>REDYANE</v>
      </c>
      <c r="K67" s="255" t="str">
        <f>IF('Employee Detail FY27'!K67="","",'Employee Detail FY27'!K67)</f>
        <v>Support Staff</v>
      </c>
      <c r="L67" s="255" t="str">
        <f>IF('Employee Detail FY27'!L67="","",'Employee Detail FY27'!L67)</f>
        <v>SPED ADMIN ASSISTANT</v>
      </c>
      <c r="M67" s="92">
        <f>IF('Employee Detail FY27'!M67="","",'Employee Detail FY27'!M67)</f>
        <v>1</v>
      </c>
      <c r="N67" s="3" t="str">
        <f>IF('Employee Detail FY27'!N67="","",'Employee Detail FY27'!N67)</f>
        <v>12</v>
      </c>
      <c r="O67" s="3">
        <f>IF('Employee Detail FY27'!O67="","",'Employee Detail FY27'!O67)</f>
        <v>24</v>
      </c>
      <c r="P67" s="3" t="str">
        <f>IF('Employee Detail FY27'!P67="","",'Employee Detail FY27'!P67)</f>
        <v>EE</v>
      </c>
      <c r="Q67" s="3">
        <f>IF('Employee Detail FY27'!Q67="","",'Employee Detail FY27'!Q67)</f>
        <v>19.350000000000001</v>
      </c>
      <c r="R67" s="3">
        <f>IF('Employee Detail FY27'!R67="","",'Employee Detail FY27'!R67)</f>
        <v>260</v>
      </c>
      <c r="S67" s="3">
        <f>IF('Employee Detail FY27'!S67="","",'Employee Detail FY27'!S67)</f>
        <v>8</v>
      </c>
      <c r="T67" s="263">
        <f t="shared" si="6"/>
        <v>2080</v>
      </c>
      <c r="U67" s="269">
        <f>IF('Employee Detail FY27'!U67="","",'Employee Detail FY27'!U67)</f>
        <v>40248</v>
      </c>
      <c r="V67" s="270">
        <f t="shared" si="7"/>
        <v>47492.639999999999</v>
      </c>
      <c r="W67" s="270">
        <f t="shared" si="8"/>
        <v>54786.844607040002</v>
      </c>
      <c r="X67" s="270">
        <f t="shared" si="9"/>
        <v>54786.844607040002</v>
      </c>
      <c r="Y67" s="62">
        <v>0</v>
      </c>
      <c r="Z67" s="62">
        <v>0</v>
      </c>
      <c r="AA67" s="256">
        <f t="shared" si="10"/>
        <v>54786.844607040002</v>
      </c>
      <c r="AB67" s="3"/>
      <c r="AC67" s="62">
        <f t="shared" si="11"/>
        <v>7943.76</v>
      </c>
      <c r="AD67" s="62" t="str">
        <f t="shared" si="12"/>
        <v/>
      </c>
      <c r="AE67" s="62">
        <f t="shared" si="13"/>
        <v>8354.993802573601</v>
      </c>
      <c r="AF67" s="62">
        <f t="shared" si="14"/>
        <v>794.40924680208002</v>
      </c>
      <c r="AG67" s="192">
        <v>0</v>
      </c>
      <c r="AH67" s="62">
        <f t="shared" si="15"/>
        <v>498.68827385046291</v>
      </c>
      <c r="AI67" s="62">
        <f t="shared" si="16"/>
        <v>161.35814404326774</v>
      </c>
      <c r="AJ67" s="62"/>
      <c r="AK67" s="62">
        <v>0</v>
      </c>
      <c r="AL67" s="256">
        <f t="shared" si="17"/>
        <v>17753.209467269415</v>
      </c>
      <c r="AM67" s="256">
        <f t="shared" si="18"/>
        <v>54786.844607040002</v>
      </c>
      <c r="AN67" s="256">
        <f t="shared" si="19"/>
        <v>72540.054074309417</v>
      </c>
    </row>
    <row r="68" spans="1:40" x14ac:dyDescent="0.2">
      <c r="A68" s="3" t="str">
        <f>IF('Employee Detail FY27'!A68="","",'Employee Detail FY27'!A68)</f>
        <v/>
      </c>
      <c r="B68" s="3">
        <f>IF('Employee Detail FY27'!B68="","",'Employee Detail FY27'!B68)</f>
        <v>100</v>
      </c>
      <c r="C68" s="3" t="str">
        <f>IF('Employee Detail FY27'!C68="","",'Employee Detail FY27'!C68)</f>
        <v>000</v>
      </c>
      <c r="D68" s="3"/>
      <c r="E68" s="3">
        <f>IF('Employee Detail FY27'!E68="","",'Employee Detail FY27'!E68)</f>
        <v>100</v>
      </c>
      <c r="F68" s="3">
        <f>IF('Employee Detail FY27'!F68="","",'Employee Detail FY27'!F68)</f>
        <v>2410</v>
      </c>
      <c r="G68" s="3" t="str">
        <f>IF('Employee Detail FY27'!G68="","",'Employee Detail FY27'!G68)</f>
        <v>0107</v>
      </c>
      <c r="H68" s="3"/>
      <c r="I68" s="255" t="str">
        <f>IF('Employee Detail FY27'!I68="","",'Employee Detail FY27'!I68)</f>
        <v>PINEDO</v>
      </c>
      <c r="J68" s="255" t="str">
        <f>IF('Employee Detail FY27'!J68="","",'Employee Detail FY27'!J68)</f>
        <v>Adylene</v>
      </c>
      <c r="K68" s="255" t="str">
        <f>IF('Employee Detail FY27'!K68="","",'Employee Detail FY27'!K68)</f>
        <v>Support Staff</v>
      </c>
      <c r="L68" s="255" t="str">
        <f>IF('Employee Detail FY27'!L68="","",'Employee Detail FY27'!L68)</f>
        <v>Enrollment Specialist</v>
      </c>
      <c r="M68" s="92">
        <f>IF('Employee Detail FY27'!M68="","",'Employee Detail FY27'!M68)</f>
        <v>1</v>
      </c>
      <c r="N68" s="3" t="str">
        <f>IF('Employee Detail FY27'!N68="","",'Employee Detail FY27'!N68)</f>
        <v/>
      </c>
      <c r="O68" s="3">
        <f>IF('Employee Detail FY27'!O68="","",'Employee Detail FY27'!O68)</f>
        <v>26</v>
      </c>
      <c r="P68" s="3" t="str">
        <f>IF('Employee Detail FY27'!P68="","",'Employee Detail FY27'!P68)</f>
        <v>EE</v>
      </c>
      <c r="Q68" s="3">
        <f>IF('Employee Detail FY27'!Q68="","",'Employee Detail FY27'!Q68)</f>
        <v>14.5</v>
      </c>
      <c r="R68" s="3">
        <f>IF('Employee Detail FY27'!R68="","",'Employee Detail FY27'!R68)</f>
        <v>261</v>
      </c>
      <c r="S68" s="3">
        <f>IF('Employee Detail FY27'!S68="","",'Employee Detail FY27'!S68)</f>
        <v>8</v>
      </c>
      <c r="T68" s="263">
        <f t="shared" si="6"/>
        <v>2088</v>
      </c>
      <c r="U68" s="269">
        <f>IF('Employee Detail FY27'!U68="","",'Employee Detail FY27'!U68)</f>
        <v>45000</v>
      </c>
      <c r="V68" s="270">
        <f t="shared" si="7"/>
        <v>53100</v>
      </c>
      <c r="W68" s="270">
        <f t="shared" si="8"/>
        <v>61255.416599999997</v>
      </c>
      <c r="X68" s="270">
        <f t="shared" si="9"/>
        <v>61255.416599999997</v>
      </c>
      <c r="Y68" s="62">
        <v>0</v>
      </c>
      <c r="Z68" s="62">
        <v>0</v>
      </c>
      <c r="AA68" s="256">
        <f t="shared" si="10"/>
        <v>61255.416599999997</v>
      </c>
      <c r="AB68" s="3"/>
      <c r="AC68" s="62">
        <f t="shared" si="11"/>
        <v>7943.76</v>
      </c>
      <c r="AD68" s="62" t="str">
        <f t="shared" si="12"/>
        <v/>
      </c>
      <c r="AE68" s="62">
        <f t="shared" si="13"/>
        <v>9341.4510314999989</v>
      </c>
      <c r="AF68" s="62">
        <f t="shared" si="14"/>
        <v>888.20354069999996</v>
      </c>
      <c r="AG68" s="192">
        <v>0</v>
      </c>
      <c r="AH68" s="62">
        <f t="shared" si="15"/>
        <v>557.56739026214541</v>
      </c>
      <c r="AI68" s="62">
        <f t="shared" si="16"/>
        <v>180.40937393030828</v>
      </c>
      <c r="AJ68" s="62"/>
      <c r="AK68" s="62">
        <v>0</v>
      </c>
      <c r="AL68" s="256">
        <f t="shared" si="17"/>
        <v>18911.391336392455</v>
      </c>
      <c r="AM68" s="256">
        <f t="shared" si="18"/>
        <v>61255.416599999997</v>
      </c>
      <c r="AN68" s="256">
        <f t="shared" si="19"/>
        <v>80166.807936392448</v>
      </c>
    </row>
    <row r="69" spans="1:40" x14ac:dyDescent="0.2">
      <c r="A69" s="3" t="str">
        <f>IF('Employee Detail FY27'!A69="","",'Employee Detail FY27'!A69)</f>
        <v>VACANT</v>
      </c>
      <c r="B69" s="3">
        <f>IF('Employee Detail FY27'!B69="","",'Employee Detail FY27'!B69)</f>
        <v>100</v>
      </c>
      <c r="C69" s="3" t="str">
        <f>IF('Employee Detail FY27'!C69="","",'Employee Detail FY27'!C69)</f>
        <v>000</v>
      </c>
      <c r="D69" s="3"/>
      <c r="E69" s="3">
        <f>IF('Employee Detail FY27'!E69="","",'Employee Detail FY27'!E69)</f>
        <v>100</v>
      </c>
      <c r="F69" s="3" t="str">
        <f>IF('Employee Detail FY27'!F69="","",'Employee Detail FY27'!F69)</f>
        <v>2410</v>
      </c>
      <c r="G69" s="3" t="str">
        <f>IF('Employee Detail FY27'!G69="","",'Employee Detail FY27'!G69)</f>
        <v>0107</v>
      </c>
      <c r="H69" s="3"/>
      <c r="I69" s="255" t="str">
        <f>IF('Employee Detail FY27'!I69="","",'Employee Detail FY27'!I69)</f>
        <v>VACANT</v>
      </c>
      <c r="J69" s="255" t="str">
        <f>IF('Employee Detail FY27'!J69="","",'Employee Detail FY27'!J69)</f>
        <v>FY23</v>
      </c>
      <c r="K69" s="255" t="str">
        <f>IF('Employee Detail FY27'!K69="","",'Employee Detail FY27'!K69)</f>
        <v>Support Staff</v>
      </c>
      <c r="L69" s="255" t="str">
        <f>IF('Employee Detail FY27'!L69="","",'Employee Detail FY27'!L69)</f>
        <v>ENROLLMENT SPECIALIST</v>
      </c>
      <c r="M69" s="92">
        <f>IF('Employee Detail FY27'!M69="","",'Employee Detail FY27'!M69)</f>
        <v>1</v>
      </c>
      <c r="N69" s="3" t="str">
        <f>IF('Employee Detail FY27'!N69="","",'Employee Detail FY27'!N69)</f>
        <v/>
      </c>
      <c r="O69" s="3" t="str">
        <f>IF('Employee Detail FY27'!O69="","",'Employee Detail FY27'!O69)</f>
        <v/>
      </c>
      <c r="P69" s="3" t="str">
        <f>IF('Employee Detail FY27'!P69="","",'Employee Detail FY27'!P69)</f>
        <v>ER</v>
      </c>
      <c r="Q69" s="3" t="str">
        <f>IF('Employee Detail FY27'!Q69="","",'Employee Detail FY27'!Q69)</f>
        <v/>
      </c>
      <c r="R69" s="3" t="str">
        <f>IF('Employee Detail FY27'!R69="","",'Employee Detail FY27'!R69)</f>
        <v/>
      </c>
      <c r="S69" s="3" t="str">
        <f>IF('Employee Detail FY27'!S69="","",'Employee Detail FY27'!S69)</f>
        <v/>
      </c>
      <c r="T69" s="263" t="str">
        <f t="shared" ref="T69:T95" si="20">+IF(R69="","",R69*S69)</f>
        <v/>
      </c>
      <c r="U69" s="269">
        <f>IF('Employee Detail FY27'!U69="","",'Employee Detail FY27'!U69)</f>
        <v>40000</v>
      </c>
      <c r="V69" s="270">
        <f t="shared" ref="V69:V104" si="21">IF($U69="","",$U69*(1+$V$1))</f>
        <v>47200</v>
      </c>
      <c r="W69" s="270" t="str">
        <f t="shared" ref="W69:W95" si="22">+IF(P69="EE",+V69*$W$1,"")</f>
        <v/>
      </c>
      <c r="X69" s="270">
        <f t="shared" ref="X69:X95" si="23">_xlfn.IFS(P69="ER",V69,P69="EE",W69,P69="N",V69,P69="","")</f>
        <v>47200</v>
      </c>
      <c r="Y69" s="62">
        <v>0</v>
      </c>
      <c r="Z69" s="62">
        <v>0</v>
      </c>
      <c r="AA69" s="256">
        <f t="shared" ref="AA69:AA95" si="24">SUM(X69:Z69)</f>
        <v>47200</v>
      </c>
      <c r="AB69" s="3"/>
      <c r="AC69" s="62">
        <f t="shared" ref="AC69:AC130" si="25">IF(AND(M69=1,P69&lt;&gt;"N"),$AC$1,"")</f>
        <v>7943.76</v>
      </c>
      <c r="AD69" s="62" t="str">
        <f t="shared" ref="AD69:AD95" si="26">_xlfn.IFS(P69="N",$AD$1*AA69,P69="EE","",P69="ER","",P69="","")</f>
        <v/>
      </c>
      <c r="AE69" s="62">
        <f t="shared" ref="AE69:AE95" si="27">_xlfn.IFS(P69="EE",X69*$AE$1,P69="ER",X69*$AE$2,P69="N","",P69="","")</f>
        <v>13806</v>
      </c>
      <c r="AF69" s="62">
        <f t="shared" ref="AF69:AF95" si="28">+IF(AA69&gt;1,AA69*$AF$1,"")</f>
        <v>684.40000000000009</v>
      </c>
      <c r="AG69" s="192">
        <v>0</v>
      </c>
      <c r="AH69" s="62">
        <f t="shared" ref="AH69:AH95" si="29">+IF(AA69&gt;1,AA69*$AH$1,"")</f>
        <v>429.63026424626855</v>
      </c>
      <c r="AI69" s="62">
        <f t="shared" ref="AI69:AI95" si="30">+_xlfn.IFS(F69&lt;2300,(AA69*$AI$1),F69&gt;=2300,(AA69*$AI$2),F69="","")</f>
        <v>139.01337909618513</v>
      </c>
      <c r="AJ69" s="62"/>
      <c r="AK69" s="62">
        <v>0</v>
      </c>
      <c r="AL69" s="256">
        <f t="shared" ref="AL69:AL95" si="31">SUM(AC69:AK69)</f>
        <v>23002.803643342457</v>
      </c>
      <c r="AM69" s="256">
        <f t="shared" ref="AM69:AM95" si="32">AA69</f>
        <v>47200</v>
      </c>
      <c r="AN69" s="256">
        <f t="shared" ref="AN69:AN95" si="33">SUM(AL69:AM69)</f>
        <v>70202.803643342457</v>
      </c>
    </row>
    <row r="70" spans="1:40" x14ac:dyDescent="0.2">
      <c r="A70" s="3" t="str">
        <f>IF('Employee Detail FY27'!A70="","",'Employee Detail FY27'!A70)</f>
        <v>VACANT</v>
      </c>
      <c r="B70" s="3">
        <f>IF('Employee Detail FY27'!B70="","",'Employee Detail FY27'!B70)</f>
        <v>100</v>
      </c>
      <c r="C70" s="3" t="str">
        <f>IF('Employee Detail FY27'!C70="","",'Employee Detail FY27'!C70)</f>
        <v>000</v>
      </c>
      <c r="D70" s="3"/>
      <c r="E70" s="3">
        <f>IF('Employee Detail FY27'!E70="","",'Employee Detail FY27'!E70)</f>
        <v>100</v>
      </c>
      <c r="F70" s="3">
        <f>IF('Employee Detail FY27'!F70="","",'Employee Detail FY27'!F70)</f>
        <v>2410</v>
      </c>
      <c r="G70" s="3" t="str">
        <f>IF('Employee Detail FY27'!G70="","",'Employee Detail FY27'!G70)</f>
        <v>0107</v>
      </c>
      <c r="H70" s="3"/>
      <c r="I70" s="255" t="str">
        <f>IF('Employee Detail FY27'!I70="","",'Employee Detail FY27'!I70)</f>
        <v>VACANT</v>
      </c>
      <c r="J70" s="255" t="str">
        <f>IF('Employee Detail FY27'!J70="","",'Employee Detail FY27'!J70)</f>
        <v>FY23</v>
      </c>
      <c r="K70" s="255" t="str">
        <f>IF('Employee Detail FY27'!K70="","",'Employee Detail FY27'!K70)</f>
        <v>Support Staff</v>
      </c>
      <c r="L70" s="255" t="str">
        <f>IF('Employee Detail FY27'!L70="","",'Employee Detail FY27'!L70)</f>
        <v>School Operations Support Staff</v>
      </c>
      <c r="M70" s="92">
        <f>IF('Employee Detail FY27'!M70="","",'Employee Detail FY27'!M70)</f>
        <v>1</v>
      </c>
      <c r="N70" s="3" t="str">
        <f>IF('Employee Detail FY27'!N70="","",'Employee Detail FY27'!N70)</f>
        <v/>
      </c>
      <c r="O70" s="3" t="str">
        <f>IF('Employee Detail FY27'!O70="","",'Employee Detail FY27'!O70)</f>
        <v/>
      </c>
      <c r="P70" s="3" t="str">
        <f>IF('Employee Detail FY27'!P70="","",'Employee Detail FY27'!P70)</f>
        <v>ER</v>
      </c>
      <c r="Q70" s="3" t="str">
        <f>IF('Employee Detail FY27'!Q70="","",'Employee Detail FY27'!Q70)</f>
        <v/>
      </c>
      <c r="R70" s="3" t="str">
        <f>IF('Employee Detail FY27'!R70="","",'Employee Detail FY27'!R70)</f>
        <v/>
      </c>
      <c r="S70" s="3" t="str">
        <f>IF('Employee Detail FY27'!S70="","",'Employee Detail FY27'!S70)</f>
        <v/>
      </c>
      <c r="T70" s="263" t="str">
        <f>+IF(R70="","",R70*S70)</f>
        <v/>
      </c>
      <c r="U70" s="269">
        <f>IF('Employee Detail FY27'!U70="","",'Employee Detail FY27'!U70)</f>
        <v>45000</v>
      </c>
      <c r="V70" s="270">
        <f>IF($U70="","",$U70*(1+$V$1))</f>
        <v>53100</v>
      </c>
      <c r="W70" s="270" t="str">
        <f>+IF(P70="EE",+V70*$W$1,"")</f>
        <v/>
      </c>
      <c r="X70" s="270">
        <f>_xlfn.IFS(P70="ER",V70,P70="EE",W70,P70="N",V70,P70="","")</f>
        <v>53100</v>
      </c>
      <c r="Y70" s="62">
        <v>0</v>
      </c>
      <c r="Z70" s="62">
        <v>0</v>
      </c>
      <c r="AA70" s="256">
        <f>SUM(X70:Z70)</f>
        <v>53100</v>
      </c>
      <c r="AB70" s="3"/>
      <c r="AC70" s="62">
        <f>IF(AND(M70=1,P70&lt;&gt;"N"),$AC$1,"")</f>
        <v>7943.76</v>
      </c>
      <c r="AD70" s="62" t="str">
        <f>_xlfn.IFS(P70="N",$AD$1*AA70,P70="EE","",P70="ER","",P70="","")</f>
        <v/>
      </c>
      <c r="AE70" s="62">
        <f>_xlfn.IFS(P70="EE",X70*$AE$1,P70="ER",X70*$AE$2,P70="N","",P70="","")</f>
        <v>15531.749999999998</v>
      </c>
      <c r="AF70" s="62">
        <f>+IF(AA70&gt;1,AA70*$AF$1,"")</f>
        <v>769.95</v>
      </c>
      <c r="AG70" s="192">
        <v>0</v>
      </c>
      <c r="AH70" s="62">
        <f>+IF(AA70&gt;1,AA70*$AH$1,"")</f>
        <v>483.33404727705209</v>
      </c>
      <c r="AI70" s="62">
        <f>+_xlfn.IFS(F70&lt;2300,(AA70*$AI$1),F70&gt;=2300,(AA70*$AI$2),F70="","")</f>
        <v>156.39005148320828</v>
      </c>
      <c r="AJ70" s="62"/>
      <c r="AK70" s="62">
        <v>0</v>
      </c>
      <c r="AL70" s="256">
        <f>SUM(AC70:AK70)</f>
        <v>24885.184098760259</v>
      </c>
      <c r="AM70" s="256">
        <f>AA70</f>
        <v>53100</v>
      </c>
      <c r="AN70" s="256">
        <f>SUM(AL70:AM70)</f>
        <v>77985.184098760263</v>
      </c>
    </row>
    <row r="71" spans="1:40" x14ac:dyDescent="0.2">
      <c r="A71" s="3" t="str">
        <f>IF('Employee Detail FY27'!A72="","",'Employee Detail FY27'!A72)</f>
        <v/>
      </c>
      <c r="B71" s="3" t="str">
        <f>IF('Employee Detail FY27'!B72="","",'Employee Detail FY27'!B72)</f>
        <v/>
      </c>
      <c r="C71" s="3" t="str">
        <f>IF('Employee Detail FY27'!C72="","",'Employee Detail FY27'!C72)</f>
        <v/>
      </c>
      <c r="D71" s="3"/>
      <c r="E71" s="3" t="str">
        <f>IF('Employee Detail FY27'!E72="","",'Employee Detail FY27'!E72)</f>
        <v/>
      </c>
      <c r="F71" s="3" t="str">
        <f>IF('Employee Detail FY27'!F72="","",'Employee Detail FY27'!F72)</f>
        <v/>
      </c>
      <c r="G71" s="3" t="str">
        <f>IF('Employee Detail FY27'!G72="","",'Employee Detail FY27'!G72)</f>
        <v/>
      </c>
      <c r="H71" s="3"/>
      <c r="I71" s="255" t="str">
        <f>IF('Employee Detail FY27'!I72="","",'Employee Detail FY27'!I72)</f>
        <v/>
      </c>
      <c r="J71" s="255" t="str">
        <f>IF('Employee Detail FY27'!J72="","",'Employee Detail FY27'!J72)</f>
        <v/>
      </c>
      <c r="K71" s="255" t="str">
        <f>IF('Employee Detail FY27'!K72="","",'Employee Detail FY27'!K72)</f>
        <v/>
      </c>
      <c r="L71" s="255" t="str">
        <f>IF('Employee Detail FY27'!L72="","",'Employee Detail FY27'!L72)</f>
        <v/>
      </c>
      <c r="M71" s="92">
        <f>IF('Employee Detail FY27'!M71="","",'Employee Detail FY27'!M71)</f>
        <v>1</v>
      </c>
      <c r="N71" s="3" t="str">
        <f>IF('Employee Detail FY27'!N72="","",'Employee Detail FY27'!N72)</f>
        <v/>
      </c>
      <c r="O71" s="3" t="str">
        <f>IF('Employee Detail FY27'!O72="","",'Employee Detail FY27'!O72)</f>
        <v/>
      </c>
      <c r="P71" s="3" t="str">
        <f>IF('Employee Detail FY27'!P72="","",'Employee Detail FY27'!P72)</f>
        <v/>
      </c>
      <c r="Q71" s="3" t="str">
        <f>IF('Employee Detail FY27'!Q72="","",'Employee Detail FY27'!Q72)</f>
        <v/>
      </c>
      <c r="R71" s="3" t="str">
        <f>IF('Employee Detail FY27'!R72="","",'Employee Detail FY27'!R72)</f>
        <v/>
      </c>
      <c r="S71" s="3" t="str">
        <f>IF('Employee Detail FY27'!S72="","",'Employee Detail FY27'!S72)</f>
        <v/>
      </c>
      <c r="T71" s="263" t="str">
        <f>+IF(R71="","",R71*S71)</f>
        <v/>
      </c>
      <c r="U71" s="269" t="str">
        <f>IF('Employee Detail FY27'!U72="","",'Employee Detail FY27'!U72)</f>
        <v/>
      </c>
      <c r="V71" s="270" t="str">
        <f>IF($U71="","",$U71*(1+$V$1))</f>
        <v/>
      </c>
      <c r="W71" s="270" t="str">
        <f>+IF(P71="EE",+V71*$W$1,"")</f>
        <v/>
      </c>
      <c r="X71" s="270" t="str">
        <f>_xlfn.IFS(P71="ER",V71,P71="EE",W71,P71="N",V71,P71="","")</f>
        <v/>
      </c>
      <c r="Y71" s="62">
        <v>0</v>
      </c>
      <c r="Z71" s="62">
        <v>0</v>
      </c>
      <c r="AA71" s="256">
        <f>SUM(X71:Z71)</f>
        <v>0</v>
      </c>
      <c r="AB71" s="3"/>
      <c r="AC71" s="62">
        <f>IF(AND(M71=1,P71&lt;&gt;"N"),$AC$1,"")</f>
        <v>7943.76</v>
      </c>
      <c r="AD71" s="62" t="str">
        <f>_xlfn.IFS(P71="N",$AD$1*AA71,P71="EE","",P71="ER","",P71="","")</f>
        <v/>
      </c>
      <c r="AE71" s="62" t="str">
        <f>_xlfn.IFS(P71="EE",X71*$AE$1,P71="ER",X71*$AE$2,P71="N","",P71="","")</f>
        <v/>
      </c>
      <c r="AF71" s="62" t="str">
        <f>+IF(AA71&gt;1,AA71*$AF$1,"")</f>
        <v/>
      </c>
      <c r="AG71" s="192">
        <v>0</v>
      </c>
      <c r="AH71" s="62" t="str">
        <f>+IF(AA71&gt;1,AA71*$AH$1,"")</f>
        <v/>
      </c>
      <c r="AI71" s="62">
        <f>+_xlfn.IFS(F71&lt;2300,(AA71*$AI$1),F71&gt;=2300,(AA71*$AI$2),F71="","")</f>
        <v>0</v>
      </c>
      <c r="AJ71" s="62"/>
      <c r="AK71" s="62">
        <v>0</v>
      </c>
      <c r="AL71" s="256">
        <f>SUM(AC71:AK71)</f>
        <v>7943.76</v>
      </c>
      <c r="AM71" s="256">
        <f>AA71</f>
        <v>0</v>
      </c>
      <c r="AN71" s="256">
        <f>SUM(AL71:AM71)</f>
        <v>7943.76</v>
      </c>
    </row>
    <row r="72" spans="1:40" x14ac:dyDescent="0.2">
      <c r="A72" s="3" t="str">
        <f>IF('Employee Detail FY27'!A72="","",'Employee Detail FY27'!A72)</f>
        <v/>
      </c>
      <c r="B72" s="3" t="str">
        <f>IF('Employee Detail FY27'!B72="","",'Employee Detail FY27'!B72)</f>
        <v/>
      </c>
      <c r="C72" s="3" t="str">
        <f>IF('Employee Detail FY27'!C72="","",'Employee Detail FY27'!C72)</f>
        <v/>
      </c>
      <c r="D72" s="3"/>
      <c r="E72" s="3" t="str">
        <f>IF('Employee Detail FY27'!E72="","",'Employee Detail FY27'!E72)</f>
        <v/>
      </c>
      <c r="F72" s="3" t="str">
        <f>IF('Employee Detail FY27'!F72="","",'Employee Detail FY27'!F72)</f>
        <v/>
      </c>
      <c r="G72" s="3" t="str">
        <f>IF('Employee Detail FY27'!G72="","",'Employee Detail FY27'!G72)</f>
        <v/>
      </c>
      <c r="H72" s="3"/>
      <c r="I72" s="255" t="str">
        <f>IF('Employee Detail FY27'!I72="","",'Employee Detail FY27'!I72)</f>
        <v/>
      </c>
      <c r="J72" s="255" t="str">
        <f>IF('Employee Detail FY27'!J72="","",'Employee Detail FY27'!J72)</f>
        <v/>
      </c>
      <c r="K72" s="255" t="str">
        <f>IF('Employee Detail FY27'!K72="","",'Employee Detail FY27'!K72)</f>
        <v/>
      </c>
      <c r="L72" s="255" t="str">
        <f>IF('Employee Detail FY27'!L72="","",'Employee Detail FY27'!L72)</f>
        <v/>
      </c>
      <c r="M72" s="92" t="str">
        <f>IF('Employee Detail FY27'!M72="","",'Employee Detail FY27'!M72)</f>
        <v/>
      </c>
      <c r="N72" s="3" t="str">
        <f>IF('Employee Detail FY27'!N72="","",'Employee Detail FY27'!N72)</f>
        <v/>
      </c>
      <c r="O72" s="3" t="str">
        <f>IF('Employee Detail FY27'!O72="","",'Employee Detail FY27'!O72)</f>
        <v/>
      </c>
      <c r="P72" s="3" t="str">
        <f>IF('Employee Detail FY27'!P72="","",'Employee Detail FY27'!P72)</f>
        <v/>
      </c>
      <c r="Q72" s="3" t="str">
        <f>IF('Employee Detail FY27'!Q72="","",'Employee Detail FY27'!Q72)</f>
        <v/>
      </c>
      <c r="R72" s="3" t="str">
        <f>IF('Employee Detail FY27'!R72="","",'Employee Detail FY27'!R72)</f>
        <v/>
      </c>
      <c r="S72" s="3" t="str">
        <f>IF('Employee Detail FY27'!S72="","",'Employee Detail FY27'!S72)</f>
        <v/>
      </c>
      <c r="T72" s="263" t="str">
        <f t="shared" si="20"/>
        <v/>
      </c>
      <c r="U72" s="269" t="str">
        <f>IF('Employee Detail FY27'!U72="","",'Employee Detail FY27'!U72)</f>
        <v/>
      </c>
      <c r="V72" s="270" t="str">
        <f t="shared" si="21"/>
        <v/>
      </c>
      <c r="W72" s="270" t="str">
        <f t="shared" si="22"/>
        <v/>
      </c>
      <c r="X72" s="270" t="str">
        <f t="shared" si="23"/>
        <v/>
      </c>
      <c r="Y72" s="62">
        <v>0</v>
      </c>
      <c r="Z72" s="62">
        <v>0</v>
      </c>
      <c r="AA72" s="256">
        <f t="shared" si="24"/>
        <v>0</v>
      </c>
      <c r="AB72" s="3"/>
      <c r="AC72" s="62" t="str">
        <f t="shared" si="25"/>
        <v/>
      </c>
      <c r="AD72" s="62" t="str">
        <f t="shared" si="26"/>
        <v/>
      </c>
      <c r="AE72" s="62" t="str">
        <f t="shared" si="27"/>
        <v/>
      </c>
      <c r="AF72" s="62" t="str">
        <f t="shared" si="28"/>
        <v/>
      </c>
      <c r="AG72" s="192">
        <v>0</v>
      </c>
      <c r="AH72" s="62" t="str">
        <f t="shared" si="29"/>
        <v/>
      </c>
      <c r="AI72" s="62">
        <f t="shared" si="30"/>
        <v>0</v>
      </c>
      <c r="AJ72" s="62"/>
      <c r="AK72" s="62">
        <v>0</v>
      </c>
      <c r="AL72" s="256">
        <f t="shared" si="31"/>
        <v>0</v>
      </c>
      <c r="AM72" s="256">
        <f t="shared" si="32"/>
        <v>0</v>
      </c>
      <c r="AN72" s="256">
        <f t="shared" si="33"/>
        <v>0</v>
      </c>
    </row>
    <row r="73" spans="1:40" x14ac:dyDescent="0.2">
      <c r="A73" s="3" t="str">
        <f>IF('Employee Detail FY27'!A73="","",'Employee Detail FY27'!A73)</f>
        <v/>
      </c>
      <c r="B73" s="3">
        <f>IF('Employee Detail FY27'!B73="","",'Employee Detail FY27'!B73)</f>
        <v>280</v>
      </c>
      <c r="C73" s="3">
        <f>IF('Employee Detail FY27'!C73="","",'Employee Detail FY27'!C73)</f>
        <v>658</v>
      </c>
      <c r="D73" s="3"/>
      <c r="E73" s="3">
        <f>IF('Employee Detail FY27'!E73="","",'Employee Detail FY27'!E73)</f>
        <v>420</v>
      </c>
      <c r="F73" s="3">
        <f>IF('Employee Detail FY27'!F73="","",'Employee Detail FY27'!F73)</f>
        <v>2120</v>
      </c>
      <c r="G73" s="3" t="str">
        <f>IF('Employee Detail FY27'!G73="","",'Employee Detail FY27'!G73)</f>
        <v>0107</v>
      </c>
      <c r="H73" s="3"/>
      <c r="I73" s="255" t="str">
        <f>IF('Employee Detail FY27'!I73="","",'Employee Detail FY27'!I73)</f>
        <v>GRIMM</v>
      </c>
      <c r="J73" s="255" t="str">
        <f>IF('Employee Detail FY27'!J73="","",'Employee Detail FY27'!J73)</f>
        <v>KELLI</v>
      </c>
      <c r="K73" s="255" t="str">
        <f>IF('Employee Detail FY27'!K73="","",'Employee Detail FY27'!K73)</f>
        <v>Support Staff</v>
      </c>
      <c r="L73" s="255" t="str">
        <f>IF('Employee Detail FY27'!L73="","",'Employee Detail FY27'!L73)</f>
        <v>STUDENT SUPPORT TITLE III ELL</v>
      </c>
      <c r="M73" s="92" t="str">
        <f>IF('Employee Detail FY27'!M73="","",'Employee Detail FY27'!M73)</f>
        <v/>
      </c>
      <c r="N73" s="3" t="str">
        <f>IF('Employee Detail FY27'!N73="","",'Employee Detail FY27'!N73)</f>
        <v/>
      </c>
      <c r="O73" s="3" t="str">
        <f>IF('Employee Detail FY27'!O73="","",'Employee Detail FY27'!O73)</f>
        <v/>
      </c>
      <c r="P73" s="3" t="str">
        <f>IF('Employee Detail FY27'!P73="","",'Employee Detail FY27'!P73)</f>
        <v>N</v>
      </c>
      <c r="Q73" s="3" t="str">
        <f>IF('Employee Detail FY27'!Q73="","",'Employee Detail FY27'!Q73)</f>
        <v/>
      </c>
      <c r="R73" s="3" t="str">
        <f>IF('Employee Detail FY27'!R73="","",'Employee Detail FY27'!R73)</f>
        <v/>
      </c>
      <c r="S73" s="3" t="str">
        <f>IF('Employee Detail FY27'!S73="","",'Employee Detail FY27'!S73)</f>
        <v/>
      </c>
      <c r="T73" s="263" t="str">
        <f t="shared" si="20"/>
        <v/>
      </c>
      <c r="U73" s="269">
        <f>IF('Employee Detail FY27'!U73="","",'Employee Detail FY27'!U73)</f>
        <v>6683</v>
      </c>
      <c r="V73" s="270">
        <f t="shared" si="21"/>
        <v>7885.94</v>
      </c>
      <c r="W73" s="270" t="str">
        <f t="shared" si="22"/>
        <v/>
      </c>
      <c r="X73" s="270">
        <f t="shared" si="23"/>
        <v>7885.94</v>
      </c>
      <c r="Y73" s="62">
        <v>0</v>
      </c>
      <c r="Z73" s="62">
        <v>0</v>
      </c>
      <c r="AA73" s="256">
        <f t="shared" si="24"/>
        <v>7885.94</v>
      </c>
      <c r="AB73" s="3"/>
      <c r="AC73" s="62" t="str">
        <f t="shared" si="25"/>
        <v/>
      </c>
      <c r="AD73" s="62">
        <f t="shared" si="26"/>
        <v>488.92827999999997</v>
      </c>
      <c r="AE73" s="62" t="str">
        <f t="shared" si="27"/>
        <v/>
      </c>
      <c r="AF73" s="62">
        <f t="shared" si="28"/>
        <v>114.34613</v>
      </c>
      <c r="AG73" s="192">
        <v>0</v>
      </c>
      <c r="AH73" s="62">
        <f t="shared" si="29"/>
        <v>71.780476398945311</v>
      </c>
      <c r="AI73" s="62">
        <f t="shared" si="30"/>
        <v>23.22566031249513</v>
      </c>
      <c r="AJ73" s="62"/>
      <c r="AK73" s="62">
        <v>0</v>
      </c>
      <c r="AL73" s="256">
        <f t="shared" si="31"/>
        <v>698.28054671144048</v>
      </c>
      <c r="AM73" s="256">
        <f t="shared" si="32"/>
        <v>7885.94</v>
      </c>
      <c r="AN73" s="256">
        <f t="shared" si="33"/>
        <v>8584.22054671144</v>
      </c>
    </row>
    <row r="74" spans="1:40" x14ac:dyDescent="0.2">
      <c r="A74" s="3" t="str">
        <f>IF('Employee Detail FY27'!A74="","",'Employee Detail FY27'!A74)</f>
        <v/>
      </c>
      <c r="B74" s="3" t="str">
        <f>IF('Employee Detail FY27'!B74="","",'Employee Detail FY27'!B74)</f>
        <v/>
      </c>
      <c r="C74" s="3" t="str">
        <f>IF('Employee Detail FY27'!C74="","",'Employee Detail FY27'!C74)</f>
        <v/>
      </c>
      <c r="D74" s="3"/>
      <c r="E74" s="3" t="str">
        <f>IF('Employee Detail FY27'!E74="","",'Employee Detail FY27'!E74)</f>
        <v/>
      </c>
      <c r="F74" s="3" t="str">
        <f>IF('Employee Detail FY27'!F74="","",'Employee Detail FY27'!F74)</f>
        <v/>
      </c>
      <c r="G74" s="3" t="str">
        <f>IF('Employee Detail FY27'!G74="","",'Employee Detail FY27'!G74)</f>
        <v/>
      </c>
      <c r="H74" s="3"/>
      <c r="I74" s="255" t="str">
        <f>IF('Employee Detail FY27'!I74="","",'Employee Detail FY27'!I74)</f>
        <v/>
      </c>
      <c r="J74" s="255" t="str">
        <f>IF('Employee Detail FY27'!J74="","",'Employee Detail FY27'!J74)</f>
        <v/>
      </c>
      <c r="K74" s="255" t="str">
        <f>IF('Employee Detail FY27'!K74="","",'Employee Detail FY27'!K74)</f>
        <v/>
      </c>
      <c r="L74" s="255" t="str">
        <f>IF('Employee Detail FY27'!L74="","",'Employee Detail FY27'!L74)</f>
        <v/>
      </c>
      <c r="M74" s="92" t="str">
        <f>IF('Employee Detail FY27'!M74="","",'Employee Detail FY27'!M74)</f>
        <v/>
      </c>
      <c r="N74" s="3" t="str">
        <f>IF('Employee Detail FY27'!N74="","",'Employee Detail FY27'!N74)</f>
        <v/>
      </c>
      <c r="O74" s="3" t="str">
        <f>IF('Employee Detail FY27'!O74="","",'Employee Detail FY27'!O74)</f>
        <v/>
      </c>
      <c r="P74" s="3" t="str">
        <f>IF('Employee Detail FY27'!P74="","",'Employee Detail FY27'!P74)</f>
        <v/>
      </c>
      <c r="Q74" s="3" t="str">
        <f>IF('Employee Detail FY27'!Q74="","",'Employee Detail FY27'!Q74)</f>
        <v/>
      </c>
      <c r="R74" s="3" t="str">
        <f>IF('Employee Detail FY27'!R74="","",'Employee Detail FY27'!R74)</f>
        <v/>
      </c>
      <c r="S74" s="3" t="str">
        <f>IF('Employee Detail FY27'!S74="","",'Employee Detail FY27'!S74)</f>
        <v/>
      </c>
      <c r="T74" s="263" t="str">
        <f t="shared" si="20"/>
        <v/>
      </c>
      <c r="U74" s="269" t="str">
        <f>IF('Employee Detail FY27'!U74="","",'Employee Detail FY27'!U74)</f>
        <v/>
      </c>
      <c r="V74" s="270" t="str">
        <f t="shared" si="21"/>
        <v/>
      </c>
      <c r="W74" s="270" t="str">
        <f t="shared" si="22"/>
        <v/>
      </c>
      <c r="X74" s="270" t="str">
        <f t="shared" si="23"/>
        <v/>
      </c>
      <c r="Y74" s="62">
        <v>0</v>
      </c>
      <c r="Z74" s="62">
        <v>0</v>
      </c>
      <c r="AA74" s="256">
        <f t="shared" si="24"/>
        <v>0</v>
      </c>
      <c r="AB74" s="3"/>
      <c r="AC74" s="62" t="str">
        <f t="shared" si="25"/>
        <v/>
      </c>
      <c r="AD74" s="62" t="str">
        <f t="shared" si="26"/>
        <v/>
      </c>
      <c r="AE74" s="62" t="str">
        <f t="shared" si="27"/>
        <v/>
      </c>
      <c r="AF74" s="62" t="str">
        <f t="shared" si="28"/>
        <v/>
      </c>
      <c r="AG74" s="192">
        <v>0</v>
      </c>
      <c r="AH74" s="62" t="str">
        <f t="shared" si="29"/>
        <v/>
      </c>
      <c r="AI74" s="62">
        <f t="shared" si="30"/>
        <v>0</v>
      </c>
      <c r="AJ74" s="62"/>
      <c r="AK74" s="62">
        <v>0</v>
      </c>
      <c r="AL74" s="256">
        <f t="shared" si="31"/>
        <v>0</v>
      </c>
      <c r="AM74" s="256">
        <f t="shared" si="32"/>
        <v>0</v>
      </c>
      <c r="AN74" s="256">
        <f t="shared" si="33"/>
        <v>0</v>
      </c>
    </row>
    <row r="75" spans="1:40" x14ac:dyDescent="0.2">
      <c r="A75" s="3" t="str">
        <f>IF('Employee Detail FY27'!A75="","",'Employee Detail FY27'!A75)</f>
        <v/>
      </c>
      <c r="B75" s="3" t="str">
        <f>IF('Employee Detail FY27'!B75="","",'Employee Detail FY27'!B75)</f>
        <v>100</v>
      </c>
      <c r="C75" s="3" t="str">
        <f>IF('Employee Detail FY27'!C75="","",'Employee Detail FY27'!C75)</f>
        <v>000</v>
      </c>
      <c r="D75" s="3"/>
      <c r="E75" s="3" t="str">
        <f>IF('Employee Detail FY27'!E75="","",'Employee Detail FY27'!E75)</f>
        <v>140</v>
      </c>
      <c r="F75" s="3" t="str">
        <f>IF('Employee Detail FY27'!F75="","",'Employee Detail FY27'!F75)</f>
        <v>1000</v>
      </c>
      <c r="G75" s="3" t="str">
        <f>IF('Employee Detail FY27'!G75="","",'Employee Detail FY27'!G75)</f>
        <v>0101</v>
      </c>
      <c r="H75" s="3"/>
      <c r="I75" s="255" t="str">
        <f>IF('Employee Detail FY27'!I75="","",'Employee Detail FY27'!I75)</f>
        <v>SUMMER SCHOOL</v>
      </c>
      <c r="J75" s="255" t="str">
        <f>IF('Employee Detail FY27'!J75="","",'Employee Detail FY27'!J75)</f>
        <v>SUMMER SCHOOL</v>
      </c>
      <c r="K75" s="255" t="str">
        <f>IF('Employee Detail FY27'!K75="","",'Employee Detail FY27'!K75)</f>
        <v>Licensed Staff</v>
      </c>
      <c r="L75" s="255" t="str">
        <f>IF('Employee Detail FY27'!L75="","",'Employee Detail FY27'!L75)</f>
        <v>SUMMER SCHOOL</v>
      </c>
      <c r="M75" s="92">
        <f>IF('Employee Detail FY27'!M75="","",'Employee Detail FY27'!M75)</f>
        <v>0</v>
      </c>
      <c r="N75" s="3" t="str">
        <f>IF('Employee Detail FY27'!N75="","",'Employee Detail FY27'!N75)</f>
        <v/>
      </c>
      <c r="O75" s="3" t="str">
        <f>IF('Employee Detail FY27'!O75="","",'Employee Detail FY27'!O75)</f>
        <v/>
      </c>
      <c r="P75" s="3" t="str">
        <f>IF('Employee Detail FY27'!P75="","",'Employee Detail FY27'!P75)</f>
        <v>N</v>
      </c>
      <c r="Q75" s="3" t="str">
        <f>IF('Employee Detail FY27'!Q75="","",'Employee Detail FY27'!Q75)</f>
        <v/>
      </c>
      <c r="R75" s="3" t="str">
        <f>IF('Employee Detail FY27'!R75="","",'Employee Detail FY27'!R75)</f>
        <v/>
      </c>
      <c r="S75" s="3" t="str">
        <f>IF('Employee Detail FY27'!S75="","",'Employee Detail FY27'!S75)</f>
        <v/>
      </c>
      <c r="T75" s="263" t="str">
        <f t="shared" si="20"/>
        <v/>
      </c>
      <c r="U75" s="269">
        <f>IF('Employee Detail FY27'!U75="","",'Employee Detail FY27'!U75)</f>
        <v>0</v>
      </c>
      <c r="V75" s="270">
        <f t="shared" si="21"/>
        <v>0</v>
      </c>
      <c r="W75" s="270" t="str">
        <f t="shared" si="22"/>
        <v/>
      </c>
      <c r="X75" s="270">
        <f t="shared" si="23"/>
        <v>0</v>
      </c>
      <c r="Y75" s="62">
        <v>0</v>
      </c>
      <c r="Z75" s="62">
        <v>0</v>
      </c>
      <c r="AA75" s="256">
        <f t="shared" si="24"/>
        <v>0</v>
      </c>
      <c r="AB75" s="3"/>
      <c r="AC75" s="62" t="str">
        <f t="shared" si="25"/>
        <v/>
      </c>
      <c r="AD75" s="62">
        <f t="shared" si="26"/>
        <v>0</v>
      </c>
      <c r="AE75" s="62" t="str">
        <f t="shared" si="27"/>
        <v/>
      </c>
      <c r="AF75" s="62" t="str">
        <f t="shared" si="28"/>
        <v/>
      </c>
      <c r="AG75" s="192">
        <v>0</v>
      </c>
      <c r="AH75" s="62" t="str">
        <f t="shared" si="29"/>
        <v/>
      </c>
      <c r="AI75" s="62">
        <f t="shared" si="30"/>
        <v>0</v>
      </c>
      <c r="AJ75" s="62"/>
      <c r="AK75" s="62">
        <v>0</v>
      </c>
      <c r="AL75" s="256">
        <f t="shared" si="31"/>
        <v>0</v>
      </c>
      <c r="AM75" s="256">
        <f t="shared" si="32"/>
        <v>0</v>
      </c>
      <c r="AN75" s="256">
        <f t="shared" si="33"/>
        <v>0</v>
      </c>
    </row>
    <row r="76" spans="1:40" x14ac:dyDescent="0.2">
      <c r="A76" s="3" t="str">
        <f>IF('Employee Detail FY27'!A76="","",'Employee Detail FY27'!A76)</f>
        <v/>
      </c>
      <c r="B76" s="3" t="str">
        <f>IF('Employee Detail FY27'!B76="","",'Employee Detail FY27'!B76)</f>
        <v>280</v>
      </c>
      <c r="C76" s="3" t="str">
        <f>IF('Employee Detail FY27'!C76="","",'Employee Detail FY27'!C76)</f>
        <v>639</v>
      </c>
      <c r="D76" s="3"/>
      <c r="E76" s="3" t="str">
        <f>IF('Employee Detail FY27'!E76="","",'Employee Detail FY27'!E76)</f>
        <v>240</v>
      </c>
      <c r="F76" s="3" t="str">
        <f>IF('Employee Detail FY27'!F76="","",'Employee Detail FY27'!F76)</f>
        <v>1000</v>
      </c>
      <c r="G76" s="3" t="str">
        <f>IF('Employee Detail FY27'!G76="","",'Employee Detail FY27'!G76)</f>
        <v>0101</v>
      </c>
      <c r="H76" s="3"/>
      <c r="I76" s="255" t="str">
        <f>IF('Employee Detail FY27'!I76="","",'Employee Detail FY27'!I76)</f>
        <v>SUMMER SCHOOL</v>
      </c>
      <c r="J76" s="255" t="str">
        <f>IF('Employee Detail FY27'!J76="","",'Employee Detail FY27'!J76)</f>
        <v>EXTENDED SCHOOL YEAR</v>
      </c>
      <c r="K76" s="255" t="str">
        <f>IF('Employee Detail FY27'!K76="","",'Employee Detail FY27'!K76)</f>
        <v>Licensed Staff</v>
      </c>
      <c r="L76" s="255" t="str">
        <f>IF('Employee Detail FY27'!L76="","",'Employee Detail FY27'!L76)</f>
        <v>SUMMER SCHOOL EXTENDED SCHOOL YEAR</v>
      </c>
      <c r="M76" s="92">
        <f>IF('Employee Detail FY27'!M76="","",'Employee Detail FY27'!M76)</f>
        <v>0</v>
      </c>
      <c r="N76" s="3" t="str">
        <f>IF('Employee Detail FY27'!N76="","",'Employee Detail FY27'!N76)</f>
        <v/>
      </c>
      <c r="O76" s="3" t="str">
        <f>IF('Employee Detail FY27'!O76="","",'Employee Detail FY27'!O76)</f>
        <v/>
      </c>
      <c r="P76" s="3" t="str">
        <f>IF('Employee Detail FY27'!P76="","",'Employee Detail FY27'!P76)</f>
        <v>N</v>
      </c>
      <c r="Q76" s="3" t="str">
        <f>IF('Employee Detail FY27'!Q76="","",'Employee Detail FY27'!Q76)</f>
        <v/>
      </c>
      <c r="R76" s="3" t="str">
        <f>IF('Employee Detail FY27'!R76="","",'Employee Detail FY27'!R76)</f>
        <v/>
      </c>
      <c r="S76" s="3" t="str">
        <f>IF('Employee Detail FY27'!S76="","",'Employee Detail FY27'!S76)</f>
        <v/>
      </c>
      <c r="T76" s="263" t="str">
        <f t="shared" si="20"/>
        <v/>
      </c>
      <c r="U76" s="269">
        <f>IF('Employee Detail FY27'!U76="","",'Employee Detail FY27'!U76)</f>
        <v>0</v>
      </c>
      <c r="V76" s="270">
        <f t="shared" si="21"/>
        <v>0</v>
      </c>
      <c r="W76" s="270" t="str">
        <f t="shared" si="22"/>
        <v/>
      </c>
      <c r="X76" s="270">
        <f t="shared" si="23"/>
        <v>0</v>
      </c>
      <c r="Y76" s="62">
        <v>0</v>
      </c>
      <c r="Z76" s="62">
        <v>0</v>
      </c>
      <c r="AA76" s="256">
        <f t="shared" si="24"/>
        <v>0</v>
      </c>
      <c r="AB76" s="3"/>
      <c r="AC76" s="62" t="str">
        <f t="shared" si="25"/>
        <v/>
      </c>
      <c r="AD76" s="62">
        <f t="shared" si="26"/>
        <v>0</v>
      </c>
      <c r="AE76" s="62" t="str">
        <f t="shared" si="27"/>
        <v/>
      </c>
      <c r="AF76" s="62" t="str">
        <f t="shared" si="28"/>
        <v/>
      </c>
      <c r="AG76" s="192">
        <v>0</v>
      </c>
      <c r="AH76" s="62" t="str">
        <f t="shared" si="29"/>
        <v/>
      </c>
      <c r="AI76" s="62">
        <f t="shared" si="30"/>
        <v>0</v>
      </c>
      <c r="AJ76" s="62"/>
      <c r="AK76" s="62">
        <v>0</v>
      </c>
      <c r="AL76" s="256">
        <f t="shared" si="31"/>
        <v>0</v>
      </c>
      <c r="AM76" s="256">
        <f t="shared" si="32"/>
        <v>0</v>
      </c>
      <c r="AN76" s="256">
        <f t="shared" si="33"/>
        <v>0</v>
      </c>
    </row>
    <row r="77" spans="1:40" x14ac:dyDescent="0.2">
      <c r="A77" s="3" t="str">
        <f>IF('Employee Detail FY27'!A77="","",'Employee Detail FY27'!A77)</f>
        <v/>
      </c>
      <c r="B77" s="3" t="str">
        <f>IF('Employee Detail FY27'!B77="","",'Employee Detail FY27'!B77)</f>
        <v>100</v>
      </c>
      <c r="C77" s="3" t="str">
        <f>IF('Employee Detail FY27'!C77="","",'Employee Detail FY27'!C77)</f>
        <v>000</v>
      </c>
      <c r="D77" s="3"/>
      <c r="E77" s="3" t="str">
        <f>IF('Employee Detail FY27'!E77="","",'Employee Detail FY27'!E77)</f>
        <v>100</v>
      </c>
      <c r="F77" s="3" t="str">
        <f>IF('Employee Detail FY27'!F77="","",'Employee Detail FY27'!F77)</f>
        <v>1000</v>
      </c>
      <c r="G77" s="3" t="str">
        <f>IF('Employee Detail FY27'!G77="","",'Employee Detail FY27'!G77)</f>
        <v>0103</v>
      </c>
      <c r="H77" s="3"/>
      <c r="I77" s="255" t="str">
        <f>IF('Employee Detail FY27'!I77="","",'Employee Detail FY27'!I77)</f>
        <v>SUBSTITUTE</v>
      </c>
      <c r="J77" s="255" t="str">
        <f>IF('Employee Detail FY27'!J77="","",'Employee Detail FY27'!J77)</f>
        <v>SUBSTITUTE</v>
      </c>
      <c r="K77" s="255" t="str">
        <f>IF('Employee Detail FY27'!K77="","",'Employee Detail FY27'!K77)</f>
        <v>Licensed Staff</v>
      </c>
      <c r="L77" s="255" t="str">
        <f>IF('Employee Detail FY27'!L77="","",'Employee Detail FY27'!L77)</f>
        <v>SUBSTITUTE</v>
      </c>
      <c r="M77" s="92">
        <f>IF('Employee Detail FY27'!M77="","",'Employee Detail FY27'!M77)</f>
        <v>0</v>
      </c>
      <c r="N77" s="3" t="str">
        <f>IF('Employee Detail FY27'!N77="","",'Employee Detail FY27'!N77)</f>
        <v/>
      </c>
      <c r="O77" s="3" t="str">
        <f>IF('Employee Detail FY27'!O77="","",'Employee Detail FY27'!O77)</f>
        <v/>
      </c>
      <c r="P77" s="3" t="str">
        <f>IF('Employee Detail FY27'!P77="","",'Employee Detail FY27'!P77)</f>
        <v>N</v>
      </c>
      <c r="Q77" s="3" t="str">
        <f>IF('Employee Detail FY27'!Q77="","",'Employee Detail FY27'!Q77)</f>
        <v/>
      </c>
      <c r="R77" s="3" t="str">
        <f>IF('Employee Detail FY27'!R77="","",'Employee Detail FY27'!R77)</f>
        <v/>
      </c>
      <c r="S77" s="3" t="str">
        <f>IF('Employee Detail FY27'!S77="","",'Employee Detail FY27'!S77)</f>
        <v/>
      </c>
      <c r="T77" s="263" t="str">
        <f t="shared" si="20"/>
        <v/>
      </c>
      <c r="U77" s="269">
        <f>IF('Employee Detail FY27'!U77="","",'Employee Detail FY27'!U77)</f>
        <v>0</v>
      </c>
      <c r="V77" s="270">
        <f t="shared" si="21"/>
        <v>0</v>
      </c>
      <c r="W77" s="270" t="str">
        <f t="shared" si="22"/>
        <v/>
      </c>
      <c r="X77" s="270">
        <f t="shared" si="23"/>
        <v>0</v>
      </c>
      <c r="Y77" s="62">
        <v>0</v>
      </c>
      <c r="Z77" s="62">
        <v>0</v>
      </c>
      <c r="AA77" s="256">
        <f t="shared" si="24"/>
        <v>0</v>
      </c>
      <c r="AB77" s="3"/>
      <c r="AC77" s="62" t="str">
        <f t="shared" si="25"/>
        <v/>
      </c>
      <c r="AD77" s="62">
        <f t="shared" si="26"/>
        <v>0</v>
      </c>
      <c r="AE77" s="62" t="str">
        <f t="shared" si="27"/>
        <v/>
      </c>
      <c r="AF77" s="62" t="str">
        <f t="shared" si="28"/>
        <v/>
      </c>
      <c r="AG77" s="192">
        <v>0</v>
      </c>
      <c r="AH77" s="62" t="str">
        <f t="shared" si="29"/>
        <v/>
      </c>
      <c r="AI77" s="62">
        <f t="shared" si="30"/>
        <v>0</v>
      </c>
      <c r="AJ77" s="62"/>
      <c r="AK77" s="62">
        <v>0</v>
      </c>
      <c r="AL77" s="256">
        <f t="shared" si="31"/>
        <v>0</v>
      </c>
      <c r="AM77" s="256">
        <f t="shared" si="32"/>
        <v>0</v>
      </c>
      <c r="AN77" s="256">
        <f t="shared" si="33"/>
        <v>0</v>
      </c>
    </row>
    <row r="78" spans="1:40" x14ac:dyDescent="0.2">
      <c r="A78" s="3" t="str">
        <f>IF('Employee Detail FY27'!A78="","",'Employee Detail FY27'!A78)</f>
        <v/>
      </c>
      <c r="B78" s="3" t="str">
        <f>IF('Employee Detail FY27'!B78="","",'Employee Detail FY27'!B78)</f>
        <v/>
      </c>
      <c r="C78" s="3" t="str">
        <f>IF('Employee Detail FY27'!C78="","",'Employee Detail FY27'!C78)</f>
        <v/>
      </c>
      <c r="D78" s="3"/>
      <c r="E78" s="3" t="str">
        <f>IF('Employee Detail FY27'!E78="","",'Employee Detail FY27'!E78)</f>
        <v/>
      </c>
      <c r="F78" s="3" t="str">
        <f>IF('Employee Detail FY27'!F78="","",'Employee Detail FY27'!F78)</f>
        <v/>
      </c>
      <c r="G78" s="3" t="str">
        <f>IF('Employee Detail FY27'!G78="","",'Employee Detail FY27'!G78)</f>
        <v/>
      </c>
      <c r="H78" s="3"/>
      <c r="I78" s="255" t="str">
        <f>IF('Employee Detail FY27'!I78="","",'Employee Detail FY27'!I78)</f>
        <v/>
      </c>
      <c r="J78" s="255" t="str">
        <f>IF('Employee Detail FY27'!J78="","",'Employee Detail FY27'!J78)</f>
        <v/>
      </c>
      <c r="K78" s="255" t="str">
        <f>IF('Employee Detail FY27'!K78="","",'Employee Detail FY27'!K78)</f>
        <v/>
      </c>
      <c r="L78" s="255" t="str">
        <f>IF('Employee Detail FY27'!L78="","",'Employee Detail FY27'!L78)</f>
        <v/>
      </c>
      <c r="M78" s="92" t="str">
        <f>IF('Employee Detail FY27'!M78="","",'Employee Detail FY27'!M78)</f>
        <v/>
      </c>
      <c r="N78" s="3" t="str">
        <f>IF('Employee Detail FY27'!N78="","",'Employee Detail FY27'!N78)</f>
        <v/>
      </c>
      <c r="O78" s="3" t="str">
        <f>IF('Employee Detail FY27'!O78="","",'Employee Detail FY27'!O78)</f>
        <v/>
      </c>
      <c r="P78" s="3" t="str">
        <f>IF('Employee Detail FY27'!P78="","",'Employee Detail FY27'!P78)</f>
        <v/>
      </c>
      <c r="Q78" s="3" t="str">
        <f>IF('Employee Detail FY27'!Q78="","",'Employee Detail FY27'!Q78)</f>
        <v/>
      </c>
      <c r="R78" s="3" t="str">
        <f>IF('Employee Detail FY27'!R78="","",'Employee Detail FY27'!R78)</f>
        <v/>
      </c>
      <c r="S78" s="3" t="str">
        <f>IF('Employee Detail FY27'!S78="","",'Employee Detail FY27'!S78)</f>
        <v/>
      </c>
      <c r="T78" s="263" t="str">
        <f t="shared" si="20"/>
        <v/>
      </c>
      <c r="U78" s="269">
        <f>IF('Employee Detail FY27'!U78="","",'Employee Detail FY27'!U78)</f>
        <v>0</v>
      </c>
      <c r="V78" s="270">
        <f t="shared" si="21"/>
        <v>0</v>
      </c>
      <c r="W78" s="270" t="str">
        <f t="shared" si="22"/>
        <v/>
      </c>
      <c r="X78" s="270" t="str">
        <f t="shared" si="23"/>
        <v/>
      </c>
      <c r="Y78" s="62">
        <v>0</v>
      </c>
      <c r="Z78" s="62">
        <v>0</v>
      </c>
      <c r="AA78" s="256">
        <f t="shared" si="24"/>
        <v>0</v>
      </c>
      <c r="AB78" s="3"/>
      <c r="AC78" s="62" t="str">
        <f t="shared" si="25"/>
        <v/>
      </c>
      <c r="AD78" s="62" t="str">
        <f t="shared" si="26"/>
        <v/>
      </c>
      <c r="AE78" s="62" t="str">
        <f t="shared" si="27"/>
        <v/>
      </c>
      <c r="AF78" s="62" t="str">
        <f t="shared" si="28"/>
        <v/>
      </c>
      <c r="AG78" s="192">
        <v>0</v>
      </c>
      <c r="AH78" s="62" t="str">
        <f t="shared" si="29"/>
        <v/>
      </c>
      <c r="AI78" s="62">
        <f t="shared" si="30"/>
        <v>0</v>
      </c>
      <c r="AJ78" s="62"/>
      <c r="AK78" s="62">
        <v>0</v>
      </c>
      <c r="AL78" s="256">
        <f t="shared" si="31"/>
        <v>0</v>
      </c>
      <c r="AM78" s="256">
        <f t="shared" si="32"/>
        <v>0</v>
      </c>
      <c r="AN78" s="256">
        <f t="shared" si="33"/>
        <v>0</v>
      </c>
    </row>
    <row r="79" spans="1:40" x14ac:dyDescent="0.2">
      <c r="A79" s="3" t="str">
        <f>IF('Employee Detail FY27'!A79="","",'Employee Detail FY27'!A79)</f>
        <v/>
      </c>
      <c r="B79" s="3" t="str">
        <f>IF('Employee Detail FY27'!B79="","",'Employee Detail FY27'!B79)</f>
        <v>280</v>
      </c>
      <c r="C79" s="3" t="str">
        <f>IF('Employee Detail FY27'!C79="","",'Employee Detail FY27'!C79)</f>
        <v>709</v>
      </c>
      <c r="D79" s="3"/>
      <c r="E79" s="3" t="str">
        <f>IF('Employee Detail FY27'!E79="","",'Employee Detail FY27'!E79)</f>
        <v>100</v>
      </c>
      <c r="F79" s="3" t="str">
        <f>IF('Employee Detail FY27'!F79="","",'Employee Detail FY27'!F79)</f>
        <v>1000</v>
      </c>
      <c r="G79" s="3" t="str">
        <f>IF('Employee Detail FY27'!G79="","",'Employee Detail FY27'!G79)</f>
        <v>0151</v>
      </c>
      <c r="H79" s="3"/>
      <c r="I79" s="255" t="str">
        <f>IF('Employee Detail FY27'!I79="","",'Employee Detail FY27'!I79)</f>
        <v>TITLE IIA</v>
      </c>
      <c r="J79" s="255" t="str">
        <f>IF('Employee Detail FY27'!J79="","",'Employee Detail FY27'!J79)</f>
        <v/>
      </c>
      <c r="K79" s="255" t="str">
        <f>IF('Employee Detail FY27'!K79="","",'Employee Detail FY27'!K79)</f>
        <v/>
      </c>
      <c r="L79" s="255" t="str">
        <f>IF('Employee Detail FY27'!L79="","",'Employee Detail FY27'!L79)</f>
        <v>TITLE IIA</v>
      </c>
      <c r="M79" s="92">
        <f>IF('Employee Detail FY27'!M79="","",'Employee Detail FY27'!M79)</f>
        <v>0</v>
      </c>
      <c r="N79" s="3" t="str">
        <f>IF('Employee Detail FY27'!N79="","",'Employee Detail FY27'!N79)</f>
        <v/>
      </c>
      <c r="O79" s="3" t="str">
        <f>IF('Employee Detail FY27'!O79="","",'Employee Detail FY27'!O79)</f>
        <v/>
      </c>
      <c r="P79" s="3" t="str">
        <f>IF('Employee Detail FY27'!P79="","",'Employee Detail FY27'!P79)</f>
        <v>N</v>
      </c>
      <c r="Q79" s="3" t="str">
        <f>IF('Employee Detail FY27'!Q79="","",'Employee Detail FY27'!Q79)</f>
        <v/>
      </c>
      <c r="R79" s="3" t="str">
        <f>IF('Employee Detail FY27'!R79="","",'Employee Detail FY27'!R79)</f>
        <v/>
      </c>
      <c r="S79" s="3" t="str">
        <f>IF('Employee Detail FY27'!S79="","",'Employee Detail FY27'!S79)</f>
        <v/>
      </c>
      <c r="T79" s="263" t="str">
        <f t="shared" si="20"/>
        <v/>
      </c>
      <c r="U79" s="269">
        <f>IF('Employee Detail FY27'!U79="","",'Employee Detail FY27'!U79)</f>
        <v>0</v>
      </c>
      <c r="V79" s="270">
        <f t="shared" si="21"/>
        <v>0</v>
      </c>
      <c r="W79" s="270" t="str">
        <f t="shared" si="22"/>
        <v/>
      </c>
      <c r="X79" s="270">
        <f t="shared" si="23"/>
        <v>0</v>
      </c>
      <c r="Y79" s="62">
        <v>0</v>
      </c>
      <c r="Z79" s="62">
        <v>0</v>
      </c>
      <c r="AA79" s="256">
        <f t="shared" si="24"/>
        <v>0</v>
      </c>
      <c r="AB79" s="3"/>
      <c r="AC79" s="62" t="str">
        <f t="shared" si="25"/>
        <v/>
      </c>
      <c r="AD79" s="62">
        <f t="shared" si="26"/>
        <v>0</v>
      </c>
      <c r="AE79" s="62" t="str">
        <f t="shared" si="27"/>
        <v/>
      </c>
      <c r="AF79" s="62" t="str">
        <f t="shared" si="28"/>
        <v/>
      </c>
      <c r="AG79" s="192">
        <v>0</v>
      </c>
      <c r="AH79" s="62" t="str">
        <f t="shared" si="29"/>
        <v/>
      </c>
      <c r="AI79" s="62">
        <f t="shared" si="30"/>
        <v>0</v>
      </c>
      <c r="AJ79" s="62"/>
      <c r="AK79" s="62">
        <v>0</v>
      </c>
      <c r="AL79" s="256">
        <f t="shared" si="31"/>
        <v>0</v>
      </c>
      <c r="AM79" s="256">
        <f t="shared" si="32"/>
        <v>0</v>
      </c>
      <c r="AN79" s="256">
        <f t="shared" si="33"/>
        <v>0</v>
      </c>
    </row>
    <row r="80" spans="1:40" x14ac:dyDescent="0.2">
      <c r="A80" s="3" t="str">
        <f>IF('Employee Detail FY27'!A80="","",'Employee Detail FY27'!A80)</f>
        <v/>
      </c>
      <c r="B80" s="3" t="str">
        <f>IF('Employee Detail FY27'!B80="","",'Employee Detail FY27'!B80)</f>
        <v/>
      </c>
      <c r="C80" s="3" t="str">
        <f>IF('Employee Detail FY27'!C80="","",'Employee Detail FY27'!C80)</f>
        <v/>
      </c>
      <c r="D80" s="3"/>
      <c r="E80" s="3" t="str">
        <f>IF('Employee Detail FY27'!E80="","",'Employee Detail FY27'!E80)</f>
        <v/>
      </c>
      <c r="F80" s="3" t="str">
        <f>IF('Employee Detail FY27'!F80="","",'Employee Detail FY27'!F80)</f>
        <v/>
      </c>
      <c r="G80" s="3" t="str">
        <f>IF('Employee Detail FY27'!G80="","",'Employee Detail FY27'!G80)</f>
        <v/>
      </c>
      <c r="H80" s="3"/>
      <c r="I80" s="255" t="str">
        <f>IF('Employee Detail FY27'!I80="","",'Employee Detail FY27'!I80)</f>
        <v/>
      </c>
      <c r="J80" s="255" t="str">
        <f>IF('Employee Detail FY27'!J80="","",'Employee Detail FY27'!J80)</f>
        <v/>
      </c>
      <c r="K80" s="255" t="str">
        <f>IF('Employee Detail FY27'!K80="","",'Employee Detail FY27'!K80)</f>
        <v/>
      </c>
      <c r="L80" s="255" t="str">
        <f>IF('Employee Detail FY27'!L80="","",'Employee Detail FY27'!L80)</f>
        <v/>
      </c>
      <c r="M80" s="92" t="str">
        <f>IF('Employee Detail FY27'!M80="","",'Employee Detail FY27'!M80)</f>
        <v/>
      </c>
      <c r="N80" s="3" t="str">
        <f>IF('Employee Detail FY27'!N80="","",'Employee Detail FY27'!N80)</f>
        <v/>
      </c>
      <c r="O80" s="3" t="str">
        <f>IF('Employee Detail FY27'!O80="","",'Employee Detail FY27'!O80)</f>
        <v/>
      </c>
      <c r="P80" s="3" t="str">
        <f>IF('Employee Detail FY27'!P80="","",'Employee Detail FY27'!P80)</f>
        <v/>
      </c>
      <c r="Q80" s="3" t="str">
        <f>IF('Employee Detail FY27'!Q80="","",'Employee Detail FY27'!Q80)</f>
        <v/>
      </c>
      <c r="R80" s="3" t="str">
        <f>IF('Employee Detail FY27'!R80="","",'Employee Detail FY27'!R80)</f>
        <v/>
      </c>
      <c r="S80" s="3" t="str">
        <f>IF('Employee Detail FY27'!S80="","",'Employee Detail FY27'!S80)</f>
        <v/>
      </c>
      <c r="T80" s="263" t="str">
        <f t="shared" si="20"/>
        <v/>
      </c>
      <c r="U80" s="269" t="str">
        <f>IF('Employee Detail FY27'!U80="","",'Employee Detail FY27'!U80)</f>
        <v/>
      </c>
      <c r="V80" s="270" t="str">
        <f t="shared" si="21"/>
        <v/>
      </c>
      <c r="W80" s="270" t="str">
        <f t="shared" si="22"/>
        <v/>
      </c>
      <c r="X80" s="270" t="str">
        <f t="shared" si="23"/>
        <v/>
      </c>
      <c r="Y80" s="62">
        <v>0</v>
      </c>
      <c r="Z80" s="62">
        <v>0</v>
      </c>
      <c r="AA80" s="256">
        <f t="shared" si="24"/>
        <v>0</v>
      </c>
      <c r="AB80" s="3"/>
      <c r="AC80" s="62" t="str">
        <f t="shared" si="25"/>
        <v/>
      </c>
      <c r="AD80" s="62" t="str">
        <f t="shared" si="26"/>
        <v/>
      </c>
      <c r="AE80" s="62" t="str">
        <f t="shared" si="27"/>
        <v/>
      </c>
      <c r="AF80" s="62" t="str">
        <f t="shared" si="28"/>
        <v/>
      </c>
      <c r="AG80" s="192">
        <v>0</v>
      </c>
      <c r="AH80" s="62" t="str">
        <f t="shared" si="29"/>
        <v/>
      </c>
      <c r="AI80" s="62">
        <f t="shared" si="30"/>
        <v>0</v>
      </c>
      <c r="AJ80" s="62"/>
      <c r="AK80" s="62">
        <v>0</v>
      </c>
      <c r="AL80" s="256">
        <f t="shared" si="31"/>
        <v>0</v>
      </c>
      <c r="AM80" s="256">
        <f t="shared" si="32"/>
        <v>0</v>
      </c>
      <c r="AN80" s="256">
        <f t="shared" si="33"/>
        <v>0</v>
      </c>
    </row>
    <row r="81" spans="1:40" x14ac:dyDescent="0.2">
      <c r="A81" s="3" t="str">
        <f>IF('Employee Detail FY27'!A81="","",'Employee Detail FY27'!A81)</f>
        <v/>
      </c>
      <c r="B81" s="3" t="str">
        <f>IF('Employee Detail FY27'!B81="","",'Employee Detail FY27'!B81)</f>
        <v>280</v>
      </c>
      <c r="C81" s="3" t="str">
        <f>IF('Employee Detail FY27'!C81="","",'Employee Detail FY27'!C81)</f>
        <v>658</v>
      </c>
      <c r="D81" s="3"/>
      <c r="E81" s="3" t="str">
        <f>IF('Employee Detail FY27'!E81="","",'Employee Detail FY27'!E81)</f>
        <v>420</v>
      </c>
      <c r="F81" s="3" t="str">
        <f>IF('Employee Detail FY27'!F81="","",'Employee Detail FY27'!F81)</f>
        <v>2212</v>
      </c>
      <c r="G81" s="3" t="str">
        <f>IF('Employee Detail FY27'!G81="","",'Employee Detail FY27'!G81)</f>
        <v>0157</v>
      </c>
      <c r="H81" s="3"/>
      <c r="I81" s="255" t="str">
        <f>IF('Employee Detail FY27'!I81="","",'Employee Detail FY27'!I81)</f>
        <v>TITLE III</v>
      </c>
      <c r="J81" s="255" t="str">
        <f>IF('Employee Detail FY27'!J81="","",'Employee Detail FY27'!J81)</f>
        <v/>
      </c>
      <c r="K81" s="255" t="str">
        <f>IF('Employee Detail FY27'!K81="","",'Employee Detail FY27'!K81)</f>
        <v/>
      </c>
      <c r="L81" s="255" t="str">
        <f>IF('Employee Detail FY27'!L81="","",'Employee Detail FY27'!L81)</f>
        <v>TITLE III</v>
      </c>
      <c r="M81" s="92">
        <f>IF('Employee Detail FY27'!M81="","",'Employee Detail FY27'!M81)</f>
        <v>0</v>
      </c>
      <c r="N81" s="3" t="str">
        <f>IF('Employee Detail FY27'!N81="","",'Employee Detail FY27'!N81)</f>
        <v/>
      </c>
      <c r="O81" s="3" t="str">
        <f>IF('Employee Detail FY27'!O81="","",'Employee Detail FY27'!O81)</f>
        <v/>
      </c>
      <c r="P81" s="3" t="str">
        <f>IF('Employee Detail FY27'!P81="","",'Employee Detail FY27'!P81)</f>
        <v>N</v>
      </c>
      <c r="Q81" s="3" t="str">
        <f>IF('Employee Detail FY27'!Q81="","",'Employee Detail FY27'!Q81)</f>
        <v/>
      </c>
      <c r="R81" s="3" t="str">
        <f>IF('Employee Detail FY27'!R81="","",'Employee Detail FY27'!R81)</f>
        <v/>
      </c>
      <c r="S81" s="3" t="str">
        <f>IF('Employee Detail FY27'!S81="","",'Employee Detail FY27'!S81)</f>
        <v/>
      </c>
      <c r="T81" s="263" t="str">
        <f t="shared" si="20"/>
        <v/>
      </c>
      <c r="U81" s="269">
        <f>IF('Employee Detail FY27'!U81="","",'Employee Detail FY27'!U81)</f>
        <v>0</v>
      </c>
      <c r="V81" s="270">
        <f t="shared" si="21"/>
        <v>0</v>
      </c>
      <c r="W81" s="270" t="str">
        <f t="shared" si="22"/>
        <v/>
      </c>
      <c r="X81" s="270">
        <f t="shared" si="23"/>
        <v>0</v>
      </c>
      <c r="Y81" s="62">
        <v>0</v>
      </c>
      <c r="Z81" s="62">
        <v>0</v>
      </c>
      <c r="AA81" s="256">
        <f t="shared" si="24"/>
        <v>0</v>
      </c>
      <c r="AB81" s="3"/>
      <c r="AC81" s="62" t="str">
        <f t="shared" si="25"/>
        <v/>
      </c>
      <c r="AD81" s="62">
        <f t="shared" si="26"/>
        <v>0</v>
      </c>
      <c r="AE81" s="62" t="str">
        <f t="shared" si="27"/>
        <v/>
      </c>
      <c r="AF81" s="62" t="str">
        <f t="shared" si="28"/>
        <v/>
      </c>
      <c r="AG81" s="192">
        <v>0</v>
      </c>
      <c r="AH81" s="62" t="str">
        <f t="shared" si="29"/>
        <v/>
      </c>
      <c r="AI81" s="62">
        <f t="shared" si="30"/>
        <v>0</v>
      </c>
      <c r="AJ81" s="62"/>
      <c r="AK81" s="62">
        <v>0</v>
      </c>
      <c r="AL81" s="256">
        <f t="shared" si="31"/>
        <v>0</v>
      </c>
      <c r="AM81" s="256">
        <f t="shared" si="32"/>
        <v>0</v>
      </c>
      <c r="AN81" s="256">
        <f t="shared" si="33"/>
        <v>0</v>
      </c>
    </row>
    <row r="82" spans="1:40" x14ac:dyDescent="0.2">
      <c r="A82" s="3" t="str">
        <f>IF('Employee Detail FY27'!A82="","",'Employee Detail FY27'!A82)</f>
        <v/>
      </c>
      <c r="B82" s="3" t="str">
        <f>IF('Employee Detail FY27'!B82="","",'Employee Detail FY27'!B82)</f>
        <v>280</v>
      </c>
      <c r="C82" s="3" t="str">
        <f>IF('Employee Detail FY27'!C82="","",'Employee Detail FY27'!C82)</f>
        <v>658</v>
      </c>
      <c r="D82" s="3"/>
      <c r="E82" s="3" t="str">
        <f>IF('Employee Detail FY27'!E82="","",'Employee Detail FY27'!E82)</f>
        <v>420</v>
      </c>
      <c r="F82" s="3" t="str">
        <f>IF('Employee Detail FY27'!F82="","",'Employee Detail FY27'!F82)</f>
        <v>2110</v>
      </c>
      <c r="G82" s="3" t="str">
        <f>IF('Employee Detail FY27'!G82="","",'Employee Detail FY27'!G82)</f>
        <v>0157</v>
      </c>
      <c r="H82" s="3"/>
      <c r="I82" s="255" t="str">
        <f>IF('Employee Detail FY27'!I82="","",'Employee Detail FY27'!I82)</f>
        <v>TITLE III</v>
      </c>
      <c r="J82" s="255" t="str">
        <f>IF('Employee Detail FY27'!J82="","",'Employee Detail FY27'!J82)</f>
        <v/>
      </c>
      <c r="K82" s="255" t="str">
        <f>IF('Employee Detail FY27'!K82="","",'Employee Detail FY27'!K82)</f>
        <v/>
      </c>
      <c r="L82" s="255" t="str">
        <f>IF('Employee Detail FY27'!L82="","",'Employee Detail FY27'!L82)</f>
        <v>TITLE III</v>
      </c>
      <c r="M82" s="92">
        <f>IF('Employee Detail FY27'!M82="","",'Employee Detail FY27'!M82)</f>
        <v>0</v>
      </c>
      <c r="N82" s="3" t="str">
        <f>IF('Employee Detail FY27'!N82="","",'Employee Detail FY27'!N82)</f>
        <v/>
      </c>
      <c r="O82" s="3" t="str">
        <f>IF('Employee Detail FY27'!O82="","",'Employee Detail FY27'!O82)</f>
        <v/>
      </c>
      <c r="P82" s="3" t="str">
        <f>IF('Employee Detail FY27'!P82="","",'Employee Detail FY27'!P82)</f>
        <v>N</v>
      </c>
      <c r="Q82" s="3" t="str">
        <f>IF('Employee Detail FY27'!Q82="","",'Employee Detail FY27'!Q82)</f>
        <v/>
      </c>
      <c r="R82" s="3" t="str">
        <f>IF('Employee Detail FY27'!R82="","",'Employee Detail FY27'!R82)</f>
        <v/>
      </c>
      <c r="S82" s="3" t="str">
        <f>IF('Employee Detail FY27'!S82="","",'Employee Detail FY27'!S82)</f>
        <v/>
      </c>
      <c r="T82" s="263" t="str">
        <f t="shared" si="20"/>
        <v/>
      </c>
      <c r="U82" s="269">
        <f>IF('Employee Detail FY27'!U82="","",'Employee Detail FY27'!U82)</f>
        <v>0</v>
      </c>
      <c r="V82" s="270">
        <f t="shared" si="21"/>
        <v>0</v>
      </c>
      <c r="W82" s="270" t="str">
        <f t="shared" si="22"/>
        <v/>
      </c>
      <c r="X82" s="270">
        <f t="shared" si="23"/>
        <v>0</v>
      </c>
      <c r="Y82" s="62">
        <v>0</v>
      </c>
      <c r="Z82" s="62">
        <v>0</v>
      </c>
      <c r="AA82" s="256">
        <f t="shared" si="24"/>
        <v>0</v>
      </c>
      <c r="AB82" s="3"/>
      <c r="AC82" s="62" t="str">
        <f t="shared" si="25"/>
        <v/>
      </c>
      <c r="AD82" s="62">
        <f t="shared" si="26"/>
        <v>0</v>
      </c>
      <c r="AE82" s="62" t="str">
        <f t="shared" si="27"/>
        <v/>
      </c>
      <c r="AF82" s="62" t="str">
        <f t="shared" si="28"/>
        <v/>
      </c>
      <c r="AG82" s="192">
        <v>0</v>
      </c>
      <c r="AH82" s="62" t="str">
        <f t="shared" si="29"/>
        <v/>
      </c>
      <c r="AI82" s="62">
        <f t="shared" si="30"/>
        <v>0</v>
      </c>
      <c r="AJ82" s="62"/>
      <c r="AK82" s="62">
        <v>0</v>
      </c>
      <c r="AL82" s="256">
        <f t="shared" si="31"/>
        <v>0</v>
      </c>
      <c r="AM82" s="256">
        <f t="shared" si="32"/>
        <v>0</v>
      </c>
      <c r="AN82" s="256">
        <f t="shared" si="33"/>
        <v>0</v>
      </c>
    </row>
    <row r="83" spans="1:40" x14ac:dyDescent="0.2">
      <c r="A83" s="3" t="str">
        <f>IF('Employee Detail FY27'!A83="","",'Employee Detail FY27'!A83)</f>
        <v/>
      </c>
      <c r="B83" s="3" t="str">
        <f>IF('Employee Detail FY27'!B83="","",'Employee Detail FY27'!B83)</f>
        <v/>
      </c>
      <c r="C83" s="3" t="str">
        <f>IF('Employee Detail FY27'!C83="","",'Employee Detail FY27'!C83)</f>
        <v/>
      </c>
      <c r="D83" s="3"/>
      <c r="E83" s="3" t="str">
        <f>IF('Employee Detail FY27'!E83="","",'Employee Detail FY27'!E83)</f>
        <v/>
      </c>
      <c r="F83" s="3" t="str">
        <f>IF('Employee Detail FY27'!F83="","",'Employee Detail FY27'!F83)</f>
        <v/>
      </c>
      <c r="G83" s="3" t="str">
        <f>IF('Employee Detail FY27'!G83="","",'Employee Detail FY27'!G83)</f>
        <v/>
      </c>
      <c r="H83" s="3"/>
      <c r="I83" s="255" t="str">
        <f>IF('Employee Detail FY27'!I83="","",'Employee Detail FY27'!I83)</f>
        <v/>
      </c>
      <c r="J83" s="255" t="str">
        <f>IF('Employee Detail FY27'!J83="","",'Employee Detail FY27'!J83)</f>
        <v/>
      </c>
      <c r="K83" s="255" t="str">
        <f>IF('Employee Detail FY27'!K83="","",'Employee Detail FY27'!K83)</f>
        <v/>
      </c>
      <c r="L83" s="255" t="str">
        <f>IF('Employee Detail FY27'!L83="","",'Employee Detail FY27'!L83)</f>
        <v/>
      </c>
      <c r="M83" s="92" t="str">
        <f>IF('Employee Detail FY27'!M83="","",'Employee Detail FY27'!M83)</f>
        <v/>
      </c>
      <c r="N83" s="3" t="str">
        <f>IF('Employee Detail FY27'!N83="","",'Employee Detail FY27'!N83)</f>
        <v/>
      </c>
      <c r="O83" s="3" t="str">
        <f>IF('Employee Detail FY27'!O83="","",'Employee Detail FY27'!O83)</f>
        <v/>
      </c>
      <c r="P83" s="3" t="str">
        <f>IF('Employee Detail FY27'!P83="","",'Employee Detail FY27'!P83)</f>
        <v/>
      </c>
      <c r="Q83" s="3" t="str">
        <f>IF('Employee Detail FY27'!Q83="","",'Employee Detail FY27'!Q83)</f>
        <v/>
      </c>
      <c r="R83" s="3" t="str">
        <f>IF('Employee Detail FY27'!R83="","",'Employee Detail FY27'!R83)</f>
        <v/>
      </c>
      <c r="S83" s="3" t="str">
        <f>IF('Employee Detail FY27'!S83="","",'Employee Detail FY27'!S83)</f>
        <v/>
      </c>
      <c r="T83" s="263" t="str">
        <f t="shared" si="20"/>
        <v/>
      </c>
      <c r="U83" s="269">
        <f>IF('Employee Detail FY27'!U83="","",'Employee Detail FY27'!U83)</f>
        <v>0</v>
      </c>
      <c r="V83" s="270">
        <f t="shared" si="21"/>
        <v>0</v>
      </c>
      <c r="W83" s="270" t="str">
        <f t="shared" si="22"/>
        <v/>
      </c>
      <c r="X83" s="270" t="str">
        <f t="shared" si="23"/>
        <v/>
      </c>
      <c r="Y83" s="62">
        <v>0</v>
      </c>
      <c r="Z83" s="62">
        <v>0</v>
      </c>
      <c r="AA83" s="256">
        <f t="shared" si="24"/>
        <v>0</v>
      </c>
      <c r="AB83" s="3"/>
      <c r="AC83" s="62" t="str">
        <f t="shared" si="25"/>
        <v/>
      </c>
      <c r="AD83" s="62" t="str">
        <f t="shared" si="26"/>
        <v/>
      </c>
      <c r="AE83" s="62" t="str">
        <f t="shared" si="27"/>
        <v/>
      </c>
      <c r="AF83" s="62" t="str">
        <f t="shared" si="28"/>
        <v/>
      </c>
      <c r="AG83" s="192">
        <v>0</v>
      </c>
      <c r="AH83" s="62" t="str">
        <f t="shared" si="29"/>
        <v/>
      </c>
      <c r="AI83" s="62">
        <f t="shared" si="30"/>
        <v>0</v>
      </c>
      <c r="AJ83" s="62"/>
      <c r="AK83" s="62">
        <v>0</v>
      </c>
      <c r="AL83" s="256">
        <f t="shared" si="31"/>
        <v>0</v>
      </c>
      <c r="AM83" s="256">
        <f t="shared" si="32"/>
        <v>0</v>
      </c>
      <c r="AN83" s="256">
        <f t="shared" si="33"/>
        <v>0</v>
      </c>
    </row>
    <row r="84" spans="1:40" x14ac:dyDescent="0.2">
      <c r="A84" s="3" t="str">
        <f>IF('Employee Detail FY27'!A84="","",'Employee Detail FY27'!A84)</f>
        <v/>
      </c>
      <c r="B84" s="3" t="str">
        <f>IF('Employee Detail FY27'!B84="","",'Employee Detail FY27'!B84)</f>
        <v>280</v>
      </c>
      <c r="C84" s="3" t="str">
        <f>IF('Employee Detail FY27'!C84="","",'Employee Detail FY27'!C84)</f>
        <v>624</v>
      </c>
      <c r="D84" s="3"/>
      <c r="E84" s="3" t="str">
        <f>IF('Employee Detail FY27'!E84="","",'Employee Detail FY27'!E84)</f>
        <v>430</v>
      </c>
      <c r="F84" s="3" t="str">
        <f>IF('Employee Detail FY27'!F84="","",'Employee Detail FY27'!F84)</f>
        <v>1000</v>
      </c>
      <c r="G84" s="3" t="str">
        <f>IF('Employee Detail FY27'!G84="","",'Employee Detail FY27'!G84)</f>
        <v>0151</v>
      </c>
      <c r="H84" s="3"/>
      <c r="I84" s="255" t="str">
        <f>IF('Employee Detail FY27'!I84="","",'Employee Detail FY27'!I84)</f>
        <v>TITLE I 1003A</v>
      </c>
      <c r="J84" s="255" t="str">
        <f>IF('Employee Detail FY27'!J84="","",'Employee Detail FY27'!J84)</f>
        <v>PD</v>
      </c>
      <c r="K84" s="255" t="str">
        <f>IF('Employee Detail FY27'!K84="","",'Employee Detail FY27'!K84)</f>
        <v/>
      </c>
      <c r="L84" s="255" t="str">
        <f>IF('Employee Detail FY27'!L84="","",'Employee Detail FY27'!L84)</f>
        <v>TITLE I 1003A PD</v>
      </c>
      <c r="M84" s="92">
        <f>IF('Employee Detail FY27'!M84="","",'Employee Detail FY27'!M84)</f>
        <v>0</v>
      </c>
      <c r="N84" s="3" t="str">
        <f>IF('Employee Detail FY27'!N84="","",'Employee Detail FY27'!N84)</f>
        <v/>
      </c>
      <c r="O84" s="3" t="str">
        <f>IF('Employee Detail FY27'!O84="","",'Employee Detail FY27'!O84)</f>
        <v/>
      </c>
      <c r="P84" s="3" t="str">
        <f>IF('Employee Detail FY27'!P84="","",'Employee Detail FY27'!P84)</f>
        <v>N</v>
      </c>
      <c r="Q84" s="3" t="str">
        <f>IF('Employee Detail FY27'!Q84="","",'Employee Detail FY27'!Q84)</f>
        <v/>
      </c>
      <c r="R84" s="3" t="str">
        <f>IF('Employee Detail FY27'!R84="","",'Employee Detail FY27'!R84)</f>
        <v/>
      </c>
      <c r="S84" s="3" t="str">
        <f>IF('Employee Detail FY27'!S84="","",'Employee Detail FY27'!S84)</f>
        <v/>
      </c>
      <c r="T84" s="263" t="str">
        <f t="shared" si="20"/>
        <v/>
      </c>
      <c r="U84" s="269">
        <f>IF('Employee Detail FY27'!U84="","",'Employee Detail FY27'!U84)</f>
        <v>0</v>
      </c>
      <c r="V84" s="270">
        <f t="shared" si="21"/>
        <v>0</v>
      </c>
      <c r="W84" s="270" t="str">
        <f t="shared" si="22"/>
        <v/>
      </c>
      <c r="X84" s="270">
        <f t="shared" si="23"/>
        <v>0</v>
      </c>
      <c r="Y84" s="62">
        <v>0</v>
      </c>
      <c r="Z84" s="62">
        <v>0</v>
      </c>
      <c r="AA84" s="256">
        <f t="shared" si="24"/>
        <v>0</v>
      </c>
      <c r="AB84" s="3"/>
      <c r="AC84" s="62" t="str">
        <f t="shared" si="25"/>
        <v/>
      </c>
      <c r="AD84" s="62">
        <f t="shared" si="26"/>
        <v>0</v>
      </c>
      <c r="AE84" s="62" t="str">
        <f t="shared" si="27"/>
        <v/>
      </c>
      <c r="AF84" s="62" t="str">
        <f t="shared" si="28"/>
        <v/>
      </c>
      <c r="AG84" s="192">
        <v>0</v>
      </c>
      <c r="AH84" s="62" t="str">
        <f t="shared" si="29"/>
        <v/>
      </c>
      <c r="AI84" s="62">
        <f t="shared" si="30"/>
        <v>0</v>
      </c>
      <c r="AJ84" s="62"/>
      <c r="AK84" s="62">
        <v>0</v>
      </c>
      <c r="AL84" s="256">
        <f t="shared" si="31"/>
        <v>0</v>
      </c>
      <c r="AM84" s="256">
        <f t="shared" si="32"/>
        <v>0</v>
      </c>
      <c r="AN84" s="256">
        <f t="shared" si="33"/>
        <v>0</v>
      </c>
    </row>
    <row r="85" spans="1:40" x14ac:dyDescent="0.2">
      <c r="A85" s="3" t="str">
        <f>IF('Employee Detail FY27'!A85="","",'Employee Detail FY27'!A85)</f>
        <v/>
      </c>
      <c r="B85" s="3" t="str">
        <f>IF('Employee Detail FY27'!B85="","",'Employee Detail FY27'!B85)</f>
        <v>280</v>
      </c>
      <c r="C85" s="3" t="str">
        <f>IF('Employee Detail FY27'!C85="","",'Employee Detail FY27'!C85)</f>
        <v>624</v>
      </c>
      <c r="D85" s="3"/>
      <c r="E85" s="3" t="str">
        <f>IF('Employee Detail FY27'!E85="","",'Employee Detail FY27'!E85)</f>
        <v>430</v>
      </c>
      <c r="F85" s="3" t="str">
        <f>IF('Employee Detail FY27'!F85="","",'Employee Detail FY27'!F85)</f>
        <v>2210</v>
      </c>
      <c r="G85" s="3" t="str">
        <f>IF('Employee Detail FY27'!G85="","",'Employee Detail FY27'!G85)</f>
        <v>0151</v>
      </c>
      <c r="H85" s="3"/>
      <c r="I85" s="255" t="str">
        <f>IF('Employee Detail FY27'!I85="","",'Employee Detail FY27'!I85)</f>
        <v>TITLE I 1003A</v>
      </c>
      <c r="J85" s="255" t="str">
        <f>IF('Employee Detail FY27'!J85="","",'Employee Detail FY27'!J85)</f>
        <v>PD</v>
      </c>
      <c r="K85" s="255" t="str">
        <f>IF('Employee Detail FY27'!K85="","",'Employee Detail FY27'!K85)</f>
        <v/>
      </c>
      <c r="L85" s="255" t="str">
        <f>IF('Employee Detail FY27'!L85="","",'Employee Detail FY27'!L85)</f>
        <v>TITLE I 1003A PD</v>
      </c>
      <c r="M85" s="92">
        <f>IF('Employee Detail FY27'!M85="","",'Employee Detail FY27'!M85)</f>
        <v>0</v>
      </c>
      <c r="N85" s="3" t="str">
        <f>IF('Employee Detail FY27'!N85="","",'Employee Detail FY27'!N85)</f>
        <v/>
      </c>
      <c r="O85" s="3" t="str">
        <f>IF('Employee Detail FY27'!O85="","",'Employee Detail FY27'!O85)</f>
        <v/>
      </c>
      <c r="P85" s="3" t="str">
        <f>IF('Employee Detail FY27'!P85="","",'Employee Detail FY27'!P85)</f>
        <v>N</v>
      </c>
      <c r="Q85" s="3" t="str">
        <f>IF('Employee Detail FY27'!Q85="","",'Employee Detail FY27'!Q85)</f>
        <v/>
      </c>
      <c r="R85" s="3" t="str">
        <f>IF('Employee Detail FY27'!R85="","",'Employee Detail FY27'!R85)</f>
        <v/>
      </c>
      <c r="S85" s="3" t="str">
        <f>IF('Employee Detail FY27'!S85="","",'Employee Detail FY27'!S85)</f>
        <v/>
      </c>
      <c r="T85" s="263" t="str">
        <f t="shared" si="20"/>
        <v/>
      </c>
      <c r="U85" s="269">
        <f>IF('Employee Detail FY27'!U85="","",'Employee Detail FY27'!U85)</f>
        <v>0</v>
      </c>
      <c r="V85" s="270">
        <f t="shared" si="21"/>
        <v>0</v>
      </c>
      <c r="W85" s="270" t="str">
        <f t="shared" si="22"/>
        <v/>
      </c>
      <c r="X85" s="270">
        <f t="shared" si="23"/>
        <v>0</v>
      </c>
      <c r="Y85" s="62">
        <v>0</v>
      </c>
      <c r="Z85" s="62">
        <v>0</v>
      </c>
      <c r="AA85" s="256">
        <f t="shared" si="24"/>
        <v>0</v>
      </c>
      <c r="AB85" s="3"/>
      <c r="AC85" s="62" t="str">
        <f t="shared" si="25"/>
        <v/>
      </c>
      <c r="AD85" s="62">
        <f t="shared" si="26"/>
        <v>0</v>
      </c>
      <c r="AE85" s="62" t="str">
        <f t="shared" si="27"/>
        <v/>
      </c>
      <c r="AF85" s="62" t="str">
        <f t="shared" si="28"/>
        <v/>
      </c>
      <c r="AG85" s="192">
        <v>0</v>
      </c>
      <c r="AH85" s="62" t="str">
        <f t="shared" si="29"/>
        <v/>
      </c>
      <c r="AI85" s="62">
        <f t="shared" si="30"/>
        <v>0</v>
      </c>
      <c r="AJ85" s="62"/>
      <c r="AK85" s="62">
        <v>0</v>
      </c>
      <c r="AL85" s="256">
        <f t="shared" si="31"/>
        <v>0</v>
      </c>
      <c r="AM85" s="256">
        <f t="shared" si="32"/>
        <v>0</v>
      </c>
      <c r="AN85" s="256">
        <f t="shared" si="33"/>
        <v>0</v>
      </c>
    </row>
    <row r="86" spans="1:40" x14ac:dyDescent="0.2">
      <c r="A86" s="3" t="str">
        <f>IF('Employee Detail FY27'!A86="","",'Employee Detail FY27'!A86)</f>
        <v/>
      </c>
      <c r="B86" s="3" t="str">
        <f>IF('Employee Detail FY27'!B86="","",'Employee Detail FY27'!B86)</f>
        <v>280</v>
      </c>
      <c r="C86" s="3" t="str">
        <f>IF('Employee Detail FY27'!C86="","",'Employee Detail FY27'!C86)</f>
        <v>624</v>
      </c>
      <c r="D86" s="3"/>
      <c r="E86" s="3" t="str">
        <f>IF('Employee Detail FY27'!E86="","",'Employee Detail FY27'!E86)</f>
        <v>430</v>
      </c>
      <c r="F86" s="3" t="str">
        <f>IF('Employee Detail FY27'!F86="","",'Employee Detail FY27'!F86)</f>
        <v>1000</v>
      </c>
      <c r="G86" s="3" t="str">
        <f>IF('Employee Detail FY27'!G86="","",'Employee Detail FY27'!G86)</f>
        <v>0152</v>
      </c>
      <c r="H86" s="3"/>
      <c r="I86" s="255" t="str">
        <f>IF('Employee Detail FY27'!I86="","",'Employee Detail FY27'!I86)</f>
        <v>TITLE I 1003A</v>
      </c>
      <c r="J86" s="255" t="str">
        <f>IF('Employee Detail FY27'!J86="","",'Employee Detail FY27'!J86)</f>
        <v>PD</v>
      </c>
      <c r="K86" s="255" t="str">
        <f>IF('Employee Detail FY27'!K86="","",'Employee Detail FY27'!K86)</f>
        <v/>
      </c>
      <c r="L86" s="255" t="str">
        <f>IF('Employee Detail FY27'!L86="","",'Employee Detail FY27'!L86)</f>
        <v>TITLE I 1003A PD</v>
      </c>
      <c r="M86" s="92">
        <f>IF('Employee Detail FY27'!M86="","",'Employee Detail FY27'!M86)</f>
        <v>0</v>
      </c>
      <c r="N86" s="3" t="str">
        <f>IF('Employee Detail FY27'!N86="","",'Employee Detail FY27'!N86)</f>
        <v/>
      </c>
      <c r="O86" s="3" t="str">
        <f>IF('Employee Detail FY27'!O86="","",'Employee Detail FY27'!O86)</f>
        <v/>
      </c>
      <c r="P86" s="3" t="str">
        <f>IF('Employee Detail FY27'!P86="","",'Employee Detail FY27'!P86)</f>
        <v>N</v>
      </c>
      <c r="Q86" s="3" t="str">
        <f>IF('Employee Detail FY27'!Q86="","",'Employee Detail FY27'!Q86)</f>
        <v/>
      </c>
      <c r="R86" s="3" t="str">
        <f>IF('Employee Detail FY27'!R86="","",'Employee Detail FY27'!R86)</f>
        <v/>
      </c>
      <c r="S86" s="3" t="str">
        <f>IF('Employee Detail FY27'!S86="","",'Employee Detail FY27'!S86)</f>
        <v/>
      </c>
      <c r="T86" s="263" t="str">
        <f t="shared" si="20"/>
        <v/>
      </c>
      <c r="U86" s="269">
        <f>IF('Employee Detail FY27'!U86="","",'Employee Detail FY27'!U86)</f>
        <v>0</v>
      </c>
      <c r="V86" s="270">
        <f t="shared" si="21"/>
        <v>0</v>
      </c>
      <c r="W86" s="270" t="str">
        <f t="shared" si="22"/>
        <v/>
      </c>
      <c r="X86" s="270">
        <f t="shared" si="23"/>
        <v>0</v>
      </c>
      <c r="Y86" s="62">
        <v>0</v>
      </c>
      <c r="Z86" s="62">
        <v>0</v>
      </c>
      <c r="AA86" s="256">
        <f t="shared" si="24"/>
        <v>0</v>
      </c>
      <c r="AB86" s="3"/>
      <c r="AC86" s="62" t="str">
        <f t="shared" si="25"/>
        <v/>
      </c>
      <c r="AD86" s="62">
        <f t="shared" si="26"/>
        <v>0</v>
      </c>
      <c r="AE86" s="62" t="str">
        <f t="shared" si="27"/>
        <v/>
      </c>
      <c r="AF86" s="62" t="str">
        <f t="shared" si="28"/>
        <v/>
      </c>
      <c r="AG86" s="192">
        <v>0</v>
      </c>
      <c r="AH86" s="62" t="str">
        <f t="shared" si="29"/>
        <v/>
      </c>
      <c r="AI86" s="62">
        <f t="shared" si="30"/>
        <v>0</v>
      </c>
      <c r="AJ86" s="62"/>
      <c r="AK86" s="62">
        <v>0</v>
      </c>
      <c r="AL86" s="256">
        <f t="shared" si="31"/>
        <v>0</v>
      </c>
      <c r="AM86" s="256">
        <f t="shared" si="32"/>
        <v>0</v>
      </c>
      <c r="AN86" s="256">
        <f t="shared" si="33"/>
        <v>0</v>
      </c>
    </row>
    <row r="87" spans="1:40" x14ac:dyDescent="0.2">
      <c r="A87" s="3" t="str">
        <f>IF('Employee Detail FY27'!A87="","",'Employee Detail FY27'!A87)</f>
        <v/>
      </c>
      <c r="B87" s="3" t="str">
        <f>IF('Employee Detail FY27'!B87="","",'Employee Detail FY27'!B87)</f>
        <v>280</v>
      </c>
      <c r="C87" s="3" t="str">
        <f>IF('Employee Detail FY27'!C87="","",'Employee Detail FY27'!C87)</f>
        <v>624</v>
      </c>
      <c r="D87" s="3"/>
      <c r="E87" s="3" t="str">
        <f>IF('Employee Detail FY27'!E87="","",'Employee Detail FY27'!E87)</f>
        <v>430</v>
      </c>
      <c r="F87" s="3">
        <f>IF('Employee Detail FY27'!F87="","",'Employee Detail FY27'!F87)</f>
        <v>2410</v>
      </c>
      <c r="G87" s="3" t="str">
        <f>IF('Employee Detail FY27'!G87="","",'Employee Detail FY27'!G87)</f>
        <v>0154</v>
      </c>
      <c r="H87" s="3"/>
      <c r="I87" s="255" t="str">
        <f>IF('Employee Detail FY27'!I87="","",'Employee Detail FY27'!I87)</f>
        <v>TITLE I 1003A</v>
      </c>
      <c r="J87" s="255" t="str">
        <f>IF('Employee Detail FY27'!J87="","",'Employee Detail FY27'!J87)</f>
        <v>PD</v>
      </c>
      <c r="K87" s="255" t="str">
        <f>IF('Employee Detail FY27'!K87="","",'Employee Detail FY27'!K87)</f>
        <v/>
      </c>
      <c r="L87" s="255" t="str">
        <f>IF('Employee Detail FY27'!L87="","",'Employee Detail FY27'!L87)</f>
        <v>TITLE I 1003A PD</v>
      </c>
      <c r="M87" s="92">
        <f>IF('Employee Detail FY27'!M87="","",'Employee Detail FY27'!M87)</f>
        <v>0</v>
      </c>
      <c r="N87" s="3" t="str">
        <f>IF('Employee Detail FY27'!N87="","",'Employee Detail FY27'!N87)</f>
        <v/>
      </c>
      <c r="O87" s="3" t="str">
        <f>IF('Employee Detail FY27'!O87="","",'Employee Detail FY27'!O87)</f>
        <v/>
      </c>
      <c r="P87" s="3" t="str">
        <f>IF('Employee Detail FY27'!P87="","",'Employee Detail FY27'!P87)</f>
        <v>N</v>
      </c>
      <c r="Q87" s="3" t="str">
        <f>IF('Employee Detail FY27'!Q87="","",'Employee Detail FY27'!Q87)</f>
        <v/>
      </c>
      <c r="R87" s="3" t="str">
        <f>IF('Employee Detail FY27'!R87="","",'Employee Detail FY27'!R87)</f>
        <v/>
      </c>
      <c r="S87" s="3" t="str">
        <f>IF('Employee Detail FY27'!S87="","",'Employee Detail FY27'!S87)</f>
        <v/>
      </c>
      <c r="T87" s="263" t="str">
        <f t="shared" si="20"/>
        <v/>
      </c>
      <c r="U87" s="269">
        <f>IF('Employee Detail FY27'!U87="","",'Employee Detail FY27'!U87)</f>
        <v>0</v>
      </c>
      <c r="V87" s="270">
        <f t="shared" si="21"/>
        <v>0</v>
      </c>
      <c r="W87" s="270" t="str">
        <f t="shared" si="22"/>
        <v/>
      </c>
      <c r="X87" s="270">
        <f t="shared" si="23"/>
        <v>0</v>
      </c>
      <c r="Y87" s="62">
        <v>0</v>
      </c>
      <c r="Z87" s="62">
        <v>0</v>
      </c>
      <c r="AA87" s="256">
        <f t="shared" si="24"/>
        <v>0</v>
      </c>
      <c r="AB87" s="3"/>
      <c r="AC87" s="62" t="str">
        <f t="shared" si="25"/>
        <v/>
      </c>
      <c r="AD87" s="62">
        <f t="shared" si="26"/>
        <v>0</v>
      </c>
      <c r="AE87" s="62" t="str">
        <f t="shared" si="27"/>
        <v/>
      </c>
      <c r="AF87" s="62" t="str">
        <f t="shared" si="28"/>
        <v/>
      </c>
      <c r="AG87" s="192">
        <v>0</v>
      </c>
      <c r="AH87" s="62" t="str">
        <f t="shared" si="29"/>
        <v/>
      </c>
      <c r="AI87" s="62">
        <f t="shared" si="30"/>
        <v>0</v>
      </c>
      <c r="AJ87" s="62"/>
      <c r="AK87" s="62">
        <v>0</v>
      </c>
      <c r="AL87" s="256">
        <f t="shared" si="31"/>
        <v>0</v>
      </c>
      <c r="AM87" s="256">
        <f t="shared" si="32"/>
        <v>0</v>
      </c>
      <c r="AN87" s="256">
        <f t="shared" si="33"/>
        <v>0</v>
      </c>
    </row>
    <row r="88" spans="1:40" x14ac:dyDescent="0.2">
      <c r="A88" s="3" t="str">
        <f>IF('Employee Detail FY27'!A88="","",'Employee Detail FY27'!A88)</f>
        <v/>
      </c>
      <c r="B88" s="3" t="str">
        <f>IF('Employee Detail FY27'!B88="","",'Employee Detail FY27'!B88)</f>
        <v>280</v>
      </c>
      <c r="C88" s="3" t="str">
        <f>IF('Employee Detail FY27'!C88="","",'Employee Detail FY27'!C88)</f>
        <v>624</v>
      </c>
      <c r="D88" s="3"/>
      <c r="E88" s="3" t="str">
        <f>IF('Employee Detail FY27'!E88="","",'Employee Detail FY27'!E88)</f>
        <v>430</v>
      </c>
      <c r="F88" s="3" t="str">
        <f>IF('Employee Detail FY27'!F88="","",'Employee Detail FY27'!F88)</f>
        <v>2120</v>
      </c>
      <c r="G88" s="3" t="str">
        <f>IF('Employee Detail FY27'!G88="","",'Employee Detail FY27'!G88)</f>
        <v>0156</v>
      </c>
      <c r="H88" s="3"/>
      <c r="I88" s="255" t="str">
        <f>IF('Employee Detail FY27'!I88="","",'Employee Detail FY27'!I88)</f>
        <v>TITLE I 1003A</v>
      </c>
      <c r="J88" s="255" t="str">
        <f>IF('Employee Detail FY27'!J88="","",'Employee Detail FY27'!J88)</f>
        <v>PD</v>
      </c>
      <c r="K88" s="255" t="str">
        <f>IF('Employee Detail FY27'!K88="","",'Employee Detail FY27'!K88)</f>
        <v/>
      </c>
      <c r="L88" s="255" t="str">
        <f>IF('Employee Detail FY27'!L88="","",'Employee Detail FY27'!L88)</f>
        <v>TITLE I 1003A PD</v>
      </c>
      <c r="M88" s="92">
        <f>IF('Employee Detail FY27'!M88="","",'Employee Detail FY27'!M88)</f>
        <v>0</v>
      </c>
      <c r="N88" s="3" t="str">
        <f>IF('Employee Detail FY27'!N88="","",'Employee Detail FY27'!N88)</f>
        <v/>
      </c>
      <c r="O88" s="3" t="str">
        <f>IF('Employee Detail FY27'!O88="","",'Employee Detail FY27'!O88)</f>
        <v/>
      </c>
      <c r="P88" s="3" t="str">
        <f>IF('Employee Detail FY27'!P88="","",'Employee Detail FY27'!P88)</f>
        <v>N</v>
      </c>
      <c r="Q88" s="3" t="str">
        <f>IF('Employee Detail FY27'!Q88="","",'Employee Detail FY27'!Q88)</f>
        <v/>
      </c>
      <c r="R88" s="3" t="str">
        <f>IF('Employee Detail FY27'!R88="","",'Employee Detail FY27'!R88)</f>
        <v/>
      </c>
      <c r="S88" s="3" t="str">
        <f>IF('Employee Detail FY27'!S88="","",'Employee Detail FY27'!S88)</f>
        <v/>
      </c>
      <c r="T88" s="263" t="str">
        <f t="shared" si="20"/>
        <v/>
      </c>
      <c r="U88" s="269">
        <f>IF('Employee Detail FY27'!U88="","",'Employee Detail FY27'!U88)</f>
        <v>0</v>
      </c>
      <c r="V88" s="270">
        <f t="shared" si="21"/>
        <v>0</v>
      </c>
      <c r="W88" s="270" t="str">
        <f t="shared" si="22"/>
        <v/>
      </c>
      <c r="X88" s="270">
        <f t="shared" si="23"/>
        <v>0</v>
      </c>
      <c r="Y88" s="62">
        <v>0</v>
      </c>
      <c r="Z88" s="62">
        <v>0</v>
      </c>
      <c r="AA88" s="256">
        <f t="shared" si="24"/>
        <v>0</v>
      </c>
      <c r="AB88" s="3"/>
      <c r="AC88" s="62" t="str">
        <f t="shared" si="25"/>
        <v/>
      </c>
      <c r="AD88" s="62">
        <f t="shared" si="26"/>
        <v>0</v>
      </c>
      <c r="AE88" s="62" t="str">
        <f t="shared" si="27"/>
        <v/>
      </c>
      <c r="AF88" s="62" t="str">
        <f t="shared" si="28"/>
        <v/>
      </c>
      <c r="AG88" s="192">
        <v>0</v>
      </c>
      <c r="AH88" s="62" t="str">
        <f t="shared" si="29"/>
        <v/>
      </c>
      <c r="AI88" s="62">
        <f t="shared" si="30"/>
        <v>0</v>
      </c>
      <c r="AJ88" s="62"/>
      <c r="AK88" s="62">
        <v>0</v>
      </c>
      <c r="AL88" s="256">
        <f t="shared" si="31"/>
        <v>0</v>
      </c>
      <c r="AM88" s="256">
        <f t="shared" si="32"/>
        <v>0</v>
      </c>
      <c r="AN88" s="256">
        <f t="shared" si="33"/>
        <v>0</v>
      </c>
    </row>
    <row r="89" spans="1:40" x14ac:dyDescent="0.2">
      <c r="A89" s="3" t="str">
        <f>IF('Employee Detail FY27'!A89="","",'Employee Detail FY27'!A89)</f>
        <v/>
      </c>
      <c r="B89" s="3" t="str">
        <f>IF('Employee Detail FY27'!B89="","",'Employee Detail FY27'!B89)</f>
        <v>280</v>
      </c>
      <c r="C89" s="3" t="str">
        <f>IF('Employee Detail FY27'!C89="","",'Employee Detail FY27'!C89)</f>
        <v>624</v>
      </c>
      <c r="D89" s="3"/>
      <c r="E89" s="3" t="str">
        <f>IF('Employee Detail FY27'!E89="","",'Employee Detail FY27'!E89)</f>
        <v>430</v>
      </c>
      <c r="F89" s="3" t="str">
        <f>IF('Employee Detail FY27'!F89="","",'Employee Detail FY27'!F89)</f>
        <v>2140</v>
      </c>
      <c r="G89" s="3" t="str">
        <f>IF('Employee Detail FY27'!G89="","",'Employee Detail FY27'!G89)</f>
        <v>0156</v>
      </c>
      <c r="H89" s="3"/>
      <c r="I89" s="255" t="str">
        <f>IF('Employee Detail FY27'!I89="","",'Employee Detail FY27'!I89)</f>
        <v>TITLE I 1003A</v>
      </c>
      <c r="J89" s="255" t="str">
        <f>IF('Employee Detail FY27'!J89="","",'Employee Detail FY27'!J89)</f>
        <v>PD</v>
      </c>
      <c r="K89" s="255" t="str">
        <f>IF('Employee Detail FY27'!K89="","",'Employee Detail FY27'!K89)</f>
        <v/>
      </c>
      <c r="L89" s="255" t="str">
        <f>IF('Employee Detail FY27'!L89="","",'Employee Detail FY27'!L89)</f>
        <v>TITLE I 1003A PD</v>
      </c>
      <c r="M89" s="92">
        <f>IF('Employee Detail FY27'!M89="","",'Employee Detail FY27'!M89)</f>
        <v>0</v>
      </c>
      <c r="N89" s="3" t="str">
        <f>IF('Employee Detail FY27'!N89="","",'Employee Detail FY27'!N89)</f>
        <v/>
      </c>
      <c r="O89" s="3" t="str">
        <f>IF('Employee Detail FY27'!O89="","",'Employee Detail FY27'!O89)</f>
        <v/>
      </c>
      <c r="P89" s="3" t="str">
        <f>IF('Employee Detail FY27'!P89="","",'Employee Detail FY27'!P89)</f>
        <v>N</v>
      </c>
      <c r="Q89" s="3" t="str">
        <f>IF('Employee Detail FY27'!Q89="","",'Employee Detail FY27'!Q89)</f>
        <v/>
      </c>
      <c r="R89" s="3" t="str">
        <f>IF('Employee Detail FY27'!R89="","",'Employee Detail FY27'!R89)</f>
        <v/>
      </c>
      <c r="S89" s="3" t="str">
        <f>IF('Employee Detail FY27'!S89="","",'Employee Detail FY27'!S89)</f>
        <v/>
      </c>
      <c r="T89" s="263" t="str">
        <f t="shared" si="20"/>
        <v/>
      </c>
      <c r="U89" s="269">
        <f>IF('Employee Detail FY27'!U89="","",'Employee Detail FY27'!U89)</f>
        <v>0</v>
      </c>
      <c r="V89" s="270">
        <f t="shared" si="21"/>
        <v>0</v>
      </c>
      <c r="W89" s="270" t="str">
        <f t="shared" si="22"/>
        <v/>
      </c>
      <c r="X89" s="270">
        <f t="shared" si="23"/>
        <v>0</v>
      </c>
      <c r="Y89" s="62">
        <v>0</v>
      </c>
      <c r="Z89" s="62">
        <v>0</v>
      </c>
      <c r="AA89" s="256">
        <f t="shared" si="24"/>
        <v>0</v>
      </c>
      <c r="AB89" s="3"/>
      <c r="AC89" s="62" t="str">
        <f t="shared" si="25"/>
        <v/>
      </c>
      <c r="AD89" s="62">
        <f t="shared" si="26"/>
        <v>0</v>
      </c>
      <c r="AE89" s="62" t="str">
        <f t="shared" si="27"/>
        <v/>
      </c>
      <c r="AF89" s="62" t="str">
        <f t="shared" si="28"/>
        <v/>
      </c>
      <c r="AG89" s="192">
        <v>0</v>
      </c>
      <c r="AH89" s="62" t="str">
        <f t="shared" si="29"/>
        <v/>
      </c>
      <c r="AI89" s="62">
        <f t="shared" si="30"/>
        <v>0</v>
      </c>
      <c r="AJ89" s="62"/>
      <c r="AK89" s="62">
        <v>0</v>
      </c>
      <c r="AL89" s="256">
        <f t="shared" si="31"/>
        <v>0</v>
      </c>
      <c r="AM89" s="256">
        <f t="shared" si="32"/>
        <v>0</v>
      </c>
      <c r="AN89" s="256">
        <f t="shared" si="33"/>
        <v>0</v>
      </c>
    </row>
    <row r="90" spans="1:40" x14ac:dyDescent="0.2">
      <c r="A90" s="3" t="str">
        <f>IF('Employee Detail FY27'!A90="","",'Employee Detail FY27'!A90)</f>
        <v/>
      </c>
      <c r="B90" s="3" t="str">
        <f>IF('Employee Detail FY27'!B90="","",'Employee Detail FY27'!B90)</f>
        <v>280</v>
      </c>
      <c r="C90" s="3" t="str">
        <f>IF('Employee Detail FY27'!C90="","",'Employee Detail FY27'!C90)</f>
        <v>624</v>
      </c>
      <c r="D90" s="3"/>
      <c r="E90" s="3" t="str">
        <f>IF('Employee Detail FY27'!E90="","",'Employee Detail FY27'!E90)</f>
        <v>430</v>
      </c>
      <c r="F90" s="3" t="str">
        <f>IF('Employee Detail FY27'!F90="","",'Employee Detail FY27'!F90)</f>
        <v>2110</v>
      </c>
      <c r="G90" s="3" t="str">
        <f>IF('Employee Detail FY27'!G90="","",'Employee Detail FY27'!G90)</f>
        <v>0157</v>
      </c>
      <c r="H90" s="3"/>
      <c r="I90" s="255" t="str">
        <f>IF('Employee Detail FY27'!I90="","",'Employee Detail FY27'!I90)</f>
        <v>TITLE I 1003A</v>
      </c>
      <c r="J90" s="255" t="str">
        <f>IF('Employee Detail FY27'!J90="","",'Employee Detail FY27'!J90)</f>
        <v>PD</v>
      </c>
      <c r="K90" s="255" t="str">
        <f>IF('Employee Detail FY27'!K90="","",'Employee Detail FY27'!K90)</f>
        <v/>
      </c>
      <c r="L90" s="255" t="str">
        <f>IF('Employee Detail FY27'!L90="","",'Employee Detail FY27'!L90)</f>
        <v>TITLE I 1003A PD</v>
      </c>
      <c r="M90" s="92">
        <f>IF('Employee Detail FY27'!M90="","",'Employee Detail FY27'!M90)</f>
        <v>0</v>
      </c>
      <c r="N90" s="3" t="str">
        <f>IF('Employee Detail FY27'!N90="","",'Employee Detail FY27'!N90)</f>
        <v/>
      </c>
      <c r="O90" s="3" t="str">
        <f>IF('Employee Detail FY27'!O90="","",'Employee Detail FY27'!O90)</f>
        <v/>
      </c>
      <c r="P90" s="3" t="str">
        <f>IF('Employee Detail FY27'!P90="","",'Employee Detail FY27'!P90)</f>
        <v>N</v>
      </c>
      <c r="Q90" s="3" t="str">
        <f>IF('Employee Detail FY27'!Q90="","",'Employee Detail FY27'!Q90)</f>
        <v/>
      </c>
      <c r="R90" s="3" t="str">
        <f>IF('Employee Detail FY27'!R90="","",'Employee Detail FY27'!R90)</f>
        <v/>
      </c>
      <c r="S90" s="3" t="str">
        <f>IF('Employee Detail FY27'!S90="","",'Employee Detail FY27'!S90)</f>
        <v/>
      </c>
      <c r="T90" s="263" t="str">
        <f t="shared" si="20"/>
        <v/>
      </c>
      <c r="U90" s="269">
        <f>IF('Employee Detail FY27'!U90="","",'Employee Detail FY27'!U90)</f>
        <v>0</v>
      </c>
      <c r="V90" s="270">
        <f t="shared" si="21"/>
        <v>0</v>
      </c>
      <c r="W90" s="270" t="str">
        <f t="shared" si="22"/>
        <v/>
      </c>
      <c r="X90" s="270">
        <f t="shared" si="23"/>
        <v>0</v>
      </c>
      <c r="Y90" s="62">
        <v>0</v>
      </c>
      <c r="Z90" s="62">
        <v>0</v>
      </c>
      <c r="AA90" s="256">
        <f t="shared" si="24"/>
        <v>0</v>
      </c>
      <c r="AB90" s="3"/>
      <c r="AC90" s="62" t="str">
        <f t="shared" si="25"/>
        <v/>
      </c>
      <c r="AD90" s="62">
        <f t="shared" si="26"/>
        <v>0</v>
      </c>
      <c r="AE90" s="62" t="str">
        <f t="shared" si="27"/>
        <v/>
      </c>
      <c r="AF90" s="62" t="str">
        <f t="shared" si="28"/>
        <v/>
      </c>
      <c r="AG90" s="192">
        <v>0</v>
      </c>
      <c r="AH90" s="62" t="str">
        <f t="shared" si="29"/>
        <v/>
      </c>
      <c r="AI90" s="62">
        <f t="shared" si="30"/>
        <v>0</v>
      </c>
      <c r="AJ90" s="62"/>
      <c r="AK90" s="62">
        <v>0</v>
      </c>
      <c r="AL90" s="256">
        <f t="shared" si="31"/>
        <v>0</v>
      </c>
      <c r="AM90" s="256">
        <f t="shared" si="32"/>
        <v>0</v>
      </c>
      <c r="AN90" s="256">
        <f t="shared" si="33"/>
        <v>0</v>
      </c>
    </row>
    <row r="91" spans="1:40" x14ac:dyDescent="0.2">
      <c r="A91" s="3" t="str">
        <f>IF('Employee Detail FY27'!A91="","",'Employee Detail FY27'!A91)</f>
        <v/>
      </c>
      <c r="B91" s="3" t="str">
        <f>IF('Employee Detail FY27'!B91="","",'Employee Detail FY27'!B91)</f>
        <v>280</v>
      </c>
      <c r="C91" s="3" t="str">
        <f>IF('Employee Detail FY27'!C91="","",'Employee Detail FY27'!C91)</f>
        <v>624</v>
      </c>
      <c r="D91" s="3"/>
      <c r="E91" s="3" t="str">
        <f>IF('Employee Detail FY27'!E91="","",'Employee Detail FY27'!E91)</f>
        <v>430</v>
      </c>
      <c r="F91" s="3" t="str">
        <f>IF('Employee Detail FY27'!F91="","",'Employee Detail FY27'!F91)</f>
        <v>2212</v>
      </c>
      <c r="G91" s="3" t="str">
        <f>IF('Employee Detail FY27'!G91="","",'Employee Detail FY27'!G91)</f>
        <v>0157</v>
      </c>
      <c r="H91" s="3"/>
      <c r="I91" s="255" t="str">
        <f>IF('Employee Detail FY27'!I91="","",'Employee Detail FY27'!I91)</f>
        <v>TITLE I 1003A</v>
      </c>
      <c r="J91" s="255" t="str">
        <f>IF('Employee Detail FY27'!J91="","",'Employee Detail FY27'!J91)</f>
        <v>PD</v>
      </c>
      <c r="K91" s="255" t="str">
        <f>IF('Employee Detail FY27'!K91="","",'Employee Detail FY27'!K91)</f>
        <v/>
      </c>
      <c r="L91" s="255" t="str">
        <f>IF('Employee Detail FY27'!L91="","",'Employee Detail FY27'!L91)</f>
        <v>TITLE I 1003A PD</v>
      </c>
      <c r="M91" s="92">
        <f>IF('Employee Detail FY27'!M91="","",'Employee Detail FY27'!M91)</f>
        <v>0</v>
      </c>
      <c r="N91" s="3" t="str">
        <f>IF('Employee Detail FY27'!N91="","",'Employee Detail FY27'!N91)</f>
        <v/>
      </c>
      <c r="O91" s="3" t="str">
        <f>IF('Employee Detail FY27'!O91="","",'Employee Detail FY27'!O91)</f>
        <v/>
      </c>
      <c r="P91" s="3" t="str">
        <f>IF('Employee Detail FY27'!P91="","",'Employee Detail FY27'!P91)</f>
        <v>N</v>
      </c>
      <c r="Q91" s="3" t="str">
        <f>IF('Employee Detail FY27'!Q91="","",'Employee Detail FY27'!Q91)</f>
        <v/>
      </c>
      <c r="R91" s="3" t="str">
        <f>IF('Employee Detail FY27'!R91="","",'Employee Detail FY27'!R91)</f>
        <v/>
      </c>
      <c r="S91" s="3" t="str">
        <f>IF('Employee Detail FY27'!S91="","",'Employee Detail FY27'!S91)</f>
        <v/>
      </c>
      <c r="T91" s="263" t="str">
        <f t="shared" si="20"/>
        <v/>
      </c>
      <c r="U91" s="269">
        <f>IF('Employee Detail FY27'!U91="","",'Employee Detail FY27'!U91)</f>
        <v>0</v>
      </c>
      <c r="V91" s="270">
        <f t="shared" si="21"/>
        <v>0</v>
      </c>
      <c r="W91" s="270" t="str">
        <f t="shared" si="22"/>
        <v/>
      </c>
      <c r="X91" s="270">
        <f t="shared" si="23"/>
        <v>0</v>
      </c>
      <c r="Y91" s="62">
        <v>0</v>
      </c>
      <c r="Z91" s="62">
        <v>0</v>
      </c>
      <c r="AA91" s="256">
        <f t="shared" si="24"/>
        <v>0</v>
      </c>
      <c r="AB91" s="3"/>
      <c r="AC91" s="62" t="str">
        <f t="shared" si="25"/>
        <v/>
      </c>
      <c r="AD91" s="62">
        <f t="shared" si="26"/>
        <v>0</v>
      </c>
      <c r="AE91" s="62" t="str">
        <f t="shared" si="27"/>
        <v/>
      </c>
      <c r="AF91" s="62" t="str">
        <f t="shared" si="28"/>
        <v/>
      </c>
      <c r="AG91" s="192">
        <v>0</v>
      </c>
      <c r="AH91" s="62" t="str">
        <f t="shared" si="29"/>
        <v/>
      </c>
      <c r="AI91" s="62">
        <f t="shared" si="30"/>
        <v>0</v>
      </c>
      <c r="AJ91" s="62"/>
      <c r="AK91" s="62">
        <v>0</v>
      </c>
      <c r="AL91" s="256">
        <f t="shared" si="31"/>
        <v>0</v>
      </c>
      <c r="AM91" s="256">
        <f t="shared" si="32"/>
        <v>0</v>
      </c>
      <c r="AN91" s="256">
        <f t="shared" si="33"/>
        <v>0</v>
      </c>
    </row>
    <row r="92" spans="1:40" x14ac:dyDescent="0.2">
      <c r="A92" s="3" t="str">
        <f>IF('Employee Detail FY27'!A92="","",'Employee Detail FY27'!A92)</f>
        <v/>
      </c>
      <c r="B92" s="3" t="str">
        <f>IF('Employee Detail FY27'!B92="","",'Employee Detail FY27'!B92)</f>
        <v/>
      </c>
      <c r="C92" s="3" t="str">
        <f>IF('Employee Detail FY27'!C92="","",'Employee Detail FY27'!C92)</f>
        <v/>
      </c>
      <c r="D92" s="3"/>
      <c r="E92" s="3" t="str">
        <f>IF('Employee Detail FY27'!E92="","",'Employee Detail FY27'!E92)</f>
        <v/>
      </c>
      <c r="F92" s="3" t="str">
        <f>IF('Employee Detail FY27'!F92="","",'Employee Detail FY27'!F92)</f>
        <v/>
      </c>
      <c r="G92" s="3" t="str">
        <f>IF('Employee Detail FY27'!G92="","",'Employee Detail FY27'!G92)</f>
        <v/>
      </c>
      <c r="H92" s="3"/>
      <c r="I92" s="255" t="str">
        <f>IF('Employee Detail FY27'!I92="","",'Employee Detail FY27'!I92)</f>
        <v/>
      </c>
      <c r="J92" s="255" t="str">
        <f>IF('Employee Detail FY27'!J92="","",'Employee Detail FY27'!J92)</f>
        <v/>
      </c>
      <c r="K92" s="255" t="str">
        <f>IF('Employee Detail FY27'!K92="","",'Employee Detail FY27'!K92)</f>
        <v/>
      </c>
      <c r="L92" s="255" t="str">
        <f>IF('Employee Detail FY27'!L92="","",'Employee Detail FY27'!L92)</f>
        <v/>
      </c>
      <c r="M92" s="92" t="str">
        <f>IF('Employee Detail FY27'!M92="","",'Employee Detail FY27'!M92)</f>
        <v/>
      </c>
      <c r="N92" s="3" t="str">
        <f>IF('Employee Detail FY27'!N92="","",'Employee Detail FY27'!N92)</f>
        <v/>
      </c>
      <c r="O92" s="3" t="str">
        <f>IF('Employee Detail FY27'!O92="","",'Employee Detail FY27'!O92)</f>
        <v/>
      </c>
      <c r="P92" s="3" t="str">
        <f>IF('Employee Detail FY27'!P92="","",'Employee Detail FY27'!P92)</f>
        <v/>
      </c>
      <c r="Q92" s="3" t="str">
        <f>IF('Employee Detail FY27'!Q92="","",'Employee Detail FY27'!Q92)</f>
        <v/>
      </c>
      <c r="R92" s="3" t="str">
        <f>IF('Employee Detail FY27'!R92="","",'Employee Detail FY27'!R92)</f>
        <v/>
      </c>
      <c r="S92" s="3" t="str">
        <f>IF('Employee Detail FY27'!S92="","",'Employee Detail FY27'!S92)</f>
        <v/>
      </c>
      <c r="T92" s="263" t="str">
        <f t="shared" si="20"/>
        <v/>
      </c>
      <c r="U92" s="269">
        <f>IF('Employee Detail FY27'!U92="","",'Employee Detail FY27'!U92)</f>
        <v>0</v>
      </c>
      <c r="V92" s="270">
        <f t="shared" si="21"/>
        <v>0</v>
      </c>
      <c r="W92" s="270" t="str">
        <f t="shared" si="22"/>
        <v/>
      </c>
      <c r="X92" s="270" t="str">
        <f t="shared" si="23"/>
        <v/>
      </c>
      <c r="Y92" s="62">
        <v>0</v>
      </c>
      <c r="Z92" s="62">
        <v>0</v>
      </c>
      <c r="AA92" s="256">
        <f t="shared" si="24"/>
        <v>0</v>
      </c>
      <c r="AB92" s="3"/>
      <c r="AC92" s="62" t="str">
        <f t="shared" si="25"/>
        <v/>
      </c>
      <c r="AD92" s="62" t="str">
        <f t="shared" si="26"/>
        <v/>
      </c>
      <c r="AE92" s="62" t="str">
        <f t="shared" si="27"/>
        <v/>
      </c>
      <c r="AF92" s="62" t="str">
        <f t="shared" si="28"/>
        <v/>
      </c>
      <c r="AG92" s="192">
        <v>0</v>
      </c>
      <c r="AH92" s="62" t="str">
        <f t="shared" si="29"/>
        <v/>
      </c>
      <c r="AI92" s="62">
        <f t="shared" si="30"/>
        <v>0</v>
      </c>
      <c r="AJ92" s="62"/>
      <c r="AK92" s="62">
        <v>0</v>
      </c>
      <c r="AL92" s="256">
        <f t="shared" si="31"/>
        <v>0</v>
      </c>
      <c r="AM92" s="256">
        <f t="shared" si="32"/>
        <v>0</v>
      </c>
      <c r="AN92" s="256">
        <f t="shared" si="33"/>
        <v>0</v>
      </c>
    </row>
    <row r="93" spans="1:40" x14ac:dyDescent="0.2">
      <c r="A93" s="3" t="str">
        <f>IF('Employee Detail FY27'!A93="","",'Employee Detail FY27'!A93)</f>
        <v>CSP</v>
      </c>
      <c r="B93" s="3" t="str">
        <f>IF('Employee Detail FY27'!B93="","",'Employee Detail FY27'!B93)</f>
        <v>100</v>
      </c>
      <c r="C93" s="3" t="str">
        <f>IF('Employee Detail FY27'!C93="","",'Employee Detail FY27'!C93)</f>
        <v>000</v>
      </c>
      <c r="D93" s="3"/>
      <c r="E93" s="3">
        <f>IF('Employee Detail FY27'!E93="","",'Employee Detail FY27'!E93)</f>
        <v>100</v>
      </c>
      <c r="F93" s="3" t="str">
        <f>IF('Employee Detail FY27'!F93="","",'Employee Detail FY27'!F93)</f>
        <v>1000</v>
      </c>
      <c r="G93" s="3" t="str">
        <f>IF('Employee Detail FY27'!G93="","",'Employee Detail FY27'!G93)</f>
        <v>0151</v>
      </c>
      <c r="H93" s="3"/>
      <c r="I93" s="255" t="str">
        <f>IF('Employee Detail FY27'!I93="","",'Employee Detail FY27'!I93)</f>
        <v>CSP PROFESSIONAL DEVELOPMENT</v>
      </c>
      <c r="J93" s="255" t="str">
        <f>IF('Employee Detail FY27'!J93="","",'Employee Detail FY27'!J93)</f>
        <v/>
      </c>
      <c r="K93" s="255" t="str">
        <f>IF('Employee Detail FY27'!K93="","",'Employee Detail FY27'!K93)</f>
        <v/>
      </c>
      <c r="L93" s="255" t="str">
        <f>IF('Employee Detail FY27'!L93="","",'Employee Detail FY27'!L93)</f>
        <v>CSP PROFESSIONAL DEVELOPMENT</v>
      </c>
      <c r="M93" s="92">
        <f>IF('Employee Detail FY27'!M93="","",'Employee Detail FY27'!M93)</f>
        <v>0</v>
      </c>
      <c r="N93" s="3" t="str">
        <f>IF('Employee Detail FY27'!N93="","",'Employee Detail FY27'!N93)</f>
        <v/>
      </c>
      <c r="O93" s="3" t="str">
        <f>IF('Employee Detail FY27'!O93="","",'Employee Detail FY27'!O93)</f>
        <v/>
      </c>
      <c r="P93" s="3" t="str">
        <f>IF('Employee Detail FY27'!P93="","",'Employee Detail FY27'!P93)</f>
        <v>N</v>
      </c>
      <c r="Q93" s="3" t="str">
        <f>IF('Employee Detail FY27'!Q93="","",'Employee Detail FY27'!Q93)</f>
        <v/>
      </c>
      <c r="R93" s="3" t="str">
        <f>IF('Employee Detail FY27'!R93="","",'Employee Detail FY27'!R93)</f>
        <v/>
      </c>
      <c r="S93" s="3" t="str">
        <f>IF('Employee Detail FY27'!S93="","",'Employee Detail FY27'!S93)</f>
        <v/>
      </c>
      <c r="T93" s="263" t="str">
        <f t="shared" si="20"/>
        <v/>
      </c>
      <c r="U93" s="269">
        <f>IF('Employee Detail FY27'!U93="","",'Employee Detail FY27'!U93)</f>
        <v>0</v>
      </c>
      <c r="V93" s="270">
        <f t="shared" si="21"/>
        <v>0</v>
      </c>
      <c r="W93" s="270" t="str">
        <f t="shared" si="22"/>
        <v/>
      </c>
      <c r="X93" s="270">
        <f t="shared" si="23"/>
        <v>0</v>
      </c>
      <c r="Y93" s="62">
        <v>0</v>
      </c>
      <c r="Z93" s="62">
        <v>0</v>
      </c>
      <c r="AA93" s="256">
        <f t="shared" si="24"/>
        <v>0</v>
      </c>
      <c r="AB93" s="3"/>
      <c r="AC93" s="62" t="str">
        <f t="shared" si="25"/>
        <v/>
      </c>
      <c r="AD93" s="62">
        <f t="shared" si="26"/>
        <v>0</v>
      </c>
      <c r="AE93" s="62" t="str">
        <f t="shared" si="27"/>
        <v/>
      </c>
      <c r="AF93" s="62" t="str">
        <f t="shared" si="28"/>
        <v/>
      </c>
      <c r="AG93" s="192">
        <v>0</v>
      </c>
      <c r="AH93" s="62" t="str">
        <f t="shared" si="29"/>
        <v/>
      </c>
      <c r="AI93" s="62">
        <f t="shared" si="30"/>
        <v>0</v>
      </c>
      <c r="AJ93" s="62"/>
      <c r="AK93" s="62">
        <v>0</v>
      </c>
      <c r="AL93" s="256">
        <f t="shared" si="31"/>
        <v>0</v>
      </c>
      <c r="AM93" s="256">
        <f t="shared" si="32"/>
        <v>0</v>
      </c>
      <c r="AN93" s="256">
        <f t="shared" si="33"/>
        <v>0</v>
      </c>
    </row>
    <row r="94" spans="1:40" x14ac:dyDescent="0.2">
      <c r="A94" s="3" t="str">
        <f>IF('Employee Detail FY27'!A94="","",'Employee Detail FY27'!A94)</f>
        <v>CSP</v>
      </c>
      <c r="B94" s="3" t="str">
        <f>IF('Employee Detail FY27'!B94="","",'Employee Detail FY27'!B94)</f>
        <v>100</v>
      </c>
      <c r="C94" s="3" t="str">
        <f>IF('Employee Detail FY27'!C94="","",'Employee Detail FY27'!C94)</f>
        <v>000</v>
      </c>
      <c r="D94" s="3"/>
      <c r="E94" s="3">
        <f>IF('Employee Detail FY27'!E94="","",'Employee Detail FY27'!E94)</f>
        <v>100</v>
      </c>
      <c r="F94" s="3" t="str">
        <f>IF('Employee Detail FY27'!F94="","",'Employee Detail FY27'!F94)</f>
        <v>1000</v>
      </c>
      <c r="G94" s="3" t="str">
        <f>IF('Employee Detail FY27'!G94="","",'Employee Detail FY27'!G94)</f>
        <v>0151</v>
      </c>
      <c r="H94" s="3"/>
      <c r="I94" s="255" t="str">
        <f>IF('Employee Detail FY27'!I94="","",'Employee Detail FY27'!I94)</f>
        <v>CSP PROFESSIONAL DEVELOPMENT</v>
      </c>
      <c r="J94" s="255" t="str">
        <f>IF('Employee Detail FY27'!J94="","",'Employee Detail FY27'!J94)</f>
        <v/>
      </c>
      <c r="K94" s="255" t="str">
        <f>IF('Employee Detail FY27'!K94="","",'Employee Detail FY27'!K94)</f>
        <v/>
      </c>
      <c r="L94" s="255" t="str">
        <f>IF('Employee Detail FY27'!L94="","",'Employee Detail FY27'!L94)</f>
        <v>CSP PROFESSIONAL DEVELOPMENT</v>
      </c>
      <c r="M94" s="92">
        <f>IF('Employee Detail FY27'!M94="","",'Employee Detail FY27'!M94)</f>
        <v>0</v>
      </c>
      <c r="N94" s="3" t="str">
        <f>IF('Employee Detail FY27'!N94="","",'Employee Detail FY27'!N94)</f>
        <v/>
      </c>
      <c r="O94" s="3" t="str">
        <f>IF('Employee Detail FY27'!O94="","",'Employee Detail FY27'!O94)</f>
        <v/>
      </c>
      <c r="P94" s="3" t="str">
        <f>IF('Employee Detail FY27'!P94="","",'Employee Detail FY27'!P94)</f>
        <v>N</v>
      </c>
      <c r="Q94" s="3" t="str">
        <f>IF('Employee Detail FY27'!Q94="","",'Employee Detail FY27'!Q94)</f>
        <v/>
      </c>
      <c r="R94" s="3" t="str">
        <f>IF('Employee Detail FY27'!R94="","",'Employee Detail FY27'!R94)</f>
        <v/>
      </c>
      <c r="S94" s="3" t="str">
        <f>IF('Employee Detail FY27'!S94="","",'Employee Detail FY27'!S94)</f>
        <v/>
      </c>
      <c r="T94" s="263" t="str">
        <f t="shared" si="20"/>
        <v/>
      </c>
      <c r="U94" s="269">
        <f>IF('Employee Detail FY27'!U94="","",'Employee Detail FY27'!U94)</f>
        <v>0</v>
      </c>
      <c r="V94" s="270">
        <f t="shared" si="21"/>
        <v>0</v>
      </c>
      <c r="W94" s="270" t="str">
        <f t="shared" si="22"/>
        <v/>
      </c>
      <c r="X94" s="270">
        <f t="shared" si="23"/>
        <v>0</v>
      </c>
      <c r="Y94" s="62">
        <v>0</v>
      </c>
      <c r="Z94" s="62">
        <v>0</v>
      </c>
      <c r="AA94" s="256">
        <f t="shared" si="24"/>
        <v>0</v>
      </c>
      <c r="AB94" s="3"/>
      <c r="AC94" s="62" t="str">
        <f t="shared" si="25"/>
        <v/>
      </c>
      <c r="AD94" s="62">
        <f t="shared" si="26"/>
        <v>0</v>
      </c>
      <c r="AE94" s="62" t="str">
        <f t="shared" si="27"/>
        <v/>
      </c>
      <c r="AF94" s="62" t="str">
        <f t="shared" si="28"/>
        <v/>
      </c>
      <c r="AG94" s="192">
        <v>0</v>
      </c>
      <c r="AH94" s="62" t="str">
        <f t="shared" si="29"/>
        <v/>
      </c>
      <c r="AI94" s="62">
        <f t="shared" si="30"/>
        <v>0</v>
      </c>
      <c r="AJ94" s="62"/>
      <c r="AK94" s="62">
        <v>0</v>
      </c>
      <c r="AL94" s="256">
        <f t="shared" si="31"/>
        <v>0</v>
      </c>
      <c r="AM94" s="256">
        <f t="shared" si="32"/>
        <v>0</v>
      </c>
      <c r="AN94" s="256">
        <f t="shared" si="33"/>
        <v>0</v>
      </c>
    </row>
    <row r="95" spans="1:40" x14ac:dyDescent="0.2">
      <c r="A95" s="3" t="str">
        <f>IF('Employee Detail FY27'!A95="","",'Employee Detail FY27'!A95)</f>
        <v>CSP</v>
      </c>
      <c r="B95" s="3" t="str">
        <f>IF('Employee Detail FY27'!B95="","",'Employee Detail FY27'!B95)</f>
        <v>100</v>
      </c>
      <c r="C95" s="3" t="str">
        <f>IF('Employee Detail FY27'!C95="","",'Employee Detail FY27'!C95)</f>
        <v>000</v>
      </c>
      <c r="D95" s="3"/>
      <c r="E95" s="3">
        <f>IF('Employee Detail FY27'!E95="","",'Employee Detail FY27'!E95)</f>
        <v>100</v>
      </c>
      <c r="F95" s="3" t="str">
        <f>IF('Employee Detail FY27'!F95="","",'Employee Detail FY27'!F95)</f>
        <v>1000</v>
      </c>
      <c r="G95" s="3" t="str">
        <f>IF('Employee Detail FY27'!G95="","",'Employee Detail FY27'!G95)</f>
        <v>0151</v>
      </c>
      <c r="H95" s="3"/>
      <c r="I95" s="255" t="str">
        <f>IF('Employee Detail FY27'!I95="","",'Employee Detail FY27'!I95)</f>
        <v>CSP PROFESSIONAL DEVELOPMENT</v>
      </c>
      <c r="J95" s="255" t="str">
        <f>IF('Employee Detail FY27'!J95="","",'Employee Detail FY27'!J95)</f>
        <v/>
      </c>
      <c r="K95" s="255" t="str">
        <f>IF('Employee Detail FY27'!K95="","",'Employee Detail FY27'!K95)</f>
        <v/>
      </c>
      <c r="L95" s="255" t="str">
        <f>IF('Employee Detail FY27'!L95="","",'Employee Detail FY27'!L95)</f>
        <v>CSP PROFESSIONAL DEVELOPMENT</v>
      </c>
      <c r="M95" s="92">
        <f>IF('Employee Detail FY27'!M95="","",'Employee Detail FY27'!M95)</f>
        <v>0</v>
      </c>
      <c r="N95" s="3" t="str">
        <f>IF('Employee Detail FY27'!N95="","",'Employee Detail FY27'!N95)</f>
        <v/>
      </c>
      <c r="O95" s="3" t="str">
        <f>IF('Employee Detail FY27'!O95="","",'Employee Detail FY27'!O95)</f>
        <v/>
      </c>
      <c r="P95" s="3" t="str">
        <f>IF('Employee Detail FY27'!P95="","",'Employee Detail FY27'!P95)</f>
        <v>N</v>
      </c>
      <c r="Q95" s="3" t="str">
        <f>IF('Employee Detail FY27'!Q95="","",'Employee Detail FY27'!Q95)</f>
        <v/>
      </c>
      <c r="R95" s="3" t="str">
        <f>IF('Employee Detail FY27'!R95="","",'Employee Detail FY27'!R95)</f>
        <v/>
      </c>
      <c r="S95" s="3" t="str">
        <f>IF('Employee Detail FY27'!S95="","",'Employee Detail FY27'!S95)</f>
        <v/>
      </c>
      <c r="T95" s="263" t="str">
        <f t="shared" si="20"/>
        <v/>
      </c>
      <c r="U95" s="269">
        <f>IF('Employee Detail FY27'!U95="","",'Employee Detail FY27'!U95)</f>
        <v>0</v>
      </c>
      <c r="V95" s="270">
        <f t="shared" si="21"/>
        <v>0</v>
      </c>
      <c r="W95" s="270" t="str">
        <f t="shared" si="22"/>
        <v/>
      </c>
      <c r="X95" s="270">
        <f t="shared" si="23"/>
        <v>0</v>
      </c>
      <c r="Y95" s="62">
        <v>0</v>
      </c>
      <c r="Z95" s="62">
        <v>0</v>
      </c>
      <c r="AA95" s="256">
        <f t="shared" si="24"/>
        <v>0</v>
      </c>
      <c r="AB95" s="3"/>
      <c r="AC95" s="62" t="str">
        <f t="shared" si="25"/>
        <v/>
      </c>
      <c r="AD95" s="62">
        <f t="shared" si="26"/>
        <v>0</v>
      </c>
      <c r="AE95" s="62" t="str">
        <f t="shared" si="27"/>
        <v/>
      </c>
      <c r="AF95" s="62" t="str">
        <f t="shared" si="28"/>
        <v/>
      </c>
      <c r="AG95" s="192">
        <v>0</v>
      </c>
      <c r="AH95" s="62" t="str">
        <f t="shared" si="29"/>
        <v/>
      </c>
      <c r="AI95" s="62">
        <f t="shared" si="30"/>
        <v>0</v>
      </c>
      <c r="AJ95" s="62"/>
      <c r="AK95" s="62">
        <v>0</v>
      </c>
      <c r="AL95" s="256">
        <f t="shared" si="31"/>
        <v>0</v>
      </c>
      <c r="AM95" s="256">
        <f t="shared" si="32"/>
        <v>0</v>
      </c>
      <c r="AN95" s="256">
        <f t="shared" si="33"/>
        <v>0</v>
      </c>
    </row>
    <row r="96" spans="1:40" x14ac:dyDescent="0.2">
      <c r="A96" s="3" t="str">
        <f>IF('Employee Detail FY27'!A96="","",'Employee Detail FY27'!A96)</f>
        <v/>
      </c>
      <c r="B96" s="3" t="str">
        <f>IF('Employee Detail FY27'!B96="","",'Employee Detail FY27'!B96)</f>
        <v/>
      </c>
      <c r="C96" s="3" t="str">
        <f>IF('Employee Detail FY27'!C96="","",'Employee Detail FY27'!C96)</f>
        <v/>
      </c>
      <c r="D96" s="3"/>
      <c r="E96" s="3" t="str">
        <f>IF('Employee Detail FY27'!E96="","",'Employee Detail FY27'!E96)</f>
        <v/>
      </c>
      <c r="F96" s="3" t="str">
        <f>IF('Employee Detail FY27'!F96="","",'Employee Detail FY27'!F96)</f>
        <v/>
      </c>
      <c r="G96" s="3" t="str">
        <f>IF('Employee Detail FY27'!G96="","",'Employee Detail FY27'!G96)</f>
        <v/>
      </c>
      <c r="H96" s="3"/>
      <c r="I96" s="255" t="str">
        <f>IF('Employee Detail FY27'!I96="","",'Employee Detail FY27'!I96)</f>
        <v/>
      </c>
      <c r="J96" s="255" t="str">
        <f>IF('Employee Detail FY27'!J96="","",'Employee Detail FY27'!J96)</f>
        <v/>
      </c>
      <c r="K96" s="255" t="str">
        <f>IF('Employee Detail FY27'!K96="","",'Employee Detail FY27'!K96)</f>
        <v/>
      </c>
      <c r="L96" s="255" t="str">
        <f>IF('Employee Detail FY27'!L96="","",'Employee Detail FY27'!L96)</f>
        <v/>
      </c>
      <c r="M96" s="92" t="str">
        <f>IF('Employee Detail FY27'!M96="","",'Employee Detail FY27'!M96)</f>
        <v/>
      </c>
      <c r="N96" s="3" t="str">
        <f>IF('Employee Detail FY27'!N96="","",'Employee Detail FY27'!N96)</f>
        <v/>
      </c>
      <c r="O96" s="3" t="str">
        <f>IF('Employee Detail FY27'!O96="","",'Employee Detail FY27'!O96)</f>
        <v/>
      </c>
      <c r="P96" s="3" t="str">
        <f>IF('Employee Detail FY27'!P96="","",'Employee Detail FY27'!P96)</f>
        <v/>
      </c>
      <c r="Q96" s="3" t="str">
        <f>IF('Employee Detail FY27'!Q96="","",'Employee Detail FY27'!Q96)</f>
        <v/>
      </c>
      <c r="R96" s="3" t="str">
        <f>IF('Employee Detail FY27'!R96="","",'Employee Detail FY27'!R96)</f>
        <v/>
      </c>
      <c r="S96" s="3" t="str">
        <f>IF('Employee Detail FY27'!S96="","",'Employee Detail FY27'!S96)</f>
        <v/>
      </c>
      <c r="T96" s="263" t="str">
        <f t="shared" ref="T96:T104" si="34">+IF(R96="","",R96*S96)</f>
        <v/>
      </c>
      <c r="U96" s="269">
        <f>IF('Employee Detail FY27'!U96="","",'Employee Detail FY27'!U96)</f>
        <v>0</v>
      </c>
      <c r="V96" s="270">
        <f t="shared" si="21"/>
        <v>0</v>
      </c>
      <c r="W96" s="270" t="str">
        <f t="shared" ref="W96:W104" si="35">+IF(P96="EE",+V96*$W$1,"")</f>
        <v/>
      </c>
      <c r="X96" s="270" t="str">
        <f t="shared" ref="X96:X104" si="36">_xlfn.IFS(P96="ER",V96,P96="EE",W96,P96="N",V96,P96="","")</f>
        <v/>
      </c>
      <c r="Y96" s="62">
        <v>0</v>
      </c>
      <c r="Z96" s="62">
        <v>0</v>
      </c>
      <c r="AA96" s="256">
        <f t="shared" ref="AA96:AA104" si="37">SUM(X96:Z96)</f>
        <v>0</v>
      </c>
      <c r="AB96" s="3"/>
      <c r="AC96" s="62" t="str">
        <f t="shared" ref="AC96:AC104" si="38">IF(AND(M96=1,P96&lt;&gt;"N"),$AC$1,"")</f>
        <v/>
      </c>
      <c r="AD96" s="62" t="str">
        <f t="shared" ref="AD96:AD104" si="39">_xlfn.IFS(P96="N",$AD$1*AA96,P96="EE","",P96="ER","",P96="","")</f>
        <v/>
      </c>
      <c r="AE96" s="62" t="str">
        <f t="shared" ref="AE96:AE104" si="40">_xlfn.IFS(P96="EE",X96*$AE$1,P96="ER",X96*$AE$2,P96="N","",P96="","")</f>
        <v/>
      </c>
      <c r="AF96" s="62" t="str">
        <f t="shared" ref="AF96:AF104" si="41">+IF(AA96&gt;1,AA96*$AF$1,"")</f>
        <v/>
      </c>
      <c r="AG96" s="192">
        <v>0</v>
      </c>
      <c r="AH96" s="62" t="str">
        <f t="shared" ref="AH96:AH104" si="42">+IF(AA96&gt;1,AA96*$AH$1,"")</f>
        <v/>
      </c>
      <c r="AI96" s="62">
        <f t="shared" ref="AI96:AI104" si="43">+_xlfn.IFS(F96&lt;2300,(AA96*$AI$1),F96&gt;=2300,(AA96*$AI$2),F96="","")</f>
        <v>0</v>
      </c>
      <c r="AJ96" s="62"/>
      <c r="AK96" s="62">
        <v>0</v>
      </c>
      <c r="AL96" s="256">
        <f t="shared" ref="AL96:AL104" si="44">SUM(AC96:AK96)</f>
        <v>0</v>
      </c>
      <c r="AM96" s="256">
        <f t="shared" ref="AM96:AM104" si="45">AA96</f>
        <v>0</v>
      </c>
      <c r="AN96" s="256">
        <f t="shared" ref="AN96:AN104" si="46">SUM(AL96:AM96)</f>
        <v>0</v>
      </c>
    </row>
    <row r="97" spans="1:40" x14ac:dyDescent="0.2">
      <c r="A97" s="3" t="str">
        <f>IF('Employee Detail FY27'!A97="","",'Employee Detail FY27'!A97)</f>
        <v/>
      </c>
      <c r="B97" s="3" t="str">
        <f>IF('Employee Detail FY27'!B97="","",'Employee Detail FY27'!B97)</f>
        <v/>
      </c>
      <c r="C97" s="3" t="str">
        <f>IF('Employee Detail FY27'!C97="","",'Employee Detail FY27'!C97)</f>
        <v/>
      </c>
      <c r="D97" s="3"/>
      <c r="E97" s="3" t="str">
        <f>IF('Employee Detail FY27'!E97="","",'Employee Detail FY27'!E97)</f>
        <v/>
      </c>
      <c r="F97" s="3" t="str">
        <f>IF('Employee Detail FY27'!F97="","",'Employee Detail FY27'!F97)</f>
        <v/>
      </c>
      <c r="G97" s="3" t="str">
        <f>IF('Employee Detail FY27'!G97="","",'Employee Detail FY27'!G97)</f>
        <v/>
      </c>
      <c r="H97" s="3"/>
      <c r="I97" s="255" t="str">
        <f>IF('Employee Detail FY27'!I97="","",'Employee Detail FY27'!I97)</f>
        <v/>
      </c>
      <c r="J97" s="255" t="str">
        <f>IF('Employee Detail FY27'!J97="","",'Employee Detail FY27'!J97)</f>
        <v/>
      </c>
      <c r="K97" s="255" t="str">
        <f>IF('Employee Detail FY27'!K97="","",'Employee Detail FY27'!K97)</f>
        <v/>
      </c>
      <c r="L97" s="255" t="str">
        <f>IF('Employee Detail FY27'!L97="","",'Employee Detail FY27'!L97)</f>
        <v/>
      </c>
      <c r="M97" s="92" t="str">
        <f>IF('Employee Detail FY27'!M97="","",'Employee Detail FY27'!M97)</f>
        <v/>
      </c>
      <c r="N97" s="3" t="str">
        <f>IF('Employee Detail FY27'!N97="","",'Employee Detail FY27'!N97)</f>
        <v/>
      </c>
      <c r="O97" s="3" t="str">
        <f>IF('Employee Detail FY27'!O97="","",'Employee Detail FY27'!O97)</f>
        <v/>
      </c>
      <c r="P97" s="3" t="str">
        <f>IF('Employee Detail FY27'!P97="","",'Employee Detail FY27'!P97)</f>
        <v/>
      </c>
      <c r="Q97" s="3" t="str">
        <f>IF('Employee Detail FY27'!Q97="","",'Employee Detail FY27'!Q97)</f>
        <v/>
      </c>
      <c r="R97" s="3" t="str">
        <f>IF('Employee Detail FY27'!R97="","",'Employee Detail FY27'!R97)</f>
        <v/>
      </c>
      <c r="S97" s="3" t="str">
        <f>IF('Employee Detail FY27'!S97="","",'Employee Detail FY27'!S97)</f>
        <v/>
      </c>
      <c r="T97" s="263" t="str">
        <f t="shared" si="34"/>
        <v/>
      </c>
      <c r="U97" s="269">
        <f>IF('Employee Detail FY27'!U97="","",'Employee Detail FY27'!U97)</f>
        <v>0</v>
      </c>
      <c r="V97" s="270">
        <f t="shared" si="21"/>
        <v>0</v>
      </c>
      <c r="W97" s="270" t="str">
        <f t="shared" si="35"/>
        <v/>
      </c>
      <c r="X97" s="270" t="str">
        <f t="shared" si="36"/>
        <v/>
      </c>
      <c r="Y97" s="62">
        <v>0</v>
      </c>
      <c r="Z97" s="62">
        <v>0</v>
      </c>
      <c r="AA97" s="256">
        <f t="shared" si="37"/>
        <v>0</v>
      </c>
      <c r="AB97" s="3"/>
      <c r="AC97" s="62" t="str">
        <f t="shared" si="38"/>
        <v/>
      </c>
      <c r="AD97" s="62" t="str">
        <f t="shared" si="39"/>
        <v/>
      </c>
      <c r="AE97" s="62" t="str">
        <f t="shared" si="40"/>
        <v/>
      </c>
      <c r="AF97" s="62" t="str">
        <f t="shared" si="41"/>
        <v/>
      </c>
      <c r="AG97" s="192">
        <v>0</v>
      </c>
      <c r="AH97" s="62" t="str">
        <f t="shared" si="42"/>
        <v/>
      </c>
      <c r="AI97" s="62">
        <f t="shared" si="43"/>
        <v>0</v>
      </c>
      <c r="AJ97" s="62"/>
      <c r="AK97" s="62">
        <v>0</v>
      </c>
      <c r="AL97" s="256">
        <f t="shared" si="44"/>
        <v>0</v>
      </c>
      <c r="AM97" s="256">
        <f t="shared" si="45"/>
        <v>0</v>
      </c>
      <c r="AN97" s="256">
        <f t="shared" si="46"/>
        <v>0</v>
      </c>
    </row>
    <row r="98" spans="1:40" x14ac:dyDescent="0.2">
      <c r="A98" s="3" t="str">
        <f>IF('Employee Detail FY27'!A98="","",'Employee Detail FY27'!A98)</f>
        <v/>
      </c>
      <c r="B98" s="3" t="str">
        <f>IF('Employee Detail FY27'!B98="","",'Employee Detail FY27'!B98)</f>
        <v/>
      </c>
      <c r="C98" s="3" t="str">
        <f>IF('Employee Detail FY27'!C98="","",'Employee Detail FY27'!C98)</f>
        <v/>
      </c>
      <c r="D98" s="3"/>
      <c r="E98" s="3" t="str">
        <f>IF('Employee Detail FY27'!E98="","",'Employee Detail FY27'!E98)</f>
        <v/>
      </c>
      <c r="F98" s="3" t="str">
        <f>IF('Employee Detail FY27'!F98="","",'Employee Detail FY27'!F98)</f>
        <v/>
      </c>
      <c r="G98" s="3" t="str">
        <f>IF('Employee Detail FY27'!G98="","",'Employee Detail FY27'!G98)</f>
        <v/>
      </c>
      <c r="H98" s="3"/>
      <c r="I98" s="255" t="str">
        <f>IF('Employee Detail FY27'!I98="","",'Employee Detail FY27'!I98)</f>
        <v/>
      </c>
      <c r="J98" s="255" t="str">
        <f>IF('Employee Detail FY27'!J98="","",'Employee Detail FY27'!J98)</f>
        <v/>
      </c>
      <c r="K98" s="255" t="str">
        <f>IF('Employee Detail FY27'!K98="","",'Employee Detail FY27'!K98)</f>
        <v/>
      </c>
      <c r="L98" s="255" t="str">
        <f>IF('Employee Detail FY27'!L98="","",'Employee Detail FY27'!L98)</f>
        <v/>
      </c>
      <c r="M98" s="92" t="str">
        <f>IF('Employee Detail FY27'!M98="","",'Employee Detail FY27'!M98)</f>
        <v/>
      </c>
      <c r="N98" s="3" t="str">
        <f>IF('Employee Detail FY27'!N98="","",'Employee Detail FY27'!N98)</f>
        <v/>
      </c>
      <c r="O98" s="3" t="str">
        <f>IF('Employee Detail FY27'!O98="","",'Employee Detail FY27'!O98)</f>
        <v/>
      </c>
      <c r="P98" s="3" t="str">
        <f>IF('Employee Detail FY27'!P98="","",'Employee Detail FY27'!P98)</f>
        <v/>
      </c>
      <c r="Q98" s="3" t="str">
        <f>IF('Employee Detail FY27'!Q98="","",'Employee Detail FY27'!Q98)</f>
        <v/>
      </c>
      <c r="R98" s="3" t="str">
        <f>IF('Employee Detail FY27'!R98="","",'Employee Detail FY27'!R98)</f>
        <v/>
      </c>
      <c r="S98" s="3" t="str">
        <f>IF('Employee Detail FY27'!S98="","",'Employee Detail FY27'!S98)</f>
        <v/>
      </c>
      <c r="T98" s="263" t="str">
        <f t="shared" si="34"/>
        <v/>
      </c>
      <c r="U98" s="269">
        <f>IF('Employee Detail FY27'!U98="","",'Employee Detail FY27'!U98)</f>
        <v>0</v>
      </c>
      <c r="V98" s="270">
        <f t="shared" si="21"/>
        <v>0</v>
      </c>
      <c r="W98" s="270" t="str">
        <f t="shared" si="35"/>
        <v/>
      </c>
      <c r="X98" s="270" t="str">
        <f t="shared" si="36"/>
        <v/>
      </c>
      <c r="Y98" s="62">
        <v>0</v>
      </c>
      <c r="Z98" s="62">
        <v>0</v>
      </c>
      <c r="AA98" s="256">
        <f t="shared" si="37"/>
        <v>0</v>
      </c>
      <c r="AB98" s="3"/>
      <c r="AC98" s="62" t="str">
        <f t="shared" si="38"/>
        <v/>
      </c>
      <c r="AD98" s="62" t="str">
        <f t="shared" si="39"/>
        <v/>
      </c>
      <c r="AE98" s="62" t="str">
        <f t="shared" si="40"/>
        <v/>
      </c>
      <c r="AF98" s="62" t="str">
        <f t="shared" si="41"/>
        <v/>
      </c>
      <c r="AG98" s="192">
        <v>0</v>
      </c>
      <c r="AH98" s="62" t="str">
        <f t="shared" si="42"/>
        <v/>
      </c>
      <c r="AI98" s="62">
        <f t="shared" si="43"/>
        <v>0</v>
      </c>
      <c r="AJ98" s="62"/>
      <c r="AK98" s="62">
        <v>0</v>
      </c>
      <c r="AL98" s="256">
        <f t="shared" si="44"/>
        <v>0</v>
      </c>
      <c r="AM98" s="256">
        <f t="shared" si="45"/>
        <v>0</v>
      </c>
      <c r="AN98" s="256">
        <f t="shared" si="46"/>
        <v>0</v>
      </c>
    </row>
    <row r="99" spans="1:40" x14ac:dyDescent="0.2">
      <c r="A99" s="3" t="str">
        <f>IF('Employee Detail FY27'!A99="","",'Employee Detail FY27'!A99)</f>
        <v/>
      </c>
      <c r="B99" s="3" t="str">
        <f>IF('Employee Detail FY27'!B99="","",'Employee Detail FY27'!B99)</f>
        <v/>
      </c>
      <c r="C99" s="3" t="str">
        <f>IF('Employee Detail FY27'!C99="","",'Employee Detail FY27'!C99)</f>
        <v/>
      </c>
      <c r="D99" s="3"/>
      <c r="E99" s="3" t="str">
        <f>IF('Employee Detail FY27'!E99="","",'Employee Detail FY27'!E99)</f>
        <v/>
      </c>
      <c r="F99" s="3" t="str">
        <f>IF('Employee Detail FY27'!F99="","",'Employee Detail FY27'!F99)</f>
        <v/>
      </c>
      <c r="G99" s="3" t="str">
        <f>IF('Employee Detail FY27'!G99="","",'Employee Detail FY27'!G99)</f>
        <v/>
      </c>
      <c r="H99" s="3"/>
      <c r="I99" s="255" t="str">
        <f>IF('Employee Detail FY27'!I99="","",'Employee Detail FY27'!I99)</f>
        <v/>
      </c>
      <c r="J99" s="255" t="str">
        <f>IF('Employee Detail FY27'!J99="","",'Employee Detail FY27'!J99)</f>
        <v/>
      </c>
      <c r="K99" s="255" t="str">
        <f>IF('Employee Detail FY27'!K99="","",'Employee Detail FY27'!K99)</f>
        <v/>
      </c>
      <c r="L99" s="255" t="str">
        <f>IF('Employee Detail FY27'!L99="","",'Employee Detail FY27'!L99)</f>
        <v/>
      </c>
      <c r="M99" s="92" t="str">
        <f>IF('Employee Detail FY27'!M99="","",'Employee Detail FY27'!M99)</f>
        <v/>
      </c>
      <c r="N99" s="3" t="str">
        <f>IF('Employee Detail FY27'!N99="","",'Employee Detail FY27'!N99)</f>
        <v/>
      </c>
      <c r="O99" s="3" t="str">
        <f>IF('Employee Detail FY27'!O99="","",'Employee Detail FY27'!O99)</f>
        <v/>
      </c>
      <c r="P99" s="3" t="str">
        <f>IF('Employee Detail FY27'!P99="","",'Employee Detail FY27'!P99)</f>
        <v/>
      </c>
      <c r="Q99" s="3" t="str">
        <f>IF('Employee Detail FY27'!Q99="","",'Employee Detail FY27'!Q99)</f>
        <v/>
      </c>
      <c r="R99" s="3" t="str">
        <f>IF('Employee Detail FY27'!R99="","",'Employee Detail FY27'!R99)</f>
        <v/>
      </c>
      <c r="S99" s="3" t="str">
        <f>IF('Employee Detail FY27'!S99="","",'Employee Detail FY27'!S99)</f>
        <v/>
      </c>
      <c r="T99" s="263" t="str">
        <f t="shared" si="34"/>
        <v/>
      </c>
      <c r="U99" s="269">
        <f>IF('Employee Detail FY27'!U99="","",'Employee Detail FY27'!U99)</f>
        <v>0</v>
      </c>
      <c r="V99" s="270">
        <f t="shared" si="21"/>
        <v>0</v>
      </c>
      <c r="W99" s="270" t="str">
        <f t="shared" si="35"/>
        <v/>
      </c>
      <c r="X99" s="270" t="str">
        <f t="shared" si="36"/>
        <v/>
      </c>
      <c r="Y99" s="62">
        <v>0</v>
      </c>
      <c r="Z99" s="62">
        <v>0</v>
      </c>
      <c r="AA99" s="256">
        <f t="shared" si="37"/>
        <v>0</v>
      </c>
      <c r="AB99" s="3"/>
      <c r="AC99" s="62" t="str">
        <f t="shared" si="38"/>
        <v/>
      </c>
      <c r="AD99" s="62" t="str">
        <f t="shared" si="39"/>
        <v/>
      </c>
      <c r="AE99" s="62" t="str">
        <f t="shared" si="40"/>
        <v/>
      </c>
      <c r="AF99" s="62" t="str">
        <f t="shared" si="41"/>
        <v/>
      </c>
      <c r="AG99" s="192">
        <v>0</v>
      </c>
      <c r="AH99" s="62" t="str">
        <f t="shared" si="42"/>
        <v/>
      </c>
      <c r="AI99" s="62">
        <f t="shared" si="43"/>
        <v>0</v>
      </c>
      <c r="AJ99" s="62"/>
      <c r="AK99" s="62">
        <v>0</v>
      </c>
      <c r="AL99" s="256">
        <f t="shared" si="44"/>
        <v>0</v>
      </c>
      <c r="AM99" s="256">
        <f t="shared" si="45"/>
        <v>0</v>
      </c>
      <c r="AN99" s="256">
        <f t="shared" si="46"/>
        <v>0</v>
      </c>
    </row>
    <row r="100" spans="1:40" x14ac:dyDescent="0.2">
      <c r="A100" s="3" t="str">
        <f>IF('Employee Detail FY27'!A100="","",'Employee Detail FY27'!A100)</f>
        <v/>
      </c>
      <c r="B100" s="3" t="str">
        <f>IF('Employee Detail FY27'!B100="","",'Employee Detail FY27'!B100)</f>
        <v/>
      </c>
      <c r="C100" s="3" t="str">
        <f>IF('Employee Detail FY27'!C100="","",'Employee Detail FY27'!C100)</f>
        <v/>
      </c>
      <c r="D100" s="3"/>
      <c r="E100" s="3" t="str">
        <f>IF('Employee Detail FY27'!E100="","",'Employee Detail FY27'!E100)</f>
        <v/>
      </c>
      <c r="F100" s="3" t="str">
        <f>IF('Employee Detail FY27'!F100="","",'Employee Detail FY27'!F100)</f>
        <v/>
      </c>
      <c r="G100" s="3" t="str">
        <f>IF('Employee Detail FY27'!G100="","",'Employee Detail FY27'!G100)</f>
        <v/>
      </c>
      <c r="H100" s="3"/>
      <c r="I100" s="255" t="str">
        <f>IF('Employee Detail FY27'!I100="","",'Employee Detail FY27'!I100)</f>
        <v/>
      </c>
      <c r="J100" s="255" t="str">
        <f>IF('Employee Detail FY27'!J100="","",'Employee Detail FY27'!J100)</f>
        <v/>
      </c>
      <c r="K100" s="255" t="str">
        <f>IF('Employee Detail FY27'!K100="","",'Employee Detail FY27'!K100)</f>
        <v/>
      </c>
      <c r="L100" s="255" t="str">
        <f>IF('Employee Detail FY27'!L100="","",'Employee Detail FY27'!L100)</f>
        <v/>
      </c>
      <c r="M100" s="92" t="str">
        <f>IF('Employee Detail FY27'!M100="","",'Employee Detail FY27'!M100)</f>
        <v/>
      </c>
      <c r="N100" s="3" t="str">
        <f>IF('Employee Detail FY27'!N100="","",'Employee Detail FY27'!N100)</f>
        <v/>
      </c>
      <c r="O100" s="3" t="str">
        <f>IF('Employee Detail FY27'!O100="","",'Employee Detail FY27'!O100)</f>
        <v/>
      </c>
      <c r="P100" s="3" t="str">
        <f>IF('Employee Detail FY27'!P100="","",'Employee Detail FY27'!P100)</f>
        <v/>
      </c>
      <c r="Q100" s="3" t="str">
        <f>IF('Employee Detail FY27'!Q100="","",'Employee Detail FY27'!Q100)</f>
        <v/>
      </c>
      <c r="R100" s="3" t="str">
        <f>IF('Employee Detail FY27'!R100="","",'Employee Detail FY27'!R100)</f>
        <v/>
      </c>
      <c r="S100" s="3" t="str">
        <f>IF('Employee Detail FY27'!S100="","",'Employee Detail FY27'!S100)</f>
        <v/>
      </c>
      <c r="T100" s="263" t="str">
        <f t="shared" si="34"/>
        <v/>
      </c>
      <c r="U100" s="269">
        <f>IF('Employee Detail FY27'!U100="","",'Employee Detail FY27'!U100)</f>
        <v>0</v>
      </c>
      <c r="V100" s="270">
        <f t="shared" si="21"/>
        <v>0</v>
      </c>
      <c r="W100" s="270" t="str">
        <f t="shared" si="35"/>
        <v/>
      </c>
      <c r="X100" s="270" t="str">
        <f t="shared" si="36"/>
        <v/>
      </c>
      <c r="Y100" s="62">
        <v>0</v>
      </c>
      <c r="Z100" s="62">
        <v>0</v>
      </c>
      <c r="AA100" s="256">
        <f t="shared" si="37"/>
        <v>0</v>
      </c>
      <c r="AB100" s="3"/>
      <c r="AC100" s="62" t="str">
        <f t="shared" si="38"/>
        <v/>
      </c>
      <c r="AD100" s="62" t="str">
        <f t="shared" si="39"/>
        <v/>
      </c>
      <c r="AE100" s="62" t="str">
        <f t="shared" si="40"/>
        <v/>
      </c>
      <c r="AF100" s="62" t="str">
        <f t="shared" si="41"/>
        <v/>
      </c>
      <c r="AG100" s="192">
        <v>0</v>
      </c>
      <c r="AH100" s="62" t="str">
        <f t="shared" si="42"/>
        <v/>
      </c>
      <c r="AI100" s="62">
        <f t="shared" si="43"/>
        <v>0</v>
      </c>
      <c r="AJ100" s="62"/>
      <c r="AK100" s="62">
        <v>0</v>
      </c>
      <c r="AL100" s="256">
        <f t="shared" si="44"/>
        <v>0</v>
      </c>
      <c r="AM100" s="256">
        <f t="shared" si="45"/>
        <v>0</v>
      </c>
      <c r="AN100" s="256">
        <f t="shared" si="46"/>
        <v>0</v>
      </c>
    </row>
    <row r="101" spans="1:40" x14ac:dyDescent="0.2">
      <c r="A101" s="3" t="str">
        <f>IF('Employee Detail FY27'!A101="","",'Employee Detail FY27'!A101)</f>
        <v/>
      </c>
      <c r="B101" s="3" t="str">
        <f>IF('Employee Detail FY27'!B101="","",'Employee Detail FY27'!B101)</f>
        <v/>
      </c>
      <c r="C101" s="3" t="str">
        <f>IF('Employee Detail FY27'!C101="","",'Employee Detail FY27'!C101)</f>
        <v/>
      </c>
      <c r="D101" s="3"/>
      <c r="E101" s="3" t="str">
        <f>IF('Employee Detail FY27'!E101="","",'Employee Detail FY27'!E101)</f>
        <v/>
      </c>
      <c r="F101" s="3" t="str">
        <f>IF('Employee Detail FY27'!F101="","",'Employee Detail FY27'!F101)</f>
        <v/>
      </c>
      <c r="G101" s="3" t="str">
        <f>IF('Employee Detail FY27'!G101="","",'Employee Detail FY27'!G101)</f>
        <v/>
      </c>
      <c r="H101" s="3"/>
      <c r="I101" s="255" t="str">
        <f>IF('Employee Detail FY27'!I101="","",'Employee Detail FY27'!I101)</f>
        <v/>
      </c>
      <c r="J101" s="255" t="str">
        <f>IF('Employee Detail FY27'!J101="","",'Employee Detail FY27'!J101)</f>
        <v/>
      </c>
      <c r="K101" s="255" t="str">
        <f>IF('Employee Detail FY27'!K101="","",'Employee Detail FY27'!K101)</f>
        <v/>
      </c>
      <c r="L101" s="255" t="str">
        <f>IF('Employee Detail FY27'!L101="","",'Employee Detail FY27'!L101)</f>
        <v/>
      </c>
      <c r="M101" s="92" t="str">
        <f>IF('Employee Detail FY27'!M101="","",'Employee Detail FY27'!M101)</f>
        <v/>
      </c>
      <c r="N101" s="3" t="str">
        <f>IF('Employee Detail FY27'!N101="","",'Employee Detail FY27'!N101)</f>
        <v/>
      </c>
      <c r="O101" s="3" t="str">
        <f>IF('Employee Detail FY27'!O101="","",'Employee Detail FY27'!O101)</f>
        <v/>
      </c>
      <c r="P101" s="3" t="str">
        <f>IF('Employee Detail FY27'!P101="","",'Employee Detail FY27'!P101)</f>
        <v/>
      </c>
      <c r="Q101" s="3" t="str">
        <f>IF('Employee Detail FY27'!Q101="","",'Employee Detail FY27'!Q101)</f>
        <v/>
      </c>
      <c r="R101" s="3" t="str">
        <f>IF('Employee Detail FY27'!R101="","",'Employee Detail FY27'!R101)</f>
        <v/>
      </c>
      <c r="S101" s="3" t="str">
        <f>IF('Employee Detail FY27'!S101="","",'Employee Detail FY27'!S101)</f>
        <v/>
      </c>
      <c r="T101" s="263" t="str">
        <f t="shared" si="34"/>
        <v/>
      </c>
      <c r="U101" s="269">
        <f>IF('Employee Detail FY27'!U101="","",'Employee Detail FY27'!U101)</f>
        <v>0</v>
      </c>
      <c r="V101" s="270">
        <f t="shared" si="21"/>
        <v>0</v>
      </c>
      <c r="W101" s="270" t="str">
        <f t="shared" si="35"/>
        <v/>
      </c>
      <c r="X101" s="270" t="str">
        <f t="shared" si="36"/>
        <v/>
      </c>
      <c r="Y101" s="62">
        <v>0</v>
      </c>
      <c r="Z101" s="62">
        <v>0</v>
      </c>
      <c r="AA101" s="256">
        <f t="shared" si="37"/>
        <v>0</v>
      </c>
      <c r="AB101" s="3"/>
      <c r="AC101" s="62" t="str">
        <f t="shared" si="38"/>
        <v/>
      </c>
      <c r="AD101" s="62" t="str">
        <f t="shared" si="39"/>
        <v/>
      </c>
      <c r="AE101" s="62" t="str">
        <f t="shared" si="40"/>
        <v/>
      </c>
      <c r="AF101" s="62" t="str">
        <f t="shared" si="41"/>
        <v/>
      </c>
      <c r="AG101" s="192">
        <v>0</v>
      </c>
      <c r="AH101" s="62" t="str">
        <f t="shared" si="42"/>
        <v/>
      </c>
      <c r="AI101" s="62">
        <f t="shared" si="43"/>
        <v>0</v>
      </c>
      <c r="AJ101" s="62"/>
      <c r="AK101" s="62">
        <v>0</v>
      </c>
      <c r="AL101" s="256">
        <f t="shared" si="44"/>
        <v>0</v>
      </c>
      <c r="AM101" s="256">
        <f t="shared" si="45"/>
        <v>0</v>
      </c>
      <c r="AN101" s="256">
        <f t="shared" si="46"/>
        <v>0</v>
      </c>
    </row>
    <row r="102" spans="1:40" x14ac:dyDescent="0.2">
      <c r="A102" s="3" t="str">
        <f>IF('Employee Detail FY27'!A102="","",'Employee Detail FY27'!A102)</f>
        <v/>
      </c>
      <c r="B102" s="3" t="str">
        <f>IF('Employee Detail FY27'!B102="","",'Employee Detail FY27'!B102)</f>
        <v/>
      </c>
      <c r="C102" s="3" t="str">
        <f>IF('Employee Detail FY27'!C102="","",'Employee Detail FY27'!C102)</f>
        <v/>
      </c>
      <c r="D102" s="3"/>
      <c r="E102" s="3" t="str">
        <f>IF('Employee Detail FY27'!E102="","",'Employee Detail FY27'!E102)</f>
        <v/>
      </c>
      <c r="F102" s="3" t="str">
        <f>IF('Employee Detail FY27'!F102="","",'Employee Detail FY27'!F102)</f>
        <v/>
      </c>
      <c r="G102" s="3" t="str">
        <f>IF('Employee Detail FY27'!G102="","",'Employee Detail FY27'!G102)</f>
        <v/>
      </c>
      <c r="H102" s="3"/>
      <c r="I102" s="255" t="str">
        <f>IF('Employee Detail FY27'!I102="","",'Employee Detail FY27'!I102)</f>
        <v/>
      </c>
      <c r="J102" s="255" t="str">
        <f>IF('Employee Detail FY27'!J102="","",'Employee Detail FY27'!J102)</f>
        <v/>
      </c>
      <c r="K102" s="255" t="str">
        <f>IF('Employee Detail FY27'!K102="","",'Employee Detail FY27'!K102)</f>
        <v/>
      </c>
      <c r="L102" s="255" t="str">
        <f>IF('Employee Detail FY27'!L102="","",'Employee Detail FY27'!L102)</f>
        <v/>
      </c>
      <c r="M102" s="92" t="str">
        <f>IF('Employee Detail FY27'!M102="","",'Employee Detail FY27'!M102)</f>
        <v/>
      </c>
      <c r="N102" s="3" t="str">
        <f>IF('Employee Detail FY27'!N102="","",'Employee Detail FY27'!N102)</f>
        <v/>
      </c>
      <c r="O102" s="3" t="str">
        <f>IF('Employee Detail FY27'!O102="","",'Employee Detail FY27'!O102)</f>
        <v/>
      </c>
      <c r="P102" s="3" t="str">
        <f>IF('Employee Detail FY27'!P102="","",'Employee Detail FY27'!P102)</f>
        <v/>
      </c>
      <c r="Q102" s="3" t="str">
        <f>IF('Employee Detail FY27'!Q102="","",'Employee Detail FY27'!Q102)</f>
        <v/>
      </c>
      <c r="R102" s="3" t="str">
        <f>IF('Employee Detail FY27'!R102="","",'Employee Detail FY27'!R102)</f>
        <v/>
      </c>
      <c r="S102" s="3" t="str">
        <f>IF('Employee Detail FY27'!S102="","",'Employee Detail FY27'!S102)</f>
        <v/>
      </c>
      <c r="T102" s="263" t="str">
        <f t="shared" si="34"/>
        <v/>
      </c>
      <c r="U102" s="269">
        <f>IF('Employee Detail FY27'!U102="","",'Employee Detail FY27'!U102)</f>
        <v>0</v>
      </c>
      <c r="V102" s="270">
        <f t="shared" si="21"/>
        <v>0</v>
      </c>
      <c r="W102" s="270" t="str">
        <f t="shared" si="35"/>
        <v/>
      </c>
      <c r="X102" s="270" t="str">
        <f t="shared" si="36"/>
        <v/>
      </c>
      <c r="Y102" s="62">
        <v>0</v>
      </c>
      <c r="Z102" s="62">
        <v>0</v>
      </c>
      <c r="AA102" s="256">
        <f t="shared" si="37"/>
        <v>0</v>
      </c>
      <c r="AB102" s="3"/>
      <c r="AC102" s="62" t="str">
        <f t="shared" si="38"/>
        <v/>
      </c>
      <c r="AD102" s="62" t="str">
        <f t="shared" si="39"/>
        <v/>
      </c>
      <c r="AE102" s="62" t="str">
        <f t="shared" si="40"/>
        <v/>
      </c>
      <c r="AF102" s="62" t="str">
        <f t="shared" si="41"/>
        <v/>
      </c>
      <c r="AG102" s="192">
        <v>0</v>
      </c>
      <c r="AH102" s="62" t="str">
        <f t="shared" si="42"/>
        <v/>
      </c>
      <c r="AI102" s="62">
        <f t="shared" si="43"/>
        <v>0</v>
      </c>
      <c r="AJ102" s="62"/>
      <c r="AK102" s="62">
        <v>0</v>
      </c>
      <c r="AL102" s="256">
        <f t="shared" si="44"/>
        <v>0</v>
      </c>
      <c r="AM102" s="256">
        <f t="shared" si="45"/>
        <v>0</v>
      </c>
      <c r="AN102" s="256">
        <f t="shared" si="46"/>
        <v>0</v>
      </c>
    </row>
    <row r="103" spans="1:40" x14ac:dyDescent="0.2">
      <c r="A103" s="3" t="str">
        <f>IF('Employee Detail FY27'!A103="","",'Employee Detail FY27'!A103)</f>
        <v/>
      </c>
      <c r="B103" s="3" t="str">
        <f>IF('Employee Detail FY27'!B103="","",'Employee Detail FY27'!B103)</f>
        <v/>
      </c>
      <c r="C103" s="3" t="str">
        <f>IF('Employee Detail FY27'!C103="","",'Employee Detail FY27'!C103)</f>
        <v/>
      </c>
      <c r="D103" s="3"/>
      <c r="E103" s="3" t="str">
        <f>IF('Employee Detail FY27'!E103="","",'Employee Detail FY27'!E103)</f>
        <v/>
      </c>
      <c r="F103" s="3" t="str">
        <f>IF('Employee Detail FY27'!F103="","",'Employee Detail FY27'!F103)</f>
        <v/>
      </c>
      <c r="G103" s="3" t="str">
        <f>IF('Employee Detail FY27'!G103="","",'Employee Detail FY27'!G103)</f>
        <v/>
      </c>
      <c r="H103" s="3"/>
      <c r="I103" s="255" t="str">
        <f>IF('Employee Detail FY27'!I103="","",'Employee Detail FY27'!I103)</f>
        <v/>
      </c>
      <c r="J103" s="255" t="str">
        <f>IF('Employee Detail FY27'!J103="","",'Employee Detail FY27'!J103)</f>
        <v/>
      </c>
      <c r="K103" s="255" t="str">
        <f>IF('Employee Detail FY27'!K103="","",'Employee Detail FY27'!K103)</f>
        <v/>
      </c>
      <c r="L103" s="255" t="str">
        <f>IF('Employee Detail FY27'!L103="","",'Employee Detail FY27'!L103)</f>
        <v/>
      </c>
      <c r="M103" s="92" t="str">
        <f>IF('Employee Detail FY27'!M103="","",'Employee Detail FY27'!M103)</f>
        <v/>
      </c>
      <c r="N103" s="3" t="str">
        <f>IF('Employee Detail FY27'!N103="","",'Employee Detail FY27'!N103)</f>
        <v/>
      </c>
      <c r="O103" s="3" t="str">
        <f>IF('Employee Detail FY27'!O103="","",'Employee Detail FY27'!O103)</f>
        <v/>
      </c>
      <c r="P103" s="3" t="str">
        <f>IF('Employee Detail FY27'!P103="","",'Employee Detail FY27'!P103)</f>
        <v/>
      </c>
      <c r="Q103" s="3" t="str">
        <f>IF('Employee Detail FY27'!Q103="","",'Employee Detail FY27'!Q103)</f>
        <v/>
      </c>
      <c r="R103" s="3" t="str">
        <f>IF('Employee Detail FY27'!R103="","",'Employee Detail FY27'!R103)</f>
        <v/>
      </c>
      <c r="S103" s="3" t="str">
        <f>IF('Employee Detail FY27'!S103="","",'Employee Detail FY27'!S103)</f>
        <v/>
      </c>
      <c r="T103" s="263" t="str">
        <f t="shared" si="34"/>
        <v/>
      </c>
      <c r="U103" s="269">
        <f>IF('Employee Detail FY27'!U103="","",'Employee Detail FY27'!U103)</f>
        <v>0</v>
      </c>
      <c r="V103" s="270">
        <f t="shared" si="21"/>
        <v>0</v>
      </c>
      <c r="W103" s="270" t="str">
        <f t="shared" si="35"/>
        <v/>
      </c>
      <c r="X103" s="270" t="str">
        <f t="shared" si="36"/>
        <v/>
      </c>
      <c r="Y103" s="62">
        <v>0</v>
      </c>
      <c r="Z103" s="62">
        <v>0</v>
      </c>
      <c r="AA103" s="256">
        <f t="shared" si="37"/>
        <v>0</v>
      </c>
      <c r="AB103" s="3"/>
      <c r="AC103" s="62" t="str">
        <f t="shared" si="38"/>
        <v/>
      </c>
      <c r="AD103" s="62" t="str">
        <f t="shared" si="39"/>
        <v/>
      </c>
      <c r="AE103" s="62" t="str">
        <f t="shared" si="40"/>
        <v/>
      </c>
      <c r="AF103" s="62" t="str">
        <f t="shared" si="41"/>
        <v/>
      </c>
      <c r="AG103" s="192">
        <v>0</v>
      </c>
      <c r="AH103" s="62" t="str">
        <f t="shared" si="42"/>
        <v/>
      </c>
      <c r="AI103" s="62">
        <f t="shared" si="43"/>
        <v>0</v>
      </c>
      <c r="AJ103" s="62"/>
      <c r="AK103" s="62">
        <v>0</v>
      </c>
      <c r="AL103" s="256">
        <f t="shared" si="44"/>
        <v>0</v>
      </c>
      <c r="AM103" s="256">
        <f t="shared" si="45"/>
        <v>0</v>
      </c>
      <c r="AN103" s="256">
        <f t="shared" si="46"/>
        <v>0</v>
      </c>
    </row>
    <row r="104" spans="1:40" x14ac:dyDescent="0.2">
      <c r="A104" s="3" t="str">
        <f>IF('Employee Detail FY27'!A104="","",'Employee Detail FY27'!A104)</f>
        <v/>
      </c>
      <c r="B104" s="3" t="str">
        <f>IF('Employee Detail FY27'!B104="","",'Employee Detail FY27'!B104)</f>
        <v/>
      </c>
      <c r="C104" s="3" t="str">
        <f>IF('Employee Detail FY27'!C104="","",'Employee Detail FY27'!C104)</f>
        <v/>
      </c>
      <c r="D104" s="3"/>
      <c r="E104" s="3" t="str">
        <f>IF('Employee Detail FY27'!E104="","",'Employee Detail FY27'!E104)</f>
        <v/>
      </c>
      <c r="F104" s="3" t="str">
        <f>IF('Employee Detail FY27'!F104="","",'Employee Detail FY27'!F104)</f>
        <v/>
      </c>
      <c r="G104" s="3" t="str">
        <f>IF('Employee Detail FY27'!G104="","",'Employee Detail FY27'!G104)</f>
        <v/>
      </c>
      <c r="H104" s="3"/>
      <c r="I104" s="255" t="str">
        <f>IF('Employee Detail FY27'!I104="","",'Employee Detail FY27'!I104)</f>
        <v/>
      </c>
      <c r="J104" s="255" t="str">
        <f>IF('Employee Detail FY27'!J104="","",'Employee Detail FY27'!J104)</f>
        <v/>
      </c>
      <c r="K104" s="255" t="str">
        <f>IF('Employee Detail FY27'!K104="","",'Employee Detail FY27'!K104)</f>
        <v/>
      </c>
      <c r="L104" s="255" t="str">
        <f>IF('Employee Detail FY27'!L104="","",'Employee Detail FY27'!L104)</f>
        <v/>
      </c>
      <c r="M104" s="92" t="str">
        <f>IF('Employee Detail FY27'!M104="","",'Employee Detail FY27'!M104)</f>
        <v/>
      </c>
      <c r="N104" s="3" t="str">
        <f>IF('Employee Detail FY27'!N104="","",'Employee Detail FY27'!N104)</f>
        <v/>
      </c>
      <c r="O104" s="3" t="str">
        <f>IF('Employee Detail FY27'!O104="","",'Employee Detail FY27'!O104)</f>
        <v/>
      </c>
      <c r="P104" s="3" t="str">
        <f>IF('Employee Detail FY27'!P104="","",'Employee Detail FY27'!P104)</f>
        <v/>
      </c>
      <c r="Q104" s="3" t="str">
        <f>IF('Employee Detail FY27'!Q104="","",'Employee Detail FY27'!Q104)</f>
        <v/>
      </c>
      <c r="R104" s="3" t="str">
        <f>IF('Employee Detail FY27'!R104="","",'Employee Detail FY27'!R104)</f>
        <v/>
      </c>
      <c r="S104" s="3" t="str">
        <f>IF('Employee Detail FY27'!S104="","",'Employee Detail FY27'!S104)</f>
        <v/>
      </c>
      <c r="T104" s="263" t="str">
        <f t="shared" si="34"/>
        <v/>
      </c>
      <c r="U104" s="269">
        <f>IF('Employee Detail FY27'!U104="","",'Employee Detail FY27'!U104)</f>
        <v>0</v>
      </c>
      <c r="V104" s="270">
        <f t="shared" si="21"/>
        <v>0</v>
      </c>
      <c r="W104" s="270" t="str">
        <f t="shared" si="35"/>
        <v/>
      </c>
      <c r="X104" s="270" t="str">
        <f t="shared" si="36"/>
        <v/>
      </c>
      <c r="Y104" s="62">
        <v>0</v>
      </c>
      <c r="Z104" s="62">
        <v>0</v>
      </c>
      <c r="AA104" s="256">
        <f t="shared" si="37"/>
        <v>0</v>
      </c>
      <c r="AB104" s="3"/>
      <c r="AC104" s="62" t="str">
        <f t="shared" si="38"/>
        <v/>
      </c>
      <c r="AD104" s="62" t="str">
        <f t="shared" si="39"/>
        <v/>
      </c>
      <c r="AE104" s="62" t="str">
        <f t="shared" si="40"/>
        <v/>
      </c>
      <c r="AF104" s="62" t="str">
        <f t="shared" si="41"/>
        <v/>
      </c>
      <c r="AG104" s="192">
        <v>0</v>
      </c>
      <c r="AH104" s="62" t="str">
        <f t="shared" si="42"/>
        <v/>
      </c>
      <c r="AI104" s="62">
        <f t="shared" si="43"/>
        <v>0</v>
      </c>
      <c r="AJ104" s="62"/>
      <c r="AK104" s="62">
        <v>0</v>
      </c>
      <c r="AL104" s="256">
        <f t="shared" si="44"/>
        <v>0</v>
      </c>
      <c r="AM104" s="256">
        <f t="shared" si="45"/>
        <v>0</v>
      </c>
      <c r="AN104" s="256">
        <f t="shared" si="46"/>
        <v>0</v>
      </c>
    </row>
    <row r="105" spans="1:40" x14ac:dyDescent="0.2">
      <c r="A105" s="474"/>
      <c r="B105" s="425"/>
      <c r="C105" s="425"/>
      <c r="D105" s="425"/>
      <c r="E105" s="425"/>
      <c r="F105" s="425"/>
      <c r="G105" s="425"/>
      <c r="H105" s="425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263" t="str">
        <f t="shared" ref="T105:T130" si="47">+IF(R105="","",R105*S105)</f>
        <v/>
      </c>
      <c r="U105" s="269" t="str">
        <f>IF('Employee Detail FY26'!U105="","",'Employee Detail FY26'!U105)</f>
        <v/>
      </c>
      <c r="V105" s="270" t="str">
        <f t="shared" ref="V105:V130" si="48">IF($U105="","",$U105*(1+$V$1))</f>
        <v/>
      </c>
      <c r="W105" s="270" t="str">
        <f t="shared" ref="W105:W130" si="49">+IF(P105="EE",+V105*$W$1,"")</f>
        <v/>
      </c>
      <c r="X105" s="270" t="str">
        <f t="shared" ref="X105:X130" si="50">_xlfn.IFS(P105="ER",V105,P105="EE",W105,P105="N",V105,P105="","")</f>
        <v/>
      </c>
      <c r="Y105" s="62">
        <v>0</v>
      </c>
      <c r="Z105" s="62">
        <v>0</v>
      </c>
      <c r="AA105" s="256">
        <f t="shared" si="0"/>
        <v>0</v>
      </c>
      <c r="AB105" s="3"/>
      <c r="AC105" s="62" t="str">
        <f t="shared" si="25"/>
        <v/>
      </c>
      <c r="AD105" s="62" t="str">
        <f t="shared" si="1"/>
        <v/>
      </c>
      <c r="AE105" s="62" t="str">
        <f t="shared" si="2"/>
        <v/>
      </c>
      <c r="AF105" s="62" t="str">
        <f t="shared" si="3"/>
        <v/>
      </c>
      <c r="AG105" s="192">
        <v>0</v>
      </c>
      <c r="AH105" s="62" t="str">
        <f t="shared" si="4"/>
        <v/>
      </c>
      <c r="AI105" s="62">
        <f t="shared" si="5"/>
        <v>0</v>
      </c>
      <c r="AJ105" s="62"/>
      <c r="AK105" s="62">
        <v>0</v>
      </c>
      <c r="AL105" s="256">
        <f t="shared" ref="AL105:AL130" si="51">SUM(AC105:AK105)</f>
        <v>0</v>
      </c>
      <c r="AM105" s="256">
        <f t="shared" ref="AM105:AM130" si="52">AA105</f>
        <v>0</v>
      </c>
      <c r="AN105" s="256">
        <f t="shared" ref="AN105:AN130" si="53">SUM(AL105:AM105)</f>
        <v>0</v>
      </c>
    </row>
    <row r="106" spans="1:40" x14ac:dyDescent="0.2">
      <c r="A106" s="311" t="s">
        <v>1149</v>
      </c>
      <c r="B106" s="351">
        <v>100</v>
      </c>
      <c r="C106" s="351" t="s">
        <v>145</v>
      </c>
      <c r="D106" s="351"/>
      <c r="E106" s="351">
        <v>100</v>
      </c>
      <c r="F106" s="351">
        <v>1000</v>
      </c>
      <c r="G106" s="351" t="s">
        <v>161</v>
      </c>
      <c r="H106" s="351" t="s">
        <v>497</v>
      </c>
      <c r="I106" s="312" t="str">
        <f>IF('Employee Detail FY25'!I106="","",'Employee Detail FY25'!I106)</f>
        <v>VACANT</v>
      </c>
      <c r="J106" s="311" t="s">
        <v>506</v>
      </c>
      <c r="K106" s="311" t="s">
        <v>389</v>
      </c>
      <c r="L106" s="311" t="s">
        <v>498</v>
      </c>
      <c r="M106" s="313">
        <v>1</v>
      </c>
      <c r="N106" s="311"/>
      <c r="O106" s="311"/>
      <c r="P106" s="311" t="s">
        <v>342</v>
      </c>
      <c r="Q106" s="311" t="s">
        <v>386</v>
      </c>
      <c r="R106" s="311" t="s">
        <v>386</v>
      </c>
      <c r="S106" s="311" t="s">
        <v>386</v>
      </c>
      <c r="T106" s="263" t="str">
        <f>+IF(R106="","",R106*S106)</f>
        <v/>
      </c>
      <c r="U106" s="269">
        <v>45000</v>
      </c>
      <c r="V106" s="270">
        <f t="shared" ref="V106:V125" si="54">IF($U106="","",$U106*(1+$V$1))</f>
        <v>53100</v>
      </c>
      <c r="W106" s="270" t="str">
        <f t="shared" ref="W106:W122" si="55">+IF(P106="EE",+V106*$W$1,"")</f>
        <v/>
      </c>
      <c r="X106" s="270">
        <f t="shared" ref="X106:X122" si="56">_xlfn.IFS(P106="ER",V106,P106="EE",W106,P106="N",V106,P106="","")</f>
        <v>53100</v>
      </c>
      <c r="Y106" s="62">
        <v>0</v>
      </c>
      <c r="Z106" s="62">
        <v>0</v>
      </c>
      <c r="AA106" s="256">
        <f t="shared" ref="AA106:AA122" si="57">SUM(X106:Z106)</f>
        <v>53100</v>
      </c>
      <c r="AB106" s="3"/>
      <c r="AC106" s="62">
        <f t="shared" si="25"/>
        <v>7943.76</v>
      </c>
      <c r="AD106" s="62" t="str">
        <f t="shared" ref="AD106:AD122" si="58">_xlfn.IFS(P106="N",$AD$1*AA106,P106="EE","",P106="ER","",P106="","")</f>
        <v/>
      </c>
      <c r="AE106" s="62">
        <f t="shared" ref="AE106:AE122" si="59">_xlfn.IFS(P106="EE",X106*$AE$1,P106="ER",X106*$AE$2,P106="N","",P106="","")</f>
        <v>15531.749999999998</v>
      </c>
      <c r="AF106" s="62">
        <f t="shared" ref="AF106:AF122" si="60">+IF(AA106&gt;1,AA106*$AF$1,"")</f>
        <v>769.95</v>
      </c>
      <c r="AG106" s="192">
        <v>0</v>
      </c>
      <c r="AH106" s="62">
        <f t="shared" ref="AH106:AH122" si="61">+IF(AA106&gt;1,AA106*$AH$1,"")</f>
        <v>483.33404727705209</v>
      </c>
      <c r="AI106" s="62">
        <f t="shared" ref="AI106:AI122" si="62">+_xlfn.IFS(F106&lt;2300,(AA106*$AI$1),F106&gt;=2300,(AA106*$AI$2),F106="","")</f>
        <v>156.39005148320828</v>
      </c>
      <c r="AJ106" s="62"/>
      <c r="AK106" s="62">
        <v>0</v>
      </c>
      <c r="AL106" s="256">
        <f t="shared" ref="AL106:AL122" si="63">SUM(AC106:AK106)</f>
        <v>24885.184098760259</v>
      </c>
      <c r="AM106" s="256">
        <f t="shared" ref="AM106:AM122" si="64">AA106</f>
        <v>53100</v>
      </c>
      <c r="AN106" s="256">
        <f t="shared" ref="AN106:AN122" si="65">SUM(AL106:AM106)</f>
        <v>77985.184098760263</v>
      </c>
    </row>
    <row r="107" spans="1:40" x14ac:dyDescent="0.2">
      <c r="A107" s="311" t="str">
        <f>IF('Employee Detail FY25'!A107="","",'Employee Detail FY25'!A107)</f>
        <v>VACANT</v>
      </c>
      <c r="B107" s="311">
        <f>IF('Employee Detail FY25'!B107="","",'Employee Detail FY25'!B107)</f>
        <v>250</v>
      </c>
      <c r="C107" s="311" t="str">
        <f>IF('Employee Detail FY25'!C107="","",'Employee Detail FY25'!C107)</f>
        <v>000</v>
      </c>
      <c r="D107" s="311"/>
      <c r="E107" s="311">
        <f>IF('Employee Detail FY25'!E107="","",'Employee Detail FY25'!E107)</f>
        <v>200</v>
      </c>
      <c r="F107" s="311">
        <f>IF('Employee Detail FY25'!F107="","",'Employee Detail FY25'!F107)</f>
        <v>1000</v>
      </c>
      <c r="G107" s="311" t="str">
        <f>IF('Employee Detail FY25'!G107="","",'Employee Detail FY25'!G107)</f>
        <v>0101</v>
      </c>
      <c r="H107" s="311"/>
      <c r="I107" s="312" t="str">
        <f>IF('Employee Detail FY25'!I107="","",'Employee Detail FY25'!I107)</f>
        <v>VACANT</v>
      </c>
      <c r="J107" s="312" t="str">
        <f>IF('Employee Detail FY25'!J107="","",'Employee Detail FY25'!J107)</f>
        <v>FY24</v>
      </c>
      <c r="K107" s="312" t="str">
        <f>IF('Employee Detail FY25'!K107="","",'Employee Detail FY25'!K107)</f>
        <v>Licensed Staff</v>
      </c>
      <c r="L107" s="312" t="str">
        <f>IF('Employee Detail FY25'!L107="","",'Employee Detail FY25'!L107)</f>
        <v>SPED TEACHER</v>
      </c>
      <c r="M107" s="313">
        <v>1</v>
      </c>
      <c r="N107" s="311"/>
      <c r="O107" s="311"/>
      <c r="P107" s="311" t="s">
        <v>342</v>
      </c>
      <c r="Q107" s="311"/>
      <c r="R107" s="311"/>
      <c r="S107" s="311"/>
      <c r="T107" s="263"/>
      <c r="U107" s="269">
        <f>IF('Employee Detail FY25'!U107="","",'Employee Detail FY25'!U107)</f>
        <v>45500</v>
      </c>
      <c r="V107" s="270">
        <f t="shared" si="54"/>
        <v>53690</v>
      </c>
      <c r="W107" s="270" t="str">
        <f t="shared" si="55"/>
        <v/>
      </c>
      <c r="X107" s="270">
        <f t="shared" si="56"/>
        <v>53690</v>
      </c>
      <c r="Y107" s="62">
        <v>0</v>
      </c>
      <c r="Z107" s="62">
        <v>0</v>
      </c>
      <c r="AA107" s="256">
        <f t="shared" si="57"/>
        <v>53690</v>
      </c>
      <c r="AB107" s="3"/>
      <c r="AC107" s="62">
        <f t="shared" ref="AC107:AC122" si="66">IF(AND(M107=1,P107&lt;&gt;"N"),$AC$1,"")</f>
        <v>7943.76</v>
      </c>
      <c r="AD107" s="62" t="str">
        <f t="shared" si="58"/>
        <v/>
      </c>
      <c r="AE107" s="62">
        <f t="shared" si="59"/>
        <v>15704.324999999999</v>
      </c>
      <c r="AF107" s="62">
        <f t="shared" si="60"/>
        <v>778.505</v>
      </c>
      <c r="AG107" s="192">
        <v>0</v>
      </c>
      <c r="AH107" s="62">
        <f t="shared" si="61"/>
        <v>488.70442558013048</v>
      </c>
      <c r="AI107" s="62">
        <f t="shared" si="62"/>
        <v>158.12771872191058</v>
      </c>
      <c r="AJ107" s="62"/>
      <c r="AK107" s="62">
        <v>0</v>
      </c>
      <c r="AL107" s="256">
        <f t="shared" si="63"/>
        <v>25073.42214430204</v>
      </c>
      <c r="AM107" s="256">
        <f t="shared" si="64"/>
        <v>53690</v>
      </c>
      <c r="AN107" s="256">
        <f t="shared" si="65"/>
        <v>78763.422144302036</v>
      </c>
    </row>
    <row r="108" spans="1:40" x14ac:dyDescent="0.2">
      <c r="A108" s="311" t="s">
        <v>1149</v>
      </c>
      <c r="B108" s="311">
        <v>100</v>
      </c>
      <c r="C108" s="311" t="s">
        <v>145</v>
      </c>
      <c r="D108" s="311"/>
      <c r="E108" s="311">
        <v>100</v>
      </c>
      <c r="F108" s="311">
        <v>1000</v>
      </c>
      <c r="G108" s="311" t="s">
        <v>169</v>
      </c>
      <c r="H108" s="311"/>
      <c r="I108" s="312" t="s">
        <v>1149</v>
      </c>
      <c r="J108" s="312" t="s">
        <v>506</v>
      </c>
      <c r="K108" s="312" t="s">
        <v>384</v>
      </c>
      <c r="L108" s="312" t="s">
        <v>989</v>
      </c>
      <c r="M108" s="313">
        <v>1</v>
      </c>
      <c r="N108" s="311"/>
      <c r="O108" s="311"/>
      <c r="P108" s="311" t="s">
        <v>342</v>
      </c>
      <c r="Q108" s="311"/>
      <c r="R108" s="311"/>
      <c r="S108" s="311"/>
      <c r="T108" s="263" t="str">
        <f t="shared" ref="T108:T114" si="67">+IF(R108="","",R108*S108)</f>
        <v/>
      </c>
      <c r="U108" s="269">
        <v>31500</v>
      </c>
      <c r="V108" s="270">
        <f t="shared" si="54"/>
        <v>37170</v>
      </c>
      <c r="W108" s="270" t="str">
        <f t="shared" si="55"/>
        <v/>
      </c>
      <c r="X108" s="270">
        <f t="shared" si="56"/>
        <v>37170</v>
      </c>
      <c r="Y108" s="62">
        <v>0</v>
      </c>
      <c r="Z108" s="62">
        <v>0</v>
      </c>
      <c r="AA108" s="256">
        <f t="shared" si="57"/>
        <v>37170</v>
      </c>
      <c r="AB108" s="3"/>
      <c r="AC108" s="62">
        <f t="shared" si="66"/>
        <v>7943.76</v>
      </c>
      <c r="AD108" s="62" t="str">
        <f t="shared" si="58"/>
        <v/>
      </c>
      <c r="AE108" s="62">
        <f t="shared" si="59"/>
        <v>10872.224999999999</v>
      </c>
      <c r="AF108" s="62">
        <f t="shared" si="60"/>
        <v>538.96500000000003</v>
      </c>
      <c r="AG108" s="192">
        <v>0</v>
      </c>
      <c r="AH108" s="62">
        <f t="shared" si="61"/>
        <v>338.33383309393651</v>
      </c>
      <c r="AI108" s="62">
        <f t="shared" si="62"/>
        <v>109.47303603824579</v>
      </c>
      <c r="AJ108" s="62"/>
      <c r="AK108" s="62">
        <v>0</v>
      </c>
      <c r="AL108" s="256">
        <f t="shared" si="63"/>
        <v>19802.756869132183</v>
      </c>
      <c r="AM108" s="256">
        <f t="shared" si="64"/>
        <v>37170</v>
      </c>
      <c r="AN108" s="256">
        <f t="shared" si="65"/>
        <v>56972.756869132179</v>
      </c>
    </row>
    <row r="109" spans="1:40" x14ac:dyDescent="0.2">
      <c r="A109" s="311" t="str">
        <f>IF('Employee Detail FY25'!A109="","",'Employee Detail FY25'!A109)</f>
        <v>VACANT</v>
      </c>
      <c r="B109" s="311">
        <f>IF('Employee Detail FY25'!B109="","",'Employee Detail FY25'!B109)</f>
        <v>250</v>
      </c>
      <c r="C109" s="311" t="str">
        <f>IF('Employee Detail FY25'!C109="","",'Employee Detail FY25'!C109)</f>
        <v>000</v>
      </c>
      <c r="D109" s="311"/>
      <c r="E109" s="311">
        <f>IF('Employee Detail FY25'!E109="","",'Employee Detail FY25'!E109)</f>
        <v>200</v>
      </c>
      <c r="F109" s="311">
        <f>IF('Employee Detail FY25'!F109="","",'Employee Detail FY25'!F109)</f>
        <v>1000</v>
      </c>
      <c r="G109" s="311" t="str">
        <f>IF('Employee Detail FY25'!G109="","",'Employee Detail FY25'!G109)</f>
        <v>0101</v>
      </c>
      <c r="H109" s="311"/>
      <c r="I109" s="312" t="str">
        <f>IF('Employee Detail FY25'!I109="","",'Employee Detail FY25'!I109)</f>
        <v>VACANT</v>
      </c>
      <c r="J109" s="312" t="s">
        <v>506</v>
      </c>
      <c r="K109" s="312" t="str">
        <f>IF('Employee Detail FY25'!K109="","",'Employee Detail FY25'!K109)</f>
        <v>Licensed Staff</v>
      </c>
      <c r="L109" s="312" t="str">
        <f>IF('Employee Detail FY25'!L109="","",'Employee Detail FY25'!L109)</f>
        <v>RtI Facilitators</v>
      </c>
      <c r="M109" s="313">
        <v>1</v>
      </c>
      <c r="N109" s="311"/>
      <c r="O109" s="311"/>
      <c r="P109" s="311" t="s">
        <v>342</v>
      </c>
      <c r="Q109" s="311"/>
      <c r="R109" s="311" t="str">
        <f>IF('Employee Detail FY25'!R109="","",'Employee Detail FY25'!R109)</f>
        <v/>
      </c>
      <c r="S109" s="311" t="str">
        <f>IF('Employee Detail FY25'!S109="","",'Employee Detail FY25'!S109)</f>
        <v/>
      </c>
      <c r="T109" s="263" t="str">
        <f t="shared" si="67"/>
        <v/>
      </c>
      <c r="U109" s="269">
        <f>IF('Employee Detail FY25'!U109="","",'Employee Detail FY25'!U109)</f>
        <v>45000</v>
      </c>
      <c r="V109" s="270">
        <f t="shared" si="54"/>
        <v>53100</v>
      </c>
      <c r="W109" s="270" t="str">
        <f t="shared" si="55"/>
        <v/>
      </c>
      <c r="X109" s="270">
        <f t="shared" si="56"/>
        <v>53100</v>
      </c>
      <c r="Y109" s="62">
        <v>0</v>
      </c>
      <c r="Z109" s="62">
        <v>0</v>
      </c>
      <c r="AA109" s="256">
        <f t="shared" si="57"/>
        <v>53100</v>
      </c>
      <c r="AB109" s="3"/>
      <c r="AC109" s="62">
        <f t="shared" si="66"/>
        <v>7943.76</v>
      </c>
      <c r="AD109" s="62" t="str">
        <f t="shared" si="58"/>
        <v/>
      </c>
      <c r="AE109" s="62">
        <f t="shared" si="59"/>
        <v>15531.749999999998</v>
      </c>
      <c r="AF109" s="62">
        <f t="shared" si="60"/>
        <v>769.95</v>
      </c>
      <c r="AG109" s="192">
        <v>0</v>
      </c>
      <c r="AH109" s="62">
        <f t="shared" si="61"/>
        <v>483.33404727705209</v>
      </c>
      <c r="AI109" s="62">
        <f t="shared" si="62"/>
        <v>156.39005148320828</v>
      </c>
      <c r="AJ109" s="62"/>
      <c r="AK109" s="62">
        <v>0</v>
      </c>
      <c r="AL109" s="256">
        <f t="shared" si="63"/>
        <v>24885.184098760259</v>
      </c>
      <c r="AM109" s="256">
        <f t="shared" si="64"/>
        <v>53100</v>
      </c>
      <c r="AN109" s="256">
        <f t="shared" si="65"/>
        <v>77985.184098760263</v>
      </c>
    </row>
    <row r="110" spans="1:40" x14ac:dyDescent="0.2">
      <c r="A110" s="311" t="str">
        <f>IF('Employee Detail FY25'!A110="","",'Employee Detail FY25'!A110)</f>
        <v>VACANT</v>
      </c>
      <c r="B110" s="311" t="str">
        <f>IF('Employee Detail FY25'!B110="","",'Employee Detail FY25'!B110)</f>
        <v>100</v>
      </c>
      <c r="C110" s="311" t="str">
        <f>IF('Employee Detail FY25'!C110="","",'Employee Detail FY25'!C110)</f>
        <v>000</v>
      </c>
      <c r="D110" s="311"/>
      <c r="E110" s="311" t="str">
        <f>IF('Employee Detail FY25'!E110="","",'Employee Detail FY25'!E110)</f>
        <v>100</v>
      </c>
      <c r="F110" s="311" t="str">
        <f>IF('Employee Detail FY25'!F110="","",'Employee Detail FY25'!F110)</f>
        <v>2120</v>
      </c>
      <c r="G110" s="311" t="str">
        <f>IF('Employee Detail FY25'!G110="","",'Employee Detail FY25'!G110)</f>
        <v>0106</v>
      </c>
      <c r="H110" s="311"/>
      <c r="I110" s="312" t="str">
        <f>IF('Employee Detail FY25'!I110="","",'Employee Detail FY25'!I110)</f>
        <v>VACANT</v>
      </c>
      <c r="J110" s="312" t="str">
        <f>IF('Employee Detail FY25'!J110="","",'Employee Detail FY25'!J110)</f>
        <v>FY24</v>
      </c>
      <c r="K110" s="311" t="s">
        <v>389</v>
      </c>
      <c r="L110" s="312" t="str">
        <f>IF('Employee Detail FY25'!L110="","",'Employee Detail FY25'!L110)</f>
        <v>CAREER PATHWAYS COORDINATOR</v>
      </c>
      <c r="M110" s="313">
        <v>1</v>
      </c>
      <c r="N110" s="311"/>
      <c r="O110" s="311"/>
      <c r="P110" s="311" t="s">
        <v>342</v>
      </c>
      <c r="Q110" s="311" t="str">
        <f>IF('Employee Detail FY25'!Q110="","",'Employee Detail FY25'!Q110)</f>
        <v/>
      </c>
      <c r="R110" s="311" t="str">
        <f>IF('Employee Detail FY25'!R110="","",'Employee Detail FY25'!R110)</f>
        <v/>
      </c>
      <c r="S110" s="311" t="str">
        <f>IF('Employee Detail FY25'!S110="","",'Employee Detail FY25'!S110)</f>
        <v/>
      </c>
      <c r="T110" s="263" t="str">
        <f t="shared" si="67"/>
        <v/>
      </c>
      <c r="U110" s="269">
        <v>35000</v>
      </c>
      <c r="V110" s="270">
        <f t="shared" si="54"/>
        <v>41300</v>
      </c>
      <c r="W110" s="270" t="str">
        <f t="shared" si="55"/>
        <v/>
      </c>
      <c r="X110" s="270">
        <f t="shared" si="56"/>
        <v>41300</v>
      </c>
      <c r="Y110" s="62">
        <v>0</v>
      </c>
      <c r="Z110" s="62">
        <v>0</v>
      </c>
      <c r="AA110" s="256">
        <f t="shared" si="57"/>
        <v>41300</v>
      </c>
      <c r="AB110" s="3"/>
      <c r="AC110" s="62">
        <f t="shared" si="66"/>
        <v>7943.76</v>
      </c>
      <c r="AD110" s="62" t="str">
        <f t="shared" si="58"/>
        <v/>
      </c>
      <c r="AE110" s="62">
        <f t="shared" si="59"/>
        <v>12080.25</v>
      </c>
      <c r="AF110" s="62">
        <f t="shared" si="60"/>
        <v>598.85</v>
      </c>
      <c r="AG110" s="192">
        <v>0</v>
      </c>
      <c r="AH110" s="62">
        <f t="shared" si="61"/>
        <v>375.92648121548496</v>
      </c>
      <c r="AI110" s="62">
        <f t="shared" si="62"/>
        <v>121.63670670916198</v>
      </c>
      <c r="AJ110" s="62"/>
      <c r="AK110" s="62">
        <v>0</v>
      </c>
      <c r="AL110" s="256">
        <f t="shared" si="63"/>
        <v>21120.423187924647</v>
      </c>
      <c r="AM110" s="256">
        <f t="shared" si="64"/>
        <v>41300</v>
      </c>
      <c r="AN110" s="256">
        <f t="shared" si="65"/>
        <v>62420.423187924651</v>
      </c>
    </row>
    <row r="111" spans="1:40" x14ac:dyDescent="0.2">
      <c r="A111" s="311" t="str">
        <f>IF('Employee Detail FY23'!A142="","",'Employee Detail FY23'!A142)</f>
        <v/>
      </c>
      <c r="B111" s="311" t="str">
        <f>IF('Employee Detail FY23'!B142="","",'Employee Detail FY23'!B142)</f>
        <v/>
      </c>
      <c r="C111" s="311" t="str">
        <f>IF('Employee Detail FY23'!C142="","",'Employee Detail FY23'!C142)</f>
        <v/>
      </c>
      <c r="D111" s="311"/>
      <c r="E111" s="311" t="str">
        <f>IF('Employee Detail FY23'!E142="","",'Employee Detail FY23'!E142)</f>
        <v/>
      </c>
      <c r="F111" s="311" t="str">
        <f>IF('Employee Detail FY23'!F142="","",'Employee Detail FY23'!F142)</f>
        <v/>
      </c>
      <c r="G111" s="311" t="str">
        <f>IF('Employee Detail FY23'!G142="","",'Employee Detail FY23'!G142)</f>
        <v/>
      </c>
      <c r="H111" s="311"/>
      <c r="I111" s="312" t="str">
        <f>IF('Employee Detail FY23'!I142="","",'Employee Detail FY23'!I142)</f>
        <v/>
      </c>
      <c r="J111" s="312" t="str">
        <f>IF('Employee Detail FY23'!J142="","",'Employee Detail FY23'!J142)</f>
        <v/>
      </c>
      <c r="K111" s="312" t="str">
        <f>IF('Employee Detail FY23'!K142="","",'Employee Detail FY23'!K142)</f>
        <v/>
      </c>
      <c r="L111" s="312" t="str">
        <f>IF('Employee Detail FY23'!L142="","",'Employee Detail FY23'!L142)</f>
        <v/>
      </c>
      <c r="M111" s="313"/>
      <c r="N111" s="311"/>
      <c r="O111" s="311"/>
      <c r="P111" s="311"/>
      <c r="Q111" s="311" t="str">
        <f>IF('Employee Detail FY23'!Q142="","",'Employee Detail FY23'!Q142)</f>
        <v/>
      </c>
      <c r="R111" s="311" t="str">
        <f>IF('Employee Detail FY23'!R142="","",'Employee Detail FY23'!R142)</f>
        <v/>
      </c>
      <c r="S111" s="311" t="str">
        <f>IF('Employee Detail FY23'!S142="","",'Employee Detail FY23'!S142)</f>
        <v/>
      </c>
      <c r="T111" s="263" t="str">
        <f t="shared" si="67"/>
        <v/>
      </c>
      <c r="U111" s="269" t="str">
        <f>IF('Employee Detail FY23'!U142="","",'Employee Detail FY23'!U142)</f>
        <v/>
      </c>
      <c r="V111" s="270" t="str">
        <f t="shared" si="54"/>
        <v/>
      </c>
      <c r="W111" s="270" t="str">
        <f t="shared" si="55"/>
        <v/>
      </c>
      <c r="X111" s="270" t="str">
        <f t="shared" si="56"/>
        <v/>
      </c>
      <c r="Y111" s="62">
        <v>0</v>
      </c>
      <c r="Z111" s="62">
        <v>0</v>
      </c>
      <c r="AA111" s="256">
        <f t="shared" si="57"/>
        <v>0</v>
      </c>
      <c r="AB111" s="3"/>
      <c r="AC111" s="62" t="str">
        <f t="shared" si="66"/>
        <v/>
      </c>
      <c r="AD111" s="62" t="str">
        <f t="shared" si="58"/>
        <v/>
      </c>
      <c r="AE111" s="62" t="str">
        <f t="shared" si="59"/>
        <v/>
      </c>
      <c r="AF111" s="62" t="str">
        <f t="shared" si="60"/>
        <v/>
      </c>
      <c r="AG111" s="192">
        <v>0</v>
      </c>
      <c r="AH111" s="62" t="str">
        <f t="shared" si="61"/>
        <v/>
      </c>
      <c r="AI111" s="62">
        <f t="shared" si="62"/>
        <v>0</v>
      </c>
      <c r="AJ111" s="62"/>
      <c r="AK111" s="62">
        <v>0</v>
      </c>
      <c r="AL111" s="256">
        <f t="shared" si="63"/>
        <v>0</v>
      </c>
      <c r="AM111" s="256">
        <f t="shared" si="64"/>
        <v>0</v>
      </c>
      <c r="AN111" s="256">
        <f t="shared" si="65"/>
        <v>0</v>
      </c>
    </row>
    <row r="112" spans="1:40" x14ac:dyDescent="0.2">
      <c r="A112" s="311" t="s">
        <v>1149</v>
      </c>
      <c r="B112" s="351">
        <v>100</v>
      </c>
      <c r="C112" s="351" t="s">
        <v>145</v>
      </c>
      <c r="D112" s="351"/>
      <c r="E112" s="351">
        <v>100</v>
      </c>
      <c r="F112" s="351">
        <v>1000</v>
      </c>
      <c r="G112" s="351" t="s">
        <v>161</v>
      </c>
      <c r="H112" s="351" t="s">
        <v>497</v>
      </c>
      <c r="I112" s="312" t="str">
        <f>IF('Employee Detail FY25'!I112="","",'Employee Detail FY25'!I112)</f>
        <v>VACANT</v>
      </c>
      <c r="J112" s="311" t="s">
        <v>508</v>
      </c>
      <c r="K112" s="311" t="s">
        <v>389</v>
      </c>
      <c r="L112" s="311" t="s">
        <v>498</v>
      </c>
      <c r="M112" s="313">
        <v>1</v>
      </c>
      <c r="N112" s="311"/>
      <c r="O112" s="311"/>
      <c r="P112" s="311" t="s">
        <v>342</v>
      </c>
      <c r="Q112" s="311" t="s">
        <v>386</v>
      </c>
      <c r="R112" s="311" t="s">
        <v>386</v>
      </c>
      <c r="S112" s="311" t="s">
        <v>386</v>
      </c>
      <c r="T112" s="263" t="str">
        <f t="shared" si="67"/>
        <v/>
      </c>
      <c r="U112" s="269">
        <v>45000</v>
      </c>
      <c r="V112" s="270">
        <f t="shared" si="54"/>
        <v>53100</v>
      </c>
      <c r="W112" s="270" t="str">
        <f t="shared" si="55"/>
        <v/>
      </c>
      <c r="X112" s="270">
        <f t="shared" si="56"/>
        <v>53100</v>
      </c>
      <c r="Y112" s="62">
        <v>0</v>
      </c>
      <c r="Z112" s="62">
        <v>0</v>
      </c>
      <c r="AA112" s="256">
        <f t="shared" si="57"/>
        <v>53100</v>
      </c>
      <c r="AB112" s="3"/>
      <c r="AC112" s="62">
        <f t="shared" si="66"/>
        <v>7943.76</v>
      </c>
      <c r="AD112" s="62" t="str">
        <f t="shared" si="58"/>
        <v/>
      </c>
      <c r="AE112" s="62">
        <f t="shared" si="59"/>
        <v>15531.749999999998</v>
      </c>
      <c r="AF112" s="62">
        <f t="shared" si="60"/>
        <v>769.95</v>
      </c>
      <c r="AG112" s="192">
        <v>0</v>
      </c>
      <c r="AH112" s="62">
        <f t="shared" si="61"/>
        <v>483.33404727705209</v>
      </c>
      <c r="AI112" s="62">
        <f t="shared" si="62"/>
        <v>156.39005148320828</v>
      </c>
      <c r="AJ112" s="62"/>
      <c r="AK112" s="62">
        <v>0</v>
      </c>
      <c r="AL112" s="256">
        <f t="shared" si="63"/>
        <v>24885.184098760259</v>
      </c>
      <c r="AM112" s="256">
        <f t="shared" si="64"/>
        <v>53100</v>
      </c>
      <c r="AN112" s="256">
        <f t="shared" si="65"/>
        <v>77985.184098760263</v>
      </c>
    </row>
    <row r="113" spans="1:40" x14ac:dyDescent="0.2">
      <c r="A113" s="311" t="s">
        <v>1149</v>
      </c>
      <c r="B113" s="351">
        <v>100</v>
      </c>
      <c r="C113" s="351" t="s">
        <v>145</v>
      </c>
      <c r="D113" s="351"/>
      <c r="E113" s="351">
        <v>100</v>
      </c>
      <c r="F113" s="351">
        <v>1000</v>
      </c>
      <c r="G113" s="351" t="s">
        <v>161</v>
      </c>
      <c r="H113" s="351" t="s">
        <v>497</v>
      </c>
      <c r="I113" s="312" t="str">
        <f>IF('Employee Detail FY25'!I113="","",'Employee Detail FY25'!I113)</f>
        <v>VACANT</v>
      </c>
      <c r="J113" s="311" t="s">
        <v>508</v>
      </c>
      <c r="K113" s="311" t="s">
        <v>389</v>
      </c>
      <c r="L113" s="311" t="s">
        <v>498</v>
      </c>
      <c r="M113" s="313">
        <v>1</v>
      </c>
      <c r="N113" s="311"/>
      <c r="O113" s="311"/>
      <c r="P113" s="311" t="s">
        <v>342</v>
      </c>
      <c r="Q113" s="311" t="s">
        <v>386</v>
      </c>
      <c r="R113" s="311" t="s">
        <v>386</v>
      </c>
      <c r="S113" s="311" t="s">
        <v>386</v>
      </c>
      <c r="T113" s="263" t="str">
        <f t="shared" si="67"/>
        <v/>
      </c>
      <c r="U113" s="269">
        <v>45000</v>
      </c>
      <c r="V113" s="270">
        <f t="shared" si="54"/>
        <v>53100</v>
      </c>
      <c r="W113" s="270" t="str">
        <f t="shared" si="55"/>
        <v/>
      </c>
      <c r="X113" s="270">
        <f t="shared" si="56"/>
        <v>53100</v>
      </c>
      <c r="Y113" s="62">
        <v>0</v>
      </c>
      <c r="Z113" s="62">
        <v>0</v>
      </c>
      <c r="AA113" s="256">
        <f t="shared" si="57"/>
        <v>53100</v>
      </c>
      <c r="AB113" s="3"/>
      <c r="AC113" s="62">
        <f t="shared" si="66"/>
        <v>7943.76</v>
      </c>
      <c r="AD113" s="62" t="str">
        <f t="shared" si="58"/>
        <v/>
      </c>
      <c r="AE113" s="62">
        <f t="shared" si="59"/>
        <v>15531.749999999998</v>
      </c>
      <c r="AF113" s="62">
        <f t="shared" si="60"/>
        <v>769.95</v>
      </c>
      <c r="AG113" s="192">
        <v>0</v>
      </c>
      <c r="AH113" s="62">
        <f t="shared" si="61"/>
        <v>483.33404727705209</v>
      </c>
      <c r="AI113" s="62">
        <f t="shared" si="62"/>
        <v>156.39005148320828</v>
      </c>
      <c r="AJ113" s="62"/>
      <c r="AK113" s="62">
        <v>0</v>
      </c>
      <c r="AL113" s="256">
        <f t="shared" si="63"/>
        <v>24885.184098760259</v>
      </c>
      <c r="AM113" s="256">
        <f t="shared" si="64"/>
        <v>53100</v>
      </c>
      <c r="AN113" s="256">
        <f t="shared" si="65"/>
        <v>77985.184098760263</v>
      </c>
    </row>
    <row r="114" spans="1:40" x14ac:dyDescent="0.2">
      <c r="A114" s="311" t="s">
        <v>1149</v>
      </c>
      <c r="B114" s="351">
        <v>250</v>
      </c>
      <c r="C114" s="351" t="s">
        <v>145</v>
      </c>
      <c r="D114" s="351"/>
      <c r="E114" s="351">
        <v>200</v>
      </c>
      <c r="F114" s="351">
        <v>1000</v>
      </c>
      <c r="G114" s="351" t="s">
        <v>161</v>
      </c>
      <c r="H114" s="351" t="s">
        <v>497</v>
      </c>
      <c r="I114" s="312" t="str">
        <f>IF('Employee Detail FY25'!I114="","",'Employee Detail FY25'!I114)</f>
        <v>VACANT</v>
      </c>
      <c r="J114" s="311" t="s">
        <v>508</v>
      </c>
      <c r="K114" s="311" t="s">
        <v>389</v>
      </c>
      <c r="L114" s="311" t="s">
        <v>495</v>
      </c>
      <c r="M114" s="313">
        <v>1</v>
      </c>
      <c r="N114" s="311"/>
      <c r="O114" s="311"/>
      <c r="P114" s="311" t="s">
        <v>342</v>
      </c>
      <c r="Q114" s="311" t="s">
        <v>386</v>
      </c>
      <c r="R114" s="311" t="s">
        <v>386</v>
      </c>
      <c r="S114" s="311" t="s">
        <v>386</v>
      </c>
      <c r="T114" s="263" t="str">
        <f t="shared" si="67"/>
        <v/>
      </c>
      <c r="U114" s="269">
        <v>45000</v>
      </c>
      <c r="V114" s="270">
        <f t="shared" si="54"/>
        <v>53100</v>
      </c>
      <c r="W114" s="270" t="str">
        <f t="shared" si="55"/>
        <v/>
      </c>
      <c r="X114" s="270">
        <f t="shared" si="56"/>
        <v>53100</v>
      </c>
      <c r="Y114" s="62">
        <v>0</v>
      </c>
      <c r="Z114" s="62">
        <v>0</v>
      </c>
      <c r="AA114" s="256">
        <f t="shared" si="57"/>
        <v>53100</v>
      </c>
      <c r="AB114" s="3"/>
      <c r="AC114" s="62">
        <f t="shared" si="66"/>
        <v>7943.76</v>
      </c>
      <c r="AD114" s="62" t="str">
        <f t="shared" si="58"/>
        <v/>
      </c>
      <c r="AE114" s="62">
        <f t="shared" si="59"/>
        <v>15531.749999999998</v>
      </c>
      <c r="AF114" s="62">
        <f t="shared" si="60"/>
        <v>769.95</v>
      </c>
      <c r="AG114" s="192">
        <v>0</v>
      </c>
      <c r="AH114" s="62">
        <f t="shared" si="61"/>
        <v>483.33404727705209</v>
      </c>
      <c r="AI114" s="62">
        <f t="shared" si="62"/>
        <v>156.39005148320828</v>
      </c>
      <c r="AJ114" s="62"/>
      <c r="AK114" s="62">
        <v>0</v>
      </c>
      <c r="AL114" s="256">
        <f t="shared" si="63"/>
        <v>24885.184098760259</v>
      </c>
      <c r="AM114" s="256">
        <f t="shared" si="64"/>
        <v>53100</v>
      </c>
      <c r="AN114" s="256">
        <f t="shared" si="65"/>
        <v>77985.184098760263</v>
      </c>
    </row>
    <row r="115" spans="1:40" x14ac:dyDescent="0.2">
      <c r="A115" s="311" t="s">
        <v>1149</v>
      </c>
      <c r="B115" s="311" t="s">
        <v>462</v>
      </c>
      <c r="C115" s="311" t="s">
        <v>145</v>
      </c>
      <c r="D115" s="311"/>
      <c r="E115" s="311" t="s">
        <v>463</v>
      </c>
      <c r="F115" s="311" t="s">
        <v>461</v>
      </c>
      <c r="G115" s="311" t="s">
        <v>161</v>
      </c>
      <c r="H115" s="311"/>
      <c r="I115" s="312" t="str">
        <f>IF('Employee Detail FY25'!I115="","",'Employee Detail FY25'!I115)</f>
        <v>VACANT</v>
      </c>
      <c r="J115" s="311" t="s">
        <v>508</v>
      </c>
      <c r="K115" s="312" t="s">
        <v>389</v>
      </c>
      <c r="L115" s="312" t="s">
        <v>896</v>
      </c>
      <c r="M115" s="313">
        <v>1</v>
      </c>
      <c r="N115" s="311"/>
      <c r="O115" s="311"/>
      <c r="P115" s="311" t="s">
        <v>342</v>
      </c>
      <c r="Q115" s="311" t="s">
        <v>386</v>
      </c>
      <c r="R115" s="311"/>
      <c r="S115" s="311"/>
      <c r="T115" s="263"/>
      <c r="U115" s="269">
        <v>65000</v>
      </c>
      <c r="V115" s="270">
        <f t="shared" si="54"/>
        <v>76700</v>
      </c>
      <c r="W115" s="270" t="str">
        <f t="shared" si="55"/>
        <v/>
      </c>
      <c r="X115" s="270">
        <f t="shared" si="56"/>
        <v>76700</v>
      </c>
      <c r="Y115" s="62">
        <v>0</v>
      </c>
      <c r="Z115" s="62">
        <v>0</v>
      </c>
      <c r="AA115" s="256">
        <f t="shared" si="57"/>
        <v>76700</v>
      </c>
      <c r="AB115" s="3"/>
      <c r="AC115" s="62">
        <f t="shared" si="66"/>
        <v>7943.76</v>
      </c>
      <c r="AD115" s="62" t="str">
        <f t="shared" si="58"/>
        <v/>
      </c>
      <c r="AE115" s="62">
        <f t="shared" si="59"/>
        <v>22434.75</v>
      </c>
      <c r="AF115" s="62">
        <f t="shared" si="60"/>
        <v>1112.1500000000001</v>
      </c>
      <c r="AG115" s="192">
        <v>0</v>
      </c>
      <c r="AH115" s="62">
        <f t="shared" si="61"/>
        <v>698.14917940018643</v>
      </c>
      <c r="AI115" s="62">
        <f t="shared" si="62"/>
        <v>225.89674103130085</v>
      </c>
      <c r="AJ115" s="62"/>
      <c r="AK115" s="62">
        <v>0</v>
      </c>
      <c r="AL115" s="256">
        <f t="shared" si="63"/>
        <v>32414.70592043149</v>
      </c>
      <c r="AM115" s="256">
        <f t="shared" si="64"/>
        <v>76700</v>
      </c>
      <c r="AN115" s="256">
        <f t="shared" si="65"/>
        <v>109114.70592043149</v>
      </c>
    </row>
    <row r="116" spans="1:40" x14ac:dyDescent="0.2">
      <c r="A116" s="311"/>
      <c r="B116" s="351"/>
      <c r="C116" s="351"/>
      <c r="D116" s="351"/>
      <c r="E116" s="351"/>
      <c r="F116" s="351"/>
      <c r="G116" s="351"/>
      <c r="H116" s="35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263" t="str">
        <f t="shared" ref="T116:T122" si="68">+IF(R116="","",R116*S116)</f>
        <v/>
      </c>
      <c r="U116" s="269"/>
      <c r="V116" s="270" t="str">
        <f t="shared" si="54"/>
        <v/>
      </c>
      <c r="W116" s="270" t="str">
        <f t="shared" si="55"/>
        <v/>
      </c>
      <c r="X116" s="270" t="str">
        <f t="shared" si="56"/>
        <v/>
      </c>
      <c r="Y116" s="62">
        <v>0</v>
      </c>
      <c r="Z116" s="62">
        <v>0</v>
      </c>
      <c r="AA116" s="256">
        <f t="shared" si="57"/>
        <v>0</v>
      </c>
      <c r="AB116" s="3"/>
      <c r="AC116" s="62" t="str">
        <f t="shared" si="66"/>
        <v/>
      </c>
      <c r="AD116" s="62" t="str">
        <f t="shared" si="58"/>
        <v/>
      </c>
      <c r="AE116" s="62" t="str">
        <f t="shared" si="59"/>
        <v/>
      </c>
      <c r="AF116" s="62" t="str">
        <f t="shared" si="60"/>
        <v/>
      </c>
      <c r="AG116" s="192">
        <v>0</v>
      </c>
      <c r="AH116" s="62" t="str">
        <f t="shared" si="61"/>
        <v/>
      </c>
      <c r="AI116" s="62">
        <f t="shared" si="62"/>
        <v>0</v>
      </c>
      <c r="AJ116" s="62"/>
      <c r="AK116" s="62">
        <v>0</v>
      </c>
      <c r="AL116" s="256">
        <f t="shared" si="63"/>
        <v>0</v>
      </c>
      <c r="AM116" s="256">
        <f t="shared" si="64"/>
        <v>0</v>
      </c>
      <c r="AN116" s="256">
        <f t="shared" si="65"/>
        <v>0</v>
      </c>
    </row>
    <row r="117" spans="1:40" x14ac:dyDescent="0.2">
      <c r="A117" s="311" t="s">
        <v>1149</v>
      </c>
      <c r="B117" s="351">
        <v>100</v>
      </c>
      <c r="C117" s="351" t="s">
        <v>145</v>
      </c>
      <c r="D117" s="351"/>
      <c r="E117" s="351">
        <v>100</v>
      </c>
      <c r="F117" s="351">
        <v>1000</v>
      </c>
      <c r="G117" s="351" t="s">
        <v>161</v>
      </c>
      <c r="H117" s="351" t="s">
        <v>497</v>
      </c>
      <c r="I117" s="312" t="str">
        <f>IF('Employee Detail FY25'!I117="","",'Employee Detail FY25'!I117)</f>
        <v>VACANT</v>
      </c>
      <c r="J117" s="311" t="s">
        <v>1262</v>
      </c>
      <c r="K117" s="311" t="s">
        <v>389</v>
      </c>
      <c r="L117" s="311" t="s">
        <v>498</v>
      </c>
      <c r="M117" s="313">
        <v>1</v>
      </c>
      <c r="N117" s="311"/>
      <c r="O117" s="311"/>
      <c r="P117" s="311" t="s">
        <v>342</v>
      </c>
      <c r="Q117" s="311" t="s">
        <v>386</v>
      </c>
      <c r="R117" s="311" t="s">
        <v>386</v>
      </c>
      <c r="S117" s="311" t="s">
        <v>386</v>
      </c>
      <c r="T117" s="263" t="str">
        <f t="shared" si="68"/>
        <v/>
      </c>
      <c r="U117" s="269">
        <v>45000</v>
      </c>
      <c r="V117" s="270">
        <f t="shared" si="54"/>
        <v>53100</v>
      </c>
      <c r="W117" s="270" t="str">
        <f t="shared" si="55"/>
        <v/>
      </c>
      <c r="X117" s="270">
        <f t="shared" si="56"/>
        <v>53100</v>
      </c>
      <c r="Y117" s="62">
        <v>0</v>
      </c>
      <c r="Z117" s="62">
        <v>0</v>
      </c>
      <c r="AA117" s="256">
        <f t="shared" si="57"/>
        <v>53100</v>
      </c>
      <c r="AB117" s="3"/>
      <c r="AC117" s="62">
        <f t="shared" si="66"/>
        <v>7943.76</v>
      </c>
      <c r="AD117" s="62" t="str">
        <f t="shared" si="58"/>
        <v/>
      </c>
      <c r="AE117" s="62">
        <f t="shared" si="59"/>
        <v>15531.749999999998</v>
      </c>
      <c r="AF117" s="62">
        <f t="shared" si="60"/>
        <v>769.95</v>
      </c>
      <c r="AG117" s="192">
        <v>0</v>
      </c>
      <c r="AH117" s="62">
        <f t="shared" si="61"/>
        <v>483.33404727705209</v>
      </c>
      <c r="AI117" s="62">
        <f t="shared" si="62"/>
        <v>156.39005148320828</v>
      </c>
      <c r="AJ117" s="62"/>
      <c r="AK117" s="62">
        <v>0</v>
      </c>
      <c r="AL117" s="256">
        <f t="shared" si="63"/>
        <v>24885.184098760259</v>
      </c>
      <c r="AM117" s="256">
        <f t="shared" si="64"/>
        <v>53100</v>
      </c>
      <c r="AN117" s="256">
        <f t="shared" si="65"/>
        <v>77985.184098760263</v>
      </c>
    </row>
    <row r="118" spans="1:40" x14ac:dyDescent="0.2">
      <c r="A118" s="311" t="s">
        <v>1149</v>
      </c>
      <c r="B118" s="351">
        <v>100</v>
      </c>
      <c r="C118" s="351" t="s">
        <v>145</v>
      </c>
      <c r="D118" s="351"/>
      <c r="E118" s="351">
        <v>100</v>
      </c>
      <c r="F118" s="351">
        <v>1000</v>
      </c>
      <c r="G118" s="351" t="s">
        <v>161</v>
      </c>
      <c r="H118" s="351" t="s">
        <v>497</v>
      </c>
      <c r="I118" s="312" t="str">
        <f>IF('Employee Detail FY25'!I118="","",'Employee Detail FY25'!I118)</f>
        <v>VACANT</v>
      </c>
      <c r="J118" s="311" t="s">
        <v>1262</v>
      </c>
      <c r="K118" s="311" t="s">
        <v>389</v>
      </c>
      <c r="L118" s="311" t="s">
        <v>498</v>
      </c>
      <c r="M118" s="313">
        <v>1</v>
      </c>
      <c r="N118" s="311"/>
      <c r="O118" s="311"/>
      <c r="P118" s="311" t="s">
        <v>342</v>
      </c>
      <c r="Q118" s="311" t="s">
        <v>386</v>
      </c>
      <c r="R118" s="311" t="s">
        <v>386</v>
      </c>
      <c r="S118" s="311" t="s">
        <v>386</v>
      </c>
      <c r="T118" s="263" t="str">
        <f t="shared" si="68"/>
        <v/>
      </c>
      <c r="U118" s="269">
        <v>45000</v>
      </c>
      <c r="V118" s="270">
        <f t="shared" si="54"/>
        <v>53100</v>
      </c>
      <c r="W118" s="270" t="str">
        <f t="shared" si="55"/>
        <v/>
      </c>
      <c r="X118" s="270">
        <f t="shared" si="56"/>
        <v>53100</v>
      </c>
      <c r="Y118" s="62">
        <v>0</v>
      </c>
      <c r="Z118" s="62">
        <v>0</v>
      </c>
      <c r="AA118" s="256">
        <f t="shared" si="57"/>
        <v>53100</v>
      </c>
      <c r="AB118" s="3"/>
      <c r="AC118" s="62">
        <f t="shared" si="66"/>
        <v>7943.76</v>
      </c>
      <c r="AD118" s="62" t="str">
        <f t="shared" si="58"/>
        <v/>
      </c>
      <c r="AE118" s="62">
        <f t="shared" si="59"/>
        <v>15531.749999999998</v>
      </c>
      <c r="AF118" s="62">
        <f t="shared" si="60"/>
        <v>769.95</v>
      </c>
      <c r="AG118" s="192">
        <v>0</v>
      </c>
      <c r="AH118" s="62">
        <f t="shared" si="61"/>
        <v>483.33404727705209</v>
      </c>
      <c r="AI118" s="62">
        <f t="shared" si="62"/>
        <v>156.39005148320828</v>
      </c>
      <c r="AJ118" s="62"/>
      <c r="AK118" s="62">
        <v>0</v>
      </c>
      <c r="AL118" s="256">
        <f t="shared" si="63"/>
        <v>24885.184098760259</v>
      </c>
      <c r="AM118" s="256">
        <f t="shared" si="64"/>
        <v>53100</v>
      </c>
      <c r="AN118" s="256">
        <f t="shared" si="65"/>
        <v>77985.184098760263</v>
      </c>
    </row>
    <row r="119" spans="1:40" x14ac:dyDescent="0.2">
      <c r="A119" s="311" t="s">
        <v>1149</v>
      </c>
      <c r="B119" s="351">
        <v>250</v>
      </c>
      <c r="C119" s="351" t="s">
        <v>145</v>
      </c>
      <c r="D119" s="351"/>
      <c r="E119" s="351">
        <v>200</v>
      </c>
      <c r="F119" s="351">
        <v>1000</v>
      </c>
      <c r="G119" s="351" t="s">
        <v>161</v>
      </c>
      <c r="H119" s="351" t="s">
        <v>497</v>
      </c>
      <c r="I119" s="312" t="str">
        <f>IF('Employee Detail FY25'!I119="","",'Employee Detail FY25'!I119)</f>
        <v>VACANT</v>
      </c>
      <c r="J119" s="311" t="s">
        <v>1262</v>
      </c>
      <c r="K119" s="311" t="s">
        <v>389</v>
      </c>
      <c r="L119" s="311" t="s">
        <v>495</v>
      </c>
      <c r="M119" s="313">
        <v>1</v>
      </c>
      <c r="N119" s="311"/>
      <c r="O119" s="311"/>
      <c r="P119" s="311" t="s">
        <v>342</v>
      </c>
      <c r="Q119" s="311" t="s">
        <v>386</v>
      </c>
      <c r="R119" s="311" t="s">
        <v>386</v>
      </c>
      <c r="S119" s="311" t="s">
        <v>386</v>
      </c>
      <c r="T119" s="263" t="str">
        <f t="shared" si="68"/>
        <v/>
      </c>
      <c r="U119" s="269">
        <v>45000</v>
      </c>
      <c r="V119" s="270">
        <f t="shared" si="54"/>
        <v>53100</v>
      </c>
      <c r="W119" s="270" t="str">
        <f t="shared" si="55"/>
        <v/>
      </c>
      <c r="X119" s="270">
        <f t="shared" si="56"/>
        <v>53100</v>
      </c>
      <c r="Y119" s="62">
        <v>0</v>
      </c>
      <c r="Z119" s="62">
        <v>0</v>
      </c>
      <c r="AA119" s="256">
        <f t="shared" si="57"/>
        <v>53100</v>
      </c>
      <c r="AB119" s="3"/>
      <c r="AC119" s="62">
        <f t="shared" si="66"/>
        <v>7943.76</v>
      </c>
      <c r="AD119" s="62" t="str">
        <f t="shared" si="58"/>
        <v/>
      </c>
      <c r="AE119" s="62">
        <f t="shared" si="59"/>
        <v>15531.749999999998</v>
      </c>
      <c r="AF119" s="62">
        <f t="shared" si="60"/>
        <v>769.95</v>
      </c>
      <c r="AG119" s="192">
        <v>0</v>
      </c>
      <c r="AH119" s="62">
        <f t="shared" si="61"/>
        <v>483.33404727705209</v>
      </c>
      <c r="AI119" s="62">
        <f t="shared" si="62"/>
        <v>156.39005148320828</v>
      </c>
      <c r="AJ119" s="62"/>
      <c r="AK119" s="62">
        <v>0</v>
      </c>
      <c r="AL119" s="256">
        <f t="shared" si="63"/>
        <v>24885.184098760259</v>
      </c>
      <c r="AM119" s="256">
        <f t="shared" si="64"/>
        <v>53100</v>
      </c>
      <c r="AN119" s="256">
        <f t="shared" si="65"/>
        <v>77985.184098760263</v>
      </c>
    </row>
    <row r="120" spans="1:40" x14ac:dyDescent="0.2">
      <c r="A120" s="311" t="s">
        <v>1149</v>
      </c>
      <c r="B120" s="311">
        <v>100</v>
      </c>
      <c r="C120" s="311" t="s">
        <v>145</v>
      </c>
      <c r="D120" s="311"/>
      <c r="E120" s="311">
        <v>100</v>
      </c>
      <c r="F120" s="311">
        <v>1000</v>
      </c>
      <c r="G120" s="311" t="s">
        <v>169</v>
      </c>
      <c r="H120" s="311"/>
      <c r="I120" s="312" t="s">
        <v>1149</v>
      </c>
      <c r="J120" s="312" t="s">
        <v>1262</v>
      </c>
      <c r="K120" s="312" t="s">
        <v>384</v>
      </c>
      <c r="L120" s="312" t="s">
        <v>989</v>
      </c>
      <c r="M120" s="313">
        <v>1</v>
      </c>
      <c r="N120" s="311"/>
      <c r="O120" s="311"/>
      <c r="P120" s="311" t="s">
        <v>342</v>
      </c>
      <c r="Q120" s="311"/>
      <c r="R120" s="311"/>
      <c r="S120" s="311"/>
      <c r="T120" s="263" t="str">
        <f t="shared" si="68"/>
        <v/>
      </c>
      <c r="U120" s="269">
        <v>31500</v>
      </c>
      <c r="V120" s="270">
        <f t="shared" si="54"/>
        <v>37170</v>
      </c>
      <c r="W120" s="270" t="str">
        <f t="shared" si="55"/>
        <v/>
      </c>
      <c r="X120" s="270">
        <f t="shared" si="56"/>
        <v>37170</v>
      </c>
      <c r="Y120" s="62">
        <v>0</v>
      </c>
      <c r="Z120" s="62">
        <v>0</v>
      </c>
      <c r="AA120" s="256">
        <f t="shared" si="57"/>
        <v>37170</v>
      </c>
      <c r="AB120" s="3"/>
      <c r="AC120" s="62">
        <f t="shared" si="66"/>
        <v>7943.76</v>
      </c>
      <c r="AD120" s="62" t="str">
        <f t="shared" si="58"/>
        <v/>
      </c>
      <c r="AE120" s="62">
        <f t="shared" si="59"/>
        <v>10872.224999999999</v>
      </c>
      <c r="AF120" s="62">
        <f t="shared" si="60"/>
        <v>538.96500000000003</v>
      </c>
      <c r="AG120" s="192">
        <v>0</v>
      </c>
      <c r="AH120" s="62">
        <f t="shared" si="61"/>
        <v>338.33383309393651</v>
      </c>
      <c r="AI120" s="62">
        <f t="shared" si="62"/>
        <v>109.47303603824579</v>
      </c>
      <c r="AJ120" s="62"/>
      <c r="AK120" s="62">
        <v>0</v>
      </c>
      <c r="AL120" s="256">
        <f t="shared" si="63"/>
        <v>19802.756869132183</v>
      </c>
      <c r="AM120" s="256">
        <f t="shared" si="64"/>
        <v>37170</v>
      </c>
      <c r="AN120" s="256">
        <f t="shared" si="65"/>
        <v>56972.756869132179</v>
      </c>
    </row>
    <row r="121" spans="1:40" x14ac:dyDescent="0.2">
      <c r="A121" s="311" t="str">
        <f>IF('Employee Detail FY25'!A121="","",'Employee Detail FY25'!A121)</f>
        <v/>
      </c>
      <c r="B121" s="311" t="str">
        <f>IF('Employee Detail FY25'!B121="","",'Employee Detail FY25'!B121)</f>
        <v/>
      </c>
      <c r="C121" s="311" t="str">
        <f>IF('Employee Detail FY25'!C121="","",'Employee Detail FY25'!C121)</f>
        <v/>
      </c>
      <c r="D121" s="311"/>
      <c r="E121" s="311" t="str">
        <f>IF('Employee Detail FY25'!E121="","",'Employee Detail FY25'!E121)</f>
        <v/>
      </c>
      <c r="F121" s="311" t="str">
        <f>IF('Employee Detail FY25'!F121="","",'Employee Detail FY25'!F121)</f>
        <v/>
      </c>
      <c r="G121" s="311" t="str">
        <f>IF('Employee Detail FY25'!G121="","",'Employee Detail FY25'!G121)</f>
        <v/>
      </c>
      <c r="H121" s="311"/>
      <c r="I121" s="312" t="str">
        <f>IF('Employee Detail FY25'!I121="","",'Employee Detail FY25'!I121)</f>
        <v/>
      </c>
      <c r="J121" s="312" t="str">
        <f>IF('Employee Detail FY25'!J121="","",'Employee Detail FY25'!J121)</f>
        <v/>
      </c>
      <c r="K121" s="312" t="str">
        <f>IF('Employee Detail FY25'!K121="","",'Employee Detail FY25'!K121)</f>
        <v/>
      </c>
      <c r="L121" s="312" t="str">
        <f>IF('Employee Detail FY25'!L121="","",'Employee Detail FY25'!L121)</f>
        <v/>
      </c>
      <c r="M121" s="313"/>
      <c r="N121" s="311"/>
      <c r="O121" s="311"/>
      <c r="P121" s="311"/>
      <c r="Q121" s="311"/>
      <c r="R121" s="311"/>
      <c r="S121" s="311"/>
      <c r="T121" s="263" t="str">
        <f t="shared" si="68"/>
        <v/>
      </c>
      <c r="U121" s="269" t="str">
        <f>IF('Employee Detail FY25'!U121="","",'Employee Detail FY25'!U121)</f>
        <v/>
      </c>
      <c r="V121" s="270" t="str">
        <f t="shared" si="54"/>
        <v/>
      </c>
      <c r="W121" s="270" t="str">
        <f t="shared" si="55"/>
        <v/>
      </c>
      <c r="X121" s="270" t="str">
        <f t="shared" si="56"/>
        <v/>
      </c>
      <c r="Y121" s="62">
        <v>0</v>
      </c>
      <c r="Z121" s="62">
        <v>0</v>
      </c>
      <c r="AA121" s="256">
        <f t="shared" si="57"/>
        <v>0</v>
      </c>
      <c r="AB121" s="3"/>
      <c r="AC121" s="62" t="str">
        <f t="shared" si="66"/>
        <v/>
      </c>
      <c r="AD121" s="62" t="str">
        <f t="shared" si="58"/>
        <v/>
      </c>
      <c r="AE121" s="62" t="str">
        <f t="shared" si="59"/>
        <v/>
      </c>
      <c r="AF121" s="62" t="str">
        <f t="shared" si="60"/>
        <v/>
      </c>
      <c r="AG121" s="192">
        <v>0</v>
      </c>
      <c r="AH121" s="62" t="str">
        <f t="shared" si="61"/>
        <v/>
      </c>
      <c r="AI121" s="62">
        <f t="shared" si="62"/>
        <v>0</v>
      </c>
      <c r="AJ121" s="62"/>
      <c r="AK121" s="62">
        <v>0</v>
      </c>
      <c r="AL121" s="256">
        <f t="shared" si="63"/>
        <v>0</v>
      </c>
      <c r="AM121" s="256">
        <f t="shared" si="64"/>
        <v>0</v>
      </c>
      <c r="AN121" s="256">
        <f t="shared" si="65"/>
        <v>0</v>
      </c>
    </row>
    <row r="122" spans="1:40" x14ac:dyDescent="0.2">
      <c r="A122" s="311" t="s">
        <v>1149</v>
      </c>
      <c r="B122" s="351">
        <v>250</v>
      </c>
      <c r="C122" s="351" t="s">
        <v>145</v>
      </c>
      <c r="D122" s="351"/>
      <c r="E122" s="351">
        <v>200</v>
      </c>
      <c r="F122" s="351">
        <v>1000</v>
      </c>
      <c r="G122" s="351" t="s">
        <v>161</v>
      </c>
      <c r="H122" s="351" t="s">
        <v>497</v>
      </c>
      <c r="I122" s="312" t="str">
        <f>IF('Employee Detail FY25'!I122="","",'Employee Detail FY25'!I122)</f>
        <v>VACANT</v>
      </c>
      <c r="J122" s="311" t="s">
        <v>1263</v>
      </c>
      <c r="K122" s="311" t="s">
        <v>389</v>
      </c>
      <c r="L122" s="311" t="s">
        <v>495</v>
      </c>
      <c r="M122" s="313">
        <v>1</v>
      </c>
      <c r="N122" s="311"/>
      <c r="O122" s="311"/>
      <c r="P122" s="311" t="s">
        <v>342</v>
      </c>
      <c r="Q122" s="311" t="s">
        <v>386</v>
      </c>
      <c r="R122" s="311" t="s">
        <v>386</v>
      </c>
      <c r="S122" s="311" t="s">
        <v>386</v>
      </c>
      <c r="T122" s="263" t="str">
        <f t="shared" si="68"/>
        <v/>
      </c>
      <c r="U122" s="269">
        <v>45000</v>
      </c>
      <c r="V122" s="270">
        <f t="shared" si="54"/>
        <v>53100</v>
      </c>
      <c r="W122" s="270" t="str">
        <f t="shared" si="55"/>
        <v/>
      </c>
      <c r="X122" s="270">
        <f t="shared" si="56"/>
        <v>53100</v>
      </c>
      <c r="Y122" s="62">
        <v>0</v>
      </c>
      <c r="Z122" s="62">
        <v>0</v>
      </c>
      <c r="AA122" s="256">
        <f t="shared" si="57"/>
        <v>53100</v>
      </c>
      <c r="AB122" s="3"/>
      <c r="AC122" s="62">
        <f t="shared" si="66"/>
        <v>7943.76</v>
      </c>
      <c r="AD122" s="62" t="str">
        <f t="shared" si="58"/>
        <v/>
      </c>
      <c r="AE122" s="62">
        <f t="shared" si="59"/>
        <v>15531.749999999998</v>
      </c>
      <c r="AF122" s="62">
        <f t="shared" si="60"/>
        <v>769.95</v>
      </c>
      <c r="AG122" s="192">
        <v>0</v>
      </c>
      <c r="AH122" s="62">
        <f t="shared" si="61"/>
        <v>483.33404727705209</v>
      </c>
      <c r="AI122" s="62">
        <f t="shared" si="62"/>
        <v>156.39005148320828</v>
      </c>
      <c r="AJ122" s="62"/>
      <c r="AK122" s="62">
        <v>0</v>
      </c>
      <c r="AL122" s="256">
        <f t="shared" si="63"/>
        <v>24885.184098760259</v>
      </c>
      <c r="AM122" s="256">
        <f t="shared" si="64"/>
        <v>53100</v>
      </c>
      <c r="AN122" s="256">
        <f t="shared" si="65"/>
        <v>77985.184098760263</v>
      </c>
    </row>
    <row r="123" spans="1:40" x14ac:dyDescent="0.2">
      <c r="A123" s="311" t="str">
        <f>IF('Employee Detail FY23'!A149="","",'Employee Detail FY23'!A149)</f>
        <v/>
      </c>
      <c r="B123" s="311" t="str">
        <f>IF('Employee Detail FY23'!B149="","",'Employee Detail FY23'!B149)</f>
        <v/>
      </c>
      <c r="C123" s="311" t="str">
        <f>IF('Employee Detail FY23'!C149="","",'Employee Detail FY23'!C149)</f>
        <v/>
      </c>
      <c r="D123" s="311"/>
      <c r="E123" s="311" t="str">
        <f>IF('Employee Detail FY23'!E149="","",'Employee Detail FY23'!E149)</f>
        <v/>
      </c>
      <c r="F123" s="311" t="str">
        <f>IF('Employee Detail FY23'!F149="","",'Employee Detail FY23'!F149)</f>
        <v/>
      </c>
      <c r="G123" s="311" t="str">
        <f>IF('Employee Detail FY23'!G149="","",'Employee Detail FY23'!G149)</f>
        <v/>
      </c>
      <c r="H123" s="311"/>
      <c r="I123" s="312" t="str">
        <f>IF('Employee Detail FY23'!I149="","",'Employee Detail FY23'!I149)</f>
        <v/>
      </c>
      <c r="J123" s="312" t="str">
        <f>IF('Employee Detail FY23'!J149="","",'Employee Detail FY23'!J149)</f>
        <v/>
      </c>
      <c r="K123" s="312" t="str">
        <f>IF('Employee Detail FY23'!K149="","",'Employee Detail FY23'!K149)</f>
        <v/>
      </c>
      <c r="L123" s="312" t="str">
        <f>IF('Employee Detail FY23'!L149="","",'Employee Detail FY23'!L149)</f>
        <v/>
      </c>
      <c r="M123" s="313"/>
      <c r="N123" s="311"/>
      <c r="O123" s="311"/>
      <c r="P123" s="311"/>
      <c r="Q123" s="311" t="str">
        <f>IF('Employee Detail FY23'!Q149="","",'Employee Detail FY23'!Q149)</f>
        <v/>
      </c>
      <c r="R123" s="311" t="str">
        <f>IF('Employee Detail FY23'!R149="","",'Employee Detail FY23'!R149)</f>
        <v/>
      </c>
      <c r="S123" s="311" t="str">
        <f>IF('Employee Detail FY23'!S149="","",'Employee Detail FY23'!S149)</f>
        <v/>
      </c>
      <c r="T123" s="263" t="str">
        <f t="shared" ref="T123" si="69">+IF(R123="","",R123*S123)</f>
        <v/>
      </c>
      <c r="U123" s="269" t="str">
        <f>IF('Employee Detail FY23'!U149="","",'Employee Detail FY23'!U149)</f>
        <v/>
      </c>
      <c r="V123" s="270" t="str">
        <f t="shared" si="54"/>
        <v/>
      </c>
      <c r="W123" s="270" t="str">
        <f t="shared" ref="W123" si="70">+IF(P123="EE",+V123*$W$1,"")</f>
        <v/>
      </c>
      <c r="X123" s="270" t="str">
        <f t="shared" ref="X123" si="71">_xlfn.IFS(P123="ER",V123,P123="EE",W123,P123="N",V123,P123="","")</f>
        <v/>
      </c>
      <c r="Y123" s="62">
        <v>0</v>
      </c>
      <c r="Z123" s="62">
        <v>0</v>
      </c>
      <c r="AA123" s="256">
        <f t="shared" ref="AA123" si="72">SUM(X123:Z123)</f>
        <v>0</v>
      </c>
      <c r="AB123" s="3"/>
      <c r="AC123" s="62" t="str">
        <f t="shared" ref="AC123" si="73">IF(AND(M123=1,P123&lt;&gt;"N"),$AC$1,"")</f>
        <v/>
      </c>
      <c r="AD123" s="62" t="str">
        <f t="shared" ref="AD123" si="74">_xlfn.IFS(P123="N",$AD$1*AA123,P123="EE","",P123="ER","",P123="","")</f>
        <v/>
      </c>
      <c r="AE123" s="62" t="str">
        <f t="shared" ref="AE123" si="75">_xlfn.IFS(P123="EE",X123*$AE$1,P123="ER",X123*$AE$2,P123="N","",P123="","")</f>
        <v/>
      </c>
      <c r="AF123" s="62" t="str">
        <f t="shared" ref="AF123" si="76">+IF(AA123&gt;1,AA123*$AF$1,"")</f>
        <v/>
      </c>
      <c r="AG123" s="192">
        <v>0</v>
      </c>
      <c r="AH123" s="62" t="str">
        <f t="shared" ref="AH123" si="77">+IF(AA123&gt;1,AA123*$AH$1,"")</f>
        <v/>
      </c>
      <c r="AI123" s="62">
        <f t="shared" ref="AI123" si="78">+_xlfn.IFS(F123&lt;2300,(AA123*$AI$1),F123&gt;=2300,(AA123*$AI$2),F123="","")</f>
        <v>0</v>
      </c>
      <c r="AJ123" s="62"/>
      <c r="AK123" s="62">
        <v>0</v>
      </c>
      <c r="AL123" s="256">
        <f t="shared" ref="AL123" si="79">SUM(AC123:AK123)</f>
        <v>0</v>
      </c>
      <c r="AM123" s="256">
        <f t="shared" ref="AM123" si="80">AA123</f>
        <v>0</v>
      </c>
      <c r="AN123" s="256">
        <f t="shared" ref="AN123" si="81">SUM(AL123:AM123)</f>
        <v>0</v>
      </c>
    </row>
    <row r="124" spans="1:40" x14ac:dyDescent="0.2">
      <c r="A124" s="311"/>
      <c r="B124" s="351"/>
      <c r="C124" s="351"/>
      <c r="D124" s="351"/>
      <c r="E124" s="351"/>
      <c r="F124" s="351"/>
      <c r="G124" s="351"/>
      <c r="H124" s="35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263" t="str">
        <f>+IF(R124="","",R124*S124)</f>
        <v/>
      </c>
      <c r="U124" s="269" t="str">
        <f>IF('Employee Detail FY23'!U111="","",'Employee Detail FY23'!U111)</f>
        <v/>
      </c>
      <c r="V124" s="270" t="str">
        <f t="shared" si="54"/>
        <v/>
      </c>
      <c r="W124" s="270" t="str">
        <f>+IF(P124="EE",+V124*$W$1,"")</f>
        <v/>
      </c>
      <c r="X124" s="270" t="str">
        <f>_xlfn.IFS(P124="ER",V124,P124="EE",W124,P124="N",V124,P124="","")</f>
        <v/>
      </c>
      <c r="Y124" s="62">
        <v>0</v>
      </c>
      <c r="Z124" s="62">
        <v>0</v>
      </c>
      <c r="AA124" s="256">
        <f>SUM(X124:Z124)</f>
        <v>0</v>
      </c>
      <c r="AB124" s="3"/>
      <c r="AC124" s="62" t="str">
        <f>IF(AND(M124=1,P124&lt;&gt;"N"),$AC$1,"")</f>
        <v/>
      </c>
      <c r="AD124" s="62" t="str">
        <f>_xlfn.IFS(P124="N",$AD$1*AA124,P124="EE","",P124="ER","",P124="","")</f>
        <v/>
      </c>
      <c r="AE124" s="62" t="str">
        <f>_xlfn.IFS(P124="EE",X124*$AE$1,P124="ER",X124*$AE$2,P124="N","",P124="","")</f>
        <v/>
      </c>
      <c r="AF124" s="62" t="str">
        <f>+IF(AA124&gt;1,AA124*$AF$1,"")</f>
        <v/>
      </c>
      <c r="AG124" s="192">
        <v>0</v>
      </c>
      <c r="AH124" s="62" t="str">
        <f>+IF(AA124&gt;1,AA124*$AH$1,"")</f>
        <v/>
      </c>
      <c r="AI124" s="62">
        <f>+_xlfn.IFS(F124&lt;2300,(AA124*$AI$1),F124&gt;=2300,(AA124*$AI$2),F124="","")</f>
        <v>0</v>
      </c>
      <c r="AJ124" s="62"/>
      <c r="AK124" s="62">
        <v>0</v>
      </c>
      <c r="AL124" s="256">
        <f>SUM(AC124:AK124)</f>
        <v>0</v>
      </c>
      <c r="AM124" s="256">
        <f>AA124</f>
        <v>0</v>
      </c>
      <c r="AN124" s="256">
        <f>SUM(AL124:AM124)</f>
        <v>0</v>
      </c>
    </row>
    <row r="125" spans="1:40" x14ac:dyDescent="0.2">
      <c r="A125" s="311" t="str">
        <f>IF('Employee Detail FY25'!A125="","",'Employee Detail FY25'!A125)</f>
        <v/>
      </c>
      <c r="B125" s="311" t="str">
        <f>IF('Employee Detail FY25'!B125="","",'Employee Detail FY25'!B125)</f>
        <v/>
      </c>
      <c r="C125" s="311" t="str">
        <f>IF('Employee Detail FY25'!C125="","",'Employee Detail FY25'!C125)</f>
        <v/>
      </c>
      <c r="D125" s="311"/>
      <c r="E125" s="311" t="str">
        <f>IF('Employee Detail FY25'!E125="","",'Employee Detail FY25'!E125)</f>
        <v/>
      </c>
      <c r="F125" s="311" t="str">
        <f>IF('Employee Detail FY25'!F125="","",'Employee Detail FY25'!F125)</f>
        <v/>
      </c>
      <c r="G125" s="311" t="str">
        <f>IF('Employee Detail FY25'!G125="","",'Employee Detail FY25'!G125)</f>
        <v/>
      </c>
      <c r="H125" s="311"/>
      <c r="I125" s="312" t="str">
        <f>IF('Employee Detail FY25'!I125="","",'Employee Detail FY25'!I125)</f>
        <v/>
      </c>
      <c r="J125" s="312" t="str">
        <f>IF('Employee Detail FY25'!J125="","",'Employee Detail FY25'!J125)</f>
        <v/>
      </c>
      <c r="K125" s="312" t="str">
        <f>IF('Employee Detail FY25'!K125="","",'Employee Detail FY25'!K125)</f>
        <v/>
      </c>
      <c r="L125" s="312" t="str">
        <f>IF('Employee Detail FY25'!L125="","",'Employee Detail FY25'!L125)</f>
        <v/>
      </c>
      <c r="M125" s="313"/>
      <c r="N125" s="311"/>
      <c r="O125" s="311"/>
      <c r="P125" s="311"/>
      <c r="Q125" s="311" t="str">
        <f>IF('Employee Detail FY25'!Q125="","",'Employee Detail FY25'!Q125)</f>
        <v/>
      </c>
      <c r="R125" s="311" t="str">
        <f>IF('Employee Detail FY25'!R125="","",'Employee Detail FY25'!R125)</f>
        <v/>
      </c>
      <c r="S125" s="311" t="str">
        <f>IF('Employee Detail FY25'!S125="","",'Employee Detail FY25'!S125)</f>
        <v/>
      </c>
      <c r="T125" s="263" t="str">
        <f>+IF(R125="","",R125*S125)</f>
        <v/>
      </c>
      <c r="U125" s="269" t="str">
        <f>IF('Employee Detail FY25'!U125="","",'Employee Detail FY25'!U125)</f>
        <v/>
      </c>
      <c r="V125" s="270" t="str">
        <f t="shared" si="54"/>
        <v/>
      </c>
      <c r="W125" s="270" t="str">
        <f>+IF(P125="EE",+V125*$W$1,"")</f>
        <v/>
      </c>
      <c r="X125" s="270" t="str">
        <f>_xlfn.IFS(P125="ER",V125,P125="EE",W125,P125="N",V125,P125="","")</f>
        <v/>
      </c>
      <c r="Y125" s="62">
        <v>0</v>
      </c>
      <c r="Z125" s="62">
        <v>0</v>
      </c>
      <c r="AA125" s="256">
        <f>SUM(X125:Z125)</f>
        <v>0</v>
      </c>
      <c r="AB125" s="3"/>
      <c r="AC125" s="62" t="str">
        <f>IF(AND(M125=1,P125&lt;&gt;"N"),$AC$1,"")</f>
        <v/>
      </c>
      <c r="AD125" s="62" t="str">
        <f>_xlfn.IFS(P125="N",$AD$1*AA125,P125="EE","",P125="ER","",P125="","")</f>
        <v/>
      </c>
      <c r="AE125" s="62" t="str">
        <f>_xlfn.IFS(P125="EE",X125*$AE$1,P125="ER",X125*$AE$2,P125="N","",P125="","")</f>
        <v/>
      </c>
      <c r="AF125" s="62" t="str">
        <f>+IF(AA125&gt;1,AA125*$AF$1,"")</f>
        <v/>
      </c>
      <c r="AG125" s="192">
        <v>0</v>
      </c>
      <c r="AH125" s="62" t="str">
        <f>+IF(AA125&gt;1,AA125*$AH$1,"")</f>
        <v/>
      </c>
      <c r="AI125" s="62">
        <f>+_xlfn.IFS(F125&lt;2300,(AA125*$AI$1),F125&gt;=2300,(AA125*$AI$2),F125="","")</f>
        <v>0</v>
      </c>
      <c r="AJ125" s="62"/>
      <c r="AK125" s="62">
        <v>0</v>
      </c>
      <c r="AL125" s="256">
        <f>SUM(AC125:AK125)</f>
        <v>0</v>
      </c>
      <c r="AM125" s="256">
        <f>AA125</f>
        <v>0</v>
      </c>
      <c r="AN125" s="256">
        <f>SUM(AL125:AM125)</f>
        <v>0</v>
      </c>
    </row>
    <row r="126" spans="1:40" x14ac:dyDescent="0.2">
      <c r="A126" s="311"/>
      <c r="B126" s="351"/>
      <c r="C126" s="351"/>
      <c r="D126" s="351"/>
      <c r="E126" s="351"/>
      <c r="F126" s="351"/>
      <c r="G126" s="351"/>
      <c r="H126" s="35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263" t="str">
        <f t="shared" si="47"/>
        <v/>
      </c>
      <c r="U126" s="269"/>
      <c r="V126" s="270" t="str">
        <f t="shared" si="48"/>
        <v/>
      </c>
      <c r="W126" s="270" t="str">
        <f t="shared" si="49"/>
        <v/>
      </c>
      <c r="X126" s="270" t="str">
        <f t="shared" si="50"/>
        <v/>
      </c>
      <c r="Y126" s="62">
        <v>0</v>
      </c>
      <c r="Z126" s="62">
        <v>0</v>
      </c>
      <c r="AA126" s="256">
        <f t="shared" si="0"/>
        <v>0</v>
      </c>
      <c r="AB126" s="3"/>
      <c r="AC126" s="62" t="str">
        <f t="shared" si="25"/>
        <v/>
      </c>
      <c r="AD126" s="62" t="str">
        <f t="shared" si="1"/>
        <v/>
      </c>
      <c r="AE126" s="62" t="str">
        <f t="shared" si="2"/>
        <v/>
      </c>
      <c r="AF126" s="62" t="str">
        <f t="shared" si="3"/>
        <v/>
      </c>
      <c r="AG126" s="192">
        <v>0</v>
      </c>
      <c r="AH126" s="62" t="str">
        <f t="shared" si="4"/>
        <v/>
      </c>
      <c r="AI126" s="62">
        <f t="shared" si="5"/>
        <v>0</v>
      </c>
      <c r="AJ126" s="62"/>
      <c r="AK126" s="62">
        <v>0</v>
      </c>
      <c r="AL126" s="256">
        <f t="shared" si="51"/>
        <v>0</v>
      </c>
      <c r="AM126" s="256">
        <f t="shared" si="52"/>
        <v>0</v>
      </c>
      <c r="AN126" s="256">
        <f t="shared" si="53"/>
        <v>0</v>
      </c>
    </row>
    <row r="127" spans="1:40" x14ac:dyDescent="0.2">
      <c r="A127" s="311" t="str">
        <f>IF('Employee Detail FY23'!A144="","",'Employee Detail FY23'!A144)</f>
        <v/>
      </c>
      <c r="B127" s="311" t="str">
        <f>IF('Employee Detail FY23'!B144="","",'Employee Detail FY23'!B144)</f>
        <v/>
      </c>
      <c r="C127" s="311" t="str">
        <f>IF('Employee Detail FY23'!C144="","",'Employee Detail FY23'!C144)</f>
        <v/>
      </c>
      <c r="D127" s="311"/>
      <c r="E127" s="311" t="str">
        <f>IF('Employee Detail FY23'!E144="","",'Employee Detail FY23'!E144)</f>
        <v/>
      </c>
      <c r="F127" s="311" t="str">
        <f>IF('Employee Detail FY23'!F144="","",'Employee Detail FY23'!F144)</f>
        <v/>
      </c>
      <c r="G127" s="311" t="str">
        <f>IF('Employee Detail FY23'!G144="","",'Employee Detail FY23'!G144)</f>
        <v/>
      </c>
      <c r="H127" s="311"/>
      <c r="I127" s="312" t="str">
        <f>IF('Employee Detail FY23'!I144="","",'Employee Detail FY23'!I144)</f>
        <v/>
      </c>
      <c r="J127" s="312" t="str">
        <f>IF('Employee Detail FY23'!J144="","",'Employee Detail FY23'!J144)</f>
        <v/>
      </c>
      <c r="K127" s="312" t="str">
        <f>IF('Employee Detail FY23'!K144="","",'Employee Detail FY23'!K144)</f>
        <v/>
      </c>
      <c r="L127" s="312" t="str">
        <f>IF('Employee Detail FY23'!L144="","",'Employee Detail FY23'!L144)</f>
        <v/>
      </c>
      <c r="M127" s="313"/>
      <c r="N127" s="311"/>
      <c r="O127" s="311"/>
      <c r="P127" s="311"/>
      <c r="Q127" s="311" t="str">
        <f>IF('Employee Detail FY23'!Q144="","",'Employee Detail FY23'!Q144)</f>
        <v/>
      </c>
      <c r="R127" s="311" t="str">
        <f>IF('Employee Detail FY23'!R144="","",'Employee Detail FY23'!R144)</f>
        <v/>
      </c>
      <c r="S127" s="311" t="str">
        <f>IF('Employee Detail FY23'!S144="","",'Employee Detail FY23'!S144)</f>
        <v/>
      </c>
      <c r="T127" s="263" t="str">
        <f t="shared" ref="T127" si="82">+IF(R127="","",R127*S127)</f>
        <v/>
      </c>
      <c r="U127" s="269" t="str">
        <f>IF('Employee Detail FY23'!U144="","",'Employee Detail FY23'!U144)</f>
        <v/>
      </c>
      <c r="V127" s="270" t="str">
        <f t="shared" si="48"/>
        <v/>
      </c>
      <c r="W127" s="270" t="str">
        <f t="shared" ref="W127" si="83">+IF(P127="EE",+V127*$W$1,"")</f>
        <v/>
      </c>
      <c r="X127" s="270" t="str">
        <f t="shared" ref="X127" si="84">_xlfn.IFS(P127="ER",V127,P127="EE",W127,P127="N",V127,P127="","")</f>
        <v/>
      </c>
      <c r="Y127" s="62">
        <v>0</v>
      </c>
      <c r="Z127" s="62">
        <v>0</v>
      </c>
      <c r="AA127" s="256">
        <f t="shared" ref="AA127" si="85">SUM(X127:Z127)</f>
        <v>0</v>
      </c>
      <c r="AB127" s="3"/>
      <c r="AC127" s="62" t="str">
        <f t="shared" ref="AC127" si="86">IF(AND(M127=1,P127&lt;&gt;"N"),$AC$1,"")</f>
        <v/>
      </c>
      <c r="AD127" s="62" t="str">
        <f t="shared" ref="AD127" si="87">_xlfn.IFS(P127="N",$AD$1*AA127,P127="EE","",P127="ER","",P127="","")</f>
        <v/>
      </c>
      <c r="AE127" s="62" t="str">
        <f t="shared" ref="AE127" si="88">_xlfn.IFS(P127="EE",X127*$AE$1,P127="ER",X127*$AE$2,P127="N","",P127="","")</f>
        <v/>
      </c>
      <c r="AF127" s="62" t="str">
        <f t="shared" ref="AF127" si="89">+IF(AA127&gt;1,AA127*$AF$1,"")</f>
        <v/>
      </c>
      <c r="AG127" s="192">
        <v>0</v>
      </c>
      <c r="AH127" s="62" t="str">
        <f t="shared" ref="AH127" si="90">+IF(AA127&gt;1,AA127*$AH$1,"")</f>
        <v/>
      </c>
      <c r="AI127" s="62">
        <f t="shared" ref="AI127" si="91">+_xlfn.IFS(F127&lt;2300,(AA127*$AI$1),F127&gt;=2300,(AA127*$AI$2),F127="","")</f>
        <v>0</v>
      </c>
      <c r="AJ127" s="62"/>
      <c r="AK127" s="62">
        <v>0</v>
      </c>
      <c r="AL127" s="256">
        <f t="shared" ref="AL127" si="92">SUM(AC127:AK127)</f>
        <v>0</v>
      </c>
      <c r="AM127" s="256">
        <f t="shared" ref="AM127" si="93">AA127</f>
        <v>0</v>
      </c>
      <c r="AN127" s="256">
        <f t="shared" ref="AN127" si="94">SUM(AL127:AM127)</f>
        <v>0</v>
      </c>
    </row>
    <row r="128" spans="1:40" x14ac:dyDescent="0.2">
      <c r="A128" s="311"/>
      <c r="B128" s="351"/>
      <c r="C128" s="351"/>
      <c r="D128" s="351"/>
      <c r="E128" s="351"/>
      <c r="F128" s="351"/>
      <c r="G128" s="351"/>
      <c r="H128" s="35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263" t="str">
        <f t="shared" si="47"/>
        <v/>
      </c>
      <c r="U128" s="269"/>
      <c r="V128" s="270" t="str">
        <f t="shared" si="48"/>
        <v/>
      </c>
      <c r="W128" s="270" t="str">
        <f t="shared" si="49"/>
        <v/>
      </c>
      <c r="X128" s="270" t="str">
        <f t="shared" si="50"/>
        <v/>
      </c>
      <c r="Y128" s="62">
        <v>0</v>
      </c>
      <c r="Z128" s="62">
        <v>0</v>
      </c>
      <c r="AA128" s="256">
        <f t="shared" si="0"/>
        <v>0</v>
      </c>
      <c r="AB128" s="3"/>
      <c r="AC128" s="62" t="str">
        <f t="shared" si="25"/>
        <v/>
      </c>
      <c r="AD128" s="62" t="str">
        <f t="shared" si="1"/>
        <v/>
      </c>
      <c r="AE128" s="62" t="str">
        <f t="shared" si="2"/>
        <v/>
      </c>
      <c r="AF128" s="62" t="str">
        <f t="shared" si="3"/>
        <v/>
      </c>
      <c r="AG128" s="192">
        <v>0</v>
      </c>
      <c r="AH128" s="62" t="str">
        <f t="shared" si="4"/>
        <v/>
      </c>
      <c r="AI128" s="62">
        <f t="shared" si="5"/>
        <v>0</v>
      </c>
      <c r="AJ128" s="62"/>
      <c r="AK128" s="62">
        <v>0</v>
      </c>
      <c r="AL128" s="256">
        <f t="shared" si="51"/>
        <v>0</v>
      </c>
      <c r="AM128" s="256">
        <f t="shared" si="52"/>
        <v>0</v>
      </c>
      <c r="AN128" s="256">
        <f t="shared" si="53"/>
        <v>0</v>
      </c>
    </row>
    <row r="129" spans="1:40" x14ac:dyDescent="0.2">
      <c r="A129" s="311" t="str">
        <f>IF('Employee Detail FY23'!A152="","",'Employee Detail FY23'!A152)</f>
        <v/>
      </c>
      <c r="B129" s="311" t="str">
        <f>IF('Employee Detail FY23'!B152="","",'Employee Detail FY23'!B152)</f>
        <v/>
      </c>
      <c r="C129" s="311" t="str">
        <f>IF('Employee Detail FY23'!C152="","",'Employee Detail FY23'!C152)</f>
        <v/>
      </c>
      <c r="D129" s="311"/>
      <c r="E129" s="311" t="str">
        <f>IF('Employee Detail FY23'!E152="","",'Employee Detail FY23'!E152)</f>
        <v/>
      </c>
      <c r="F129" s="311" t="str">
        <f>IF('Employee Detail FY23'!F152="","",'Employee Detail FY23'!F152)</f>
        <v/>
      </c>
      <c r="G129" s="311" t="str">
        <f>IF('Employee Detail FY23'!G152="","",'Employee Detail FY23'!G152)</f>
        <v/>
      </c>
      <c r="H129" s="311"/>
      <c r="I129" s="312" t="str">
        <f>IF('Employee Detail FY23'!I152="","",'Employee Detail FY23'!I152)</f>
        <v/>
      </c>
      <c r="J129" s="312" t="str">
        <f>IF('Employee Detail FY23'!J152="","",'Employee Detail FY23'!J152)</f>
        <v/>
      </c>
      <c r="K129" s="312" t="str">
        <f>IF('Employee Detail FY23'!K152="","",'Employee Detail FY23'!K152)</f>
        <v/>
      </c>
      <c r="L129" s="312" t="str">
        <f>IF('Employee Detail FY23'!L152="","",'Employee Detail FY23'!L152)</f>
        <v/>
      </c>
      <c r="M129" s="313"/>
      <c r="N129" s="311"/>
      <c r="O129" s="311"/>
      <c r="P129" s="311"/>
      <c r="Q129" s="311" t="str">
        <f>IF('Employee Detail FY23'!Q152="","",'Employee Detail FY23'!Q152)</f>
        <v/>
      </c>
      <c r="R129" s="311" t="str">
        <f>IF('Employee Detail FY23'!R152="","",'Employee Detail FY23'!R152)</f>
        <v/>
      </c>
      <c r="S129" s="311" t="str">
        <f>IF('Employee Detail FY23'!S152="","",'Employee Detail FY23'!S152)</f>
        <v/>
      </c>
      <c r="T129" s="263" t="str">
        <f>+IF(R129="","",R129*S129)</f>
        <v/>
      </c>
      <c r="U129" s="269" t="str">
        <f>IF('Employee Detail FY23'!U152="","",'Employee Detail FY23'!U152)</f>
        <v/>
      </c>
      <c r="V129" s="270" t="str">
        <f>IF($U129="","",$U129*(1+$V$1))</f>
        <v/>
      </c>
      <c r="W129" s="270" t="str">
        <f>+IF(P129="EE",+V129*$W$1,"")</f>
        <v/>
      </c>
      <c r="X129" s="270" t="str">
        <f>_xlfn.IFS(P129="ER",V129,P129="EE",W129,P129="N",V129,P129="","")</f>
        <v/>
      </c>
      <c r="Y129" s="62">
        <v>0</v>
      </c>
      <c r="Z129" s="62">
        <v>0</v>
      </c>
      <c r="AA129" s="256">
        <f>SUM(X129:Z129)</f>
        <v>0</v>
      </c>
      <c r="AB129" s="3"/>
      <c r="AC129" s="62" t="str">
        <f>IF(AND(M129=1,P129&lt;&gt;"N"),$AC$1,"")</f>
        <v/>
      </c>
      <c r="AD129" s="62" t="str">
        <f>_xlfn.IFS(P129="N",$AD$1*AA129,P129="EE","",P129="ER","",P129="","")</f>
        <v/>
      </c>
      <c r="AE129" s="62" t="str">
        <f>_xlfn.IFS(P129="EE",X129*$AE$1,P129="ER",X129*$AE$2,P129="N","",P129="","")</f>
        <v/>
      </c>
      <c r="AF129" s="62" t="str">
        <f>+IF(AA129&gt;1,AA129*$AF$1,"")</f>
        <v/>
      </c>
      <c r="AG129" s="192">
        <v>0</v>
      </c>
      <c r="AH129" s="62" t="str">
        <f>+IF(AA129&gt;1,AA129*$AH$1,"")</f>
        <v/>
      </c>
      <c r="AI129" s="62">
        <f>+_xlfn.IFS(F129&lt;2300,(AA129*$AI$1),F129&gt;=2300,(AA129*$AI$2),F129="","")</f>
        <v>0</v>
      </c>
      <c r="AJ129" s="62"/>
      <c r="AK129" s="62">
        <v>0</v>
      </c>
      <c r="AL129" s="256">
        <f>SUM(AC129:AK129)</f>
        <v>0</v>
      </c>
      <c r="AM129" s="256">
        <f>AA129</f>
        <v>0</v>
      </c>
      <c r="AN129" s="256">
        <f>SUM(AL129:AM129)</f>
        <v>0</v>
      </c>
    </row>
    <row r="130" spans="1:40" x14ac:dyDescent="0.2">
      <c r="A130" s="264" t="str">
        <f>IF('Employee Detail FY25'!A130="","",'Employee Detail FY25'!A130)</f>
        <v/>
      </c>
      <c r="B130" s="264" t="str">
        <f>IF('Employee Detail FY25'!B130="","",'Employee Detail FY25'!B130)</f>
        <v/>
      </c>
      <c r="C130" s="264" t="str">
        <f>IF('Employee Detail FY25'!C130="","",'Employee Detail FY25'!C130)</f>
        <v/>
      </c>
      <c r="D130" s="264"/>
      <c r="E130" s="264" t="str">
        <f>IF('Employee Detail FY25'!E130="","",'Employee Detail FY25'!E130)</f>
        <v/>
      </c>
      <c r="F130" s="264" t="str">
        <f>IF('Employee Detail FY25'!F130="","",'Employee Detail FY25'!F130)</f>
        <v/>
      </c>
      <c r="G130" s="264" t="str">
        <f>IF('Employee Detail FY25'!G130="","",'Employee Detail FY25'!G130)</f>
        <v/>
      </c>
      <c r="H130" s="264"/>
      <c r="I130" s="265" t="str">
        <f>IF('Employee Detail FY25'!I130="","",'Employee Detail FY25'!I130)</f>
        <v/>
      </c>
      <c r="J130" s="265" t="str">
        <f>IF('Employee Detail FY25'!J130="","",'Employee Detail FY25'!J130)</f>
        <v/>
      </c>
      <c r="K130" s="265" t="str">
        <f>IF('Employee Detail FY25'!K130="","",'Employee Detail FY25'!K130)</f>
        <v/>
      </c>
      <c r="L130" s="265" t="str">
        <f>IF('Employee Detail FY25'!L130="","",'Employee Detail FY25'!L130)</f>
        <v/>
      </c>
      <c r="M130" s="267" t="str">
        <f>IF('Employee Detail FY25'!M130="","",'Employee Detail FY25'!M130)</f>
        <v/>
      </c>
      <c r="N130" s="264" t="str">
        <f>IF('Employee Detail FY25'!N130="","",'Employee Detail FY25'!N130)</f>
        <v/>
      </c>
      <c r="O130" s="264" t="str">
        <f>IF('Employee Detail FY25'!O130="","",'Employee Detail FY25'!O130)</f>
        <v/>
      </c>
      <c r="P130" s="264" t="str">
        <f>IF('Employee Detail FY25'!P130="","",'Employee Detail FY25'!P130)</f>
        <v/>
      </c>
      <c r="Q130" s="264" t="str">
        <f>IF('Employee Detail FY25'!Q130="","",'Employee Detail FY25'!Q130)</f>
        <v/>
      </c>
      <c r="R130" s="264" t="str">
        <f>IF('Employee Detail FY25'!R130="","",'Employee Detail FY25'!R130)</f>
        <v/>
      </c>
      <c r="S130" s="264" t="str">
        <f>IF('Employee Detail FY25'!S130="","",'Employee Detail FY25'!S130)</f>
        <v/>
      </c>
      <c r="T130" s="263" t="str">
        <f t="shared" si="47"/>
        <v/>
      </c>
      <c r="U130" s="269" t="str">
        <f>IF('Employee Detail FY25'!U130="","",'Employee Detail FY25'!U130)</f>
        <v/>
      </c>
      <c r="V130" s="270" t="str">
        <f t="shared" si="48"/>
        <v/>
      </c>
      <c r="W130" s="270" t="str">
        <f t="shared" si="49"/>
        <v/>
      </c>
      <c r="X130" s="270" t="str">
        <f t="shared" si="50"/>
        <v/>
      </c>
      <c r="Y130" s="62">
        <v>0</v>
      </c>
      <c r="Z130" s="62">
        <v>0</v>
      </c>
      <c r="AA130" s="256">
        <f t="shared" si="0"/>
        <v>0</v>
      </c>
      <c r="AB130" s="3"/>
      <c r="AC130" s="62" t="str">
        <f t="shared" si="25"/>
        <v/>
      </c>
      <c r="AD130" s="62" t="str">
        <f t="shared" si="1"/>
        <v/>
      </c>
      <c r="AE130" s="62" t="str">
        <f t="shared" si="2"/>
        <v/>
      </c>
      <c r="AF130" s="62" t="str">
        <f t="shared" si="3"/>
        <v/>
      </c>
      <c r="AG130" s="192">
        <v>0</v>
      </c>
      <c r="AH130" s="62" t="str">
        <f t="shared" si="4"/>
        <v/>
      </c>
      <c r="AI130" s="62">
        <f t="shared" si="5"/>
        <v>0</v>
      </c>
      <c r="AJ130" s="62"/>
      <c r="AK130" s="62">
        <v>0</v>
      </c>
      <c r="AL130" s="256">
        <f t="shared" si="51"/>
        <v>0</v>
      </c>
      <c r="AM130" s="256">
        <f t="shared" si="52"/>
        <v>0</v>
      </c>
      <c r="AN130" s="256">
        <f t="shared" si="53"/>
        <v>0</v>
      </c>
    </row>
    <row r="131" spans="1:40" ht="13.5" thickBot="1" x14ac:dyDescent="0.25">
      <c r="A131" s="259"/>
      <c r="B131" s="259"/>
      <c r="C131" s="259"/>
      <c r="D131" s="259"/>
      <c r="E131" s="259"/>
      <c r="F131" s="259"/>
      <c r="G131" s="259"/>
      <c r="H131" s="259"/>
      <c r="I131" s="260"/>
      <c r="J131" s="260"/>
      <c r="K131" s="260"/>
      <c r="L131" s="260"/>
      <c r="M131" s="261">
        <f>SUM(M6:M130)</f>
        <v>60.5</v>
      </c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8">
        <f>SUM(Y6:Y130)</f>
        <v>0</v>
      </c>
      <c r="Z131" s="258">
        <f>SUM(Z6:Z130)</f>
        <v>0</v>
      </c>
      <c r="AA131" s="258">
        <f>SUM(AA6:AA130)</f>
        <v>3817693.4426658624</v>
      </c>
      <c r="AB131" s="5"/>
      <c r="AC131" s="257">
        <f t="shared" ref="AC131:AN131" si="95">SUM(AC6:AC130)</f>
        <v>476625.60000000038</v>
      </c>
      <c r="AD131" s="257">
        <f t="shared" si="95"/>
        <v>3065.9161199999999</v>
      </c>
      <c r="AE131" s="257">
        <f t="shared" si="95"/>
        <v>909867.96303654427</v>
      </c>
      <c r="AF131" s="257">
        <f t="shared" si="95"/>
        <v>55356.554918654983</v>
      </c>
      <c r="AG131" s="257">
        <f t="shared" si="95"/>
        <v>0</v>
      </c>
      <c r="AH131" s="257">
        <f t="shared" si="95"/>
        <v>34749.928868300449</v>
      </c>
      <c r="AI131" s="257">
        <f t="shared" si="95"/>
        <v>11243.865801235799</v>
      </c>
      <c r="AJ131" s="257">
        <f t="shared" si="95"/>
        <v>0</v>
      </c>
      <c r="AK131" s="257">
        <f t="shared" si="95"/>
        <v>0</v>
      </c>
      <c r="AL131" s="257">
        <f t="shared" si="95"/>
        <v>1490909.8287447365</v>
      </c>
      <c r="AM131" s="257">
        <f t="shared" si="95"/>
        <v>3817693.4426658624</v>
      </c>
      <c r="AN131" s="257">
        <f t="shared" si="95"/>
        <v>5308603.271410604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255"/>
      <c r="J132" s="255"/>
      <c r="K132" s="255"/>
      <c r="L132" s="2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259"/>
      <c r="B133" s="259"/>
      <c r="C133" s="259"/>
      <c r="D133" s="259"/>
      <c r="E133" s="259"/>
      <c r="F133" s="259"/>
      <c r="G133" s="259"/>
      <c r="H133" s="259"/>
      <c r="I133" s="260"/>
      <c r="J133" s="260"/>
      <c r="K133" s="260"/>
      <c r="L133" s="260"/>
      <c r="M133" s="261">
        <f>SUBTOTAL(9,M6:M130)</f>
        <v>60.5</v>
      </c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8">
        <f t="shared" ref="Y133:AN133" si="96">SUBTOTAL(9,Y6:Y130)</f>
        <v>0</v>
      </c>
      <c r="Z133" s="258">
        <f t="shared" si="96"/>
        <v>0</v>
      </c>
      <c r="AA133" s="258">
        <f t="shared" si="96"/>
        <v>3817693.4426658624</v>
      </c>
      <c r="AB133" s="258">
        <f t="shared" si="96"/>
        <v>0</v>
      </c>
      <c r="AC133" s="258">
        <f t="shared" si="96"/>
        <v>476625.60000000038</v>
      </c>
      <c r="AD133" s="258">
        <f t="shared" si="96"/>
        <v>3065.9161199999999</v>
      </c>
      <c r="AE133" s="258">
        <f t="shared" si="96"/>
        <v>909867.96303654427</v>
      </c>
      <c r="AF133" s="258">
        <f t="shared" si="96"/>
        <v>55356.554918654983</v>
      </c>
      <c r="AG133" s="258">
        <f t="shared" si="96"/>
        <v>0</v>
      </c>
      <c r="AH133" s="258">
        <f t="shared" si="96"/>
        <v>34749.928868300449</v>
      </c>
      <c r="AI133" s="258">
        <f t="shared" si="96"/>
        <v>11243.865801235799</v>
      </c>
      <c r="AJ133" s="258">
        <f t="shared" si="96"/>
        <v>0</v>
      </c>
      <c r="AK133" s="258">
        <f t="shared" si="96"/>
        <v>0</v>
      </c>
      <c r="AL133" s="258">
        <f t="shared" si="96"/>
        <v>1490909.8287447365</v>
      </c>
      <c r="AM133" s="258">
        <f t="shared" si="96"/>
        <v>3817693.4426658624</v>
      </c>
      <c r="AN133" s="258">
        <f t="shared" si="96"/>
        <v>5308603.271410604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255"/>
      <c r="J134" s="255"/>
      <c r="K134" s="255"/>
      <c r="L134" s="2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3"/>
      <c r="B138" s="3"/>
      <c r="C138" s="3"/>
      <c r="D138" s="3"/>
      <c r="E138" s="3"/>
      <c r="F138" s="3"/>
      <c r="G138" s="3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">
      <c r="A139" s="3"/>
      <c r="B139" s="3"/>
      <c r="C139" s="3"/>
      <c r="D139" s="3"/>
      <c r="E139" s="3"/>
      <c r="F139" s="3"/>
      <c r="G139" s="3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">
      <c r="A140" s="3"/>
      <c r="B140" s="3"/>
      <c r="C140" s="3"/>
      <c r="D140" s="3"/>
      <c r="E140" s="3"/>
      <c r="F140" s="3"/>
      <c r="G140" s="3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">
      <c r="A141" s="3"/>
      <c r="B141" s="3"/>
      <c r="C141" s="3"/>
      <c r="D141" s="3"/>
      <c r="E141" s="3"/>
      <c r="F141" s="3"/>
      <c r="G141" s="3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">
      <c r="A142" s="3"/>
      <c r="B142" s="3"/>
      <c r="C142" s="3"/>
      <c r="D142" s="3"/>
      <c r="E142" s="3"/>
      <c r="F142" s="3"/>
      <c r="G142" s="3"/>
      <c r="H142" s="3"/>
      <c r="I142" s="255"/>
      <c r="J142" s="255"/>
      <c r="K142" s="255"/>
      <c r="L142" s="2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">
      <c r="A143" s="3"/>
      <c r="B143" s="3"/>
      <c r="C143" s="3"/>
      <c r="D143" s="3"/>
      <c r="E143" s="3"/>
      <c r="F143" s="3"/>
      <c r="G143" s="3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">
      <c r="A144" s="3"/>
      <c r="B144" s="3"/>
      <c r="C144" s="3"/>
      <c r="D144" s="3"/>
      <c r="E144" s="3"/>
      <c r="F144" s="3"/>
      <c r="G144" s="3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">
      <c r="A145" s="3"/>
      <c r="B145" s="3"/>
      <c r="C145" s="3"/>
      <c r="D145" s="3"/>
      <c r="E145" s="3"/>
      <c r="F145" s="3"/>
      <c r="G145" s="3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">
      <c r="A146" s="3"/>
      <c r="B146" s="3"/>
      <c r="C146" s="3"/>
      <c r="D146" s="3"/>
      <c r="E146" s="3"/>
      <c r="F146" s="3"/>
      <c r="G146" s="3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">
      <c r="A147" s="3"/>
      <c r="B147" s="3"/>
      <c r="C147" s="3"/>
      <c r="D147" s="3"/>
      <c r="E147" s="3"/>
      <c r="F147" s="3"/>
      <c r="G147" s="3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">
      <c r="A148" s="3"/>
      <c r="B148" s="3"/>
      <c r="C148" s="3"/>
      <c r="D148" s="3"/>
      <c r="E148" s="3"/>
      <c r="F148" s="3"/>
      <c r="G148" s="3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">
      <c r="A149" s="3"/>
      <c r="B149" s="3"/>
      <c r="C149" s="3"/>
      <c r="D149" s="3"/>
      <c r="E149" s="3"/>
      <c r="F149" s="3"/>
      <c r="G149" s="3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">
      <c r="A150" s="3"/>
      <c r="B150" s="3"/>
      <c r="C150" s="3"/>
      <c r="D150" s="3"/>
      <c r="E150" s="3"/>
      <c r="F150" s="3"/>
      <c r="G150" s="3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">
      <c r="A151" s="3"/>
      <c r="B151" s="3"/>
      <c r="C151" s="3"/>
      <c r="D151" s="3"/>
      <c r="E151" s="3"/>
      <c r="F151" s="3"/>
      <c r="G151" s="3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">
      <c r="A152" s="3"/>
      <c r="B152" s="3"/>
      <c r="C152" s="3"/>
      <c r="D152" s="3"/>
      <c r="E152" s="3"/>
      <c r="F152" s="3"/>
      <c r="G152" s="3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">
      <c r="A153" s="3"/>
      <c r="B153" s="3"/>
      <c r="C153" s="3"/>
      <c r="D153" s="3"/>
      <c r="E153" s="3"/>
      <c r="F153" s="3"/>
      <c r="G153" s="3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">
      <c r="A154" s="3"/>
      <c r="B154" s="3"/>
      <c r="C154" s="3"/>
      <c r="D154" s="3"/>
      <c r="E154" s="3"/>
      <c r="F154" s="3"/>
      <c r="G154" s="3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</sheetData>
  <autoFilter ref="B3:H130" xr:uid="{39163F53-35E6-4EEF-BFEC-151531848D2B}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FBCF5-B336-4D9D-9F5E-0901C54D2734}">
  <sheetPr codeName="Sheet24"/>
  <dimension ref="A1:WWF120"/>
  <sheetViews>
    <sheetView workbookViewId="0">
      <selection activeCell="AC18" sqref="AC1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3.28515625" bestFit="1" customWidth="1"/>
    <col min="9" max="9" width="17.7109375" style="253" bestFit="1" customWidth="1"/>
    <col min="10" max="10" width="17.7109375" style="253" customWidth="1"/>
    <col min="11" max="11" width="18.5703125" style="253" customWidth="1"/>
    <col min="12" max="12" width="42.7109375" style="253" customWidth="1"/>
    <col min="13" max="13" width="5.42578125" customWidth="1"/>
    <col min="14" max="14" width="3.28515625" bestFit="1" customWidth="1"/>
    <col min="15" max="15" width="5.7109375" bestFit="1" customWidth="1"/>
    <col min="16" max="16" width="8.140625" bestFit="1" customWidth="1"/>
    <col min="17" max="17" width="5" bestFit="1" customWidth="1"/>
    <col min="18" max="19" width="4" bestFit="1" customWidth="1"/>
    <col min="20" max="20" width="5" bestFit="1" customWidth="1"/>
    <col min="21" max="22" width="12.42578125" bestFit="1" customWidth="1"/>
    <col min="23" max="23" width="11" bestFit="1" customWidth="1"/>
    <col min="24" max="24" width="12.42578125" bestFit="1" customWidth="1"/>
    <col min="25" max="25" width="12.28515625" customWidth="1"/>
    <col min="26" max="26" width="11" bestFit="1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4" width="13" customWidth="1"/>
    <col min="38" max="38" width="11" bestFit="1" customWidth="1"/>
    <col min="39" max="40" width="12.85546875" customWidth="1"/>
    <col min="41" max="41" width="10.28515625" style="3" bestFit="1" customWidth="1"/>
    <col min="42" max="44" width="9.140625" style="3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v>0</v>
      </c>
      <c r="W1" s="226">
        <v>1.150709</v>
      </c>
      <c r="X1" s="229"/>
      <c r="Y1" s="229"/>
      <c r="Z1" s="229"/>
      <c r="AA1" s="229"/>
      <c r="AB1" s="229"/>
      <c r="AC1" s="192">
        <f>(16.76+125+184.1+5.13)*24</f>
        <v>7943.76</v>
      </c>
      <c r="AD1" s="232">
        <v>6.2E-2</v>
      </c>
      <c r="AE1" s="281">
        <v>0.1525</v>
      </c>
      <c r="AF1" s="232">
        <v>1.4500000000000001E-2</v>
      </c>
      <c r="AG1" s="229"/>
      <c r="AH1" s="281">
        <v>9.1023361069124693E-3</v>
      </c>
      <c r="AI1" s="282">
        <v>2.9451987096649392E-3</v>
      </c>
      <c r="AJ1" s="229"/>
      <c r="AK1" s="229"/>
      <c r="AL1" s="229"/>
      <c r="AM1" s="229"/>
      <c r="AN1" s="229"/>
      <c r="AO1" s="233">
        <v>4943.99</v>
      </c>
    </row>
    <row r="2" spans="1:16152" s="233" customFormat="1" x14ac:dyDescent="0.2">
      <c r="A2" s="234" t="s">
        <v>315</v>
      </c>
      <c r="B2" s="235"/>
      <c r="C2" s="235" t="str">
        <f>'# of Students'!C6</f>
        <v>FY2122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81">
        <v>0.29249999999999998</v>
      </c>
      <c r="AF2" s="229"/>
      <c r="AG2" s="229"/>
      <c r="AH2" s="229"/>
      <c r="AI2" s="282">
        <v>2.9451987096649392E-3</v>
      </c>
      <c r="AJ2" s="229"/>
      <c r="AK2" s="229"/>
      <c r="AL2" s="229"/>
      <c r="AM2" s="229"/>
      <c r="AN2" s="229"/>
      <c r="AO2" s="233">
        <f>AO1/AM97</f>
        <v>2.7806449654137473E-3</v>
      </c>
    </row>
    <row r="3" spans="1:16152" s="243" customFormat="1" ht="80.25" x14ac:dyDescent="0.2">
      <c r="A3" s="250"/>
      <c r="B3" s="414" t="s">
        <v>117</v>
      </c>
      <c r="C3" s="414" t="s">
        <v>316</v>
      </c>
      <c r="D3" s="414"/>
      <c r="E3" s="414" t="s">
        <v>119</v>
      </c>
      <c r="F3" s="414" t="s">
        <v>120</v>
      </c>
      <c r="G3" s="414" t="s">
        <v>121</v>
      </c>
      <c r="H3" s="414" t="s">
        <v>373</v>
      </c>
      <c r="I3" s="415" t="s">
        <v>317</v>
      </c>
      <c r="J3" s="415" t="s">
        <v>318</v>
      </c>
      <c r="K3" s="415" t="s">
        <v>319</v>
      </c>
      <c r="L3" s="415" t="s">
        <v>320</v>
      </c>
      <c r="M3" s="416" t="s">
        <v>321</v>
      </c>
      <c r="N3" s="417" t="s">
        <v>862</v>
      </c>
      <c r="O3" s="417" t="s">
        <v>323</v>
      </c>
      <c r="P3" s="416" t="s">
        <v>339</v>
      </c>
      <c r="Q3" s="416" t="s">
        <v>324</v>
      </c>
      <c r="R3" s="416" t="s">
        <v>325</v>
      </c>
      <c r="S3" s="416" t="s">
        <v>326</v>
      </c>
      <c r="T3" s="416" t="s">
        <v>337</v>
      </c>
      <c r="U3" s="418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x14ac:dyDescent="0.2">
      <c r="A6" s="264"/>
      <c r="B6" s="266"/>
      <c r="C6" s="266"/>
      <c r="D6" s="266"/>
      <c r="E6" s="266"/>
      <c r="F6" s="266"/>
      <c r="G6" s="266"/>
      <c r="H6" s="266"/>
      <c r="I6" s="265"/>
      <c r="J6" s="265"/>
      <c r="K6" s="265"/>
      <c r="L6" s="265"/>
      <c r="M6" s="267"/>
      <c r="N6" s="264"/>
      <c r="O6" s="264"/>
      <c r="P6" s="264"/>
      <c r="Q6" s="268"/>
      <c r="R6" s="264"/>
      <c r="S6" s="264"/>
      <c r="T6" s="263">
        <f t="shared" ref="T6:T36" si="0">R6*S6</f>
        <v>0</v>
      </c>
      <c r="U6" s="269"/>
      <c r="V6" s="270" t="str">
        <f t="shared" ref="V6:V37" si="1">IF($U6="","",$U6*(1+$V$1))</f>
        <v/>
      </c>
      <c r="W6" s="270" t="str">
        <f t="shared" ref="W6:W37" si="2">+IF(P6="EE",+V6*$W$1,"")</f>
        <v/>
      </c>
      <c r="X6" s="270" t="str">
        <f t="shared" ref="X6:X45" si="3">_xlfn.IFS(P6="ER",V6,P6="EE",W6,P6="N",V6,P6="","")</f>
        <v/>
      </c>
      <c r="Y6" s="62">
        <v>0</v>
      </c>
      <c r="Z6" s="62">
        <v>0</v>
      </c>
      <c r="AA6" s="256">
        <f t="shared" ref="AA6:AA96" si="4">SUM(X6:Z6)</f>
        <v>0</v>
      </c>
      <c r="AB6" s="3"/>
      <c r="AC6" s="62" t="str">
        <f t="shared" ref="AC6" si="5">IF(AND(M6&gt;0.1,P6&lt;&gt;"N"),$AC$1,"")</f>
        <v/>
      </c>
      <c r="AD6" s="62" t="str">
        <f t="shared" ref="AD6:AD36" si="6">_xlfn.IFS(P6="N",$AD$1*AA6,P6="EE","",P6="ER","",P6="","")</f>
        <v/>
      </c>
      <c r="AE6" s="62" t="str">
        <f t="shared" ref="AE6:AE36" si="7">_xlfn.IFS(P6="EE",X6*$AE$1,P6="ER",X6*$AE$2,P6="N","",P6="","")</f>
        <v/>
      </c>
      <c r="AF6" s="62" t="str">
        <f t="shared" ref="AF6:AF36" si="8">+IF(AA6&gt;1,AA6*$AF$1,"")</f>
        <v/>
      </c>
      <c r="AG6" s="192">
        <v>0</v>
      </c>
      <c r="AH6" s="62" t="str">
        <f t="shared" ref="AH6:AH36" si="9">+IF(AA6&gt;1,AA6*$AH$1,"")</f>
        <v/>
      </c>
      <c r="AI6" s="62">
        <f t="shared" ref="AI6:AI36" si="10">+_xlfn.IFS(F6&lt;2300,(AA6*$AI$1),F6&gt;=2300,(AA6*$AI$2),F6="","")</f>
        <v>0</v>
      </c>
      <c r="AJ6" s="62">
        <v>0</v>
      </c>
      <c r="AK6" s="62">
        <v>0</v>
      </c>
      <c r="AL6" s="256">
        <f t="shared" ref="AL6:AL36" si="11">SUM(AC6:AK6)</f>
        <v>0</v>
      </c>
      <c r="AM6" s="256">
        <f t="shared" ref="AM6:AM36" si="12">AA6</f>
        <v>0</v>
      </c>
      <c r="AN6" s="256">
        <f t="shared" ref="AN6:AN36" si="13">SUM(AL6:AM6)</f>
        <v>0</v>
      </c>
    </row>
    <row r="7" spans="1:16152" x14ac:dyDescent="0.2">
      <c r="A7" s="3"/>
      <c r="B7" s="307">
        <v>100</v>
      </c>
      <c r="C7" s="307" t="s">
        <v>145</v>
      </c>
      <c r="D7" s="307"/>
      <c r="E7" s="307">
        <v>100</v>
      </c>
      <c r="F7" s="307">
        <v>2580</v>
      </c>
      <c r="G7" s="307" t="s">
        <v>173</v>
      </c>
      <c r="H7" s="307"/>
      <c r="I7" s="359" t="s">
        <v>382</v>
      </c>
      <c r="J7" s="255" t="s">
        <v>383</v>
      </c>
      <c r="K7" s="255" t="s">
        <v>384</v>
      </c>
      <c r="L7" s="92" t="s">
        <v>385</v>
      </c>
      <c r="M7" s="3">
        <v>1</v>
      </c>
      <c r="N7" s="3"/>
      <c r="O7" s="3">
        <v>1</v>
      </c>
      <c r="P7" s="62" t="s">
        <v>342</v>
      </c>
      <c r="Q7" s="3"/>
      <c r="R7" s="3">
        <v>260</v>
      </c>
      <c r="S7" s="3">
        <v>8</v>
      </c>
      <c r="T7" s="263">
        <f t="shared" si="0"/>
        <v>2080</v>
      </c>
      <c r="U7" s="269">
        <v>49000</v>
      </c>
      <c r="V7" s="270">
        <f t="shared" si="1"/>
        <v>49000</v>
      </c>
      <c r="W7" s="270" t="str">
        <f>+IF(P7="EE",+V7*$W$1,"")</f>
        <v/>
      </c>
      <c r="X7" s="270">
        <f>_xlfn.IFS(P7="ER",V7,P7="EE",W7,P7="N",V7,P7="","")</f>
        <v>49000</v>
      </c>
      <c r="Y7" s="62"/>
      <c r="Z7" s="62"/>
      <c r="AA7" s="256">
        <f t="shared" ref="AA7:AA53" si="14">SUM(X7:Z7)</f>
        <v>49000</v>
      </c>
      <c r="AB7" s="3"/>
      <c r="AC7" s="468">
        <f>IF(AND(M7=1,P7&lt;&gt;"N"),$AC$1,"")</f>
        <v>7943.76</v>
      </c>
      <c r="AD7" s="468" t="str">
        <f t="shared" si="6"/>
        <v/>
      </c>
      <c r="AE7" s="468">
        <f t="shared" si="7"/>
        <v>14332.5</v>
      </c>
      <c r="AF7" s="468">
        <f t="shared" si="8"/>
        <v>710.5</v>
      </c>
      <c r="AG7" s="192">
        <v>0</v>
      </c>
      <c r="AH7" s="468">
        <f t="shared" si="9"/>
        <v>446.014469238711</v>
      </c>
      <c r="AI7" s="468">
        <f t="shared" si="10"/>
        <v>144.31473677358201</v>
      </c>
      <c r="AJ7" s="62">
        <v>0</v>
      </c>
      <c r="AK7" s="62">
        <v>0</v>
      </c>
      <c r="AL7" s="256">
        <f t="shared" si="11"/>
        <v>23577.089206012297</v>
      </c>
      <c r="AM7" s="256">
        <f t="shared" si="12"/>
        <v>49000</v>
      </c>
      <c r="AN7" s="256">
        <f t="shared" si="13"/>
        <v>72577.089206012301</v>
      </c>
    </row>
    <row r="8" spans="1:16152" x14ac:dyDescent="0.2">
      <c r="A8" s="3"/>
      <c r="B8" s="387">
        <v>100</v>
      </c>
      <c r="C8" s="387" t="s">
        <v>145</v>
      </c>
      <c r="D8" s="387"/>
      <c r="E8" s="387">
        <v>100</v>
      </c>
      <c r="F8" s="387">
        <v>1000</v>
      </c>
      <c r="G8" s="387" t="s">
        <v>161</v>
      </c>
      <c r="H8" s="307"/>
      <c r="I8" s="359" t="s">
        <v>387</v>
      </c>
      <c r="J8" s="255" t="s">
        <v>388</v>
      </c>
      <c r="K8" s="255" t="s">
        <v>389</v>
      </c>
      <c r="L8" s="92" t="s">
        <v>341</v>
      </c>
      <c r="M8" s="3">
        <v>1</v>
      </c>
      <c r="N8" s="3" t="s">
        <v>93</v>
      </c>
      <c r="O8" s="3">
        <v>1</v>
      </c>
      <c r="P8" s="62" t="s">
        <v>390</v>
      </c>
      <c r="Q8" s="3" t="s">
        <v>386</v>
      </c>
      <c r="R8" s="3">
        <v>191</v>
      </c>
      <c r="S8" s="3">
        <v>8</v>
      </c>
      <c r="T8" s="263">
        <f t="shared" si="0"/>
        <v>1528</v>
      </c>
      <c r="U8" s="269">
        <v>44380</v>
      </c>
      <c r="V8" s="270">
        <f t="shared" si="1"/>
        <v>44380</v>
      </c>
      <c r="W8" s="270">
        <f>+IF(P8="EE",+V8*$W$1,"")</f>
        <v>51068.46542</v>
      </c>
      <c r="X8" s="270">
        <f t="shared" si="3"/>
        <v>51068.46542</v>
      </c>
      <c r="Y8" s="62"/>
      <c r="Z8" s="62"/>
      <c r="AA8" s="256">
        <f t="shared" si="14"/>
        <v>51068.46542</v>
      </c>
      <c r="AB8" s="3"/>
      <c r="AC8" s="468">
        <f t="shared" ref="AC8:AC71" si="15">IF(AND(M8=1,P8&lt;&gt;"N"),$AC$1,"")</f>
        <v>7943.76</v>
      </c>
      <c r="AD8" s="468" t="str">
        <f t="shared" si="6"/>
        <v/>
      </c>
      <c r="AE8" s="468">
        <f t="shared" si="7"/>
        <v>7787.9409765499995</v>
      </c>
      <c r="AF8" s="468">
        <f t="shared" si="8"/>
        <v>740.49274859000002</v>
      </c>
      <c r="AG8" s="192">
        <v>0</v>
      </c>
      <c r="AH8" s="389">
        <f t="shared" si="9"/>
        <v>464.84233671707688</v>
      </c>
      <c r="AI8" s="468">
        <f t="shared" si="10"/>
        <v>150.40677845955258</v>
      </c>
      <c r="AJ8" s="62">
        <v>0</v>
      </c>
      <c r="AK8" s="62">
        <v>0</v>
      </c>
      <c r="AL8" s="256">
        <f t="shared" si="11"/>
        <v>17087.442840316631</v>
      </c>
      <c r="AM8" s="256">
        <f t="shared" si="12"/>
        <v>51068.46542</v>
      </c>
      <c r="AN8" s="256">
        <f t="shared" si="13"/>
        <v>68155.908260316632</v>
      </c>
    </row>
    <row r="9" spans="1:16152" x14ac:dyDescent="0.2">
      <c r="A9" s="3"/>
      <c r="B9" s="307">
        <v>100</v>
      </c>
      <c r="C9" s="307" t="s">
        <v>145</v>
      </c>
      <c r="D9" s="307"/>
      <c r="E9" s="307">
        <v>100</v>
      </c>
      <c r="F9" s="307" t="s">
        <v>556</v>
      </c>
      <c r="G9" s="307" t="s">
        <v>167</v>
      </c>
      <c r="H9" s="307"/>
      <c r="I9" s="359" t="s">
        <v>391</v>
      </c>
      <c r="J9" s="255" t="s">
        <v>392</v>
      </c>
      <c r="K9" s="255" t="s">
        <v>393</v>
      </c>
      <c r="L9" s="92" t="s">
        <v>394</v>
      </c>
      <c r="M9" s="3">
        <v>1</v>
      </c>
      <c r="N9" s="3" t="s">
        <v>93</v>
      </c>
      <c r="O9" s="3">
        <v>1</v>
      </c>
      <c r="P9" s="62" t="s">
        <v>390</v>
      </c>
      <c r="Q9" s="3" t="s">
        <v>386</v>
      </c>
      <c r="R9" s="3">
        <v>260</v>
      </c>
      <c r="S9" s="3">
        <v>8</v>
      </c>
      <c r="T9" s="263">
        <f t="shared" si="0"/>
        <v>2080</v>
      </c>
      <c r="U9" s="269">
        <v>62320</v>
      </c>
      <c r="V9" s="270">
        <f t="shared" si="1"/>
        <v>62320</v>
      </c>
      <c r="W9" s="270">
        <f t="shared" si="2"/>
        <v>71712.184880000001</v>
      </c>
      <c r="X9" s="270">
        <f t="shared" si="3"/>
        <v>71712.184880000001</v>
      </c>
      <c r="Y9" s="62"/>
      <c r="Z9" s="62"/>
      <c r="AA9" s="256">
        <f t="shared" si="14"/>
        <v>71712.184880000001</v>
      </c>
      <c r="AB9" s="3"/>
      <c r="AC9" s="468">
        <f t="shared" si="15"/>
        <v>7943.76</v>
      </c>
      <c r="AD9" s="468" t="str">
        <f t="shared" si="6"/>
        <v/>
      </c>
      <c r="AE9" s="468">
        <f t="shared" si="7"/>
        <v>10936.1081942</v>
      </c>
      <c r="AF9" s="468">
        <f t="shared" si="8"/>
        <v>1039.82668076</v>
      </c>
      <c r="AG9" s="192">
        <v>0</v>
      </c>
      <c r="AH9" s="468">
        <f t="shared" si="9"/>
        <v>652.74840973880646</v>
      </c>
      <c r="AI9" s="468">
        <f t="shared" si="10"/>
        <v>211.20663437582957</v>
      </c>
      <c r="AJ9" s="62">
        <v>0</v>
      </c>
      <c r="AK9" s="62">
        <v>0</v>
      </c>
      <c r="AL9" s="256">
        <f t="shared" si="11"/>
        <v>20783.64991907464</v>
      </c>
      <c r="AM9" s="256">
        <f t="shared" si="12"/>
        <v>71712.184880000001</v>
      </c>
      <c r="AN9" s="256">
        <f t="shared" si="13"/>
        <v>92495.834799074641</v>
      </c>
    </row>
    <row r="10" spans="1:16152" x14ac:dyDescent="0.2">
      <c r="A10" s="3"/>
      <c r="B10" s="307">
        <v>100</v>
      </c>
      <c r="C10" s="307" t="s">
        <v>145</v>
      </c>
      <c r="D10" s="307"/>
      <c r="E10" s="307">
        <v>100</v>
      </c>
      <c r="F10" s="307" t="s">
        <v>458</v>
      </c>
      <c r="G10" s="307" t="s">
        <v>171</v>
      </c>
      <c r="H10" s="307"/>
      <c r="I10" s="359" t="s">
        <v>395</v>
      </c>
      <c r="J10" s="255" t="s">
        <v>396</v>
      </c>
      <c r="K10" s="255" t="s">
        <v>384</v>
      </c>
      <c r="L10" s="92" t="s">
        <v>397</v>
      </c>
      <c r="M10" s="3">
        <v>1</v>
      </c>
      <c r="N10" s="3" t="s">
        <v>356</v>
      </c>
      <c r="O10" s="3">
        <v>1</v>
      </c>
      <c r="P10" s="62" t="s">
        <v>342</v>
      </c>
      <c r="Q10" s="3" t="s">
        <v>386</v>
      </c>
      <c r="R10" s="3">
        <v>260</v>
      </c>
      <c r="S10" s="3">
        <v>8</v>
      </c>
      <c r="T10" s="263">
        <f t="shared" si="0"/>
        <v>2080</v>
      </c>
      <c r="U10" s="269">
        <v>62000</v>
      </c>
      <c r="V10" s="270">
        <f t="shared" si="1"/>
        <v>62000</v>
      </c>
      <c r="W10" s="270" t="str">
        <f t="shared" si="2"/>
        <v/>
      </c>
      <c r="X10" s="270">
        <f t="shared" si="3"/>
        <v>62000</v>
      </c>
      <c r="Y10" s="62"/>
      <c r="Z10" s="62"/>
      <c r="AA10" s="256">
        <f t="shared" si="14"/>
        <v>62000</v>
      </c>
      <c r="AB10" s="3"/>
      <c r="AC10" s="468">
        <f t="shared" si="15"/>
        <v>7943.76</v>
      </c>
      <c r="AD10" s="468" t="str">
        <f t="shared" si="6"/>
        <v/>
      </c>
      <c r="AE10" s="468">
        <f t="shared" si="7"/>
        <v>18135</v>
      </c>
      <c r="AF10" s="468">
        <f t="shared" si="8"/>
        <v>899</v>
      </c>
      <c r="AG10" s="192">
        <v>0</v>
      </c>
      <c r="AH10" s="468">
        <f t="shared" si="9"/>
        <v>564.34483862857314</v>
      </c>
      <c r="AI10" s="468">
        <f t="shared" si="10"/>
        <v>182.60231999922624</v>
      </c>
      <c r="AJ10" s="62">
        <v>0</v>
      </c>
      <c r="AK10" s="62">
        <v>0</v>
      </c>
      <c r="AL10" s="256">
        <f t="shared" si="11"/>
        <v>27724.707158627803</v>
      </c>
      <c r="AM10" s="256">
        <f t="shared" si="12"/>
        <v>62000</v>
      </c>
      <c r="AN10" s="256">
        <f t="shared" si="13"/>
        <v>89724.707158627803</v>
      </c>
    </row>
    <row r="11" spans="1:16152" x14ac:dyDescent="0.2">
      <c r="A11" s="3"/>
      <c r="B11" s="354" t="s">
        <v>135</v>
      </c>
      <c r="C11" s="354" t="s">
        <v>242</v>
      </c>
      <c r="D11" s="354"/>
      <c r="E11" s="354" t="s">
        <v>532</v>
      </c>
      <c r="F11" s="354">
        <v>1000</v>
      </c>
      <c r="G11" s="354" t="s">
        <v>171</v>
      </c>
      <c r="H11" s="307"/>
      <c r="I11" s="359" t="s">
        <v>398</v>
      </c>
      <c r="J11" s="255" t="s">
        <v>399</v>
      </c>
      <c r="K11" s="255" t="s">
        <v>446</v>
      </c>
      <c r="L11" s="92" t="s">
        <v>400</v>
      </c>
      <c r="M11" s="3">
        <v>1</v>
      </c>
      <c r="N11" s="3"/>
      <c r="O11" s="3">
        <v>1</v>
      </c>
      <c r="P11" s="62" t="s">
        <v>342</v>
      </c>
      <c r="Q11" s="3"/>
      <c r="R11" s="3">
        <v>260</v>
      </c>
      <c r="S11" s="3">
        <v>8</v>
      </c>
      <c r="T11" s="263">
        <f t="shared" si="0"/>
        <v>2080</v>
      </c>
      <c r="U11" s="269">
        <v>80000</v>
      </c>
      <c r="V11" s="270">
        <f t="shared" si="1"/>
        <v>80000</v>
      </c>
      <c r="W11" s="270" t="str">
        <f t="shared" si="2"/>
        <v/>
      </c>
      <c r="X11" s="270">
        <f t="shared" si="3"/>
        <v>80000</v>
      </c>
      <c r="Y11" s="62"/>
      <c r="Z11" s="404">
        <f>425*6</f>
        <v>2550</v>
      </c>
      <c r="AA11" s="256">
        <f t="shared" si="14"/>
        <v>82550</v>
      </c>
      <c r="AB11" s="3"/>
      <c r="AC11" s="468">
        <f t="shared" si="15"/>
        <v>7943.76</v>
      </c>
      <c r="AD11" s="468" t="str">
        <f t="shared" si="6"/>
        <v/>
      </c>
      <c r="AE11" s="468">
        <f t="shared" si="7"/>
        <v>23400</v>
      </c>
      <c r="AF11" s="468">
        <f t="shared" si="8"/>
        <v>1196.9750000000001</v>
      </c>
      <c r="AG11" s="192">
        <v>0</v>
      </c>
      <c r="AH11" s="468">
        <f t="shared" si="9"/>
        <v>751.39784562562431</v>
      </c>
      <c r="AI11" s="468">
        <f t="shared" si="10"/>
        <v>243.12615348284072</v>
      </c>
      <c r="AJ11" s="62">
        <v>0</v>
      </c>
      <c r="AK11" s="62">
        <v>0</v>
      </c>
      <c r="AL11" s="256">
        <f t="shared" si="11"/>
        <v>33535.258999108461</v>
      </c>
      <c r="AM11" s="256">
        <f t="shared" si="12"/>
        <v>82550</v>
      </c>
      <c r="AN11" s="256">
        <f t="shared" si="13"/>
        <v>116085.25899910845</v>
      </c>
    </row>
    <row r="12" spans="1:16152" x14ac:dyDescent="0.2">
      <c r="A12" s="3"/>
      <c r="B12" s="307">
        <v>100</v>
      </c>
      <c r="C12" s="307" t="s">
        <v>145</v>
      </c>
      <c r="D12" s="307"/>
      <c r="E12" s="307">
        <v>100</v>
      </c>
      <c r="F12" s="307" t="s">
        <v>459</v>
      </c>
      <c r="G12" s="307" t="s">
        <v>173</v>
      </c>
      <c r="H12" s="307"/>
      <c r="I12" s="359" t="s">
        <v>401</v>
      </c>
      <c r="J12" s="255" t="s">
        <v>402</v>
      </c>
      <c r="K12" s="255" t="s">
        <v>446</v>
      </c>
      <c r="L12" s="92" t="s">
        <v>403</v>
      </c>
      <c r="M12" s="3">
        <v>1</v>
      </c>
      <c r="N12" s="3" t="s">
        <v>93</v>
      </c>
      <c r="O12" s="3">
        <v>1</v>
      </c>
      <c r="P12" s="62" t="s">
        <v>390</v>
      </c>
      <c r="Q12" s="3" t="s">
        <v>386</v>
      </c>
      <c r="R12" s="3">
        <v>260</v>
      </c>
      <c r="S12" s="3">
        <v>8</v>
      </c>
      <c r="T12" s="263">
        <f t="shared" si="0"/>
        <v>2080</v>
      </c>
      <c r="U12" s="269">
        <v>68500</v>
      </c>
      <c r="V12" s="270">
        <f t="shared" si="1"/>
        <v>68500</v>
      </c>
      <c r="W12" s="270">
        <f t="shared" si="2"/>
        <v>78823.566500000001</v>
      </c>
      <c r="X12" s="270">
        <f t="shared" si="3"/>
        <v>78823.566500000001</v>
      </c>
      <c r="Y12" s="62"/>
      <c r="Z12" s="62"/>
      <c r="AA12" s="256">
        <f t="shared" si="14"/>
        <v>78823.566500000001</v>
      </c>
      <c r="AB12" s="3"/>
      <c r="AC12" s="468">
        <f t="shared" si="15"/>
        <v>7943.76</v>
      </c>
      <c r="AD12" s="468" t="str">
        <f t="shared" si="6"/>
        <v/>
      </c>
      <c r="AE12" s="468">
        <f t="shared" si="7"/>
        <v>12020.593891250001</v>
      </c>
      <c r="AF12" s="468">
        <f t="shared" si="8"/>
        <v>1142.9417142500001</v>
      </c>
      <c r="AG12" s="192">
        <v>0</v>
      </c>
      <c r="AH12" s="468">
        <f t="shared" si="9"/>
        <v>717.47859542856611</v>
      </c>
      <c r="AI12" s="468">
        <f t="shared" si="10"/>
        <v>232.15106634698853</v>
      </c>
      <c r="AJ12" s="62">
        <v>0</v>
      </c>
      <c r="AK12" s="62">
        <v>0</v>
      </c>
      <c r="AL12" s="256">
        <f t="shared" si="11"/>
        <v>22056.925267275554</v>
      </c>
      <c r="AM12" s="256">
        <f t="shared" si="12"/>
        <v>78823.566500000001</v>
      </c>
      <c r="AN12" s="256">
        <f t="shared" si="13"/>
        <v>100880.49176727555</v>
      </c>
    </row>
    <row r="13" spans="1:16152" x14ac:dyDescent="0.2">
      <c r="A13" s="3"/>
      <c r="B13" s="307">
        <v>100</v>
      </c>
      <c r="C13" s="307" t="s">
        <v>145</v>
      </c>
      <c r="D13" s="307"/>
      <c r="E13" s="307">
        <v>100</v>
      </c>
      <c r="F13" s="307" t="s">
        <v>464</v>
      </c>
      <c r="G13" s="307" t="s">
        <v>165</v>
      </c>
      <c r="H13" s="307"/>
      <c r="I13" s="359" t="s">
        <v>404</v>
      </c>
      <c r="J13" s="255" t="s">
        <v>405</v>
      </c>
      <c r="K13" s="255" t="s">
        <v>406</v>
      </c>
      <c r="L13" s="92" t="s">
        <v>407</v>
      </c>
      <c r="M13" s="3">
        <v>1</v>
      </c>
      <c r="N13" s="3" t="s">
        <v>93</v>
      </c>
      <c r="O13" s="3">
        <v>1</v>
      </c>
      <c r="P13" s="62" t="s">
        <v>342</v>
      </c>
      <c r="Q13" s="3" t="s">
        <v>386</v>
      </c>
      <c r="R13" s="3">
        <v>260</v>
      </c>
      <c r="S13" s="3">
        <v>8</v>
      </c>
      <c r="T13" s="263">
        <f t="shared" si="0"/>
        <v>2080</v>
      </c>
      <c r="U13" s="269">
        <v>123000</v>
      </c>
      <c r="V13" s="270">
        <f t="shared" si="1"/>
        <v>123000</v>
      </c>
      <c r="W13" s="270" t="str">
        <f t="shared" si="2"/>
        <v/>
      </c>
      <c r="X13" s="270">
        <f t="shared" si="3"/>
        <v>123000</v>
      </c>
      <c r="Y13" s="62"/>
      <c r="Z13" s="62"/>
      <c r="AA13" s="256">
        <f t="shared" si="14"/>
        <v>123000</v>
      </c>
      <c r="AB13" s="3"/>
      <c r="AC13" s="468">
        <f t="shared" si="15"/>
        <v>7943.76</v>
      </c>
      <c r="AD13" s="468" t="str">
        <f t="shared" si="6"/>
        <v/>
      </c>
      <c r="AE13" s="468">
        <f t="shared" si="7"/>
        <v>35977.5</v>
      </c>
      <c r="AF13" s="468">
        <f t="shared" si="8"/>
        <v>1783.5</v>
      </c>
      <c r="AG13" s="192">
        <v>0</v>
      </c>
      <c r="AH13" s="468">
        <f t="shared" si="9"/>
        <v>1119.5873411502337</v>
      </c>
      <c r="AI13" s="468">
        <f t="shared" si="10"/>
        <v>362.25944128878751</v>
      </c>
      <c r="AJ13" s="62">
        <v>0</v>
      </c>
      <c r="AK13" s="62">
        <v>0</v>
      </c>
      <c r="AL13" s="256">
        <f t="shared" si="11"/>
        <v>47186.606782439019</v>
      </c>
      <c r="AM13" s="256">
        <f t="shared" si="12"/>
        <v>123000</v>
      </c>
      <c r="AN13" s="256">
        <f t="shared" si="13"/>
        <v>170186.60678243902</v>
      </c>
    </row>
    <row r="14" spans="1:16152" x14ac:dyDescent="0.2">
      <c r="A14" s="3"/>
      <c r="B14" s="307">
        <v>100</v>
      </c>
      <c r="C14" s="307" t="s">
        <v>145</v>
      </c>
      <c r="D14" s="307"/>
      <c r="E14" s="307">
        <v>100</v>
      </c>
      <c r="F14" s="307" t="s">
        <v>460</v>
      </c>
      <c r="G14" s="307" t="s">
        <v>173</v>
      </c>
      <c r="H14" s="307"/>
      <c r="I14" s="359" t="s">
        <v>408</v>
      </c>
      <c r="J14" s="255" t="s">
        <v>409</v>
      </c>
      <c r="K14" s="255" t="s">
        <v>384</v>
      </c>
      <c r="L14" s="92" t="s">
        <v>410</v>
      </c>
      <c r="M14" s="3">
        <v>1</v>
      </c>
      <c r="N14" s="3" t="s">
        <v>356</v>
      </c>
      <c r="O14" s="3">
        <v>1</v>
      </c>
      <c r="P14" s="62" t="s">
        <v>390</v>
      </c>
      <c r="Q14" s="3" t="s">
        <v>386</v>
      </c>
      <c r="R14" s="3">
        <v>260</v>
      </c>
      <c r="S14" s="3">
        <v>8</v>
      </c>
      <c r="T14" s="263">
        <f t="shared" si="0"/>
        <v>2080</v>
      </c>
      <c r="U14" s="269">
        <v>43000</v>
      </c>
      <c r="V14" s="270">
        <f t="shared" si="1"/>
        <v>43000</v>
      </c>
      <c r="W14" s="270">
        <f t="shared" si="2"/>
        <v>49480.487000000001</v>
      </c>
      <c r="X14" s="270">
        <f t="shared" si="3"/>
        <v>49480.487000000001</v>
      </c>
      <c r="Y14" s="62"/>
      <c r="Z14" s="62"/>
      <c r="AA14" s="256">
        <f t="shared" si="14"/>
        <v>49480.487000000001</v>
      </c>
      <c r="AB14" s="3"/>
      <c r="AC14" s="468">
        <f t="shared" si="15"/>
        <v>7943.76</v>
      </c>
      <c r="AD14" s="468" t="str">
        <f t="shared" si="6"/>
        <v/>
      </c>
      <c r="AE14" s="468">
        <f t="shared" si="7"/>
        <v>7545.7742675</v>
      </c>
      <c r="AF14" s="468">
        <f t="shared" si="8"/>
        <v>717.4670615</v>
      </c>
      <c r="AG14" s="192">
        <v>0</v>
      </c>
      <c r="AH14" s="468">
        <f t="shared" si="9"/>
        <v>450.38802340771304</v>
      </c>
      <c r="AI14" s="468">
        <f t="shared" si="10"/>
        <v>145.72986646599281</v>
      </c>
      <c r="AJ14" s="62">
        <v>0</v>
      </c>
      <c r="AK14" s="62">
        <v>0</v>
      </c>
      <c r="AL14" s="256">
        <f t="shared" si="11"/>
        <v>16803.119218873704</v>
      </c>
      <c r="AM14" s="256">
        <f t="shared" si="12"/>
        <v>49480.487000000001</v>
      </c>
      <c r="AN14" s="256">
        <f t="shared" si="13"/>
        <v>66283.606218873698</v>
      </c>
    </row>
    <row r="15" spans="1:16152" x14ac:dyDescent="0.2">
      <c r="A15" s="3"/>
      <c r="B15" s="387" t="s">
        <v>468</v>
      </c>
      <c r="C15" s="387" t="s">
        <v>145</v>
      </c>
      <c r="D15" s="387"/>
      <c r="E15" s="387" t="s">
        <v>468</v>
      </c>
      <c r="F15" s="387">
        <v>1000</v>
      </c>
      <c r="G15" s="390" t="s">
        <v>161</v>
      </c>
      <c r="H15" s="308"/>
      <c r="I15" s="359" t="s">
        <v>411</v>
      </c>
      <c r="J15" s="255" t="s">
        <v>412</v>
      </c>
      <c r="K15" s="255" t="s">
        <v>393</v>
      </c>
      <c r="L15" s="92" t="s">
        <v>341</v>
      </c>
      <c r="M15" s="3">
        <v>0.75</v>
      </c>
      <c r="N15" s="3" t="s">
        <v>356</v>
      </c>
      <c r="O15" s="3">
        <v>1</v>
      </c>
      <c r="P15" s="62" t="s">
        <v>342</v>
      </c>
      <c r="Q15" s="3">
        <v>25</v>
      </c>
      <c r="R15" s="3">
        <v>180</v>
      </c>
      <c r="S15" s="3">
        <v>5</v>
      </c>
      <c r="T15" s="263">
        <f t="shared" si="0"/>
        <v>900</v>
      </c>
      <c r="U15" s="269">
        <v>40725</v>
      </c>
      <c r="V15" s="270">
        <f t="shared" si="1"/>
        <v>40725</v>
      </c>
      <c r="W15" s="270" t="str">
        <f t="shared" si="2"/>
        <v/>
      </c>
      <c r="X15" s="270">
        <f t="shared" si="3"/>
        <v>40725</v>
      </c>
      <c r="Y15" s="62"/>
      <c r="Z15" s="62"/>
      <c r="AA15" s="256">
        <f t="shared" si="14"/>
        <v>40725</v>
      </c>
      <c r="AB15" s="3"/>
      <c r="AC15" s="468" t="str">
        <f t="shared" si="15"/>
        <v/>
      </c>
      <c r="AD15" s="468" t="str">
        <f t="shared" si="6"/>
        <v/>
      </c>
      <c r="AE15" s="468">
        <f t="shared" si="7"/>
        <v>11912.0625</v>
      </c>
      <c r="AF15" s="468">
        <f t="shared" si="8"/>
        <v>590.51250000000005</v>
      </c>
      <c r="AG15" s="192">
        <v>0</v>
      </c>
      <c r="AH15" s="389">
        <f t="shared" si="9"/>
        <v>370.69263795401031</v>
      </c>
      <c r="AI15" s="468">
        <f t="shared" si="10"/>
        <v>119.94321745110464</v>
      </c>
      <c r="AJ15" s="62">
        <v>0</v>
      </c>
      <c r="AK15" s="62">
        <v>0</v>
      </c>
      <c r="AL15" s="256">
        <f t="shared" si="11"/>
        <v>12993.210855405116</v>
      </c>
      <c r="AM15" s="256">
        <f t="shared" si="12"/>
        <v>40725</v>
      </c>
      <c r="AN15" s="256">
        <f t="shared" si="13"/>
        <v>53718.210855405116</v>
      </c>
    </row>
    <row r="16" spans="1:16152" x14ac:dyDescent="0.2">
      <c r="A16" s="3"/>
      <c r="B16" s="307">
        <v>100</v>
      </c>
      <c r="C16" s="307" t="s">
        <v>145</v>
      </c>
      <c r="D16" s="307"/>
      <c r="E16" s="307">
        <v>100</v>
      </c>
      <c r="F16" s="307">
        <v>2212</v>
      </c>
      <c r="G16" s="308" t="s">
        <v>173</v>
      </c>
      <c r="H16" s="307"/>
      <c r="I16" s="359" t="s">
        <v>414</v>
      </c>
      <c r="J16" s="255" t="s">
        <v>415</v>
      </c>
      <c r="K16" s="255" t="s">
        <v>384</v>
      </c>
      <c r="L16" s="92" t="s">
        <v>416</v>
      </c>
      <c r="M16" s="3">
        <v>1</v>
      </c>
      <c r="N16" s="3" t="s">
        <v>386</v>
      </c>
      <c r="O16" s="3">
        <v>1</v>
      </c>
      <c r="P16" s="62" t="s">
        <v>390</v>
      </c>
      <c r="Q16" s="3">
        <v>20</v>
      </c>
      <c r="R16" s="3">
        <v>180</v>
      </c>
      <c r="S16" s="3">
        <v>4.5</v>
      </c>
      <c r="T16" s="263">
        <f t="shared" si="0"/>
        <v>810</v>
      </c>
      <c r="U16" s="269">
        <v>42600</v>
      </c>
      <c r="V16" s="270">
        <f t="shared" si="1"/>
        <v>42600</v>
      </c>
      <c r="W16" s="270">
        <f t="shared" si="2"/>
        <v>49020.203399999999</v>
      </c>
      <c r="X16" s="270">
        <f t="shared" si="3"/>
        <v>49020.203399999999</v>
      </c>
      <c r="Y16" s="62"/>
      <c r="Z16" s="62"/>
      <c r="AA16" s="256">
        <f t="shared" si="14"/>
        <v>49020.203399999999</v>
      </c>
      <c r="AB16" s="3"/>
      <c r="AC16" s="468">
        <f t="shared" si="15"/>
        <v>7943.76</v>
      </c>
      <c r="AD16" s="468" t="str">
        <f t="shared" si="6"/>
        <v/>
      </c>
      <c r="AE16" s="468">
        <f t="shared" si="7"/>
        <v>7475.5810185</v>
      </c>
      <c r="AF16" s="468">
        <f t="shared" si="8"/>
        <v>710.79294930000003</v>
      </c>
      <c r="AG16" s="192">
        <v>0</v>
      </c>
      <c r="AH16" s="468">
        <f t="shared" si="9"/>
        <v>446.19836737601338</v>
      </c>
      <c r="AI16" s="468">
        <f t="shared" si="10"/>
        <v>144.37423980119286</v>
      </c>
      <c r="AJ16" s="62">
        <v>0</v>
      </c>
      <c r="AK16" s="62">
        <v>0</v>
      </c>
      <c r="AL16" s="256">
        <f t="shared" si="11"/>
        <v>16720.706574977205</v>
      </c>
      <c r="AM16" s="256">
        <f t="shared" si="12"/>
        <v>49020.203399999999</v>
      </c>
      <c r="AN16" s="256">
        <f t="shared" si="13"/>
        <v>65740.909974977199</v>
      </c>
    </row>
    <row r="17" spans="1:40" x14ac:dyDescent="0.2">
      <c r="A17" s="3"/>
      <c r="B17" s="354" t="s">
        <v>135</v>
      </c>
      <c r="C17" s="354" t="s">
        <v>242</v>
      </c>
      <c r="D17" s="307"/>
      <c r="E17" s="354" t="s">
        <v>532</v>
      </c>
      <c r="F17" s="354" t="s">
        <v>534</v>
      </c>
      <c r="G17" s="354" t="s">
        <v>161</v>
      </c>
      <c r="H17" s="307"/>
      <c r="I17" s="359" t="s">
        <v>417</v>
      </c>
      <c r="J17" s="255" t="s">
        <v>418</v>
      </c>
      <c r="K17" s="255" t="s">
        <v>393</v>
      </c>
      <c r="L17" s="92" t="s">
        <v>419</v>
      </c>
      <c r="M17" s="3">
        <f>1-M61</f>
        <v>0.96153844935706601</v>
      </c>
      <c r="N17" s="3" t="s">
        <v>93</v>
      </c>
      <c r="O17" s="3">
        <v>1</v>
      </c>
      <c r="P17" s="62" t="s">
        <v>342</v>
      </c>
      <c r="Q17" s="3" t="s">
        <v>386</v>
      </c>
      <c r="R17" s="3">
        <v>260</v>
      </c>
      <c r="S17" s="3">
        <v>8</v>
      </c>
      <c r="T17" s="263">
        <f t="shared" si="0"/>
        <v>2080</v>
      </c>
      <c r="U17" s="269">
        <v>63148</v>
      </c>
      <c r="V17" s="270">
        <f t="shared" si="1"/>
        <v>63148</v>
      </c>
      <c r="W17" s="270" t="str">
        <f t="shared" si="2"/>
        <v/>
      </c>
      <c r="X17" s="270">
        <f t="shared" si="3"/>
        <v>63148</v>
      </c>
      <c r="Y17" s="62"/>
      <c r="Z17" s="399">
        <f>6*375</f>
        <v>2250</v>
      </c>
      <c r="AA17" s="256">
        <f t="shared" si="14"/>
        <v>65398</v>
      </c>
      <c r="AB17" s="3"/>
      <c r="AC17" s="468" t="str">
        <f t="shared" si="15"/>
        <v/>
      </c>
      <c r="AD17" s="468" t="str">
        <f t="shared" si="6"/>
        <v/>
      </c>
      <c r="AE17" s="468">
        <f t="shared" si="7"/>
        <v>18470.789999999997</v>
      </c>
      <c r="AF17" s="468">
        <f t="shared" si="8"/>
        <v>948.27100000000007</v>
      </c>
      <c r="AG17" s="192">
        <v>0</v>
      </c>
      <c r="AH17" s="468">
        <f t="shared" si="9"/>
        <v>595.27457671986167</v>
      </c>
      <c r="AI17" s="468">
        <f t="shared" si="10"/>
        <v>192.6101052146677</v>
      </c>
      <c r="AJ17" s="62">
        <v>0</v>
      </c>
      <c r="AK17" s="62">
        <v>0</v>
      </c>
      <c r="AL17" s="256">
        <f t="shared" si="11"/>
        <v>20206.945681934525</v>
      </c>
      <c r="AM17" s="256">
        <f t="shared" si="12"/>
        <v>65398</v>
      </c>
      <c r="AN17" s="256">
        <f t="shared" si="13"/>
        <v>85604.945681934521</v>
      </c>
    </row>
    <row r="18" spans="1:40" x14ac:dyDescent="0.2">
      <c r="A18" s="3"/>
      <c r="B18" s="307">
        <v>280</v>
      </c>
      <c r="C18" s="307">
        <v>639</v>
      </c>
      <c r="D18" s="307"/>
      <c r="E18" s="307">
        <v>200</v>
      </c>
      <c r="F18" s="307">
        <v>1000</v>
      </c>
      <c r="G18" s="307" t="s">
        <v>161</v>
      </c>
      <c r="H18" s="307"/>
      <c r="I18" s="359" t="s">
        <v>420</v>
      </c>
      <c r="J18" s="255" t="s">
        <v>421</v>
      </c>
      <c r="K18" s="255" t="s">
        <v>389</v>
      </c>
      <c r="L18" s="92" t="s">
        <v>422</v>
      </c>
      <c r="M18" s="3">
        <v>1</v>
      </c>
      <c r="N18" s="3" t="s">
        <v>386</v>
      </c>
      <c r="O18" s="3">
        <v>1</v>
      </c>
      <c r="P18" s="62" t="s">
        <v>342</v>
      </c>
      <c r="Q18" s="3" t="s">
        <v>386</v>
      </c>
      <c r="R18" s="3">
        <v>191</v>
      </c>
      <c r="S18" s="3">
        <v>8</v>
      </c>
      <c r="T18" s="263">
        <f t="shared" si="0"/>
        <v>1528</v>
      </c>
      <c r="U18" s="269">
        <v>49792</v>
      </c>
      <c r="V18" s="270">
        <f t="shared" si="1"/>
        <v>49792</v>
      </c>
      <c r="W18" s="270" t="str">
        <f t="shared" si="2"/>
        <v/>
      </c>
      <c r="X18" s="270">
        <f t="shared" si="3"/>
        <v>49792</v>
      </c>
      <c r="Y18" s="62"/>
      <c r="Z18" s="62"/>
      <c r="AA18" s="256">
        <f t="shared" si="14"/>
        <v>49792</v>
      </c>
      <c r="AB18" s="3"/>
      <c r="AC18" s="468">
        <f t="shared" si="15"/>
        <v>7943.76</v>
      </c>
      <c r="AD18" s="468" t="str">
        <f t="shared" si="6"/>
        <v/>
      </c>
      <c r="AE18" s="468">
        <f t="shared" si="7"/>
        <v>14564.16</v>
      </c>
      <c r="AF18" s="468">
        <f t="shared" si="8"/>
        <v>721.98400000000004</v>
      </c>
      <c r="AG18" s="192">
        <v>0</v>
      </c>
      <c r="AH18" s="468">
        <f t="shared" si="9"/>
        <v>453.2235194353857</v>
      </c>
      <c r="AI18" s="468">
        <f t="shared" si="10"/>
        <v>146.64733415163664</v>
      </c>
      <c r="AJ18" s="62">
        <v>0</v>
      </c>
      <c r="AK18" s="62">
        <v>0</v>
      </c>
      <c r="AL18" s="256">
        <f t="shared" si="11"/>
        <v>23829.77485358702</v>
      </c>
      <c r="AM18" s="256">
        <f t="shared" si="12"/>
        <v>49792</v>
      </c>
      <c r="AN18" s="256">
        <f t="shared" si="13"/>
        <v>73621.77485358702</v>
      </c>
    </row>
    <row r="19" spans="1:40" x14ac:dyDescent="0.2">
      <c r="A19" s="3"/>
      <c r="B19" s="307" t="s">
        <v>468</v>
      </c>
      <c r="C19" s="307" t="s">
        <v>145</v>
      </c>
      <c r="D19" s="307"/>
      <c r="E19" s="307" t="s">
        <v>468</v>
      </c>
      <c r="F19" s="307" t="s">
        <v>465</v>
      </c>
      <c r="G19" s="307" t="s">
        <v>167</v>
      </c>
      <c r="H19" s="307"/>
      <c r="I19" s="503" t="s">
        <v>423</v>
      </c>
      <c r="J19" s="255" t="s">
        <v>424</v>
      </c>
      <c r="K19" s="255" t="s">
        <v>389</v>
      </c>
      <c r="L19" s="92" t="s">
        <v>425</v>
      </c>
      <c r="M19" s="3">
        <v>1</v>
      </c>
      <c r="N19" s="3" t="s">
        <v>386</v>
      </c>
      <c r="O19" s="3">
        <v>1</v>
      </c>
      <c r="P19" s="62" t="s">
        <v>342</v>
      </c>
      <c r="Q19" s="3" t="s">
        <v>386</v>
      </c>
      <c r="R19" s="3">
        <v>180</v>
      </c>
      <c r="S19" s="3">
        <v>8</v>
      </c>
      <c r="T19" s="263">
        <f t="shared" si="0"/>
        <v>1440</v>
      </c>
      <c r="U19" s="269">
        <v>50788</v>
      </c>
      <c r="V19" s="270">
        <f t="shared" si="1"/>
        <v>50788</v>
      </c>
      <c r="W19" s="270" t="str">
        <f t="shared" si="2"/>
        <v/>
      </c>
      <c r="X19" s="270">
        <f t="shared" si="3"/>
        <v>50788</v>
      </c>
      <c r="Y19" s="62"/>
      <c r="Z19" s="62"/>
      <c r="AA19" s="256">
        <f t="shared" si="14"/>
        <v>50788</v>
      </c>
      <c r="AB19" s="3"/>
      <c r="AC19" s="468">
        <f t="shared" si="15"/>
        <v>7943.76</v>
      </c>
      <c r="AD19" s="468" t="str">
        <f t="shared" si="6"/>
        <v/>
      </c>
      <c r="AE19" s="468">
        <f t="shared" si="7"/>
        <v>14855.49</v>
      </c>
      <c r="AF19" s="468">
        <f t="shared" si="8"/>
        <v>736.42600000000004</v>
      </c>
      <c r="AG19" s="192">
        <v>0</v>
      </c>
      <c r="AH19" s="468">
        <f t="shared" si="9"/>
        <v>462.28944619787046</v>
      </c>
      <c r="AI19" s="468">
        <f t="shared" si="10"/>
        <v>149.58075206646294</v>
      </c>
      <c r="AJ19" s="62">
        <v>0</v>
      </c>
      <c r="AK19" s="62">
        <v>0</v>
      </c>
      <c r="AL19" s="256">
        <f t="shared" si="11"/>
        <v>24147.546198264336</v>
      </c>
      <c r="AM19" s="256">
        <f t="shared" si="12"/>
        <v>50788</v>
      </c>
      <c r="AN19" s="256">
        <f t="shared" si="13"/>
        <v>74935.546198264332</v>
      </c>
    </row>
    <row r="20" spans="1:40" x14ac:dyDescent="0.2">
      <c r="A20" s="3"/>
      <c r="B20" s="308" t="s">
        <v>462</v>
      </c>
      <c r="C20" s="308" t="s">
        <v>132</v>
      </c>
      <c r="D20" s="307"/>
      <c r="E20" s="307" t="s">
        <v>463</v>
      </c>
      <c r="F20" s="307">
        <v>2130</v>
      </c>
      <c r="G20" s="308" t="s">
        <v>167</v>
      </c>
      <c r="H20" s="308"/>
      <c r="I20" s="359" t="s">
        <v>491</v>
      </c>
      <c r="J20" s="255" t="s">
        <v>492</v>
      </c>
      <c r="K20" s="255" t="s">
        <v>393</v>
      </c>
      <c r="L20" s="255" t="s">
        <v>493</v>
      </c>
      <c r="M20" s="92">
        <v>0.5</v>
      </c>
      <c r="N20" s="3"/>
      <c r="O20" s="3">
        <v>1</v>
      </c>
      <c r="P20" s="3" t="s">
        <v>7</v>
      </c>
      <c r="Q20" s="62"/>
      <c r="R20" s="3"/>
      <c r="S20" s="3"/>
      <c r="T20" s="263">
        <f t="shared" si="0"/>
        <v>0</v>
      </c>
      <c r="U20" s="269">
        <v>15000</v>
      </c>
      <c r="V20" s="270">
        <f t="shared" si="1"/>
        <v>15000</v>
      </c>
      <c r="W20" s="270" t="str">
        <f t="shared" si="2"/>
        <v/>
      </c>
      <c r="X20" s="270">
        <f t="shared" si="3"/>
        <v>15000</v>
      </c>
      <c r="Y20" s="62"/>
      <c r="Z20" s="62"/>
      <c r="AA20" s="256">
        <f t="shared" si="14"/>
        <v>15000</v>
      </c>
      <c r="AB20" s="3"/>
      <c r="AC20" s="468" t="str">
        <f t="shared" si="15"/>
        <v/>
      </c>
      <c r="AD20" s="468">
        <f t="shared" si="6"/>
        <v>930</v>
      </c>
      <c r="AE20" s="468" t="str">
        <f t="shared" si="7"/>
        <v/>
      </c>
      <c r="AF20" s="468">
        <f t="shared" si="8"/>
        <v>217.5</v>
      </c>
      <c r="AG20" s="192">
        <v>0</v>
      </c>
      <c r="AH20" s="468">
        <f t="shared" si="9"/>
        <v>136.53504160368703</v>
      </c>
      <c r="AI20" s="468">
        <f t="shared" si="10"/>
        <v>44.177980644974092</v>
      </c>
      <c r="AJ20" s="62">
        <v>0</v>
      </c>
      <c r="AK20" s="62">
        <v>0</v>
      </c>
      <c r="AL20" s="256">
        <f t="shared" si="11"/>
        <v>1328.213022248661</v>
      </c>
      <c r="AM20" s="256">
        <f t="shared" si="12"/>
        <v>15000</v>
      </c>
      <c r="AN20" s="256">
        <f t="shared" si="13"/>
        <v>16328.213022248661</v>
      </c>
    </row>
    <row r="21" spans="1:40" x14ac:dyDescent="0.2">
      <c r="A21" s="3"/>
      <c r="B21" s="387">
        <v>250</v>
      </c>
      <c r="C21" s="387" t="s">
        <v>145</v>
      </c>
      <c r="D21" s="387"/>
      <c r="E21" s="387">
        <v>200</v>
      </c>
      <c r="F21" s="387">
        <v>1000</v>
      </c>
      <c r="G21" s="387" t="s">
        <v>161</v>
      </c>
      <c r="H21" s="307"/>
      <c r="I21" s="359" t="s">
        <v>426</v>
      </c>
      <c r="J21" s="255" t="s">
        <v>427</v>
      </c>
      <c r="K21" s="255" t="s">
        <v>389</v>
      </c>
      <c r="L21" s="92" t="s">
        <v>422</v>
      </c>
      <c r="M21" s="3">
        <v>1</v>
      </c>
      <c r="N21" s="3" t="s">
        <v>386</v>
      </c>
      <c r="O21" s="3">
        <v>1</v>
      </c>
      <c r="P21" s="62" t="s">
        <v>342</v>
      </c>
      <c r="Q21" s="3" t="s">
        <v>386</v>
      </c>
      <c r="R21" s="3">
        <v>196</v>
      </c>
      <c r="S21" s="3">
        <v>8</v>
      </c>
      <c r="T21" s="263">
        <f t="shared" si="0"/>
        <v>1568</v>
      </c>
      <c r="U21" s="269">
        <v>58339</v>
      </c>
      <c r="V21" s="270">
        <f t="shared" si="1"/>
        <v>58339</v>
      </c>
      <c r="W21" s="270" t="str">
        <f t="shared" si="2"/>
        <v/>
      </c>
      <c r="X21" s="270">
        <f t="shared" si="3"/>
        <v>58339</v>
      </c>
      <c r="Y21" s="62"/>
      <c r="Z21" s="62"/>
      <c r="AA21" s="256">
        <f t="shared" si="14"/>
        <v>58339</v>
      </c>
      <c r="AB21" s="3"/>
      <c r="AC21" s="468">
        <f t="shared" si="15"/>
        <v>7943.76</v>
      </c>
      <c r="AD21" s="468" t="str">
        <f t="shared" si="6"/>
        <v/>
      </c>
      <c r="AE21" s="468">
        <f t="shared" si="7"/>
        <v>17064.157499999998</v>
      </c>
      <c r="AF21" s="468">
        <f t="shared" si="8"/>
        <v>845.91550000000007</v>
      </c>
      <c r="AG21" s="192">
        <v>0</v>
      </c>
      <c r="AH21" s="468">
        <f t="shared" si="9"/>
        <v>531.0211861411666</v>
      </c>
      <c r="AI21" s="468">
        <f t="shared" si="10"/>
        <v>171.8199475231429</v>
      </c>
      <c r="AJ21" s="62">
        <v>0</v>
      </c>
      <c r="AK21" s="62">
        <v>0</v>
      </c>
      <c r="AL21" s="256">
        <f t="shared" si="11"/>
        <v>26556.674133664303</v>
      </c>
      <c r="AM21" s="256">
        <f t="shared" si="12"/>
        <v>58339</v>
      </c>
      <c r="AN21" s="256">
        <f t="shared" si="13"/>
        <v>84895.674133664303</v>
      </c>
    </row>
    <row r="22" spans="1:40" x14ac:dyDescent="0.2">
      <c r="A22" s="3"/>
      <c r="B22" s="354">
        <v>250</v>
      </c>
      <c r="C22" s="354" t="s">
        <v>132</v>
      </c>
      <c r="D22" s="354"/>
      <c r="E22" s="354">
        <v>200</v>
      </c>
      <c r="F22" s="354">
        <v>2140</v>
      </c>
      <c r="G22" s="354" t="s">
        <v>167</v>
      </c>
      <c r="H22" s="307"/>
      <c r="I22" s="359" t="s">
        <v>428</v>
      </c>
      <c r="J22" s="255" t="s">
        <v>429</v>
      </c>
      <c r="K22" s="255" t="s">
        <v>393</v>
      </c>
      <c r="L22" s="92" t="s">
        <v>430</v>
      </c>
      <c r="M22" s="3">
        <f>0.81</f>
        <v>0.81</v>
      </c>
      <c r="N22" s="3"/>
      <c r="O22" s="3">
        <v>1</v>
      </c>
      <c r="P22" s="62" t="s">
        <v>342</v>
      </c>
      <c r="Q22" s="3"/>
      <c r="R22" s="3"/>
      <c r="S22" s="3"/>
      <c r="T22" s="263">
        <f t="shared" si="0"/>
        <v>0</v>
      </c>
      <c r="U22" s="269">
        <f>2798.8*26</f>
        <v>72768.800000000003</v>
      </c>
      <c r="V22" s="270">
        <v>84026.42</v>
      </c>
      <c r="W22" s="270" t="str">
        <f t="shared" si="2"/>
        <v/>
      </c>
      <c r="X22" s="270">
        <f t="shared" si="3"/>
        <v>84026.42</v>
      </c>
      <c r="Y22" s="62">
        <v>-19112.57</v>
      </c>
      <c r="Z22" s="62"/>
      <c r="AA22" s="256">
        <f t="shared" si="14"/>
        <v>64913.85</v>
      </c>
      <c r="AB22" s="3"/>
      <c r="AC22" s="469" t="str">
        <f t="shared" si="15"/>
        <v/>
      </c>
      <c r="AD22" s="468" t="str">
        <f t="shared" si="6"/>
        <v/>
      </c>
      <c r="AE22" s="469">
        <f>_xlfn.IFS(P22="EE",AA22*$AE$1,P22="ER",AA22*$AE$2,P22="N","",P22="","")</f>
        <v>18987.301124999998</v>
      </c>
      <c r="AF22" s="468">
        <f t="shared" si="8"/>
        <v>941.25082500000008</v>
      </c>
      <c r="AG22" s="192">
        <v>0</v>
      </c>
      <c r="AH22" s="468">
        <f t="shared" si="9"/>
        <v>590.86768069369998</v>
      </c>
      <c r="AI22" s="468">
        <f t="shared" si="10"/>
        <v>191.18418725938341</v>
      </c>
      <c r="AJ22" s="62">
        <v>0</v>
      </c>
      <c r="AK22" s="62">
        <v>0</v>
      </c>
      <c r="AL22" s="256">
        <f t="shared" si="11"/>
        <v>20710.603817953081</v>
      </c>
      <c r="AM22" s="256">
        <f t="shared" si="12"/>
        <v>64913.85</v>
      </c>
      <c r="AN22" s="256">
        <f t="shared" si="13"/>
        <v>85624.453817953079</v>
      </c>
    </row>
    <row r="23" spans="1:40" x14ac:dyDescent="0.2">
      <c r="A23" s="386"/>
      <c r="B23" s="387" t="s">
        <v>135</v>
      </c>
      <c r="C23" s="387" t="s">
        <v>247</v>
      </c>
      <c r="D23" s="387"/>
      <c r="E23" s="387" t="s">
        <v>463</v>
      </c>
      <c r="F23" s="387" t="s">
        <v>485</v>
      </c>
      <c r="G23" s="390" t="s">
        <v>167</v>
      </c>
      <c r="H23" s="387"/>
      <c r="I23" s="359" t="s">
        <v>428</v>
      </c>
      <c r="J23" s="359" t="s">
        <v>429</v>
      </c>
      <c r="K23" s="359" t="s">
        <v>393</v>
      </c>
      <c r="L23" s="388" t="s">
        <v>430</v>
      </c>
      <c r="M23" s="386">
        <v>0.19</v>
      </c>
      <c r="N23" s="386"/>
      <c r="O23" s="386">
        <v>1</v>
      </c>
      <c r="P23" s="389" t="s">
        <v>342</v>
      </c>
      <c r="Q23" s="386"/>
      <c r="R23" s="386"/>
      <c r="S23" s="386"/>
      <c r="T23" s="263">
        <f t="shared" ref="T23" si="16">R23*S23</f>
        <v>0</v>
      </c>
      <c r="U23" s="269">
        <f>2798.8*26</f>
        <v>72768.800000000003</v>
      </c>
      <c r="V23" s="270">
        <v>84026.42</v>
      </c>
      <c r="W23" s="270" t="str">
        <f t="shared" ref="W23" si="17">+IF(P23="EE",+V23*$W$1,"")</f>
        <v/>
      </c>
      <c r="X23" s="270">
        <f>_xlfn.IFS(P23="ER",V23,P23="EE",W23,P23="N",V23,P23="","")</f>
        <v>84026.42</v>
      </c>
      <c r="Y23" s="62">
        <f>-X23+19112.57</f>
        <v>-64913.85</v>
      </c>
      <c r="Z23" s="62"/>
      <c r="AA23" s="256">
        <f>SUM(X23:Z23)</f>
        <v>19112.57</v>
      </c>
      <c r="AB23" s="3"/>
      <c r="AC23" s="469" t="str">
        <f t="shared" si="15"/>
        <v/>
      </c>
      <c r="AD23" s="468" t="str">
        <f>_xlfn.IFS(P23="N",$AD$1*AA23,P23="EE","",P23="ER","",P23="","")</f>
        <v/>
      </c>
      <c r="AE23" s="469">
        <f>_xlfn.IFS(P23="EE",AA23*$AE$1,P23="ER",AA23*$AE$2,P23="N","",P23="","")</f>
        <v>5590.4267249999994</v>
      </c>
      <c r="AF23" s="468">
        <f>+IF(AA23&gt;1,AA23*$AF$1,"")</f>
        <v>277.13226500000002</v>
      </c>
      <c r="AG23" s="192">
        <v>0</v>
      </c>
      <c r="AH23" s="468">
        <f>+IF(AA23&gt;1,AA23*$AH$1,"")</f>
        <v>173.96903600689205</v>
      </c>
      <c r="AI23" s="469">
        <v>0</v>
      </c>
      <c r="AJ23" s="62">
        <v>0</v>
      </c>
      <c r="AK23" s="62">
        <v>0</v>
      </c>
      <c r="AL23" s="256">
        <f>SUM(AD23:AK23)</f>
        <v>6041.5280260068912</v>
      </c>
      <c r="AM23" s="256">
        <f>AA23</f>
        <v>19112.57</v>
      </c>
      <c r="AN23" s="256">
        <f>SUM(AL23:AM23)</f>
        <v>25154.09802600689</v>
      </c>
    </row>
    <row r="24" spans="1:40" x14ac:dyDescent="0.2">
      <c r="A24" s="3"/>
      <c r="B24" s="307" t="s">
        <v>468</v>
      </c>
      <c r="C24" s="307" t="s">
        <v>145</v>
      </c>
      <c r="D24" s="307"/>
      <c r="E24" s="307" t="s">
        <v>468</v>
      </c>
      <c r="F24" s="307" t="s">
        <v>465</v>
      </c>
      <c r="G24" s="307" t="s">
        <v>167</v>
      </c>
      <c r="H24" s="307"/>
      <c r="I24" s="503" t="s">
        <v>431</v>
      </c>
      <c r="J24" s="255" t="s">
        <v>424</v>
      </c>
      <c r="K24" s="255" t="s">
        <v>393</v>
      </c>
      <c r="L24" s="92" t="s">
        <v>494</v>
      </c>
      <c r="M24" s="3">
        <v>0.75</v>
      </c>
      <c r="N24" s="3" t="s">
        <v>386</v>
      </c>
      <c r="O24" s="3">
        <v>1</v>
      </c>
      <c r="P24" s="62" t="s">
        <v>390</v>
      </c>
      <c r="Q24" s="3" t="s">
        <v>386</v>
      </c>
      <c r="R24" s="3">
        <v>170</v>
      </c>
      <c r="S24" s="3">
        <v>8</v>
      </c>
      <c r="T24" s="263">
        <f t="shared" si="0"/>
        <v>1360</v>
      </c>
      <c r="U24" s="269">
        <v>39919</v>
      </c>
      <c r="V24" s="270">
        <f t="shared" si="1"/>
        <v>39919</v>
      </c>
      <c r="W24" s="270">
        <f t="shared" si="2"/>
        <v>45935.152570999999</v>
      </c>
      <c r="X24" s="270">
        <f t="shared" si="3"/>
        <v>45935.152570999999</v>
      </c>
      <c r="Y24" s="62"/>
      <c r="Z24" s="62"/>
      <c r="AA24" s="256">
        <f t="shared" si="14"/>
        <v>45935.152570999999</v>
      </c>
      <c r="AB24" s="3"/>
      <c r="AC24" s="468" t="str">
        <f t="shared" si="15"/>
        <v/>
      </c>
      <c r="AD24" s="468" t="str">
        <f t="shared" si="6"/>
        <v/>
      </c>
      <c r="AE24" s="468">
        <f t="shared" si="7"/>
        <v>7005.1107670775</v>
      </c>
      <c r="AF24" s="468">
        <f t="shared" si="8"/>
        <v>666.05971227949999</v>
      </c>
      <c r="AG24" s="192">
        <v>0</v>
      </c>
      <c r="AH24" s="468">
        <f t="shared" si="9"/>
        <v>418.11719782354641</v>
      </c>
      <c r="AI24" s="468">
        <f t="shared" si="10"/>
        <v>135.2881520803713</v>
      </c>
      <c r="AJ24" s="62">
        <v>0</v>
      </c>
      <c r="AK24" s="62">
        <v>0</v>
      </c>
      <c r="AL24" s="256">
        <f t="shared" si="11"/>
        <v>8224.5758292609171</v>
      </c>
      <c r="AM24" s="256">
        <f t="shared" si="12"/>
        <v>45935.152570999999</v>
      </c>
      <c r="AN24" s="256">
        <f t="shared" si="13"/>
        <v>54159.728400260916</v>
      </c>
    </row>
    <row r="25" spans="1:40" x14ac:dyDescent="0.2">
      <c r="A25" s="3"/>
      <c r="B25" s="307">
        <v>100</v>
      </c>
      <c r="C25" s="307" t="s">
        <v>145</v>
      </c>
      <c r="D25" s="307"/>
      <c r="E25" s="307">
        <v>100</v>
      </c>
      <c r="F25" s="307" t="s">
        <v>460</v>
      </c>
      <c r="G25" s="307" t="s">
        <v>173</v>
      </c>
      <c r="H25" s="307"/>
      <c r="I25" s="359" t="s">
        <v>432</v>
      </c>
      <c r="J25" s="255" t="s">
        <v>433</v>
      </c>
      <c r="K25" s="255" t="s">
        <v>384</v>
      </c>
      <c r="L25" s="92" t="s">
        <v>894</v>
      </c>
      <c r="M25" s="3">
        <v>1</v>
      </c>
      <c r="N25" s="3" t="s">
        <v>386</v>
      </c>
      <c r="O25" s="3">
        <v>1</v>
      </c>
      <c r="P25" s="62" t="s">
        <v>342</v>
      </c>
      <c r="Q25" s="3">
        <v>14.5</v>
      </c>
      <c r="R25" s="3">
        <v>265</v>
      </c>
      <c r="S25" s="3">
        <v>8</v>
      </c>
      <c r="T25" s="263">
        <f t="shared" si="0"/>
        <v>2120</v>
      </c>
      <c r="U25" s="269">
        <v>34000</v>
      </c>
      <c r="V25" s="270">
        <f t="shared" si="1"/>
        <v>34000</v>
      </c>
      <c r="W25" s="270" t="str">
        <f t="shared" si="2"/>
        <v/>
      </c>
      <c r="X25" s="270">
        <f t="shared" si="3"/>
        <v>34000</v>
      </c>
      <c r="Y25" s="62"/>
      <c r="Z25" s="62"/>
      <c r="AA25" s="256">
        <f t="shared" si="14"/>
        <v>34000</v>
      </c>
      <c r="AB25" s="3"/>
      <c r="AC25" s="468">
        <f t="shared" si="15"/>
        <v>7943.76</v>
      </c>
      <c r="AD25" s="468" t="str">
        <f t="shared" si="6"/>
        <v/>
      </c>
      <c r="AE25" s="468">
        <f t="shared" si="7"/>
        <v>9945</v>
      </c>
      <c r="AF25" s="468">
        <f t="shared" si="8"/>
        <v>493</v>
      </c>
      <c r="AG25" s="192">
        <v>0</v>
      </c>
      <c r="AH25" s="468">
        <f t="shared" si="9"/>
        <v>309.47942763502397</v>
      </c>
      <c r="AI25" s="468">
        <f t="shared" si="10"/>
        <v>100.13675612860793</v>
      </c>
      <c r="AJ25" s="62">
        <v>0</v>
      </c>
      <c r="AK25" s="62">
        <v>0</v>
      </c>
      <c r="AL25" s="256">
        <f t="shared" si="11"/>
        <v>18791.376183763634</v>
      </c>
      <c r="AM25" s="256">
        <f t="shared" si="12"/>
        <v>34000</v>
      </c>
      <c r="AN25" s="256">
        <f t="shared" si="13"/>
        <v>52791.376183763634</v>
      </c>
    </row>
    <row r="26" spans="1:40" x14ac:dyDescent="0.2">
      <c r="A26" s="3"/>
      <c r="B26" s="354" t="s">
        <v>473</v>
      </c>
      <c r="C26" s="354" t="s">
        <v>470</v>
      </c>
      <c r="D26" s="354"/>
      <c r="E26" s="354" t="s">
        <v>557</v>
      </c>
      <c r="F26" s="354">
        <v>1000</v>
      </c>
      <c r="G26" s="354" t="s">
        <v>169</v>
      </c>
      <c r="H26" s="307"/>
      <c r="I26" s="359" t="s">
        <v>435</v>
      </c>
      <c r="J26" s="255" t="s">
        <v>421</v>
      </c>
      <c r="K26" s="255" t="s">
        <v>393</v>
      </c>
      <c r="L26" s="92" t="s">
        <v>413</v>
      </c>
      <c r="M26" s="3">
        <f>0.75-M27</f>
        <v>0.49116492146596857</v>
      </c>
      <c r="N26" s="3" t="s">
        <v>386</v>
      </c>
      <c r="O26" s="3">
        <v>1</v>
      </c>
      <c r="P26" s="62" t="s">
        <v>342</v>
      </c>
      <c r="Q26" s="3">
        <v>20</v>
      </c>
      <c r="R26" s="3">
        <v>191</v>
      </c>
      <c r="S26" s="3">
        <v>8</v>
      </c>
      <c r="T26" s="263">
        <f t="shared" si="0"/>
        <v>1528</v>
      </c>
      <c r="U26" s="269">
        <f>Q26*T26</f>
        <v>30560</v>
      </c>
      <c r="V26" s="270">
        <f>35815.31-5255.31</f>
        <v>30559.999999999996</v>
      </c>
      <c r="W26" s="270" t="str">
        <f t="shared" si="2"/>
        <v/>
      </c>
      <c r="X26" s="270">
        <f t="shared" si="3"/>
        <v>30559.999999999996</v>
      </c>
      <c r="Y26" s="62">
        <f>-X26+22650</f>
        <v>-7909.9999999999964</v>
      </c>
      <c r="Z26" s="62"/>
      <c r="AA26" s="256">
        <f t="shared" si="14"/>
        <v>22650</v>
      </c>
      <c r="AB26" s="3"/>
      <c r="AC26" s="468" t="str">
        <f t="shared" si="15"/>
        <v/>
      </c>
      <c r="AD26" s="468" t="str">
        <f t="shared" si="6"/>
        <v/>
      </c>
      <c r="AE26" s="468">
        <f t="shared" si="7"/>
        <v>8938.7999999999993</v>
      </c>
      <c r="AF26" s="468">
        <f t="shared" si="8"/>
        <v>328.42500000000001</v>
      </c>
      <c r="AG26" s="192">
        <v>0</v>
      </c>
      <c r="AH26" s="468">
        <f t="shared" si="9"/>
        <v>206.16791282156743</v>
      </c>
      <c r="AI26" s="468">
        <f t="shared" si="10"/>
        <v>66.708750773910879</v>
      </c>
      <c r="AJ26" s="62">
        <v>0</v>
      </c>
      <c r="AK26" s="62">
        <v>0</v>
      </c>
      <c r="AL26" s="256">
        <f t="shared" si="11"/>
        <v>9540.1016635954766</v>
      </c>
      <c r="AM26" s="256">
        <f t="shared" si="12"/>
        <v>22650</v>
      </c>
      <c r="AN26" s="256">
        <f t="shared" si="13"/>
        <v>32190.101663595477</v>
      </c>
    </row>
    <row r="27" spans="1:40" x14ac:dyDescent="0.2">
      <c r="A27" s="386"/>
      <c r="B27" s="387" t="s">
        <v>468</v>
      </c>
      <c r="C27" s="390" t="s">
        <v>145</v>
      </c>
      <c r="D27" s="387"/>
      <c r="E27" s="387" t="s">
        <v>468</v>
      </c>
      <c r="F27" s="387" t="s">
        <v>461</v>
      </c>
      <c r="G27" s="390" t="s">
        <v>169</v>
      </c>
      <c r="H27" s="387"/>
      <c r="I27" s="359" t="s">
        <v>435</v>
      </c>
      <c r="J27" s="359" t="s">
        <v>421</v>
      </c>
      <c r="K27" s="359" t="s">
        <v>393</v>
      </c>
      <c r="L27" s="388" t="s">
        <v>413</v>
      </c>
      <c r="M27" s="386">
        <f>AA27/X26</f>
        <v>0.25883507853403143</v>
      </c>
      <c r="N27" s="386" t="s">
        <v>386</v>
      </c>
      <c r="O27" s="386">
        <v>1</v>
      </c>
      <c r="P27" s="389" t="s">
        <v>342</v>
      </c>
      <c r="Q27" s="386">
        <v>20</v>
      </c>
      <c r="R27" s="386">
        <v>191</v>
      </c>
      <c r="S27" s="386">
        <v>8</v>
      </c>
      <c r="T27" s="263">
        <f t="shared" ref="T27" si="18">R27*S27</f>
        <v>1528</v>
      </c>
      <c r="U27" s="269">
        <f>Q27*T27</f>
        <v>30560</v>
      </c>
      <c r="V27" s="270">
        <f>35815.31-5255.31</f>
        <v>30559.999999999996</v>
      </c>
      <c r="W27" s="270"/>
      <c r="X27" s="270">
        <f>_xlfn.IFS(P27="ER",V27,P27="EE",W27,P27="N",V27,P27="","")</f>
        <v>30559.999999999996</v>
      </c>
      <c r="Y27" s="62">
        <f>-X27+7910</f>
        <v>-22649.999999999996</v>
      </c>
      <c r="Z27" s="62"/>
      <c r="AA27" s="256">
        <f>SUM(X27:Z27)</f>
        <v>7910</v>
      </c>
      <c r="AB27" s="3"/>
      <c r="AC27" s="469" t="str">
        <f t="shared" si="15"/>
        <v/>
      </c>
      <c r="AD27" s="468" t="str">
        <f>_xlfn.IFS(P27="N",$AD$1*AA27,P27="EE","",P27="ER","",P27="","")</f>
        <v/>
      </c>
      <c r="AE27" s="469">
        <f>_xlfn.IFS(P27="EE",AA27*$AE$1,P27="ER",AA27*$AE$2,P27="N","",P27="","")</f>
        <v>2313.6749999999997</v>
      </c>
      <c r="AF27" s="468">
        <f>+IF(AA27&gt;1,AA27*$AF$1,"")</f>
        <v>114.69500000000001</v>
      </c>
      <c r="AG27" s="192">
        <v>0</v>
      </c>
      <c r="AH27" s="389">
        <f>+IF(AA27&gt;1,AA27*$AH$1,"")</f>
        <v>71.999478605677638</v>
      </c>
      <c r="AI27" s="469">
        <v>0</v>
      </c>
      <c r="AJ27" s="62">
        <v>0</v>
      </c>
      <c r="AK27" s="62">
        <v>0</v>
      </c>
      <c r="AL27" s="256">
        <f>SUM(AC27:AK27)</f>
        <v>2500.3694786056776</v>
      </c>
      <c r="AM27" s="256">
        <f>AA27</f>
        <v>7910</v>
      </c>
      <c r="AN27" s="256">
        <f>SUM(AL27:AM27)</f>
        <v>10410.369478605677</v>
      </c>
    </row>
    <row r="28" spans="1:40" x14ac:dyDescent="0.2">
      <c r="A28" s="294" t="s">
        <v>892</v>
      </c>
      <c r="B28" s="408">
        <v>100</v>
      </c>
      <c r="C28" s="408" t="s">
        <v>145</v>
      </c>
      <c r="D28" s="408"/>
      <c r="E28" s="408">
        <v>100</v>
      </c>
      <c r="F28" s="408" t="s">
        <v>465</v>
      </c>
      <c r="G28" s="408" t="s">
        <v>167</v>
      </c>
      <c r="H28" s="408"/>
      <c r="I28" s="410" t="s">
        <v>436</v>
      </c>
      <c r="J28" s="410" t="s">
        <v>437</v>
      </c>
      <c r="K28" s="410" t="s">
        <v>393</v>
      </c>
      <c r="L28" s="411" t="s">
        <v>438</v>
      </c>
      <c r="M28" s="294">
        <f>1-M59</f>
        <v>0.83698920909178331</v>
      </c>
      <c r="N28" s="294" t="s">
        <v>386</v>
      </c>
      <c r="O28" s="294">
        <v>1</v>
      </c>
      <c r="P28" s="412" t="s">
        <v>390</v>
      </c>
      <c r="Q28" s="294" t="s">
        <v>386</v>
      </c>
      <c r="R28" s="294">
        <v>260</v>
      </c>
      <c r="S28" s="294">
        <v>8</v>
      </c>
      <c r="T28" s="263">
        <f t="shared" si="0"/>
        <v>2080</v>
      </c>
      <c r="U28" s="269">
        <v>57704</v>
      </c>
      <c r="V28" s="270">
        <f t="shared" si="1"/>
        <v>57704</v>
      </c>
      <c r="W28" s="270">
        <f t="shared" si="2"/>
        <v>66400.512136000005</v>
      </c>
      <c r="X28" s="270">
        <f t="shared" si="3"/>
        <v>66400.512136000005</v>
      </c>
      <c r="Y28" s="413">
        <f>-X28+36793.39</f>
        <v>-29607.122136000005</v>
      </c>
      <c r="Z28" s="62"/>
      <c r="AA28" s="256">
        <f t="shared" si="14"/>
        <v>36793.39</v>
      </c>
      <c r="AB28" s="3"/>
      <c r="AC28" s="469" t="str">
        <f t="shared" si="15"/>
        <v/>
      </c>
      <c r="AD28" s="468" t="str">
        <f t="shared" si="6"/>
        <v/>
      </c>
      <c r="AE28" s="468">
        <f>_xlfn.IFS(P28="EE",(AA28+AA59)*$AE$1,P28="ER",(AA28+AA59)*$AE$2,P28="N","",P28="","")</f>
        <v>7261.6519749999998</v>
      </c>
      <c r="AF28" s="468">
        <f>+IF(AA28&gt;1,(AA28+AA59)*$AF$1,"")</f>
        <v>690.45215500000006</v>
      </c>
      <c r="AG28" s="192">
        <v>0</v>
      </c>
      <c r="AH28" s="468">
        <f>+IF(AA28&gt;1,(AA28+AA59)*$AH$1,"")</f>
        <v>433.42948831393272</v>
      </c>
      <c r="AI28" s="468">
        <f>+_xlfn.IFS(F28&lt;2300,((AA28+AA59)*$AI$1),F28&gt;=2300,((AA28+AA59)*$AI$2),F28="","")</f>
        <v>140.24267558561218</v>
      </c>
      <c r="AJ28" s="62">
        <v>0</v>
      </c>
      <c r="AK28" s="62">
        <v>0</v>
      </c>
      <c r="AL28" s="256">
        <f t="shared" si="11"/>
        <v>8525.7762938995438</v>
      </c>
      <c r="AM28" s="256">
        <f t="shared" si="12"/>
        <v>36793.39</v>
      </c>
      <c r="AN28" s="256">
        <f t="shared" si="13"/>
        <v>45319.166293899543</v>
      </c>
    </row>
    <row r="29" spans="1:40" x14ac:dyDescent="0.2">
      <c r="A29" s="3"/>
      <c r="B29" s="307">
        <v>280</v>
      </c>
      <c r="C29" s="307">
        <v>633</v>
      </c>
      <c r="D29" s="307"/>
      <c r="E29" s="307">
        <v>430</v>
      </c>
      <c r="F29" s="307" t="s">
        <v>461</v>
      </c>
      <c r="G29" s="307" t="s">
        <v>161</v>
      </c>
      <c r="H29" s="307"/>
      <c r="I29" s="359" t="s">
        <v>439</v>
      </c>
      <c r="J29" s="255" t="s">
        <v>440</v>
      </c>
      <c r="K29" s="255" t="s">
        <v>389</v>
      </c>
      <c r="L29" s="92" t="s">
        <v>441</v>
      </c>
      <c r="M29" s="3">
        <v>1</v>
      </c>
      <c r="N29" s="3" t="s">
        <v>386</v>
      </c>
      <c r="O29" s="3">
        <v>1</v>
      </c>
      <c r="P29" s="62" t="s">
        <v>390</v>
      </c>
      <c r="Q29" s="3" t="s">
        <v>386</v>
      </c>
      <c r="R29" s="3">
        <v>191</v>
      </c>
      <c r="S29" s="3">
        <v>8</v>
      </c>
      <c r="T29" s="263">
        <f t="shared" si="0"/>
        <v>1528</v>
      </c>
      <c r="U29" s="269">
        <v>52840</v>
      </c>
      <c r="V29" s="270">
        <f t="shared" si="1"/>
        <v>52840</v>
      </c>
      <c r="W29" s="270">
        <f t="shared" si="2"/>
        <v>60803.463559999997</v>
      </c>
      <c r="X29" s="270">
        <f t="shared" si="3"/>
        <v>60803.463559999997</v>
      </c>
      <c r="Y29" s="62"/>
      <c r="Z29" s="62"/>
      <c r="AA29" s="256">
        <f t="shared" si="14"/>
        <v>60803.463559999997</v>
      </c>
      <c r="AB29" s="3"/>
      <c r="AC29" s="468">
        <f t="shared" si="15"/>
        <v>7943.76</v>
      </c>
      <c r="AD29" s="468" t="str">
        <f t="shared" si="6"/>
        <v/>
      </c>
      <c r="AE29" s="468">
        <f t="shared" ref="AE29" si="19">_xlfn.IFS(P29="EE",X29*$AE$1,P29="ER",X29*$AE$2,P29="N","",P29="","")</f>
        <v>9272.5281928999993</v>
      </c>
      <c r="AF29" s="468">
        <f t="shared" ref="AF29" si="20">+IF(AA29&gt;1,AA29*$AF$1,"")</f>
        <v>881.65022162000002</v>
      </c>
      <c r="AG29" s="192">
        <v>0</v>
      </c>
      <c r="AH29" s="468">
        <f t="shared" si="9"/>
        <v>553.45356178752456</v>
      </c>
      <c r="AI29" s="468">
        <v>0</v>
      </c>
      <c r="AJ29" s="62">
        <v>0</v>
      </c>
      <c r="AK29" s="62">
        <v>0</v>
      </c>
      <c r="AL29" s="256">
        <f t="shared" si="11"/>
        <v>18651.391976307525</v>
      </c>
      <c r="AM29" s="256">
        <f t="shared" si="12"/>
        <v>60803.463559999997</v>
      </c>
      <c r="AN29" s="256">
        <f t="shared" si="13"/>
        <v>79454.855536307528</v>
      </c>
    </row>
    <row r="30" spans="1:40" x14ac:dyDescent="0.2">
      <c r="A30" s="3"/>
      <c r="B30" s="387">
        <v>100</v>
      </c>
      <c r="C30" s="387" t="s">
        <v>145</v>
      </c>
      <c r="D30" s="387"/>
      <c r="E30" s="387">
        <v>100</v>
      </c>
      <c r="F30" s="387">
        <v>1000</v>
      </c>
      <c r="G30" s="387" t="s">
        <v>161</v>
      </c>
      <c r="H30" s="307"/>
      <c r="I30" s="359" t="s">
        <v>442</v>
      </c>
      <c r="J30" s="255" t="s">
        <v>443</v>
      </c>
      <c r="K30" s="255" t="s">
        <v>389</v>
      </c>
      <c r="L30" s="92" t="s">
        <v>341</v>
      </c>
      <c r="M30" s="3">
        <v>1</v>
      </c>
      <c r="N30" s="3" t="s">
        <v>386</v>
      </c>
      <c r="O30" s="3">
        <v>1</v>
      </c>
      <c r="P30" s="62" t="s">
        <v>342</v>
      </c>
      <c r="Q30" s="3" t="s">
        <v>386</v>
      </c>
      <c r="R30" s="3">
        <v>191</v>
      </c>
      <c r="S30" s="3">
        <v>8</v>
      </c>
      <c r="T30" s="263">
        <f t="shared" si="0"/>
        <v>1528</v>
      </c>
      <c r="U30" s="269">
        <v>52840</v>
      </c>
      <c r="V30" s="270">
        <f t="shared" si="1"/>
        <v>52840</v>
      </c>
      <c r="W30" s="270" t="str">
        <f t="shared" si="2"/>
        <v/>
      </c>
      <c r="X30" s="270">
        <f t="shared" si="3"/>
        <v>52840</v>
      </c>
      <c r="Y30" s="62"/>
      <c r="Z30" s="62"/>
      <c r="AA30" s="256">
        <f t="shared" si="14"/>
        <v>52840</v>
      </c>
      <c r="AB30" s="3"/>
      <c r="AC30" s="468">
        <f t="shared" si="15"/>
        <v>7943.76</v>
      </c>
      <c r="AD30" s="468" t="str">
        <f t="shared" si="6"/>
        <v/>
      </c>
      <c r="AE30" s="468">
        <f t="shared" si="7"/>
        <v>15455.699999999999</v>
      </c>
      <c r="AF30" s="468">
        <f t="shared" si="8"/>
        <v>766.18000000000006</v>
      </c>
      <c r="AG30" s="192">
        <v>0</v>
      </c>
      <c r="AH30" s="389">
        <f t="shared" si="9"/>
        <v>480.96743988925488</v>
      </c>
      <c r="AI30" s="468">
        <f t="shared" si="10"/>
        <v>155.62429981869539</v>
      </c>
      <c r="AJ30" s="62">
        <v>0</v>
      </c>
      <c r="AK30" s="62">
        <v>0</v>
      </c>
      <c r="AL30" s="256">
        <f t="shared" si="11"/>
        <v>24802.231739707953</v>
      </c>
      <c r="AM30" s="256">
        <f t="shared" si="12"/>
        <v>52840</v>
      </c>
      <c r="AN30" s="256">
        <f t="shared" si="13"/>
        <v>77642.231739707961</v>
      </c>
    </row>
    <row r="31" spans="1:40" x14ac:dyDescent="0.2">
      <c r="A31" s="3"/>
      <c r="B31" s="387" t="s">
        <v>462</v>
      </c>
      <c r="C31" s="387" t="s">
        <v>145</v>
      </c>
      <c r="D31" s="387"/>
      <c r="E31" s="387" t="s">
        <v>463</v>
      </c>
      <c r="F31" s="387" t="s">
        <v>461</v>
      </c>
      <c r="G31" s="390" t="s">
        <v>161</v>
      </c>
      <c r="H31" s="308"/>
      <c r="I31" s="359" t="s">
        <v>444</v>
      </c>
      <c r="J31" s="255" t="s">
        <v>445</v>
      </c>
      <c r="K31" s="255" t="s">
        <v>389</v>
      </c>
      <c r="L31" s="92" t="s">
        <v>422</v>
      </c>
      <c r="M31" s="3">
        <v>1</v>
      </c>
      <c r="N31" s="3" t="s">
        <v>386</v>
      </c>
      <c r="O31" s="3">
        <v>1</v>
      </c>
      <c r="P31" s="62" t="s">
        <v>342</v>
      </c>
      <c r="Q31" s="3" t="s">
        <v>386</v>
      </c>
      <c r="R31" s="3">
        <v>180</v>
      </c>
      <c r="S31" s="3">
        <v>8</v>
      </c>
      <c r="T31" s="263">
        <f t="shared" si="0"/>
        <v>1440</v>
      </c>
      <c r="U31" s="269">
        <v>61910</v>
      </c>
      <c r="V31" s="270">
        <f t="shared" si="1"/>
        <v>61910</v>
      </c>
      <c r="W31" s="270" t="str">
        <f t="shared" si="2"/>
        <v/>
      </c>
      <c r="X31" s="270">
        <f t="shared" si="3"/>
        <v>61910</v>
      </c>
      <c r="Y31" s="62"/>
      <c r="Z31" s="62"/>
      <c r="AA31" s="256">
        <f t="shared" si="14"/>
        <v>61910</v>
      </c>
      <c r="AB31" s="3"/>
      <c r="AC31" s="468">
        <f t="shared" si="15"/>
        <v>7943.76</v>
      </c>
      <c r="AD31" s="468" t="str">
        <f t="shared" si="6"/>
        <v/>
      </c>
      <c r="AE31" s="468">
        <f t="shared" si="7"/>
        <v>18108.674999999999</v>
      </c>
      <c r="AF31" s="468">
        <f t="shared" si="8"/>
        <v>897.69500000000005</v>
      </c>
      <c r="AG31" s="192">
        <v>0</v>
      </c>
      <c r="AH31" s="468">
        <f t="shared" si="9"/>
        <v>563.52562837895096</v>
      </c>
      <c r="AI31" s="468">
        <f t="shared" si="10"/>
        <v>182.33725211535639</v>
      </c>
      <c r="AJ31" s="62">
        <v>0</v>
      </c>
      <c r="AK31" s="62">
        <v>0</v>
      </c>
      <c r="AL31" s="256">
        <f t="shared" si="11"/>
        <v>27695.992880494305</v>
      </c>
      <c r="AM31" s="256">
        <f t="shared" si="12"/>
        <v>61910</v>
      </c>
      <c r="AN31" s="256">
        <f t="shared" si="13"/>
        <v>89605.992880494305</v>
      </c>
    </row>
    <row r="32" spans="1:40" x14ac:dyDescent="0.2">
      <c r="A32" s="3"/>
      <c r="B32" s="387">
        <v>100</v>
      </c>
      <c r="C32" s="387" t="s">
        <v>145</v>
      </c>
      <c r="D32" s="387"/>
      <c r="E32" s="387">
        <v>100</v>
      </c>
      <c r="F32" s="387" t="s">
        <v>464</v>
      </c>
      <c r="G32" s="387" t="s">
        <v>165</v>
      </c>
      <c r="H32" s="307"/>
      <c r="I32" s="359" t="s">
        <v>447</v>
      </c>
      <c r="J32" s="255" t="s">
        <v>448</v>
      </c>
      <c r="K32" s="255" t="s">
        <v>446</v>
      </c>
      <c r="L32" s="92" t="s">
        <v>449</v>
      </c>
      <c r="M32" s="3">
        <v>1</v>
      </c>
      <c r="N32" s="3" t="s">
        <v>386</v>
      </c>
      <c r="O32" s="3">
        <v>1</v>
      </c>
      <c r="P32" s="62" t="s">
        <v>342</v>
      </c>
      <c r="Q32" s="3" t="s">
        <v>386</v>
      </c>
      <c r="R32" s="3">
        <v>260</v>
      </c>
      <c r="S32" s="3">
        <v>8</v>
      </c>
      <c r="T32" s="263">
        <f t="shared" si="0"/>
        <v>2080</v>
      </c>
      <c r="U32" s="269">
        <v>135000</v>
      </c>
      <c r="V32" s="270">
        <f t="shared" si="1"/>
        <v>135000</v>
      </c>
      <c r="W32" s="270" t="str">
        <f t="shared" si="2"/>
        <v/>
      </c>
      <c r="X32" s="270">
        <f t="shared" si="3"/>
        <v>135000</v>
      </c>
      <c r="Y32" s="62"/>
      <c r="Z32" s="62"/>
      <c r="AA32" s="256">
        <f t="shared" si="14"/>
        <v>135000</v>
      </c>
      <c r="AB32" s="3"/>
      <c r="AC32" s="468">
        <f t="shared" si="15"/>
        <v>7943.76</v>
      </c>
      <c r="AD32" s="468" t="str">
        <f t="shared" si="6"/>
        <v/>
      </c>
      <c r="AE32" s="468">
        <f t="shared" si="7"/>
        <v>39487.5</v>
      </c>
      <c r="AF32" s="468">
        <f t="shared" si="8"/>
        <v>1957.5</v>
      </c>
      <c r="AG32" s="192">
        <v>0</v>
      </c>
      <c r="AH32" s="468">
        <f t="shared" si="9"/>
        <v>1228.8153744331833</v>
      </c>
      <c r="AI32" s="468">
        <f t="shared" si="10"/>
        <v>397.6018258047668</v>
      </c>
      <c r="AJ32" s="62">
        <v>0</v>
      </c>
      <c r="AK32" s="62">
        <v>0</v>
      </c>
      <c r="AL32" s="256">
        <f t="shared" si="11"/>
        <v>51015.177200237958</v>
      </c>
      <c r="AM32" s="256">
        <f t="shared" si="12"/>
        <v>135000</v>
      </c>
      <c r="AN32" s="256">
        <f t="shared" si="13"/>
        <v>186015.17720023796</v>
      </c>
    </row>
    <row r="33" spans="1:42" x14ac:dyDescent="0.2">
      <c r="A33" s="3"/>
      <c r="B33" s="387">
        <v>100</v>
      </c>
      <c r="C33" s="387" t="s">
        <v>145</v>
      </c>
      <c r="D33" s="387"/>
      <c r="E33" s="387">
        <v>100</v>
      </c>
      <c r="F33" s="387" t="s">
        <v>460</v>
      </c>
      <c r="G33" s="387" t="s">
        <v>173</v>
      </c>
      <c r="H33" s="307"/>
      <c r="I33" s="359" t="s">
        <v>450</v>
      </c>
      <c r="J33" s="255" t="s">
        <v>451</v>
      </c>
      <c r="K33" s="255" t="s">
        <v>384</v>
      </c>
      <c r="L33" s="92" t="s">
        <v>452</v>
      </c>
      <c r="M33" s="3">
        <v>1</v>
      </c>
      <c r="N33" s="3" t="s">
        <v>386</v>
      </c>
      <c r="O33" s="3">
        <v>1</v>
      </c>
      <c r="P33" s="62" t="s">
        <v>390</v>
      </c>
      <c r="Q33" s="3">
        <v>16</v>
      </c>
      <c r="R33" s="3">
        <v>260</v>
      </c>
      <c r="S33" s="3">
        <v>8</v>
      </c>
      <c r="T33" s="263">
        <f t="shared" si="0"/>
        <v>2080</v>
      </c>
      <c r="U33" s="269">
        <v>34000</v>
      </c>
      <c r="V33" s="270">
        <f t="shared" si="1"/>
        <v>34000</v>
      </c>
      <c r="W33" s="270">
        <f t="shared" si="2"/>
        <v>39124.106</v>
      </c>
      <c r="X33" s="270">
        <f t="shared" si="3"/>
        <v>39124.106</v>
      </c>
      <c r="Y33" s="62"/>
      <c r="Z33" s="62"/>
      <c r="AA33" s="256">
        <f t="shared" si="14"/>
        <v>39124.106</v>
      </c>
      <c r="AB33" s="3"/>
      <c r="AC33" s="468">
        <f t="shared" si="15"/>
        <v>7943.76</v>
      </c>
      <c r="AD33" s="468" t="str">
        <f t="shared" si="6"/>
        <v/>
      </c>
      <c r="AE33" s="468">
        <f t="shared" si="7"/>
        <v>5966.4261649999999</v>
      </c>
      <c r="AF33" s="468">
        <f t="shared" si="8"/>
        <v>567.29953699999999</v>
      </c>
      <c r="AG33" s="192">
        <v>0</v>
      </c>
      <c r="AH33" s="468">
        <f t="shared" si="9"/>
        <v>356.12076269447078</v>
      </c>
      <c r="AI33" s="468">
        <f t="shared" si="10"/>
        <v>115.22826650799431</v>
      </c>
      <c r="AJ33" s="62">
        <v>0</v>
      </c>
      <c r="AK33" s="62">
        <v>0</v>
      </c>
      <c r="AL33" s="256">
        <f t="shared" si="11"/>
        <v>14948.834731202465</v>
      </c>
      <c r="AM33" s="256">
        <f t="shared" si="12"/>
        <v>39124.106</v>
      </c>
      <c r="AN33" s="256">
        <f t="shared" si="13"/>
        <v>54072.940731202463</v>
      </c>
    </row>
    <row r="34" spans="1:42" x14ac:dyDescent="0.2">
      <c r="A34" s="3"/>
      <c r="B34" s="387">
        <v>250</v>
      </c>
      <c r="C34" s="387" t="s">
        <v>145</v>
      </c>
      <c r="D34" s="387"/>
      <c r="E34" s="387">
        <v>200</v>
      </c>
      <c r="F34" s="387">
        <v>1000</v>
      </c>
      <c r="G34" s="390" t="s">
        <v>161</v>
      </c>
      <c r="H34" s="308"/>
      <c r="I34" s="359" t="s">
        <v>466</v>
      </c>
      <c r="J34" s="255" t="s">
        <v>467</v>
      </c>
      <c r="K34" s="255" t="s">
        <v>389</v>
      </c>
      <c r="L34" s="92" t="s">
        <v>495</v>
      </c>
      <c r="M34" s="3">
        <v>1</v>
      </c>
      <c r="N34" s="3"/>
      <c r="O34" s="3">
        <v>1</v>
      </c>
      <c r="P34" s="62" t="s">
        <v>342</v>
      </c>
      <c r="Q34" s="3"/>
      <c r="R34" s="3">
        <v>220</v>
      </c>
      <c r="S34" s="3">
        <v>8</v>
      </c>
      <c r="T34" s="263">
        <f t="shared" si="0"/>
        <v>1760</v>
      </c>
      <c r="U34" s="269">
        <v>46638</v>
      </c>
      <c r="V34" s="270">
        <f t="shared" si="1"/>
        <v>46638</v>
      </c>
      <c r="W34" s="270" t="str">
        <f t="shared" si="2"/>
        <v/>
      </c>
      <c r="X34" s="270">
        <f t="shared" si="3"/>
        <v>46638</v>
      </c>
      <c r="Y34" s="62"/>
      <c r="Z34" s="62"/>
      <c r="AA34" s="256">
        <f t="shared" si="14"/>
        <v>46638</v>
      </c>
      <c r="AB34" s="3"/>
      <c r="AC34" s="468">
        <f t="shared" si="15"/>
        <v>7943.76</v>
      </c>
      <c r="AD34" s="468" t="str">
        <f t="shared" si="6"/>
        <v/>
      </c>
      <c r="AE34" s="468">
        <f t="shared" si="7"/>
        <v>13641.615</v>
      </c>
      <c r="AF34" s="468">
        <f t="shared" si="8"/>
        <v>676.25100000000009</v>
      </c>
      <c r="AG34" s="192">
        <v>0</v>
      </c>
      <c r="AH34" s="468">
        <f t="shared" si="9"/>
        <v>424.51475135418372</v>
      </c>
      <c r="AI34" s="468">
        <f t="shared" si="10"/>
        <v>137.35817742135345</v>
      </c>
      <c r="AJ34" s="62">
        <v>0</v>
      </c>
      <c r="AK34" s="62">
        <v>0</v>
      </c>
      <c r="AL34" s="256">
        <f t="shared" si="11"/>
        <v>22823.498928775538</v>
      </c>
      <c r="AM34" s="256">
        <f t="shared" si="12"/>
        <v>46638</v>
      </c>
      <c r="AN34" s="256">
        <f t="shared" si="13"/>
        <v>69461.498928775545</v>
      </c>
    </row>
    <row r="35" spans="1:42" x14ac:dyDescent="0.2">
      <c r="A35" s="3"/>
      <c r="B35" s="307">
        <v>280</v>
      </c>
      <c r="C35" s="307">
        <v>633</v>
      </c>
      <c r="D35" s="307"/>
      <c r="E35" s="307">
        <v>430</v>
      </c>
      <c r="F35" s="307">
        <v>2210</v>
      </c>
      <c r="G35" s="307" t="s">
        <v>161</v>
      </c>
      <c r="H35" s="307"/>
      <c r="I35" s="359" t="s">
        <v>453</v>
      </c>
      <c r="J35" s="255" t="s">
        <v>454</v>
      </c>
      <c r="K35" s="255" t="s">
        <v>389</v>
      </c>
      <c r="L35" s="92" t="s">
        <v>496</v>
      </c>
      <c r="M35" s="3">
        <v>1</v>
      </c>
      <c r="N35" s="3" t="s">
        <v>386</v>
      </c>
      <c r="O35" s="3">
        <v>1</v>
      </c>
      <c r="P35" s="62" t="s">
        <v>342</v>
      </c>
      <c r="Q35" s="3" t="s">
        <v>386</v>
      </c>
      <c r="R35" s="3">
        <v>180</v>
      </c>
      <c r="S35" s="3">
        <v>32</v>
      </c>
      <c r="T35" s="263">
        <f t="shared" si="0"/>
        <v>5760</v>
      </c>
      <c r="U35" s="269">
        <v>64411</v>
      </c>
      <c r="V35" s="270">
        <f t="shared" si="1"/>
        <v>64411</v>
      </c>
      <c r="W35" s="270" t="str">
        <f t="shared" si="2"/>
        <v/>
      </c>
      <c r="X35" s="270">
        <f t="shared" si="3"/>
        <v>64411</v>
      </c>
      <c r="Y35" s="62"/>
      <c r="Z35" s="62"/>
      <c r="AA35" s="256">
        <f t="shared" si="14"/>
        <v>64411</v>
      </c>
      <c r="AB35" s="3"/>
      <c r="AC35" s="468">
        <f t="shared" si="15"/>
        <v>7943.76</v>
      </c>
      <c r="AD35" s="468" t="str">
        <f t="shared" si="6"/>
        <v/>
      </c>
      <c r="AE35" s="468">
        <f t="shared" si="7"/>
        <v>18840.217499999999</v>
      </c>
      <c r="AF35" s="468">
        <f t="shared" si="8"/>
        <v>933.95950000000005</v>
      </c>
      <c r="AG35" s="192">
        <v>0</v>
      </c>
      <c r="AH35" s="468">
        <f t="shared" si="9"/>
        <v>586.29057098233909</v>
      </c>
      <c r="AI35" s="468">
        <v>0</v>
      </c>
      <c r="AJ35" s="62">
        <v>0</v>
      </c>
      <c r="AK35" s="62">
        <v>0</v>
      </c>
      <c r="AL35" s="256">
        <f t="shared" si="11"/>
        <v>28304.227570982341</v>
      </c>
      <c r="AM35" s="256">
        <f t="shared" si="12"/>
        <v>64411</v>
      </c>
      <c r="AN35" s="256">
        <f t="shared" si="13"/>
        <v>92715.227570982344</v>
      </c>
    </row>
    <row r="36" spans="1:42" x14ac:dyDescent="0.2">
      <c r="A36" s="3"/>
      <c r="B36" s="307">
        <v>100</v>
      </c>
      <c r="C36" s="307" t="s">
        <v>145</v>
      </c>
      <c r="D36" s="307"/>
      <c r="E36" s="307">
        <v>100</v>
      </c>
      <c r="F36" s="307" t="s">
        <v>465</v>
      </c>
      <c r="G36" s="307" t="s">
        <v>173</v>
      </c>
      <c r="H36" s="307"/>
      <c r="I36" s="359" t="s">
        <v>455</v>
      </c>
      <c r="J36" s="255" t="s">
        <v>456</v>
      </c>
      <c r="K36" s="255" t="s">
        <v>384</v>
      </c>
      <c r="L36" s="92" t="s">
        <v>457</v>
      </c>
      <c r="M36" s="3">
        <v>1</v>
      </c>
      <c r="N36" s="3" t="s">
        <v>386</v>
      </c>
      <c r="O36" s="3">
        <v>1</v>
      </c>
      <c r="P36" s="62" t="s">
        <v>342</v>
      </c>
      <c r="Q36" s="3" t="s">
        <v>386</v>
      </c>
      <c r="R36" s="3">
        <v>191</v>
      </c>
      <c r="S36" s="3">
        <v>8</v>
      </c>
      <c r="T36" s="263">
        <f t="shared" si="0"/>
        <v>1528</v>
      </c>
      <c r="U36" s="269">
        <v>45000</v>
      </c>
      <c r="V36" s="270">
        <f t="shared" si="1"/>
        <v>45000</v>
      </c>
      <c r="W36" s="270" t="str">
        <f t="shared" si="2"/>
        <v/>
      </c>
      <c r="X36" s="270">
        <f t="shared" si="3"/>
        <v>45000</v>
      </c>
      <c r="Y36" s="62"/>
      <c r="Z36" s="62"/>
      <c r="AA36" s="256">
        <f t="shared" si="14"/>
        <v>45000</v>
      </c>
      <c r="AB36" s="3"/>
      <c r="AC36" s="468">
        <f t="shared" si="15"/>
        <v>7943.76</v>
      </c>
      <c r="AD36" s="468" t="str">
        <f t="shared" si="6"/>
        <v/>
      </c>
      <c r="AE36" s="468">
        <f t="shared" si="7"/>
        <v>13162.5</v>
      </c>
      <c r="AF36" s="468">
        <f t="shared" si="8"/>
        <v>652.5</v>
      </c>
      <c r="AG36" s="192">
        <v>0</v>
      </c>
      <c r="AH36" s="468">
        <f t="shared" si="9"/>
        <v>409.6051248110611</v>
      </c>
      <c r="AI36" s="468">
        <f t="shared" si="10"/>
        <v>132.53394193492227</v>
      </c>
      <c r="AJ36" s="62">
        <v>0</v>
      </c>
      <c r="AK36" s="62">
        <v>0</v>
      </c>
      <c r="AL36" s="256">
        <f t="shared" si="11"/>
        <v>22300.899066745984</v>
      </c>
      <c r="AM36" s="256">
        <f t="shared" si="12"/>
        <v>45000</v>
      </c>
      <c r="AN36" s="256">
        <f t="shared" si="13"/>
        <v>67300.899066745988</v>
      </c>
    </row>
    <row r="37" spans="1:42" x14ac:dyDescent="0.2">
      <c r="A37" s="311"/>
      <c r="B37" s="380"/>
      <c r="C37" s="380"/>
      <c r="D37" s="380"/>
      <c r="E37" s="380"/>
      <c r="F37" s="380"/>
      <c r="G37" s="380"/>
      <c r="H37" s="380"/>
      <c r="I37" s="312"/>
      <c r="J37" s="312"/>
      <c r="K37" s="312"/>
      <c r="L37" s="313"/>
      <c r="M37" s="311"/>
      <c r="N37" s="311"/>
      <c r="O37" s="311"/>
      <c r="P37" s="381"/>
      <c r="Q37" s="311"/>
      <c r="R37" s="311"/>
      <c r="S37" s="311"/>
      <c r="T37" s="263"/>
      <c r="U37" s="269"/>
      <c r="V37" s="270" t="str">
        <f t="shared" si="1"/>
        <v/>
      </c>
      <c r="W37" s="270" t="str">
        <f t="shared" si="2"/>
        <v/>
      </c>
      <c r="X37" s="270" t="str">
        <f t="shared" si="3"/>
        <v/>
      </c>
      <c r="Y37" s="381"/>
      <c r="Z37" s="381"/>
      <c r="AA37" s="256">
        <f t="shared" si="14"/>
        <v>0</v>
      </c>
      <c r="AB37" s="311"/>
      <c r="AC37" s="381" t="str">
        <f t="shared" si="15"/>
        <v/>
      </c>
      <c r="AD37" s="381" t="str">
        <f t="shared" ref="AD37:AD53" si="21">_xlfn.IFS(P37="N",$AD$1*AA37,P37="EE","",P37="ER","",P37="","")</f>
        <v/>
      </c>
      <c r="AE37" s="381" t="str">
        <f t="shared" ref="AE37:AE45" si="22">_xlfn.IFS(P37="EE",X37*$AE$1,P37="ER",X37*$AE$2,P37="N","",P37="","")</f>
        <v/>
      </c>
      <c r="AF37" s="381" t="str">
        <f t="shared" ref="AF37:AF53" si="23">+IF(AA37&gt;1,AA37*$AF$1,"")</f>
        <v/>
      </c>
      <c r="AG37" s="391"/>
      <c r="AH37" s="381"/>
      <c r="AI37" s="381"/>
      <c r="AJ37" s="381"/>
      <c r="AK37" s="381"/>
      <c r="AL37" s="256">
        <f t="shared" ref="AL37:AL45" si="24">SUM(AC37:AK37)</f>
        <v>0</v>
      </c>
      <c r="AM37" s="256">
        <f t="shared" ref="AM37:AM45" si="25">AA37</f>
        <v>0</v>
      </c>
      <c r="AN37" s="256">
        <f t="shared" ref="AN37:AN45" si="26">SUM(AL37:AM37)</f>
        <v>0</v>
      </c>
    </row>
    <row r="38" spans="1:42" x14ac:dyDescent="0.2">
      <c r="A38" s="3"/>
      <c r="B38" s="387" t="s">
        <v>468</v>
      </c>
      <c r="C38" s="390" t="s">
        <v>145</v>
      </c>
      <c r="D38" s="387"/>
      <c r="E38" s="387" t="s">
        <v>689</v>
      </c>
      <c r="F38" s="387" t="s">
        <v>461</v>
      </c>
      <c r="G38" s="390" t="s">
        <v>161</v>
      </c>
      <c r="H38" s="307"/>
      <c r="I38" s="255" t="s">
        <v>810</v>
      </c>
      <c r="J38" s="255" t="s">
        <v>810</v>
      </c>
      <c r="K38" s="255" t="s">
        <v>389</v>
      </c>
      <c r="L38" s="92" t="s">
        <v>810</v>
      </c>
      <c r="M38" s="3"/>
      <c r="N38" s="3"/>
      <c r="O38" s="3"/>
      <c r="P38" s="62"/>
      <c r="Q38" s="3"/>
      <c r="R38" s="3"/>
      <c r="S38" s="3"/>
      <c r="T38" s="263"/>
      <c r="U38" s="269"/>
      <c r="V38" s="270"/>
      <c r="W38" s="270"/>
      <c r="X38" s="270">
        <f>23968.5-1500</f>
        <v>22468.5</v>
      </c>
      <c r="Y38" s="62"/>
      <c r="Z38" s="62"/>
      <c r="AA38" s="256">
        <f t="shared" ref="AA38:AA44" si="27">SUM(X38:Z38)</f>
        <v>22468.5</v>
      </c>
      <c r="AB38" s="3"/>
      <c r="AC38" s="468" t="str">
        <f t="shared" si="15"/>
        <v/>
      </c>
      <c r="AD38" s="468">
        <f>355.73-22.06</f>
        <v>333.67</v>
      </c>
      <c r="AE38" s="468">
        <f>484.54+625.49</f>
        <v>1110.03</v>
      </c>
      <c r="AF38" s="468">
        <f>347.54-5.04</f>
        <v>342.5</v>
      </c>
      <c r="AG38" s="192">
        <v>0</v>
      </c>
      <c r="AH38" s="468">
        <f>86.06-22.5</f>
        <v>63.56</v>
      </c>
      <c r="AI38" s="468">
        <v>0</v>
      </c>
      <c r="AJ38" s="62">
        <v>0</v>
      </c>
      <c r="AK38" s="62">
        <v>0</v>
      </c>
      <c r="AL38" s="256">
        <f>SUM(AC38:AK38)</f>
        <v>1849.76</v>
      </c>
      <c r="AM38" s="256">
        <f>AA38</f>
        <v>22468.5</v>
      </c>
      <c r="AN38" s="256">
        <f>SUM(AL38:AM38)</f>
        <v>24318.26</v>
      </c>
    </row>
    <row r="39" spans="1:42" x14ac:dyDescent="0.2">
      <c r="A39" s="3"/>
      <c r="B39" s="307" t="s">
        <v>135</v>
      </c>
      <c r="C39" s="307" t="s">
        <v>247</v>
      </c>
      <c r="D39" s="307"/>
      <c r="E39" s="307" t="s">
        <v>473</v>
      </c>
      <c r="F39" s="307" t="s">
        <v>461</v>
      </c>
      <c r="G39" s="308" t="s">
        <v>161</v>
      </c>
      <c r="H39" s="307"/>
      <c r="I39" s="255" t="s">
        <v>810</v>
      </c>
      <c r="J39" s="255" t="s">
        <v>816</v>
      </c>
      <c r="K39" s="255" t="s">
        <v>389</v>
      </c>
      <c r="L39" s="92" t="s">
        <v>817</v>
      </c>
      <c r="M39" s="3"/>
      <c r="N39" s="3"/>
      <c r="O39" s="3"/>
      <c r="P39" s="62"/>
      <c r="Q39" s="3"/>
      <c r="R39" s="3"/>
      <c r="S39" s="3"/>
      <c r="T39" s="263"/>
      <c r="U39" s="269"/>
      <c r="V39" s="270"/>
      <c r="W39" s="270"/>
      <c r="X39" s="270">
        <f>6240+1500</f>
        <v>7740</v>
      </c>
      <c r="Y39" s="62"/>
      <c r="Z39" s="62"/>
      <c r="AA39" s="256">
        <f t="shared" si="27"/>
        <v>7740</v>
      </c>
      <c r="AB39" s="3"/>
      <c r="AC39" s="468" t="str">
        <f t="shared" si="15"/>
        <v/>
      </c>
      <c r="AD39" s="468">
        <v>22.06</v>
      </c>
      <c r="AE39" s="468">
        <f>400.12+76.39</f>
        <v>476.51</v>
      </c>
      <c r="AF39" s="468">
        <f>90.48+5.04</f>
        <v>95.52000000000001</v>
      </c>
      <c r="AG39" s="192">
        <v>0</v>
      </c>
      <c r="AH39" s="468">
        <f>20.09+22.5</f>
        <v>42.59</v>
      </c>
      <c r="AI39" s="468">
        <v>0</v>
      </c>
      <c r="AJ39" s="62">
        <v>0</v>
      </c>
      <c r="AK39" s="62">
        <v>0</v>
      </c>
      <c r="AL39" s="256">
        <f>SUM(AC39:AK39)</f>
        <v>636.68000000000006</v>
      </c>
      <c r="AM39" s="256">
        <f>AA39</f>
        <v>7740</v>
      </c>
      <c r="AN39" s="256">
        <f>SUM(AL39:AM39)</f>
        <v>8376.68</v>
      </c>
      <c r="AO39" s="355">
        <f>AN39+1437.5</f>
        <v>9814.18</v>
      </c>
    </row>
    <row r="40" spans="1:42" x14ac:dyDescent="0.2">
      <c r="A40" s="3"/>
      <c r="B40" s="307" t="s">
        <v>468</v>
      </c>
      <c r="C40" s="307" t="s">
        <v>145</v>
      </c>
      <c r="D40" s="307"/>
      <c r="E40" s="307" t="s">
        <v>468</v>
      </c>
      <c r="F40" s="307" t="s">
        <v>461</v>
      </c>
      <c r="G40" s="307" t="s">
        <v>163</v>
      </c>
      <c r="H40" s="307"/>
      <c r="I40" s="255" t="s">
        <v>562</v>
      </c>
      <c r="J40" s="255" t="s">
        <v>562</v>
      </c>
      <c r="K40" s="255" t="s">
        <v>389</v>
      </c>
      <c r="L40" s="92" t="s">
        <v>562</v>
      </c>
      <c r="M40" s="3">
        <v>0</v>
      </c>
      <c r="N40" s="3"/>
      <c r="O40" s="3"/>
      <c r="P40" s="62" t="s">
        <v>7</v>
      </c>
      <c r="Q40" s="3"/>
      <c r="R40" s="3"/>
      <c r="S40" s="3"/>
      <c r="T40" s="263"/>
      <c r="U40" s="269">
        <v>431.25</v>
      </c>
      <c r="V40" s="270">
        <v>431.25</v>
      </c>
      <c r="W40" s="270"/>
      <c r="X40" s="270">
        <f>_xlfn.IFS(P40="ER",V40,P40="EE",W40,P40="N",V40,P40="","")</f>
        <v>431.25</v>
      </c>
      <c r="Y40" s="62"/>
      <c r="Z40" s="62"/>
      <c r="AA40" s="256">
        <f t="shared" si="27"/>
        <v>431.25</v>
      </c>
      <c r="AB40" s="3"/>
      <c r="AC40" s="468" t="str">
        <f t="shared" si="15"/>
        <v/>
      </c>
      <c r="AD40" s="468">
        <f>_xlfn.IFS(P40="N",$AD$1*AA40,P40="EE","",P40="ER","",P40="","")</f>
        <v>26.737500000000001</v>
      </c>
      <c r="AE40" s="468" t="str">
        <f>_xlfn.IFS(P40="EE",X40*$AE$1,P40="ER",X40*$AE$2,P40="N","",P40="","")</f>
        <v/>
      </c>
      <c r="AF40" s="468">
        <f>+IF(AA40&gt;1,AA40*$AF$1,"")</f>
        <v>6.2531250000000007</v>
      </c>
      <c r="AG40" s="192">
        <v>0</v>
      </c>
      <c r="AH40" s="389">
        <f>+IF(AA40&gt;1,AA40*$AH$1,"")</f>
        <v>3.9253824461060023</v>
      </c>
      <c r="AI40" s="468">
        <f>+_xlfn.IFS(F40&lt;2300,(AA40*$AI$1),F40&gt;=2300,(AA40*$AI$2),F40="","")</f>
        <v>1.2701169435430051</v>
      </c>
      <c r="AJ40" s="62">
        <v>0</v>
      </c>
      <c r="AK40" s="62">
        <v>0</v>
      </c>
      <c r="AL40" s="256">
        <f>SUM(AC40:AK40)</f>
        <v>38.186124389649002</v>
      </c>
      <c r="AM40" s="256">
        <f>AA40</f>
        <v>431.25</v>
      </c>
      <c r="AN40" s="256">
        <f>SUM(AL40:AM40)</f>
        <v>469.43612438964902</v>
      </c>
    </row>
    <row r="41" spans="1:42" x14ac:dyDescent="0.2">
      <c r="A41" s="311"/>
      <c r="B41" s="380"/>
      <c r="C41" s="380"/>
      <c r="D41" s="380"/>
      <c r="E41" s="380"/>
      <c r="F41" s="380"/>
      <c r="G41" s="380"/>
      <c r="H41" s="380"/>
      <c r="I41" s="312"/>
      <c r="J41" s="312"/>
      <c r="K41" s="312"/>
      <c r="L41" s="313"/>
      <c r="M41" s="311"/>
      <c r="N41" s="311"/>
      <c r="O41" s="311"/>
      <c r="P41" s="381"/>
      <c r="Q41" s="311"/>
      <c r="R41" s="311"/>
      <c r="S41" s="311"/>
      <c r="T41" s="263"/>
      <c r="U41" s="269"/>
      <c r="V41" s="270"/>
      <c r="W41" s="270"/>
      <c r="X41" s="270" t="str">
        <f>_xlfn.IFS(P41="ER",V41,P41="EE",W41,P41="N",V41,P41="","")</f>
        <v/>
      </c>
      <c r="Y41" s="381"/>
      <c r="Z41" s="381"/>
      <c r="AA41" s="256">
        <f t="shared" si="27"/>
        <v>0</v>
      </c>
      <c r="AB41" s="311"/>
      <c r="AC41" s="381" t="str">
        <f t="shared" si="15"/>
        <v/>
      </c>
      <c r="AD41" s="381" t="str">
        <f>_xlfn.IFS(P41="N",$AD$1*AA41,P41="EE","",P41="ER","",P41="","")</f>
        <v/>
      </c>
      <c r="AE41" s="381" t="str">
        <f>_xlfn.IFS(P41="EE",X41*$AE$1,P41="ER",X41*$AE$2,P41="N","",P41="","")</f>
        <v/>
      </c>
      <c r="AF41" s="381" t="str">
        <f>+IF(AA41&gt;1,AA41*$AF$1,"")</f>
        <v/>
      </c>
      <c r="AG41" s="391"/>
      <c r="AH41" s="381"/>
      <c r="AI41" s="381"/>
      <c r="AJ41" s="381"/>
      <c r="AK41" s="381"/>
      <c r="AL41" s="256">
        <f>SUM(AC41:AK41)</f>
        <v>0</v>
      </c>
      <c r="AM41" s="256">
        <f>AA41</f>
        <v>0</v>
      </c>
      <c r="AN41" s="256">
        <f>SUM(AL41:AM41)</f>
        <v>0</v>
      </c>
    </row>
    <row r="42" spans="1:42" x14ac:dyDescent="0.2">
      <c r="A42" s="386"/>
      <c r="B42" s="387" t="s">
        <v>135</v>
      </c>
      <c r="C42" s="387" t="s">
        <v>249</v>
      </c>
      <c r="D42" s="387"/>
      <c r="E42" s="387" t="s">
        <v>468</v>
      </c>
      <c r="F42" s="387" t="s">
        <v>461</v>
      </c>
      <c r="G42" s="390" t="s">
        <v>161</v>
      </c>
      <c r="H42" s="387"/>
      <c r="I42" s="359" t="s">
        <v>863</v>
      </c>
      <c r="J42" s="359"/>
      <c r="K42" s="359"/>
      <c r="L42" s="359" t="s">
        <v>863</v>
      </c>
      <c r="M42" s="386"/>
      <c r="N42" s="386"/>
      <c r="O42" s="386"/>
      <c r="P42" s="389"/>
      <c r="Q42" s="386"/>
      <c r="R42" s="386"/>
      <c r="S42" s="386"/>
      <c r="T42" s="263"/>
      <c r="U42" s="269"/>
      <c r="V42" s="270"/>
      <c r="W42" s="270"/>
      <c r="X42" s="270">
        <f>15000+2007.38</f>
        <v>17007.38</v>
      </c>
      <c r="Y42" s="62"/>
      <c r="Z42" s="62"/>
      <c r="AA42" s="256">
        <f t="shared" si="27"/>
        <v>17007.38</v>
      </c>
      <c r="AB42" s="3"/>
      <c r="AC42" s="62" t="str">
        <f t="shared" si="15"/>
        <v/>
      </c>
      <c r="AD42" s="62"/>
      <c r="AE42" s="62" t="str">
        <f t="shared" ref="AE42:AE44" si="28">_xlfn.IFS(P42="EE",X42*$AE$1,P42="ER",X42*$AE$2,P42="N","",P42="","")</f>
        <v/>
      </c>
      <c r="AF42" s="468">
        <f t="shared" ref="AF42:AF44" si="29">+IF(AA42&gt;1,AA42*$AF$1,"")</f>
        <v>246.60701000000003</v>
      </c>
      <c r="AG42" s="192">
        <v>0</v>
      </c>
      <c r="AH42" s="389">
        <f t="shared" ref="AH42:AH44" si="30">+IF(AA42&gt;1,AA42*$AH$1,"")</f>
        <v>154.80688905798101</v>
      </c>
      <c r="AI42" s="62"/>
      <c r="AJ42" s="62"/>
      <c r="AK42" s="62"/>
      <c r="AL42" s="256">
        <f>SUM(AC42:AK42)</f>
        <v>401.41389905798104</v>
      </c>
      <c r="AM42" s="256">
        <f>AA42</f>
        <v>17007.38</v>
      </c>
      <c r="AN42" s="256">
        <f>SUM(AL42:AM42)</f>
        <v>17408.793899057982</v>
      </c>
    </row>
    <row r="43" spans="1:42" x14ac:dyDescent="0.2">
      <c r="A43" s="386"/>
      <c r="B43" s="387" t="s">
        <v>135</v>
      </c>
      <c r="C43" s="387" t="s">
        <v>864</v>
      </c>
      <c r="D43" s="387"/>
      <c r="E43" s="387" t="s">
        <v>557</v>
      </c>
      <c r="F43" s="387" t="s">
        <v>558</v>
      </c>
      <c r="G43" s="390" t="s">
        <v>173</v>
      </c>
      <c r="H43" s="387"/>
      <c r="I43" s="359" t="s">
        <v>895</v>
      </c>
      <c r="J43" s="359"/>
      <c r="K43" s="359"/>
      <c r="L43" s="359" t="s">
        <v>895</v>
      </c>
      <c r="M43" s="386"/>
      <c r="N43" s="386"/>
      <c r="O43" s="386"/>
      <c r="P43" s="389"/>
      <c r="Q43" s="386"/>
      <c r="R43" s="386"/>
      <c r="S43" s="386"/>
      <c r="T43" s="263"/>
      <c r="U43" s="269"/>
      <c r="V43" s="270"/>
      <c r="W43" s="270"/>
      <c r="X43" s="270">
        <v>4500</v>
      </c>
      <c r="Y43" s="62"/>
      <c r="Z43" s="62"/>
      <c r="AA43" s="256">
        <f t="shared" si="27"/>
        <v>4500</v>
      </c>
      <c r="AB43" s="3"/>
      <c r="AC43" s="62" t="str">
        <f t="shared" si="15"/>
        <v/>
      </c>
      <c r="AD43" s="62"/>
      <c r="AE43" s="62" t="str">
        <f t="shared" si="28"/>
        <v/>
      </c>
      <c r="AF43" s="468">
        <f t="shared" si="29"/>
        <v>65.25</v>
      </c>
      <c r="AG43" s="192">
        <v>0</v>
      </c>
      <c r="AH43" s="468">
        <f t="shared" si="30"/>
        <v>40.960512481106115</v>
      </c>
      <c r="AI43" s="62"/>
      <c r="AJ43" s="62"/>
      <c r="AK43" s="62"/>
      <c r="AL43" s="256">
        <f t="shared" ref="AL43:AL44" si="31">SUM(AC43:AK43)</f>
        <v>106.21051248110612</v>
      </c>
      <c r="AM43" s="256">
        <f t="shared" ref="AM43:AM44" si="32">AA43</f>
        <v>4500</v>
      </c>
      <c r="AN43" s="256">
        <f t="shared" ref="AN43:AN44" si="33">SUM(AL43:AM43)</f>
        <v>4606.210512481106</v>
      </c>
    </row>
    <row r="44" spans="1:42" x14ac:dyDescent="0.2">
      <c r="A44" s="386"/>
      <c r="B44" s="387" t="s">
        <v>135</v>
      </c>
      <c r="C44" s="387" t="s">
        <v>864</v>
      </c>
      <c r="D44" s="387"/>
      <c r="E44" s="387" t="s">
        <v>557</v>
      </c>
      <c r="F44" s="387" t="s">
        <v>465</v>
      </c>
      <c r="G44" s="390" t="s">
        <v>173</v>
      </c>
      <c r="H44" s="387"/>
      <c r="I44" s="359" t="s">
        <v>895</v>
      </c>
      <c r="J44" s="359"/>
      <c r="K44" s="359"/>
      <c r="L44" s="359" t="s">
        <v>895</v>
      </c>
      <c r="M44" s="386"/>
      <c r="N44" s="386"/>
      <c r="O44" s="386"/>
      <c r="P44" s="389"/>
      <c r="Q44" s="386"/>
      <c r="R44" s="386"/>
      <c r="S44" s="386"/>
      <c r="T44" s="263"/>
      <c r="U44" s="269"/>
      <c r="V44" s="270"/>
      <c r="W44" s="270"/>
      <c r="X44" s="270">
        <v>2345.06</v>
      </c>
      <c r="Y44" s="62"/>
      <c r="Z44" s="62"/>
      <c r="AA44" s="256">
        <f t="shared" si="27"/>
        <v>2345.06</v>
      </c>
      <c r="AB44" s="3"/>
      <c r="AC44" s="62" t="str">
        <f t="shared" si="15"/>
        <v/>
      </c>
      <c r="AD44" s="62"/>
      <c r="AE44" s="62" t="str">
        <f t="shared" si="28"/>
        <v/>
      </c>
      <c r="AF44" s="468">
        <f t="shared" si="29"/>
        <v>34.003370000000004</v>
      </c>
      <c r="AG44" s="192">
        <v>0</v>
      </c>
      <c r="AH44" s="468">
        <f t="shared" si="30"/>
        <v>21.345524310876154</v>
      </c>
      <c r="AI44" s="62"/>
      <c r="AJ44" s="62"/>
      <c r="AK44" s="62"/>
      <c r="AL44" s="256">
        <f t="shared" si="31"/>
        <v>55.348894310876162</v>
      </c>
      <c r="AM44" s="256">
        <f t="shared" si="32"/>
        <v>2345.06</v>
      </c>
      <c r="AN44" s="256">
        <f t="shared" si="33"/>
        <v>2400.4088943108759</v>
      </c>
    </row>
    <row r="45" spans="1:42" x14ac:dyDescent="0.2">
      <c r="A45" s="311"/>
      <c r="B45" s="380"/>
      <c r="C45" s="380"/>
      <c r="D45" s="380"/>
      <c r="E45" s="380"/>
      <c r="F45" s="380"/>
      <c r="G45" s="380"/>
      <c r="H45" s="380"/>
      <c r="I45" s="312"/>
      <c r="J45" s="312"/>
      <c r="K45" s="312"/>
      <c r="L45" s="313"/>
      <c r="M45" s="311"/>
      <c r="N45" s="311"/>
      <c r="O45" s="311"/>
      <c r="P45" s="381"/>
      <c r="Q45" s="311"/>
      <c r="R45" s="311"/>
      <c r="S45" s="311"/>
      <c r="T45" s="263"/>
      <c r="U45" s="269"/>
      <c r="V45" s="270"/>
      <c r="W45" s="270"/>
      <c r="X45" s="270" t="str">
        <f t="shared" si="3"/>
        <v/>
      </c>
      <c r="Y45" s="381"/>
      <c r="Z45" s="381"/>
      <c r="AA45" s="256">
        <f t="shared" si="14"/>
        <v>0</v>
      </c>
      <c r="AB45" s="311"/>
      <c r="AC45" s="381" t="str">
        <f t="shared" si="15"/>
        <v/>
      </c>
      <c r="AD45" s="381" t="str">
        <f t="shared" si="21"/>
        <v/>
      </c>
      <c r="AE45" s="381" t="str">
        <f t="shared" si="22"/>
        <v/>
      </c>
      <c r="AF45" s="381" t="str">
        <f t="shared" si="23"/>
        <v/>
      </c>
      <c r="AG45" s="391"/>
      <c r="AH45" s="381"/>
      <c r="AI45" s="381"/>
      <c r="AJ45" s="381"/>
      <c r="AK45" s="381"/>
      <c r="AL45" s="256">
        <f t="shared" si="24"/>
        <v>0</v>
      </c>
      <c r="AM45" s="256">
        <f t="shared" si="25"/>
        <v>0</v>
      </c>
      <c r="AN45" s="256">
        <f t="shared" si="26"/>
        <v>0</v>
      </c>
    </row>
    <row r="46" spans="1:42" x14ac:dyDescent="0.2">
      <c r="A46" s="386"/>
      <c r="B46" s="387" t="s">
        <v>135</v>
      </c>
      <c r="C46" s="387" t="s">
        <v>242</v>
      </c>
      <c r="D46" s="387"/>
      <c r="E46" s="387" t="s">
        <v>532</v>
      </c>
      <c r="F46" s="387" t="s">
        <v>461</v>
      </c>
      <c r="G46" s="387" t="s">
        <v>161</v>
      </c>
      <c r="H46" s="387"/>
      <c r="I46" s="359" t="s">
        <v>856</v>
      </c>
      <c r="J46" s="359" t="s">
        <v>857</v>
      </c>
      <c r="K46" s="359"/>
      <c r="L46" s="359" t="s">
        <v>858</v>
      </c>
      <c r="M46" s="386"/>
      <c r="N46" s="386"/>
      <c r="O46" s="386"/>
      <c r="P46" s="389"/>
      <c r="Q46" s="386"/>
      <c r="R46" s="386"/>
      <c r="S46" s="386"/>
      <c r="T46" s="263"/>
      <c r="U46" s="269"/>
      <c r="V46" s="270"/>
      <c r="W46" s="270"/>
      <c r="X46" s="270"/>
      <c r="Y46" s="62"/>
      <c r="Z46" s="399">
        <f>((18*375)*6)-Z17-Z47-Z50-Z51</f>
        <v>31500</v>
      </c>
      <c r="AA46" s="256">
        <f t="shared" si="14"/>
        <v>31500</v>
      </c>
      <c r="AB46" s="3"/>
      <c r="AC46" s="468" t="str">
        <f t="shared" si="15"/>
        <v/>
      </c>
      <c r="AD46" s="468" t="str">
        <f>_xlfn.IFS(P46="N",$AD$1*AA46,P46="EE","",P46="ER","",P46="","")</f>
        <v/>
      </c>
      <c r="AE46" s="468"/>
      <c r="AF46" s="468">
        <f t="shared" si="23"/>
        <v>456.75</v>
      </c>
      <c r="AG46" s="192"/>
      <c r="AH46" s="389">
        <f t="shared" ref="AH46:AH53" si="34">+IF(AA46&gt;1,AA46*$AH$1,"")</f>
        <v>286.72358736774277</v>
      </c>
      <c r="AI46" s="468"/>
      <c r="AJ46" s="62"/>
      <c r="AK46" s="62"/>
      <c r="AL46" s="256">
        <f t="shared" ref="AL46:AL53" si="35">SUM(AC46:AK46)</f>
        <v>743.47358736774277</v>
      </c>
      <c r="AM46" s="256">
        <f t="shared" ref="AM46:AM53" si="36">AA46</f>
        <v>31500</v>
      </c>
      <c r="AN46" s="398">
        <f t="shared" ref="AN46:AN53" si="37">SUM(AL46:AM46)</f>
        <v>32243.473587367742</v>
      </c>
    </row>
    <row r="47" spans="1:42" x14ac:dyDescent="0.2">
      <c r="A47" s="386"/>
      <c r="B47" s="387" t="s">
        <v>135</v>
      </c>
      <c r="C47" s="387" t="s">
        <v>242</v>
      </c>
      <c r="D47" s="387"/>
      <c r="E47" s="387" t="s">
        <v>532</v>
      </c>
      <c r="F47" s="387" t="s">
        <v>534</v>
      </c>
      <c r="G47" s="390" t="s">
        <v>161</v>
      </c>
      <c r="H47" s="387"/>
      <c r="I47" s="359" t="s">
        <v>856</v>
      </c>
      <c r="J47" s="359" t="s">
        <v>857</v>
      </c>
      <c r="K47" s="359"/>
      <c r="L47" s="359" t="s">
        <v>858</v>
      </c>
      <c r="M47" s="386"/>
      <c r="N47" s="386"/>
      <c r="O47" s="386"/>
      <c r="P47" s="389"/>
      <c r="Q47" s="386"/>
      <c r="R47" s="386"/>
      <c r="S47" s="386"/>
      <c r="T47" s="263"/>
      <c r="U47" s="269"/>
      <c r="V47" s="270"/>
      <c r="W47" s="270"/>
      <c r="X47" s="270"/>
      <c r="Y47" s="62"/>
      <c r="Z47" s="399">
        <f>6*375</f>
        <v>2250</v>
      </c>
      <c r="AA47" s="256">
        <f>SUM(X47:Z47)</f>
        <v>2250</v>
      </c>
      <c r="AB47" s="3"/>
      <c r="AC47" s="468" t="str">
        <f t="shared" si="15"/>
        <v/>
      </c>
      <c r="AD47" s="468" t="str">
        <f t="shared" si="21"/>
        <v/>
      </c>
      <c r="AE47" s="468"/>
      <c r="AF47" s="468">
        <f t="shared" si="23"/>
        <v>32.625</v>
      </c>
      <c r="AG47" s="192"/>
      <c r="AH47" s="468">
        <f t="shared" si="34"/>
        <v>20.480256240553057</v>
      </c>
      <c r="AI47" s="468"/>
      <c r="AJ47" s="62"/>
      <c r="AK47" s="62"/>
      <c r="AL47" s="256">
        <f>SUM(AC47:AK47)</f>
        <v>53.105256240553061</v>
      </c>
      <c r="AM47" s="256">
        <f>AA47</f>
        <v>2250</v>
      </c>
      <c r="AN47" s="398">
        <f>SUM(AL47:AM47)</f>
        <v>2303.105256240553</v>
      </c>
      <c r="AO47" s="396">
        <f>+Z17+Z46+Z47+Z50+Z51</f>
        <v>40500</v>
      </c>
      <c r="AP47" s="397" t="s">
        <v>861</v>
      </c>
    </row>
    <row r="48" spans="1:42" x14ac:dyDescent="0.2">
      <c r="A48" s="386"/>
      <c r="B48" s="387" t="s">
        <v>135</v>
      </c>
      <c r="C48" s="387" t="s">
        <v>242</v>
      </c>
      <c r="D48" s="387"/>
      <c r="E48" s="387" t="s">
        <v>532</v>
      </c>
      <c r="F48" s="387" t="s">
        <v>461</v>
      </c>
      <c r="G48" s="390" t="s">
        <v>169</v>
      </c>
      <c r="H48" s="387"/>
      <c r="I48" s="359" t="s">
        <v>856</v>
      </c>
      <c r="J48" s="359" t="s">
        <v>857</v>
      </c>
      <c r="K48" s="359"/>
      <c r="L48" s="359" t="s">
        <v>858</v>
      </c>
      <c r="M48" s="386"/>
      <c r="N48" s="386"/>
      <c r="O48" s="386"/>
      <c r="P48" s="389"/>
      <c r="Q48" s="386"/>
      <c r="R48" s="386"/>
      <c r="S48" s="386"/>
      <c r="T48" s="263"/>
      <c r="U48" s="269"/>
      <c r="V48" s="270"/>
      <c r="W48" s="270"/>
      <c r="X48" s="270"/>
      <c r="Y48" s="62"/>
      <c r="Z48" s="400">
        <f>225*6</f>
        <v>1350</v>
      </c>
      <c r="AA48" s="256">
        <f>SUM(X48:Z48)</f>
        <v>1350</v>
      </c>
      <c r="AB48" s="3"/>
      <c r="AC48" s="468" t="str">
        <f t="shared" si="15"/>
        <v/>
      </c>
      <c r="AD48" s="468" t="str">
        <f t="shared" si="21"/>
        <v/>
      </c>
      <c r="AE48" s="468"/>
      <c r="AF48" s="468">
        <f t="shared" si="23"/>
        <v>19.574999999999999</v>
      </c>
      <c r="AG48" s="192"/>
      <c r="AH48" s="389">
        <f t="shared" si="34"/>
        <v>12.288153744331833</v>
      </c>
      <c r="AI48" s="468"/>
      <c r="AJ48" s="62"/>
      <c r="AK48" s="62"/>
      <c r="AL48" s="256">
        <f>SUM(AC48:AK48)</f>
        <v>31.863153744331832</v>
      </c>
      <c r="AM48" s="256">
        <f>AA48</f>
        <v>1350</v>
      </c>
      <c r="AN48" s="395">
        <f>SUM(AL48:AM48)</f>
        <v>1381.8631537443318</v>
      </c>
      <c r="AO48" s="393">
        <f>+AN48+AN52+AN53</f>
        <v>2763.7263074886637</v>
      </c>
      <c r="AP48" s="394" t="s">
        <v>860</v>
      </c>
    </row>
    <row r="49" spans="1:42" x14ac:dyDescent="0.2">
      <c r="A49" s="386"/>
      <c r="B49" s="387" t="s">
        <v>135</v>
      </c>
      <c r="C49" s="387" t="s">
        <v>242</v>
      </c>
      <c r="D49" s="387"/>
      <c r="E49" s="387" t="s">
        <v>532</v>
      </c>
      <c r="F49" s="387" t="s">
        <v>464</v>
      </c>
      <c r="G49" s="390" t="s">
        <v>165</v>
      </c>
      <c r="H49" s="387"/>
      <c r="I49" s="359" t="s">
        <v>856</v>
      </c>
      <c r="J49" s="359" t="s">
        <v>857</v>
      </c>
      <c r="K49" s="359"/>
      <c r="L49" s="359" t="s">
        <v>858</v>
      </c>
      <c r="M49" s="386"/>
      <c r="N49" s="386"/>
      <c r="O49" s="386"/>
      <c r="P49" s="389"/>
      <c r="Q49" s="386"/>
      <c r="R49" s="386"/>
      <c r="S49" s="386"/>
      <c r="T49" s="263"/>
      <c r="U49" s="269"/>
      <c r="V49" s="270"/>
      <c r="W49" s="270"/>
      <c r="X49" s="270"/>
      <c r="Y49" s="62"/>
      <c r="Z49" s="404">
        <f>2*(425*6)</f>
        <v>5100</v>
      </c>
      <c r="AA49" s="256">
        <f>SUM(X49:Z49)</f>
        <v>5100</v>
      </c>
      <c r="AB49" s="3"/>
      <c r="AC49" s="468" t="str">
        <f t="shared" si="15"/>
        <v/>
      </c>
      <c r="AD49" s="468" t="str">
        <f t="shared" si="21"/>
        <v/>
      </c>
      <c r="AE49" s="468"/>
      <c r="AF49" s="468">
        <f t="shared" si="23"/>
        <v>73.95</v>
      </c>
      <c r="AG49" s="192"/>
      <c r="AH49" s="468">
        <f t="shared" si="34"/>
        <v>46.421914145253595</v>
      </c>
      <c r="AI49" s="468"/>
      <c r="AJ49" s="62"/>
      <c r="AK49" s="62"/>
      <c r="AL49" s="256">
        <f>SUM(AC49:AK49)</f>
        <v>120.3719141452536</v>
      </c>
      <c r="AM49" s="256">
        <f>AA49</f>
        <v>5100</v>
      </c>
      <c r="AN49" s="403">
        <f>SUM(AL49:AM49)</f>
        <v>5220.3719141452539</v>
      </c>
      <c r="AO49" s="401">
        <f>+AN49+Z11</f>
        <v>7770.3719141452539</v>
      </c>
      <c r="AP49" s="402" t="s">
        <v>859</v>
      </c>
    </row>
    <row r="50" spans="1:42" x14ac:dyDescent="0.2">
      <c r="A50" s="386"/>
      <c r="B50" s="387" t="s">
        <v>135</v>
      </c>
      <c r="C50" s="387" t="s">
        <v>242</v>
      </c>
      <c r="D50" s="387"/>
      <c r="E50" s="387" t="s">
        <v>532</v>
      </c>
      <c r="F50" s="387" t="s">
        <v>556</v>
      </c>
      <c r="G50" s="390" t="s">
        <v>167</v>
      </c>
      <c r="H50" s="387"/>
      <c r="I50" s="359" t="s">
        <v>856</v>
      </c>
      <c r="J50" s="359" t="s">
        <v>857</v>
      </c>
      <c r="K50" s="359"/>
      <c r="L50" s="359" t="s">
        <v>858</v>
      </c>
      <c r="M50" s="386"/>
      <c r="N50" s="386"/>
      <c r="O50" s="386"/>
      <c r="P50" s="389"/>
      <c r="Q50" s="386"/>
      <c r="R50" s="386"/>
      <c r="S50" s="386"/>
      <c r="T50" s="263"/>
      <c r="U50" s="269"/>
      <c r="V50" s="270"/>
      <c r="W50" s="270"/>
      <c r="X50" s="270"/>
      <c r="Y50" s="62"/>
      <c r="Z50" s="399">
        <f>375*6</f>
        <v>2250</v>
      </c>
      <c r="AA50" s="256">
        <f t="shared" si="14"/>
        <v>2250</v>
      </c>
      <c r="AB50" s="3"/>
      <c r="AC50" s="468" t="str">
        <f t="shared" si="15"/>
        <v/>
      </c>
      <c r="AD50" s="468" t="str">
        <f t="shared" si="21"/>
        <v/>
      </c>
      <c r="AE50" s="468"/>
      <c r="AF50" s="468">
        <f t="shared" si="23"/>
        <v>32.625</v>
      </c>
      <c r="AG50" s="192"/>
      <c r="AH50" s="468">
        <f t="shared" si="34"/>
        <v>20.480256240553057</v>
      </c>
      <c r="AI50" s="468"/>
      <c r="AJ50" s="62"/>
      <c r="AK50" s="62"/>
      <c r="AL50" s="256">
        <f t="shared" si="35"/>
        <v>53.105256240553061</v>
      </c>
      <c r="AM50" s="256">
        <f t="shared" si="36"/>
        <v>2250</v>
      </c>
      <c r="AN50" s="398">
        <f t="shared" si="37"/>
        <v>2303.105256240553</v>
      </c>
    </row>
    <row r="51" spans="1:42" x14ac:dyDescent="0.2">
      <c r="A51" s="386"/>
      <c r="B51" s="387" t="s">
        <v>135</v>
      </c>
      <c r="C51" s="387" t="s">
        <v>242</v>
      </c>
      <c r="D51" s="387"/>
      <c r="E51" s="387" t="s">
        <v>532</v>
      </c>
      <c r="F51" s="387" t="s">
        <v>485</v>
      </c>
      <c r="G51" s="390" t="s">
        <v>167</v>
      </c>
      <c r="H51" s="387"/>
      <c r="I51" s="359" t="s">
        <v>856</v>
      </c>
      <c r="J51" s="359" t="s">
        <v>857</v>
      </c>
      <c r="K51" s="359"/>
      <c r="L51" s="359" t="s">
        <v>858</v>
      </c>
      <c r="M51" s="386"/>
      <c r="N51" s="386"/>
      <c r="O51" s="386"/>
      <c r="P51" s="389"/>
      <c r="Q51" s="386"/>
      <c r="R51" s="386"/>
      <c r="S51" s="386"/>
      <c r="T51" s="263"/>
      <c r="U51" s="269"/>
      <c r="V51" s="270"/>
      <c r="W51" s="270"/>
      <c r="X51" s="270"/>
      <c r="Y51" s="62"/>
      <c r="Z51" s="399">
        <f>375*6</f>
        <v>2250</v>
      </c>
      <c r="AA51" s="256">
        <f t="shared" si="14"/>
        <v>2250</v>
      </c>
      <c r="AB51" s="3"/>
      <c r="AC51" s="468" t="str">
        <f t="shared" si="15"/>
        <v/>
      </c>
      <c r="AD51" s="468" t="str">
        <f t="shared" si="21"/>
        <v/>
      </c>
      <c r="AE51" s="468"/>
      <c r="AF51" s="468">
        <f t="shared" si="23"/>
        <v>32.625</v>
      </c>
      <c r="AG51" s="192"/>
      <c r="AH51" s="389">
        <f t="shared" si="34"/>
        <v>20.480256240553057</v>
      </c>
      <c r="AI51" s="468"/>
      <c r="AJ51" s="62"/>
      <c r="AK51" s="62"/>
      <c r="AL51" s="256">
        <f t="shared" si="35"/>
        <v>53.105256240553061</v>
      </c>
      <c r="AM51" s="256">
        <f t="shared" si="36"/>
        <v>2250</v>
      </c>
      <c r="AN51" s="398">
        <f t="shared" si="37"/>
        <v>2303.105256240553</v>
      </c>
    </row>
    <row r="52" spans="1:42" x14ac:dyDescent="0.2">
      <c r="A52" s="386"/>
      <c r="B52" s="387" t="s">
        <v>135</v>
      </c>
      <c r="C52" s="387" t="s">
        <v>242</v>
      </c>
      <c r="D52" s="387"/>
      <c r="E52" s="387" t="s">
        <v>532</v>
      </c>
      <c r="F52" s="387" t="s">
        <v>465</v>
      </c>
      <c r="G52" s="390" t="s">
        <v>173</v>
      </c>
      <c r="H52" s="387"/>
      <c r="I52" s="359" t="s">
        <v>856</v>
      </c>
      <c r="J52" s="359" t="s">
        <v>857</v>
      </c>
      <c r="K52" s="359"/>
      <c r="L52" s="359" t="s">
        <v>858</v>
      </c>
      <c r="M52" s="386"/>
      <c r="N52" s="386"/>
      <c r="O52" s="386"/>
      <c r="P52" s="389"/>
      <c r="Q52" s="386"/>
      <c r="R52" s="386"/>
      <c r="S52" s="386"/>
      <c r="T52" s="263"/>
      <c r="U52" s="269"/>
      <c r="V52" s="270"/>
      <c r="W52" s="270"/>
      <c r="X52" s="270"/>
      <c r="Y52" s="62"/>
      <c r="Z52" s="400">
        <v>0</v>
      </c>
      <c r="AA52" s="256">
        <f t="shared" si="14"/>
        <v>0</v>
      </c>
      <c r="AB52" s="3"/>
      <c r="AC52" s="468" t="str">
        <f t="shared" si="15"/>
        <v/>
      </c>
      <c r="AD52" s="468" t="str">
        <f t="shared" si="21"/>
        <v/>
      </c>
      <c r="AE52" s="468"/>
      <c r="AF52" s="468" t="str">
        <f t="shared" si="23"/>
        <v/>
      </c>
      <c r="AG52" s="192"/>
      <c r="AH52" s="468" t="str">
        <f t="shared" si="34"/>
        <v/>
      </c>
      <c r="AI52" s="468"/>
      <c r="AJ52" s="62"/>
      <c r="AK52" s="62"/>
      <c r="AL52" s="256">
        <f t="shared" si="35"/>
        <v>0</v>
      </c>
      <c r="AM52" s="256">
        <f t="shared" si="36"/>
        <v>0</v>
      </c>
      <c r="AN52" s="395">
        <f t="shared" si="37"/>
        <v>0</v>
      </c>
    </row>
    <row r="53" spans="1:42" x14ac:dyDescent="0.2">
      <c r="A53" s="386"/>
      <c r="B53" s="387" t="s">
        <v>135</v>
      </c>
      <c r="C53" s="387" t="s">
        <v>242</v>
      </c>
      <c r="D53" s="387"/>
      <c r="E53" s="387" t="s">
        <v>532</v>
      </c>
      <c r="F53" s="387" t="s">
        <v>558</v>
      </c>
      <c r="G53" s="390" t="s">
        <v>173</v>
      </c>
      <c r="H53" s="387"/>
      <c r="I53" s="359" t="s">
        <v>856</v>
      </c>
      <c r="J53" s="359" t="s">
        <v>857</v>
      </c>
      <c r="K53" s="359"/>
      <c r="L53" s="359" t="s">
        <v>858</v>
      </c>
      <c r="M53" s="386"/>
      <c r="N53" s="386"/>
      <c r="O53" s="386"/>
      <c r="P53" s="389"/>
      <c r="Q53" s="386"/>
      <c r="R53" s="386"/>
      <c r="S53" s="386"/>
      <c r="T53" s="263"/>
      <c r="U53" s="269"/>
      <c r="V53" s="270"/>
      <c r="W53" s="270"/>
      <c r="X53" s="270"/>
      <c r="Y53" s="62"/>
      <c r="Z53" s="400">
        <f>6*225</f>
        <v>1350</v>
      </c>
      <c r="AA53" s="256">
        <f t="shared" si="14"/>
        <v>1350</v>
      </c>
      <c r="AB53" s="3"/>
      <c r="AC53" s="468" t="str">
        <f t="shared" si="15"/>
        <v/>
      </c>
      <c r="AD53" s="468" t="str">
        <f t="shared" si="21"/>
        <v/>
      </c>
      <c r="AE53" s="468"/>
      <c r="AF53" s="468">
        <f t="shared" si="23"/>
        <v>19.574999999999999</v>
      </c>
      <c r="AG53" s="192"/>
      <c r="AH53" s="468">
        <f t="shared" si="34"/>
        <v>12.288153744331833</v>
      </c>
      <c r="AI53" s="468"/>
      <c r="AJ53" s="62"/>
      <c r="AK53" s="62"/>
      <c r="AL53" s="256">
        <f t="shared" si="35"/>
        <v>31.863153744331832</v>
      </c>
      <c r="AM53" s="256">
        <f t="shared" si="36"/>
        <v>1350</v>
      </c>
      <c r="AN53" s="395">
        <f t="shared" si="37"/>
        <v>1381.8631537443318</v>
      </c>
    </row>
    <row r="54" spans="1:42" x14ac:dyDescent="0.2">
      <c r="A54" s="311"/>
      <c r="B54" s="380"/>
      <c r="C54" s="380"/>
      <c r="D54" s="380"/>
      <c r="E54" s="380"/>
      <c r="F54" s="380"/>
      <c r="G54" s="380"/>
      <c r="H54" s="380"/>
      <c r="I54" s="312"/>
      <c r="J54" s="312"/>
      <c r="K54" s="312"/>
      <c r="L54" s="313"/>
      <c r="M54" s="311"/>
      <c r="N54" s="311"/>
      <c r="O54" s="311"/>
      <c r="P54" s="381"/>
      <c r="Q54" s="311"/>
      <c r="R54" s="311"/>
      <c r="S54" s="311"/>
      <c r="T54" s="263"/>
      <c r="U54" s="269"/>
      <c r="V54" s="270"/>
      <c r="W54" s="270"/>
      <c r="X54" s="270"/>
      <c r="Y54" s="381"/>
      <c r="Z54" s="381"/>
      <c r="AA54" s="256">
        <f t="shared" ref="AA54" si="38">SUM(X54:Z54)</f>
        <v>0</v>
      </c>
      <c r="AB54" s="311"/>
      <c r="AC54" s="381" t="str">
        <f t="shared" si="15"/>
        <v/>
      </c>
      <c r="AD54" s="381" t="str">
        <f t="shared" ref="AD54" si="39">_xlfn.IFS(P54="N",$AD$1*AA54,P54="EE","",P54="ER","",P54="","")</f>
        <v/>
      </c>
      <c r="AE54" s="381" t="str">
        <f t="shared" ref="AE54:AE56" si="40">_xlfn.IFS(P54="EE",X54*$AE$1,P54="ER",X54*$AE$2,P54="N","",P54="","")</f>
        <v/>
      </c>
      <c r="AF54" s="381" t="str">
        <f t="shared" ref="AF54:AF56" si="41">+IF(AA54&gt;1,AA54*$AF$1,"")</f>
        <v/>
      </c>
      <c r="AG54" s="391"/>
      <c r="AH54" s="381"/>
      <c r="AI54" s="381"/>
      <c r="AJ54" s="381"/>
      <c r="AK54" s="381"/>
      <c r="AL54" s="256">
        <f>SUM(AC54:AK54)</f>
        <v>0</v>
      </c>
      <c r="AM54" s="256">
        <f>AA54</f>
        <v>0</v>
      </c>
      <c r="AN54" s="256">
        <f>SUM(AL54:AM54)</f>
        <v>0</v>
      </c>
    </row>
    <row r="55" spans="1:42" x14ac:dyDescent="0.2">
      <c r="A55" s="386"/>
      <c r="B55" s="387" t="s">
        <v>135</v>
      </c>
      <c r="C55" s="387" t="s">
        <v>247</v>
      </c>
      <c r="D55" s="387"/>
      <c r="E55" s="387" t="s">
        <v>473</v>
      </c>
      <c r="F55" s="387" t="s">
        <v>461</v>
      </c>
      <c r="G55" s="390" t="s">
        <v>161</v>
      </c>
      <c r="H55" s="387"/>
      <c r="I55" s="359" t="s">
        <v>816</v>
      </c>
      <c r="J55" s="359"/>
      <c r="K55" s="359"/>
      <c r="L55" s="388" t="s">
        <v>816</v>
      </c>
      <c r="M55" s="386">
        <v>0.5</v>
      </c>
      <c r="N55" s="386"/>
      <c r="O55" s="386"/>
      <c r="P55" s="389" t="s">
        <v>342</v>
      </c>
      <c r="Q55" s="386">
        <v>40</v>
      </c>
      <c r="R55" s="386">
        <v>18</v>
      </c>
      <c r="S55" s="386">
        <v>4</v>
      </c>
      <c r="T55" s="263">
        <f>R55*S55</f>
        <v>72</v>
      </c>
      <c r="U55" s="269">
        <f>Q55*T55</f>
        <v>2880</v>
      </c>
      <c r="V55" s="270">
        <f t="shared" ref="V55:V56" si="42">IF($U55="","",$U55*(1+$V$1))</f>
        <v>2880</v>
      </c>
      <c r="W55" s="270" t="str">
        <f t="shared" ref="W55:W56" si="43">+IF(P55="EE",+V55*$W$1,"")</f>
        <v/>
      </c>
      <c r="X55" s="270">
        <f t="shared" ref="X55:X56" si="44">_xlfn.IFS(P55="ER",V55,P55="EE",W55,P55="N",V55,P55="","")</f>
        <v>2880</v>
      </c>
      <c r="Y55" s="389"/>
      <c r="Z55" s="389"/>
      <c r="AA55" s="256">
        <f t="shared" ref="AA55:AA56" si="45">SUM(X55:Z55)</f>
        <v>2880</v>
      </c>
      <c r="AB55" s="386"/>
      <c r="AC55" s="389" t="str">
        <f t="shared" si="15"/>
        <v/>
      </c>
      <c r="AD55" s="389"/>
      <c r="AE55" s="389">
        <f t="shared" si="40"/>
        <v>842.4</v>
      </c>
      <c r="AF55" s="389">
        <f t="shared" si="41"/>
        <v>41.760000000000005</v>
      </c>
      <c r="AG55" s="192"/>
      <c r="AH55" s="389">
        <f t="shared" ref="AH55:AH56" si="46">+IF(AA55&gt;1,AA55*$AH$1,"")</f>
        <v>26.21472798790791</v>
      </c>
      <c r="AI55" s="389"/>
      <c r="AJ55" s="389"/>
      <c r="AK55" s="389"/>
      <c r="AL55" s="256">
        <f>SUM(AC55:AK55)</f>
        <v>910.37472798790793</v>
      </c>
      <c r="AM55" s="256">
        <f>AA55</f>
        <v>2880</v>
      </c>
      <c r="AN55" s="256">
        <f>SUM(AL55:AM55)</f>
        <v>3790.374727987908</v>
      </c>
    </row>
    <row r="56" spans="1:42" x14ac:dyDescent="0.2">
      <c r="A56" s="386"/>
      <c r="B56" s="387" t="s">
        <v>135</v>
      </c>
      <c r="C56" s="387" t="s">
        <v>247</v>
      </c>
      <c r="D56" s="387"/>
      <c r="E56" s="387" t="s">
        <v>473</v>
      </c>
      <c r="F56" s="387" t="s">
        <v>461</v>
      </c>
      <c r="G56" s="390" t="s">
        <v>169</v>
      </c>
      <c r="H56" s="387"/>
      <c r="I56" s="359" t="s">
        <v>816</v>
      </c>
      <c r="J56" s="359"/>
      <c r="K56" s="359"/>
      <c r="L56" s="388" t="s">
        <v>816</v>
      </c>
      <c r="M56" s="386">
        <v>0.5</v>
      </c>
      <c r="N56" s="386"/>
      <c r="O56" s="386"/>
      <c r="P56" s="389" t="s">
        <v>342</v>
      </c>
      <c r="Q56" s="386">
        <v>25</v>
      </c>
      <c r="R56" s="386">
        <v>11</v>
      </c>
      <c r="S56" s="386">
        <v>3.5</v>
      </c>
      <c r="T56" s="263">
        <f>R56*S56</f>
        <v>38.5</v>
      </c>
      <c r="U56" s="269">
        <f>Q56*T56</f>
        <v>962.5</v>
      </c>
      <c r="V56" s="270">
        <f t="shared" si="42"/>
        <v>962.5</v>
      </c>
      <c r="W56" s="270" t="str">
        <f t="shared" si="43"/>
        <v/>
      </c>
      <c r="X56" s="270">
        <f t="shared" si="44"/>
        <v>962.5</v>
      </c>
      <c r="Y56" s="389"/>
      <c r="Z56" s="389"/>
      <c r="AA56" s="256">
        <f t="shared" si="45"/>
        <v>962.5</v>
      </c>
      <c r="AB56" s="386"/>
      <c r="AC56" s="389" t="str">
        <f t="shared" si="15"/>
        <v/>
      </c>
      <c r="AD56" s="389"/>
      <c r="AE56" s="389">
        <f t="shared" si="40"/>
        <v>281.53125</v>
      </c>
      <c r="AF56" s="389">
        <f t="shared" si="41"/>
        <v>13.956250000000001</v>
      </c>
      <c r="AG56" s="192"/>
      <c r="AH56" s="389">
        <f t="shared" si="46"/>
        <v>8.7609985029032522</v>
      </c>
      <c r="AI56" s="389"/>
      <c r="AJ56" s="389"/>
      <c r="AK56" s="389"/>
      <c r="AL56" s="256">
        <f t="shared" ref="AL56" si="47">SUM(AC56:AK56)</f>
        <v>304.24849850290326</v>
      </c>
      <c r="AM56" s="256">
        <f t="shared" ref="AM56" si="48">AA56</f>
        <v>962.5</v>
      </c>
      <c r="AN56" s="256">
        <f t="shared" ref="AN56" si="49">SUM(AL56:AM56)</f>
        <v>1266.7484985029032</v>
      </c>
    </row>
    <row r="57" spans="1:42" x14ac:dyDescent="0.2">
      <c r="A57" s="311"/>
      <c r="B57" s="380"/>
      <c r="C57" s="380"/>
      <c r="D57" s="380"/>
      <c r="E57" s="380"/>
      <c r="F57" s="380"/>
      <c r="G57" s="380"/>
      <c r="H57" s="380"/>
      <c r="I57" s="312"/>
      <c r="J57" s="312"/>
      <c r="K57" s="312"/>
      <c r="L57" s="313"/>
      <c r="M57" s="311"/>
      <c r="N57" s="311"/>
      <c r="O57" s="311"/>
      <c r="P57" s="381"/>
      <c r="Q57" s="311"/>
      <c r="R57" s="311"/>
      <c r="S57" s="311"/>
      <c r="T57" s="263"/>
      <c r="U57" s="269"/>
      <c r="V57" s="270"/>
      <c r="W57" s="270"/>
      <c r="X57" s="270" t="str">
        <f t="shared" ref="X57" si="50">_xlfn.IFS(P57="ER",V57,P57="EE",W57,P57="N",V57,P57="","")</f>
        <v/>
      </c>
      <c r="Y57" s="381"/>
      <c r="Z57" s="381"/>
      <c r="AA57" s="256">
        <f t="shared" ref="AA57" si="51">SUM(X57:Z57)</f>
        <v>0</v>
      </c>
      <c r="AB57" s="311"/>
      <c r="AC57" s="381" t="str">
        <f t="shared" si="15"/>
        <v/>
      </c>
      <c r="AD57" s="381" t="str">
        <f t="shared" ref="AD57" si="52">_xlfn.IFS(P57="N",$AD$1*AA57,P57="EE","",P57="ER","",P57="","")</f>
        <v/>
      </c>
      <c r="AE57" s="381" t="str">
        <f t="shared" ref="AE57" si="53">_xlfn.IFS(P57="EE",X57*$AE$1,P57="ER",X57*$AE$2,P57="N","",P57="","")</f>
        <v/>
      </c>
      <c r="AF57" s="381" t="str">
        <f t="shared" ref="AF57" si="54">+IF(AA57&gt;1,AA57*$AF$1,"")</f>
        <v/>
      </c>
      <c r="AG57" s="391"/>
      <c r="AH57" s="381"/>
      <c r="AI57" s="381"/>
      <c r="AJ57" s="381"/>
      <c r="AK57" s="381"/>
      <c r="AL57" s="256">
        <f>SUM(AC57:AK57)</f>
        <v>0</v>
      </c>
      <c r="AM57" s="256">
        <f>AA57</f>
        <v>0</v>
      </c>
      <c r="AN57" s="256">
        <f>SUM(AL57:AM57)</f>
        <v>0</v>
      </c>
    </row>
    <row r="58" spans="1:42" x14ac:dyDescent="0.2">
      <c r="A58" s="311"/>
      <c r="B58" s="380"/>
      <c r="C58" s="380"/>
      <c r="D58" s="380"/>
      <c r="E58" s="380"/>
      <c r="F58" s="380"/>
      <c r="G58" s="380"/>
      <c r="H58" s="380"/>
      <c r="I58" s="312"/>
      <c r="J58" s="312"/>
      <c r="K58" s="312"/>
      <c r="L58" s="313"/>
      <c r="M58" s="311"/>
      <c r="N58" s="311"/>
      <c r="O58" s="311"/>
      <c r="P58" s="381"/>
      <c r="Q58" s="311"/>
      <c r="R58" s="311"/>
      <c r="S58" s="311"/>
      <c r="T58" s="263"/>
      <c r="U58" s="269"/>
      <c r="V58" s="270"/>
      <c r="W58" s="270"/>
      <c r="X58" s="270"/>
      <c r="Y58" s="381"/>
      <c r="Z58" s="381"/>
      <c r="AA58" s="256">
        <f t="shared" ref="AA58:AA59" si="55">SUM(X58:Z58)</f>
        <v>0</v>
      </c>
      <c r="AB58" s="311"/>
      <c r="AC58" s="381" t="str">
        <f t="shared" si="15"/>
        <v/>
      </c>
      <c r="AD58" s="381" t="str">
        <f t="shared" ref="AD58" si="56">_xlfn.IFS(P58="N",$AD$1*AA58,P58="EE","",P58="ER","",P58="","")</f>
        <v/>
      </c>
      <c r="AE58" s="381" t="str">
        <f t="shared" ref="AE58" si="57">_xlfn.IFS(P58="EE",X58*$AE$1,P58="ER",X58*$AE$2,P58="N","",P58="","")</f>
        <v/>
      </c>
      <c r="AF58" s="381" t="str">
        <f t="shared" ref="AF58" si="58">+IF(AA58&gt;1,AA58*$AF$1,"")</f>
        <v/>
      </c>
      <c r="AG58" s="391"/>
      <c r="AH58" s="381"/>
      <c r="AI58" s="381"/>
      <c r="AJ58" s="381"/>
      <c r="AK58" s="381"/>
      <c r="AL58" s="256">
        <f t="shared" ref="AL58:AL59" si="59">SUM(AC58:AK58)</f>
        <v>0</v>
      </c>
      <c r="AM58" s="256">
        <f t="shared" ref="AM58:AM59" si="60">AA58</f>
        <v>0</v>
      </c>
      <c r="AN58" s="256">
        <f t="shared" ref="AN58:AN59" si="61">SUM(AL58:AM58)</f>
        <v>0</v>
      </c>
    </row>
    <row r="59" spans="1:42" x14ac:dyDescent="0.2">
      <c r="A59" s="294" t="s">
        <v>892</v>
      </c>
      <c r="B59" s="408" t="s">
        <v>135</v>
      </c>
      <c r="C59" s="408" t="s">
        <v>550</v>
      </c>
      <c r="D59" s="408"/>
      <c r="E59" s="408" t="s">
        <v>532</v>
      </c>
      <c r="F59" s="408" t="s">
        <v>465</v>
      </c>
      <c r="G59" s="408" t="s">
        <v>167</v>
      </c>
      <c r="H59" s="408"/>
      <c r="I59" s="410" t="s">
        <v>436</v>
      </c>
      <c r="J59" s="410" t="s">
        <v>437</v>
      </c>
      <c r="K59" s="410" t="s">
        <v>393</v>
      </c>
      <c r="L59" s="411" t="s">
        <v>438</v>
      </c>
      <c r="M59" s="294">
        <f>AA59/X28</f>
        <v>0.16301079090821666</v>
      </c>
      <c r="N59" s="294"/>
      <c r="O59" s="294"/>
      <c r="P59" s="412" t="s">
        <v>342</v>
      </c>
      <c r="Q59" s="294"/>
      <c r="R59" s="294"/>
      <c r="S59" s="294"/>
      <c r="T59" s="263"/>
      <c r="U59" s="269">
        <v>57704</v>
      </c>
      <c r="V59" s="270">
        <f t="shared" ref="V59" si="62">IF($U59="","",$U59*(1+$V$1))</f>
        <v>57704</v>
      </c>
      <c r="W59" s="270" t="str">
        <f t="shared" ref="W59" si="63">+IF(P59="EE",+V59*$W$1,"")</f>
        <v/>
      </c>
      <c r="X59" s="270">
        <f>_xlfn.IFS(P59="ER",V59,P59="EE",W59,P59="N",V59,P59="","")</f>
        <v>57704</v>
      </c>
      <c r="Y59" s="62">
        <f>-X59+10824</f>
        <v>-46880</v>
      </c>
      <c r="Z59" s="62"/>
      <c r="AA59" s="256">
        <f t="shared" si="55"/>
        <v>10824</v>
      </c>
      <c r="AB59" s="3"/>
      <c r="AC59" s="62" t="str">
        <f t="shared" si="15"/>
        <v/>
      </c>
      <c r="AD59" s="62"/>
      <c r="AE59" s="62"/>
      <c r="AF59" s="62"/>
      <c r="AG59" s="192"/>
      <c r="AH59" s="468"/>
      <c r="AI59" s="62"/>
      <c r="AJ59" s="62"/>
      <c r="AK59" s="62"/>
      <c r="AL59" s="256">
        <f t="shared" si="59"/>
        <v>0</v>
      </c>
      <c r="AM59" s="256">
        <f t="shared" si="60"/>
        <v>10824</v>
      </c>
      <c r="AN59" s="256">
        <f t="shared" si="61"/>
        <v>10824</v>
      </c>
    </row>
    <row r="60" spans="1:42" x14ac:dyDescent="0.2">
      <c r="A60" s="386" t="s">
        <v>892</v>
      </c>
      <c r="B60" s="307">
        <v>100</v>
      </c>
      <c r="C60" s="307" t="s">
        <v>145</v>
      </c>
      <c r="D60" s="307"/>
      <c r="E60" s="307">
        <v>100</v>
      </c>
      <c r="F60" s="307" t="s">
        <v>460</v>
      </c>
      <c r="G60" s="307" t="s">
        <v>173</v>
      </c>
      <c r="H60" s="307" t="s">
        <v>497</v>
      </c>
      <c r="I60" s="255" t="s">
        <v>561</v>
      </c>
      <c r="J60" s="255" t="s">
        <v>561</v>
      </c>
      <c r="K60" s="255" t="s">
        <v>384</v>
      </c>
      <c r="L60" s="92" t="s">
        <v>894</v>
      </c>
      <c r="M60" s="3">
        <v>1</v>
      </c>
      <c r="N60" s="3" t="s">
        <v>386</v>
      </c>
      <c r="O60" s="3">
        <v>1</v>
      </c>
      <c r="P60" s="62" t="s">
        <v>342</v>
      </c>
      <c r="Q60" s="3">
        <v>14.5</v>
      </c>
      <c r="R60" s="3">
        <v>265</v>
      </c>
      <c r="S60" s="3">
        <v>8</v>
      </c>
      <c r="T60" s="263">
        <v>2120</v>
      </c>
      <c r="U60" s="269">
        <f>45000/2</f>
        <v>22500</v>
      </c>
      <c r="V60" s="270">
        <f>IF($U60="","",$U60*(1+$V$1))</f>
        <v>22500</v>
      </c>
      <c r="W60" s="270" t="str">
        <f>+IF(P60="EE",+V60*$W$1,"")</f>
        <v/>
      </c>
      <c r="X60" s="270">
        <f>_xlfn.IFS(P60="ER",V60,P60="EE",W60,P60="N",V60,P60="","")</f>
        <v>22500</v>
      </c>
      <c r="Y60" s="62"/>
      <c r="Z60" s="62"/>
      <c r="AA60" s="256">
        <f>SUM(X60:Z60)</f>
        <v>22500</v>
      </c>
      <c r="AB60" s="3"/>
      <c r="AC60" s="470">
        <f t="shared" si="15"/>
        <v>7943.76</v>
      </c>
      <c r="AD60" s="468" t="str">
        <f>_xlfn.IFS(P60="N",$AD$1*AA60,P60="EE","",P60="ER","",P60="","")</f>
        <v/>
      </c>
      <c r="AE60" s="468">
        <f>_xlfn.IFS(P60="EE",X60*$AE$1,P60="ER",X60*$AE$2,P60="N","",P60="","")</f>
        <v>6581.25</v>
      </c>
      <c r="AF60" s="468">
        <f>+IF(AA60&gt;1,AA60*$AF$1,"")</f>
        <v>326.25</v>
      </c>
      <c r="AG60" s="192">
        <v>0</v>
      </c>
      <c r="AH60" s="468">
        <f>+IF(AA60&gt;1,AA60*$AH$1,"")</f>
        <v>204.80256240553055</v>
      </c>
      <c r="AI60" s="468">
        <f>+_xlfn.IFS(F60&lt;2300,(AA60*$AI$1),F60&gt;=2300,(AA60*$AI$2),F60="","")</f>
        <v>66.266970967461134</v>
      </c>
      <c r="AJ60" s="62">
        <v>0</v>
      </c>
      <c r="AK60" s="62">
        <v>0</v>
      </c>
      <c r="AL60" s="256">
        <f>SUM(AC60:AK60)</f>
        <v>15122.329533372991</v>
      </c>
      <c r="AM60" s="256">
        <f>AA60</f>
        <v>22500</v>
      </c>
      <c r="AN60" s="256">
        <f>SUM(AL60:AM60)</f>
        <v>37622.329533372991</v>
      </c>
    </row>
    <row r="61" spans="1:42" x14ac:dyDescent="0.2">
      <c r="A61" s="386" t="s">
        <v>892</v>
      </c>
      <c r="B61" s="387">
        <v>100</v>
      </c>
      <c r="C61" s="387" t="s">
        <v>145</v>
      </c>
      <c r="D61" s="387"/>
      <c r="E61" s="387">
        <v>100</v>
      </c>
      <c r="F61" s="387" t="s">
        <v>534</v>
      </c>
      <c r="G61" s="387" t="s">
        <v>161</v>
      </c>
      <c r="H61" s="307"/>
      <c r="I61" s="255" t="s">
        <v>417</v>
      </c>
      <c r="J61" s="255" t="s">
        <v>418</v>
      </c>
      <c r="K61" s="255" t="s">
        <v>393</v>
      </c>
      <c r="L61" s="92" t="s">
        <v>419</v>
      </c>
      <c r="M61" s="3">
        <f>X61/X17</f>
        <v>3.8461550642934036E-2</v>
      </c>
      <c r="N61" s="3"/>
      <c r="O61" s="3"/>
      <c r="P61" s="62" t="s">
        <v>342</v>
      </c>
      <c r="Q61" s="3"/>
      <c r="R61" s="3"/>
      <c r="S61" s="3"/>
      <c r="T61" s="263"/>
      <c r="U61" s="269"/>
      <c r="V61" s="270" t="str">
        <f>IF($U61="","",$U61*(1+$V$1))</f>
        <v/>
      </c>
      <c r="W61" s="270" t="str">
        <f>+IF(P61="EE",+V61*$W$1,"")</f>
        <v/>
      </c>
      <c r="X61" s="270">
        <v>2428.7699999999986</v>
      </c>
      <c r="Y61" s="62"/>
      <c r="Z61" s="62"/>
      <c r="AA61" s="256">
        <f>SUM(X61:Z61)</f>
        <v>2428.7699999999986</v>
      </c>
      <c r="AB61" s="3"/>
      <c r="AC61" s="468" t="str">
        <f t="shared" si="15"/>
        <v/>
      </c>
      <c r="AD61" s="468" t="str">
        <f>_xlfn.IFS(P61="N",$AD$1*AA61,P61="EE","",P61="ER","",P61="","")</f>
        <v/>
      </c>
      <c r="AE61" s="468">
        <f>_xlfn.IFS(P61="EE",X61*$AE$1,P61="ER",X61*$AE$2,P61="N","",P61="","")</f>
        <v>710.41522499999951</v>
      </c>
      <c r="AF61" s="468">
        <f>+IF(AA61&gt;1,AA61*$AF$1,"")</f>
        <v>35.21716499999998</v>
      </c>
      <c r="AG61" s="192">
        <v>0</v>
      </c>
      <c r="AH61" s="468">
        <f>+IF(AA61&gt;1,AA61*$AH$1,"")</f>
        <v>22.107480866385785</v>
      </c>
      <c r="AI61" s="468">
        <f>+_xlfn.IFS(F61&lt;2300,(AA61*$AI$1),F61&gt;=2300,(AA61*$AI$2),F61="","")</f>
        <v>7.1532102700729103</v>
      </c>
      <c r="AJ61" s="62">
        <v>0</v>
      </c>
      <c r="AK61" s="62">
        <v>0</v>
      </c>
      <c r="AL61" s="256">
        <f>SUM(AC61:AK61)</f>
        <v>774.89308113645825</v>
      </c>
      <c r="AM61" s="256">
        <f>AA61</f>
        <v>2428.7699999999986</v>
      </c>
      <c r="AN61" s="256">
        <f>SUM(AL61:AM61)</f>
        <v>3203.6630811364566</v>
      </c>
    </row>
    <row r="62" spans="1:42" x14ac:dyDescent="0.2">
      <c r="A62" s="386" t="s">
        <v>892</v>
      </c>
      <c r="B62" s="307" t="s">
        <v>468</v>
      </c>
      <c r="C62" s="308" t="s">
        <v>145</v>
      </c>
      <c r="D62" s="307"/>
      <c r="E62" s="307" t="s">
        <v>468</v>
      </c>
      <c r="F62" s="307" t="s">
        <v>461</v>
      </c>
      <c r="G62" s="308" t="s">
        <v>169</v>
      </c>
      <c r="H62" s="307"/>
      <c r="I62" s="255" t="s">
        <v>833</v>
      </c>
      <c r="J62" s="255" t="s">
        <v>834</v>
      </c>
      <c r="K62" s="255" t="s">
        <v>384</v>
      </c>
      <c r="L62" s="92" t="s">
        <v>500</v>
      </c>
      <c r="M62" s="3"/>
      <c r="N62" s="3"/>
      <c r="O62" s="3"/>
      <c r="P62" s="62" t="s">
        <v>390</v>
      </c>
      <c r="Q62" s="3"/>
      <c r="R62" s="3"/>
      <c r="S62" s="3"/>
      <c r="T62" s="263"/>
      <c r="U62" s="269"/>
      <c r="V62" s="270"/>
      <c r="W62" s="270"/>
      <c r="X62" s="270">
        <f>3452.1+673.17</f>
        <v>4125.2699999999995</v>
      </c>
      <c r="Y62" s="62"/>
      <c r="Z62" s="62"/>
      <c r="AA62" s="256">
        <f>SUM(X62:Z62)</f>
        <v>4125.2699999999995</v>
      </c>
      <c r="AB62" s="3"/>
      <c r="AC62" s="468" t="str">
        <f t="shared" si="15"/>
        <v/>
      </c>
      <c r="AD62" s="468" t="str">
        <f>_xlfn.IFS(P62="N",$AD$1*AA62,P62="EE","",P62="ER","",P62="","")</f>
        <v/>
      </c>
      <c r="AE62" s="468">
        <f>_xlfn.IFS(P62="EE",X62*$AE$1,P62="ER",X62*$AE$2,P62="N","",P62="","")</f>
        <v>629.10367499999995</v>
      </c>
      <c r="AF62" s="468">
        <f>+IF(AA62&gt;1,AA62*$AF$1,"")</f>
        <v>59.816414999999999</v>
      </c>
      <c r="AG62" s="192">
        <v>0</v>
      </c>
      <c r="AH62" s="389">
        <f>+IF(AA62&gt;1,AA62*$AH$1,"")</f>
        <v>37.549594071762797</v>
      </c>
      <c r="AI62" s="468">
        <f>+_xlfn.IFS(F62&lt;2300,(AA62*$AI$1),F62&gt;=2300,(AA62*$AI$2),F62="","")</f>
        <v>12.149739881019482</v>
      </c>
      <c r="AJ62" s="62">
        <v>0</v>
      </c>
      <c r="AK62" s="62">
        <v>0</v>
      </c>
      <c r="AL62" s="256">
        <f>SUM(AC62:AK62)</f>
        <v>738.61942395278231</v>
      </c>
      <c r="AM62" s="256">
        <f>AA62</f>
        <v>4125.2699999999995</v>
      </c>
      <c r="AN62" s="256">
        <f>SUM(AL62:AM62)</f>
        <v>4863.8894239527817</v>
      </c>
    </row>
    <row r="63" spans="1:42" x14ac:dyDescent="0.2">
      <c r="A63" s="294"/>
      <c r="B63" s="408"/>
      <c r="C63" s="408"/>
      <c r="D63" s="408"/>
      <c r="E63" s="408"/>
      <c r="F63" s="408"/>
      <c r="G63" s="409"/>
      <c r="H63" s="408"/>
      <c r="I63" s="410"/>
      <c r="J63" s="410"/>
      <c r="K63" s="410"/>
      <c r="L63" s="411"/>
      <c r="M63" s="294"/>
      <c r="N63" s="294"/>
      <c r="O63" s="294"/>
      <c r="P63" s="412"/>
      <c r="Q63" s="294"/>
      <c r="R63" s="294"/>
      <c r="S63" s="294"/>
      <c r="T63" s="263"/>
      <c r="U63" s="269"/>
      <c r="V63" s="270"/>
      <c r="W63" s="270"/>
      <c r="X63" s="270"/>
      <c r="Y63" s="412"/>
      <c r="Z63" s="412"/>
      <c r="AA63" s="256"/>
      <c r="AB63" s="294"/>
      <c r="AC63" s="412" t="str">
        <f t="shared" si="15"/>
        <v/>
      </c>
      <c r="AD63" s="412"/>
      <c r="AE63" s="412"/>
      <c r="AF63" s="412"/>
      <c r="AG63" s="192"/>
      <c r="AH63" s="412"/>
      <c r="AI63" s="412"/>
      <c r="AJ63" s="412"/>
      <c r="AK63" s="412"/>
      <c r="AL63" s="256"/>
      <c r="AM63" s="256"/>
      <c r="AN63" s="256"/>
    </row>
    <row r="64" spans="1:42" x14ac:dyDescent="0.2">
      <c r="A64" s="294"/>
      <c r="B64" s="408"/>
      <c r="C64" s="408"/>
      <c r="D64" s="408"/>
      <c r="E64" s="408"/>
      <c r="F64" s="408"/>
      <c r="G64" s="409"/>
      <c r="H64" s="408"/>
      <c r="I64" s="410"/>
      <c r="J64" s="410"/>
      <c r="K64" s="410"/>
      <c r="L64" s="411"/>
      <c r="M64" s="294"/>
      <c r="N64" s="294"/>
      <c r="O64" s="294"/>
      <c r="P64" s="412"/>
      <c r="Q64" s="294"/>
      <c r="R64" s="294"/>
      <c r="S64" s="294"/>
      <c r="T64" s="263"/>
      <c r="U64" s="269"/>
      <c r="V64" s="270"/>
      <c r="W64" s="270"/>
      <c r="X64" s="270"/>
      <c r="Y64" s="412"/>
      <c r="Z64" s="412"/>
      <c r="AA64" s="256"/>
      <c r="AB64" s="294"/>
      <c r="AC64" s="412" t="str">
        <f t="shared" si="15"/>
        <v/>
      </c>
      <c r="AD64" s="412"/>
      <c r="AE64" s="412"/>
      <c r="AF64" s="412"/>
      <c r="AG64" s="192"/>
      <c r="AH64" s="412"/>
      <c r="AI64" s="412"/>
      <c r="AJ64" s="412"/>
      <c r="AK64" s="412"/>
      <c r="AL64" s="256"/>
      <c r="AM64" s="256"/>
      <c r="AN64" s="256"/>
    </row>
    <row r="65" spans="1:40" x14ac:dyDescent="0.2">
      <c r="A65" s="294"/>
      <c r="B65" s="408"/>
      <c r="C65" s="408"/>
      <c r="D65" s="408"/>
      <c r="E65" s="408"/>
      <c r="F65" s="408"/>
      <c r="G65" s="409"/>
      <c r="H65" s="408"/>
      <c r="I65" s="410"/>
      <c r="J65" s="410"/>
      <c r="K65" s="410"/>
      <c r="L65" s="411"/>
      <c r="M65" s="294"/>
      <c r="N65" s="294"/>
      <c r="O65" s="294"/>
      <c r="P65" s="412"/>
      <c r="Q65" s="294"/>
      <c r="R65" s="294"/>
      <c r="S65" s="294"/>
      <c r="T65" s="263"/>
      <c r="U65" s="269"/>
      <c r="V65" s="270"/>
      <c r="W65" s="270"/>
      <c r="X65" s="270"/>
      <c r="Y65" s="412"/>
      <c r="Z65" s="412"/>
      <c r="AA65" s="256"/>
      <c r="AB65" s="294"/>
      <c r="AC65" s="412" t="str">
        <f t="shared" si="15"/>
        <v/>
      </c>
      <c r="AD65" s="412"/>
      <c r="AE65" s="412"/>
      <c r="AF65" s="412"/>
      <c r="AG65" s="192"/>
      <c r="AH65" s="412"/>
      <c r="AI65" s="412"/>
      <c r="AJ65" s="412"/>
      <c r="AK65" s="412"/>
      <c r="AL65" s="256"/>
      <c r="AM65" s="256"/>
      <c r="AN65" s="256"/>
    </row>
    <row r="66" spans="1:40" x14ac:dyDescent="0.2">
      <c r="A66" s="294"/>
      <c r="B66" s="408"/>
      <c r="C66" s="408"/>
      <c r="D66" s="408"/>
      <c r="E66" s="408"/>
      <c r="F66" s="408"/>
      <c r="G66" s="409"/>
      <c r="H66" s="408"/>
      <c r="I66" s="410"/>
      <c r="J66" s="410"/>
      <c r="K66" s="410"/>
      <c r="L66" s="411"/>
      <c r="M66" s="294"/>
      <c r="N66" s="294"/>
      <c r="O66" s="294"/>
      <c r="P66" s="412"/>
      <c r="Q66" s="294"/>
      <c r="R66" s="294"/>
      <c r="S66" s="294"/>
      <c r="T66" s="263"/>
      <c r="U66" s="269"/>
      <c r="V66" s="270"/>
      <c r="W66" s="270"/>
      <c r="X66" s="270"/>
      <c r="Y66" s="412"/>
      <c r="Z66" s="412"/>
      <c r="AA66" s="256"/>
      <c r="AB66" s="294"/>
      <c r="AC66" s="412" t="str">
        <f t="shared" si="15"/>
        <v/>
      </c>
      <c r="AD66" s="412"/>
      <c r="AE66" s="412"/>
      <c r="AF66" s="412"/>
      <c r="AG66" s="192"/>
      <c r="AH66" s="412"/>
      <c r="AI66" s="412"/>
      <c r="AJ66" s="412"/>
      <c r="AK66" s="412"/>
      <c r="AL66" s="256"/>
      <c r="AM66" s="256"/>
      <c r="AN66" s="256"/>
    </row>
    <row r="67" spans="1:40" x14ac:dyDescent="0.2">
      <c r="A67" s="294"/>
      <c r="B67" s="408"/>
      <c r="C67" s="408"/>
      <c r="D67" s="408"/>
      <c r="E67" s="408"/>
      <c r="F67" s="408"/>
      <c r="G67" s="408"/>
      <c r="H67" s="408"/>
      <c r="I67" s="410"/>
      <c r="J67" s="410"/>
      <c r="K67" s="410"/>
      <c r="L67" s="411"/>
      <c r="M67" s="294"/>
      <c r="N67" s="294"/>
      <c r="O67" s="294"/>
      <c r="P67" s="412"/>
      <c r="Q67" s="294"/>
      <c r="R67" s="294"/>
      <c r="S67" s="294"/>
      <c r="T67" s="263"/>
      <c r="U67" s="269"/>
      <c r="V67" s="270"/>
      <c r="W67" s="270"/>
      <c r="X67" s="270"/>
      <c r="Y67" s="412"/>
      <c r="Z67" s="412"/>
      <c r="AA67" s="256"/>
      <c r="AB67" s="294"/>
      <c r="AC67" s="412" t="str">
        <f t="shared" si="15"/>
        <v/>
      </c>
      <c r="AD67" s="412"/>
      <c r="AE67" s="412"/>
      <c r="AF67" s="412"/>
      <c r="AG67" s="192"/>
      <c r="AH67" s="412"/>
      <c r="AI67" s="412"/>
      <c r="AJ67" s="412"/>
      <c r="AK67" s="412"/>
      <c r="AL67" s="256"/>
      <c r="AM67" s="256"/>
      <c r="AN67" s="256"/>
    </row>
    <row r="68" spans="1:40" x14ac:dyDescent="0.2">
      <c r="A68" s="294"/>
      <c r="B68" s="408"/>
      <c r="C68" s="408"/>
      <c r="D68" s="408"/>
      <c r="E68" s="408"/>
      <c r="F68" s="408"/>
      <c r="G68" s="408"/>
      <c r="H68" s="408"/>
      <c r="I68" s="410"/>
      <c r="J68" s="410"/>
      <c r="K68" s="410"/>
      <c r="L68" s="411"/>
      <c r="M68" s="294"/>
      <c r="N68" s="294"/>
      <c r="O68" s="294"/>
      <c r="P68" s="412"/>
      <c r="Q68" s="294"/>
      <c r="R68" s="294"/>
      <c r="S68" s="294"/>
      <c r="T68" s="263"/>
      <c r="U68" s="269"/>
      <c r="V68" s="270"/>
      <c r="W68" s="270"/>
      <c r="X68" s="270"/>
      <c r="Y68" s="412"/>
      <c r="Z68" s="412"/>
      <c r="AA68" s="256"/>
      <c r="AB68" s="294"/>
      <c r="AC68" s="412" t="str">
        <f t="shared" si="15"/>
        <v/>
      </c>
      <c r="AD68" s="412"/>
      <c r="AE68" s="412"/>
      <c r="AF68" s="412"/>
      <c r="AG68" s="192"/>
      <c r="AH68" s="412"/>
      <c r="AI68" s="412"/>
      <c r="AJ68" s="412"/>
      <c r="AK68" s="412"/>
      <c r="AL68" s="256"/>
      <c r="AM68" s="256"/>
      <c r="AN68" s="256"/>
    </row>
    <row r="69" spans="1:40" x14ac:dyDescent="0.2">
      <c r="A69" s="294"/>
      <c r="B69" s="408"/>
      <c r="C69" s="408"/>
      <c r="D69" s="408"/>
      <c r="E69" s="408"/>
      <c r="F69" s="408"/>
      <c r="G69" s="408"/>
      <c r="H69" s="408"/>
      <c r="I69" s="410"/>
      <c r="J69" s="410"/>
      <c r="K69" s="410"/>
      <c r="L69" s="411"/>
      <c r="M69" s="294"/>
      <c r="N69" s="294"/>
      <c r="O69" s="294"/>
      <c r="P69" s="412"/>
      <c r="Q69" s="294"/>
      <c r="R69" s="294"/>
      <c r="S69" s="294"/>
      <c r="T69" s="263"/>
      <c r="U69" s="269"/>
      <c r="V69" s="270"/>
      <c r="W69" s="270"/>
      <c r="X69" s="270"/>
      <c r="Y69" s="412"/>
      <c r="Z69" s="412"/>
      <c r="AA69" s="256"/>
      <c r="AB69" s="294"/>
      <c r="AC69" s="412" t="str">
        <f t="shared" si="15"/>
        <v/>
      </c>
      <c r="AD69" s="412"/>
      <c r="AE69" s="412"/>
      <c r="AF69" s="412"/>
      <c r="AG69" s="192"/>
      <c r="AH69" s="412"/>
      <c r="AI69" s="412"/>
      <c r="AJ69" s="412"/>
      <c r="AK69" s="412"/>
      <c r="AL69" s="256"/>
      <c r="AM69" s="256"/>
      <c r="AN69" s="256"/>
    </row>
    <row r="70" spans="1:40" x14ac:dyDescent="0.2">
      <c r="A70" s="294"/>
      <c r="B70" s="408"/>
      <c r="C70" s="408"/>
      <c r="D70" s="408"/>
      <c r="E70" s="408"/>
      <c r="F70" s="408"/>
      <c r="G70" s="408"/>
      <c r="H70" s="408"/>
      <c r="I70" s="410"/>
      <c r="J70" s="410"/>
      <c r="K70" s="410"/>
      <c r="L70" s="411"/>
      <c r="M70" s="294"/>
      <c r="N70" s="294"/>
      <c r="O70" s="294"/>
      <c r="P70" s="412"/>
      <c r="Q70" s="294"/>
      <c r="R70" s="294"/>
      <c r="S70" s="294"/>
      <c r="T70" s="263"/>
      <c r="U70" s="269"/>
      <c r="V70" s="270"/>
      <c r="W70" s="270"/>
      <c r="X70" s="270"/>
      <c r="Y70" s="412"/>
      <c r="Z70" s="412"/>
      <c r="AA70" s="256"/>
      <c r="AB70" s="294"/>
      <c r="AC70" s="412" t="str">
        <f t="shared" si="15"/>
        <v/>
      </c>
      <c r="AD70" s="412"/>
      <c r="AE70" s="412"/>
      <c r="AF70" s="412"/>
      <c r="AG70" s="192"/>
      <c r="AH70" s="412"/>
      <c r="AI70" s="412"/>
      <c r="AJ70" s="412"/>
      <c r="AK70" s="412"/>
      <c r="AL70" s="256"/>
      <c r="AM70" s="256"/>
      <c r="AN70" s="256"/>
    </row>
    <row r="71" spans="1:40" x14ac:dyDescent="0.2">
      <c r="A71" s="294"/>
      <c r="B71" s="408"/>
      <c r="C71" s="408"/>
      <c r="D71" s="408"/>
      <c r="E71" s="408"/>
      <c r="F71" s="408"/>
      <c r="G71" s="408"/>
      <c r="H71" s="408"/>
      <c r="I71" s="410"/>
      <c r="J71" s="410"/>
      <c r="K71" s="410"/>
      <c r="L71" s="411"/>
      <c r="M71" s="294"/>
      <c r="N71" s="294"/>
      <c r="O71" s="294"/>
      <c r="P71" s="412"/>
      <c r="Q71" s="294"/>
      <c r="R71" s="294"/>
      <c r="S71" s="294"/>
      <c r="T71" s="263"/>
      <c r="U71" s="269"/>
      <c r="V71" s="270"/>
      <c r="W71" s="270"/>
      <c r="X71" s="270"/>
      <c r="Y71" s="412"/>
      <c r="Z71" s="412"/>
      <c r="AA71" s="256"/>
      <c r="AB71" s="294"/>
      <c r="AC71" s="412" t="str">
        <f t="shared" si="15"/>
        <v/>
      </c>
      <c r="AD71" s="412"/>
      <c r="AE71" s="412"/>
      <c r="AF71" s="412"/>
      <c r="AG71" s="192"/>
      <c r="AH71" s="412"/>
      <c r="AI71" s="412"/>
      <c r="AJ71" s="412"/>
      <c r="AK71" s="412"/>
      <c r="AL71" s="256"/>
      <c r="AM71" s="256"/>
      <c r="AN71" s="256"/>
    </row>
    <row r="72" spans="1:40" x14ac:dyDescent="0.2">
      <c r="A72" s="294"/>
      <c r="B72" s="408"/>
      <c r="C72" s="408"/>
      <c r="D72" s="408"/>
      <c r="E72" s="408"/>
      <c r="F72" s="408"/>
      <c r="G72" s="408"/>
      <c r="H72" s="408"/>
      <c r="I72" s="410"/>
      <c r="J72" s="410"/>
      <c r="K72" s="410"/>
      <c r="L72" s="411"/>
      <c r="M72" s="294"/>
      <c r="N72" s="294"/>
      <c r="O72" s="294"/>
      <c r="P72" s="412"/>
      <c r="Q72" s="294"/>
      <c r="R72" s="294"/>
      <c r="S72" s="294"/>
      <c r="T72" s="263"/>
      <c r="U72" s="269"/>
      <c r="V72" s="270"/>
      <c r="W72" s="270"/>
      <c r="X72" s="270"/>
      <c r="Y72" s="412"/>
      <c r="Z72" s="412"/>
      <c r="AA72" s="256"/>
      <c r="AB72" s="294"/>
      <c r="AC72" s="412" t="str">
        <f t="shared" ref="AC72:AC117" si="64">IF(AND(M72=1,P72&lt;&gt;"N"),$AC$1,"")</f>
        <v/>
      </c>
      <c r="AD72" s="412"/>
      <c r="AE72" s="412"/>
      <c r="AF72" s="412"/>
      <c r="AG72" s="192"/>
      <c r="AH72" s="412"/>
      <c r="AI72" s="412"/>
      <c r="AJ72" s="412"/>
      <c r="AK72" s="412"/>
      <c r="AL72" s="256"/>
      <c r="AM72" s="256"/>
      <c r="AN72" s="256"/>
    </row>
    <row r="73" spans="1:40" x14ac:dyDescent="0.2">
      <c r="A73" s="294"/>
      <c r="B73" s="408"/>
      <c r="C73" s="408"/>
      <c r="D73" s="408"/>
      <c r="E73" s="408"/>
      <c r="F73" s="408"/>
      <c r="G73" s="408"/>
      <c r="H73" s="408"/>
      <c r="I73" s="410"/>
      <c r="J73" s="410"/>
      <c r="K73" s="410"/>
      <c r="L73" s="411"/>
      <c r="M73" s="294"/>
      <c r="N73" s="294"/>
      <c r="O73" s="294"/>
      <c r="P73" s="412"/>
      <c r="Q73" s="294"/>
      <c r="R73" s="294"/>
      <c r="S73" s="294"/>
      <c r="T73" s="263"/>
      <c r="U73" s="269"/>
      <c r="V73" s="270"/>
      <c r="W73" s="270"/>
      <c r="X73" s="270"/>
      <c r="Y73" s="412"/>
      <c r="Z73" s="412"/>
      <c r="AA73" s="256"/>
      <c r="AB73" s="294"/>
      <c r="AC73" s="412" t="str">
        <f t="shared" si="64"/>
        <v/>
      </c>
      <c r="AD73" s="412"/>
      <c r="AE73" s="412"/>
      <c r="AF73" s="412"/>
      <c r="AG73" s="192"/>
      <c r="AH73" s="412"/>
      <c r="AI73" s="412"/>
      <c r="AJ73" s="412"/>
      <c r="AK73" s="412"/>
      <c r="AL73" s="256"/>
      <c r="AM73" s="256"/>
      <c r="AN73" s="256"/>
    </row>
    <row r="74" spans="1:40" x14ac:dyDescent="0.2">
      <c r="A74" s="294"/>
      <c r="B74" s="408"/>
      <c r="C74" s="408"/>
      <c r="D74" s="408"/>
      <c r="E74" s="408"/>
      <c r="F74" s="408"/>
      <c r="G74" s="408"/>
      <c r="H74" s="408"/>
      <c r="I74" s="410"/>
      <c r="J74" s="410"/>
      <c r="K74" s="410"/>
      <c r="L74" s="411"/>
      <c r="M74" s="294"/>
      <c r="N74" s="294"/>
      <c r="O74" s="294"/>
      <c r="P74" s="412"/>
      <c r="Q74" s="294"/>
      <c r="R74" s="294"/>
      <c r="S74" s="294"/>
      <c r="T74" s="263"/>
      <c r="U74" s="269"/>
      <c r="V74" s="270"/>
      <c r="W74" s="270"/>
      <c r="X74" s="270"/>
      <c r="Y74" s="412"/>
      <c r="Z74" s="412"/>
      <c r="AA74" s="256"/>
      <c r="AB74" s="294"/>
      <c r="AC74" s="412" t="str">
        <f t="shared" si="64"/>
        <v/>
      </c>
      <c r="AD74" s="412"/>
      <c r="AE74" s="412"/>
      <c r="AF74" s="412"/>
      <c r="AG74" s="192"/>
      <c r="AH74" s="412"/>
      <c r="AI74" s="412"/>
      <c r="AJ74" s="412"/>
      <c r="AK74" s="412"/>
      <c r="AL74" s="256"/>
      <c r="AM74" s="256"/>
      <c r="AN74" s="256"/>
    </row>
    <row r="75" spans="1:40" x14ac:dyDescent="0.2">
      <c r="A75" s="294"/>
      <c r="B75" s="408"/>
      <c r="C75" s="408"/>
      <c r="D75" s="408"/>
      <c r="E75" s="408"/>
      <c r="F75" s="408"/>
      <c r="G75" s="408"/>
      <c r="H75" s="408"/>
      <c r="I75" s="410"/>
      <c r="J75" s="410"/>
      <c r="K75" s="410"/>
      <c r="L75" s="411"/>
      <c r="M75" s="294"/>
      <c r="N75" s="294"/>
      <c r="O75" s="294"/>
      <c r="P75" s="412"/>
      <c r="Q75" s="294"/>
      <c r="R75" s="294"/>
      <c r="S75" s="294"/>
      <c r="T75" s="263"/>
      <c r="U75" s="269"/>
      <c r="V75" s="270"/>
      <c r="W75" s="270"/>
      <c r="X75" s="270"/>
      <c r="Y75" s="412"/>
      <c r="Z75" s="412"/>
      <c r="AA75" s="256"/>
      <c r="AB75" s="294"/>
      <c r="AC75" s="412" t="str">
        <f t="shared" si="64"/>
        <v/>
      </c>
      <c r="AD75" s="412"/>
      <c r="AE75" s="412"/>
      <c r="AF75" s="412"/>
      <c r="AG75" s="192"/>
      <c r="AH75" s="412"/>
      <c r="AI75" s="412"/>
      <c r="AJ75" s="412"/>
      <c r="AK75" s="412"/>
      <c r="AL75" s="256"/>
      <c r="AM75" s="256"/>
      <c r="AN75" s="256"/>
    </row>
    <row r="76" spans="1:40" x14ac:dyDescent="0.2">
      <c r="A76" s="294"/>
      <c r="B76" s="408"/>
      <c r="C76" s="408"/>
      <c r="D76" s="408"/>
      <c r="E76" s="408"/>
      <c r="F76" s="408"/>
      <c r="G76" s="408"/>
      <c r="H76" s="408"/>
      <c r="I76" s="410"/>
      <c r="J76" s="410"/>
      <c r="K76" s="410"/>
      <c r="L76" s="411"/>
      <c r="M76" s="294"/>
      <c r="N76" s="294"/>
      <c r="O76" s="294"/>
      <c r="P76" s="412"/>
      <c r="Q76" s="294"/>
      <c r="R76" s="294"/>
      <c r="S76" s="294"/>
      <c r="T76" s="263"/>
      <c r="U76" s="269"/>
      <c r="V76" s="270"/>
      <c r="W76" s="270"/>
      <c r="X76" s="270"/>
      <c r="Y76" s="412"/>
      <c r="Z76" s="412"/>
      <c r="AA76" s="256"/>
      <c r="AB76" s="294"/>
      <c r="AC76" s="412" t="str">
        <f t="shared" si="64"/>
        <v/>
      </c>
      <c r="AD76" s="412"/>
      <c r="AE76" s="412"/>
      <c r="AF76" s="412"/>
      <c r="AG76" s="192"/>
      <c r="AH76" s="412"/>
      <c r="AI76" s="412"/>
      <c r="AJ76" s="412"/>
      <c r="AK76" s="412"/>
      <c r="AL76" s="256"/>
      <c r="AM76" s="256"/>
      <c r="AN76" s="256"/>
    </row>
    <row r="77" spans="1:40" x14ac:dyDescent="0.2">
      <c r="A77" s="294"/>
      <c r="B77" s="408"/>
      <c r="C77" s="408"/>
      <c r="D77" s="408"/>
      <c r="E77" s="408"/>
      <c r="F77" s="408"/>
      <c r="G77" s="408"/>
      <c r="H77" s="408"/>
      <c r="I77" s="410"/>
      <c r="J77" s="410"/>
      <c r="K77" s="410"/>
      <c r="L77" s="411"/>
      <c r="M77" s="294"/>
      <c r="N77" s="294"/>
      <c r="O77" s="294"/>
      <c r="P77" s="412"/>
      <c r="Q77" s="294"/>
      <c r="R77" s="294"/>
      <c r="S77" s="294"/>
      <c r="T77" s="263"/>
      <c r="U77" s="269"/>
      <c r="V77" s="270"/>
      <c r="W77" s="270"/>
      <c r="X77" s="270"/>
      <c r="Y77" s="412"/>
      <c r="Z77" s="412"/>
      <c r="AA77" s="256"/>
      <c r="AB77" s="294"/>
      <c r="AC77" s="412" t="str">
        <f t="shared" si="64"/>
        <v/>
      </c>
      <c r="AD77" s="412"/>
      <c r="AE77" s="412"/>
      <c r="AF77" s="412"/>
      <c r="AG77" s="192"/>
      <c r="AH77" s="412"/>
      <c r="AI77" s="412"/>
      <c r="AJ77" s="412"/>
      <c r="AK77" s="412"/>
      <c r="AL77" s="256"/>
      <c r="AM77" s="256"/>
      <c r="AN77" s="256"/>
    </row>
    <row r="78" spans="1:40" x14ac:dyDescent="0.2">
      <c r="A78" s="294"/>
      <c r="B78" s="408"/>
      <c r="C78" s="408"/>
      <c r="D78" s="408"/>
      <c r="E78" s="408"/>
      <c r="F78" s="408"/>
      <c r="G78" s="408"/>
      <c r="H78" s="408"/>
      <c r="I78" s="410"/>
      <c r="J78" s="410"/>
      <c r="K78" s="410"/>
      <c r="L78" s="411"/>
      <c r="M78" s="294"/>
      <c r="N78" s="294"/>
      <c r="O78" s="294"/>
      <c r="P78" s="412"/>
      <c r="Q78" s="294"/>
      <c r="R78" s="294"/>
      <c r="S78" s="294"/>
      <c r="T78" s="263"/>
      <c r="U78" s="269"/>
      <c r="V78" s="270"/>
      <c r="W78" s="270"/>
      <c r="X78" s="270"/>
      <c r="Y78" s="412"/>
      <c r="Z78" s="412"/>
      <c r="AA78" s="256"/>
      <c r="AB78" s="294"/>
      <c r="AC78" s="412" t="str">
        <f t="shared" si="64"/>
        <v/>
      </c>
      <c r="AD78" s="412"/>
      <c r="AE78" s="412"/>
      <c r="AF78" s="412"/>
      <c r="AG78" s="192"/>
      <c r="AH78" s="412"/>
      <c r="AI78" s="412"/>
      <c r="AJ78" s="412"/>
      <c r="AK78" s="412"/>
      <c r="AL78" s="256"/>
      <c r="AM78" s="256"/>
      <c r="AN78" s="256"/>
    </row>
    <row r="79" spans="1:40" x14ac:dyDescent="0.2">
      <c r="A79" s="294"/>
      <c r="B79" s="408"/>
      <c r="C79" s="408"/>
      <c r="D79" s="408"/>
      <c r="E79" s="408"/>
      <c r="F79" s="408"/>
      <c r="G79" s="408"/>
      <c r="H79" s="408"/>
      <c r="I79" s="410"/>
      <c r="J79" s="410"/>
      <c r="K79" s="410"/>
      <c r="L79" s="411"/>
      <c r="M79" s="294"/>
      <c r="N79" s="294"/>
      <c r="O79" s="294"/>
      <c r="P79" s="412"/>
      <c r="Q79" s="294"/>
      <c r="R79" s="294"/>
      <c r="S79" s="294"/>
      <c r="T79" s="263"/>
      <c r="U79" s="269"/>
      <c r="V79" s="270"/>
      <c r="W79" s="270"/>
      <c r="X79" s="270"/>
      <c r="Y79" s="412"/>
      <c r="Z79" s="412"/>
      <c r="AA79" s="256"/>
      <c r="AB79" s="294"/>
      <c r="AC79" s="412" t="str">
        <f t="shared" si="64"/>
        <v/>
      </c>
      <c r="AD79" s="412"/>
      <c r="AE79" s="412"/>
      <c r="AF79" s="412"/>
      <c r="AG79" s="192"/>
      <c r="AH79" s="412"/>
      <c r="AI79" s="412"/>
      <c r="AJ79" s="412"/>
      <c r="AK79" s="412"/>
      <c r="AL79" s="256"/>
      <c r="AM79" s="256"/>
      <c r="AN79" s="256"/>
    </row>
    <row r="80" spans="1:40" x14ac:dyDescent="0.2">
      <c r="A80" s="294"/>
      <c r="B80" s="408"/>
      <c r="C80" s="408"/>
      <c r="D80" s="408"/>
      <c r="E80" s="408"/>
      <c r="F80" s="408"/>
      <c r="G80" s="408"/>
      <c r="H80" s="408"/>
      <c r="I80" s="410"/>
      <c r="J80" s="410"/>
      <c r="K80" s="410"/>
      <c r="L80" s="411"/>
      <c r="M80" s="294"/>
      <c r="N80" s="294"/>
      <c r="O80" s="294"/>
      <c r="P80" s="412"/>
      <c r="Q80" s="294"/>
      <c r="R80" s="294"/>
      <c r="S80" s="294"/>
      <c r="T80" s="263"/>
      <c r="U80" s="269"/>
      <c r="V80" s="270"/>
      <c r="W80" s="270"/>
      <c r="X80" s="270"/>
      <c r="Y80" s="412"/>
      <c r="Z80" s="412"/>
      <c r="AA80" s="256"/>
      <c r="AB80" s="294"/>
      <c r="AC80" s="412" t="str">
        <f t="shared" si="64"/>
        <v/>
      </c>
      <c r="AD80" s="412"/>
      <c r="AE80" s="412"/>
      <c r="AF80" s="412"/>
      <c r="AG80" s="192"/>
      <c r="AH80" s="412"/>
      <c r="AI80" s="412"/>
      <c r="AJ80" s="412"/>
      <c r="AK80" s="412"/>
      <c r="AL80" s="256"/>
      <c r="AM80" s="256"/>
      <c r="AN80" s="256"/>
    </row>
    <row r="81" spans="1:40" x14ac:dyDescent="0.2">
      <c r="A81" s="294"/>
      <c r="B81" s="408"/>
      <c r="C81" s="408"/>
      <c r="D81" s="408"/>
      <c r="E81" s="408"/>
      <c r="F81" s="408"/>
      <c r="G81" s="408"/>
      <c r="H81" s="408"/>
      <c r="I81" s="410"/>
      <c r="J81" s="410"/>
      <c r="K81" s="410"/>
      <c r="L81" s="411"/>
      <c r="M81" s="294"/>
      <c r="N81" s="294"/>
      <c r="O81" s="294"/>
      <c r="P81" s="412"/>
      <c r="Q81" s="294"/>
      <c r="R81" s="294"/>
      <c r="S81" s="294"/>
      <c r="T81" s="263"/>
      <c r="U81" s="269"/>
      <c r="V81" s="270"/>
      <c r="W81" s="270"/>
      <c r="X81" s="270"/>
      <c r="Y81" s="412"/>
      <c r="Z81" s="412"/>
      <c r="AA81" s="256"/>
      <c r="AB81" s="294"/>
      <c r="AC81" s="412" t="str">
        <f t="shared" si="64"/>
        <v/>
      </c>
      <c r="AD81" s="412"/>
      <c r="AE81" s="412"/>
      <c r="AF81" s="412"/>
      <c r="AG81" s="192"/>
      <c r="AH81" s="412"/>
      <c r="AI81" s="412"/>
      <c r="AJ81" s="412"/>
      <c r="AK81" s="412"/>
      <c r="AL81" s="256"/>
      <c r="AM81" s="256"/>
      <c r="AN81" s="256"/>
    </row>
    <row r="82" spans="1:40" x14ac:dyDescent="0.2">
      <c r="A82" s="294"/>
      <c r="B82" s="408"/>
      <c r="C82" s="408"/>
      <c r="D82" s="408"/>
      <c r="E82" s="408"/>
      <c r="F82" s="408"/>
      <c r="G82" s="408"/>
      <c r="H82" s="408"/>
      <c r="I82" s="410"/>
      <c r="J82" s="410"/>
      <c r="K82" s="410"/>
      <c r="L82" s="411"/>
      <c r="M82" s="294"/>
      <c r="N82" s="294"/>
      <c r="O82" s="294"/>
      <c r="P82" s="412"/>
      <c r="Q82" s="294"/>
      <c r="R82" s="294"/>
      <c r="S82" s="294"/>
      <c r="T82" s="263"/>
      <c r="U82" s="269"/>
      <c r="V82" s="270"/>
      <c r="W82" s="270"/>
      <c r="X82" s="270"/>
      <c r="Y82" s="412"/>
      <c r="Z82" s="412"/>
      <c r="AA82" s="256"/>
      <c r="AB82" s="294"/>
      <c r="AC82" s="412" t="str">
        <f t="shared" si="64"/>
        <v/>
      </c>
      <c r="AD82" s="412"/>
      <c r="AE82" s="412"/>
      <c r="AF82" s="412"/>
      <c r="AG82" s="192"/>
      <c r="AH82" s="412"/>
      <c r="AI82" s="412"/>
      <c r="AJ82" s="412"/>
      <c r="AK82" s="412"/>
      <c r="AL82" s="256"/>
      <c r="AM82" s="256"/>
      <c r="AN82" s="256"/>
    </row>
    <row r="83" spans="1:40" x14ac:dyDescent="0.2">
      <c r="A83" s="294"/>
      <c r="B83" s="408"/>
      <c r="C83" s="408"/>
      <c r="D83" s="408"/>
      <c r="E83" s="408"/>
      <c r="F83" s="408"/>
      <c r="G83" s="408"/>
      <c r="H83" s="408"/>
      <c r="I83" s="410"/>
      <c r="J83" s="410"/>
      <c r="K83" s="410"/>
      <c r="L83" s="411"/>
      <c r="M83" s="294"/>
      <c r="N83" s="294"/>
      <c r="O83" s="294"/>
      <c r="P83" s="412"/>
      <c r="Q83" s="294"/>
      <c r="R83" s="294"/>
      <c r="S83" s="294"/>
      <c r="T83" s="263"/>
      <c r="U83" s="269"/>
      <c r="V83" s="270"/>
      <c r="W83" s="270"/>
      <c r="X83" s="270"/>
      <c r="Y83" s="412"/>
      <c r="Z83" s="412"/>
      <c r="AA83" s="256"/>
      <c r="AB83" s="294"/>
      <c r="AC83" s="412" t="str">
        <f t="shared" si="64"/>
        <v/>
      </c>
      <c r="AD83" s="412"/>
      <c r="AE83" s="412"/>
      <c r="AF83" s="412"/>
      <c r="AG83" s="192"/>
      <c r="AH83" s="412"/>
      <c r="AI83" s="412"/>
      <c r="AJ83" s="412"/>
      <c r="AK83" s="412"/>
      <c r="AL83" s="256"/>
      <c r="AM83" s="256"/>
      <c r="AN83" s="256"/>
    </row>
    <row r="84" spans="1:40" x14ac:dyDescent="0.2">
      <c r="A84" s="294"/>
      <c r="B84" s="408"/>
      <c r="C84" s="408"/>
      <c r="D84" s="408"/>
      <c r="E84" s="408"/>
      <c r="F84" s="408"/>
      <c r="G84" s="408"/>
      <c r="H84" s="408"/>
      <c r="I84" s="410"/>
      <c r="J84" s="410"/>
      <c r="K84" s="410"/>
      <c r="L84" s="411"/>
      <c r="M84" s="294"/>
      <c r="N84" s="294"/>
      <c r="O84" s="294"/>
      <c r="P84" s="412"/>
      <c r="Q84" s="294"/>
      <c r="R84" s="294"/>
      <c r="S84" s="294"/>
      <c r="T84" s="263"/>
      <c r="U84" s="269"/>
      <c r="V84" s="270"/>
      <c r="W84" s="270"/>
      <c r="X84" s="270"/>
      <c r="Y84" s="412"/>
      <c r="Z84" s="412"/>
      <c r="AA84" s="256"/>
      <c r="AB84" s="294"/>
      <c r="AC84" s="412" t="str">
        <f t="shared" si="64"/>
        <v/>
      </c>
      <c r="AD84" s="412"/>
      <c r="AE84" s="412"/>
      <c r="AF84" s="412"/>
      <c r="AG84" s="192"/>
      <c r="AH84" s="412"/>
      <c r="AI84" s="412"/>
      <c r="AJ84" s="412"/>
      <c r="AK84" s="412"/>
      <c r="AL84" s="256"/>
      <c r="AM84" s="256"/>
      <c r="AN84" s="256"/>
    </row>
    <row r="85" spans="1:40" x14ac:dyDescent="0.2">
      <c r="A85" s="294"/>
      <c r="B85" s="408"/>
      <c r="C85" s="408"/>
      <c r="D85" s="408"/>
      <c r="E85" s="408"/>
      <c r="F85" s="408"/>
      <c r="G85" s="408"/>
      <c r="H85" s="408"/>
      <c r="I85" s="410"/>
      <c r="J85" s="410"/>
      <c r="K85" s="410"/>
      <c r="L85" s="411"/>
      <c r="M85" s="294"/>
      <c r="N85" s="294"/>
      <c r="O85" s="294"/>
      <c r="P85" s="412"/>
      <c r="Q85" s="294"/>
      <c r="R85" s="294"/>
      <c r="S85" s="294"/>
      <c r="T85" s="263"/>
      <c r="U85" s="269"/>
      <c r="V85" s="270"/>
      <c r="W85" s="270"/>
      <c r="X85" s="270"/>
      <c r="Y85" s="412"/>
      <c r="Z85" s="412"/>
      <c r="AA85" s="256"/>
      <c r="AB85" s="294"/>
      <c r="AC85" s="412" t="str">
        <f t="shared" si="64"/>
        <v/>
      </c>
      <c r="AD85" s="412"/>
      <c r="AE85" s="412"/>
      <c r="AF85" s="412"/>
      <c r="AG85" s="192"/>
      <c r="AH85" s="412"/>
      <c r="AI85" s="412"/>
      <c r="AJ85" s="412"/>
      <c r="AK85" s="412"/>
      <c r="AL85" s="256"/>
      <c r="AM85" s="256"/>
      <c r="AN85" s="256"/>
    </row>
    <row r="86" spans="1:40" x14ac:dyDescent="0.2">
      <c r="A86" s="294"/>
      <c r="B86" s="408"/>
      <c r="C86" s="408"/>
      <c r="D86" s="408"/>
      <c r="E86" s="408"/>
      <c r="F86" s="408"/>
      <c r="G86" s="408"/>
      <c r="H86" s="408"/>
      <c r="I86" s="410"/>
      <c r="J86" s="410"/>
      <c r="K86" s="410"/>
      <c r="L86" s="411"/>
      <c r="M86" s="294"/>
      <c r="N86" s="294"/>
      <c r="O86" s="294"/>
      <c r="P86" s="412"/>
      <c r="Q86" s="294"/>
      <c r="R86" s="294"/>
      <c r="S86" s="294"/>
      <c r="T86" s="263"/>
      <c r="U86" s="269"/>
      <c r="V86" s="270"/>
      <c r="W86" s="270"/>
      <c r="X86" s="270"/>
      <c r="Y86" s="412"/>
      <c r="Z86" s="412"/>
      <c r="AA86" s="256"/>
      <c r="AB86" s="294"/>
      <c r="AC86" s="412" t="str">
        <f t="shared" si="64"/>
        <v/>
      </c>
      <c r="AD86" s="412"/>
      <c r="AE86" s="412"/>
      <c r="AF86" s="412"/>
      <c r="AG86" s="192"/>
      <c r="AH86" s="412"/>
      <c r="AI86" s="412"/>
      <c r="AJ86" s="412"/>
      <c r="AK86" s="412"/>
      <c r="AL86" s="256"/>
      <c r="AM86" s="256"/>
      <c r="AN86" s="256"/>
    </row>
    <row r="87" spans="1:40" x14ac:dyDescent="0.2">
      <c r="A87" s="294"/>
      <c r="B87" s="408"/>
      <c r="C87" s="408"/>
      <c r="D87" s="408"/>
      <c r="E87" s="408"/>
      <c r="F87" s="408"/>
      <c r="G87" s="408"/>
      <c r="H87" s="408"/>
      <c r="I87" s="410"/>
      <c r="J87" s="410"/>
      <c r="K87" s="410"/>
      <c r="L87" s="411"/>
      <c r="M87" s="294"/>
      <c r="N87" s="294"/>
      <c r="O87" s="294"/>
      <c r="P87" s="412"/>
      <c r="Q87" s="294"/>
      <c r="R87" s="294"/>
      <c r="S87" s="294"/>
      <c r="T87" s="263"/>
      <c r="U87" s="269"/>
      <c r="V87" s="270"/>
      <c r="W87" s="270"/>
      <c r="X87" s="270"/>
      <c r="Y87" s="412"/>
      <c r="Z87" s="412"/>
      <c r="AA87" s="256"/>
      <c r="AB87" s="294"/>
      <c r="AC87" s="412" t="str">
        <f t="shared" si="64"/>
        <v/>
      </c>
      <c r="AD87" s="412"/>
      <c r="AE87" s="412"/>
      <c r="AF87" s="412"/>
      <c r="AG87" s="192"/>
      <c r="AH87" s="412"/>
      <c r="AI87" s="412"/>
      <c r="AJ87" s="412"/>
      <c r="AK87" s="412"/>
      <c r="AL87" s="256"/>
      <c r="AM87" s="256"/>
      <c r="AN87" s="256"/>
    </row>
    <row r="88" spans="1:40" x14ac:dyDescent="0.2">
      <c r="A88" s="294"/>
      <c r="B88" s="408"/>
      <c r="C88" s="408"/>
      <c r="D88" s="408"/>
      <c r="E88" s="408"/>
      <c r="F88" s="408"/>
      <c r="G88" s="408"/>
      <c r="H88" s="408"/>
      <c r="I88" s="410"/>
      <c r="J88" s="410"/>
      <c r="K88" s="410"/>
      <c r="L88" s="411"/>
      <c r="M88" s="294"/>
      <c r="N88" s="294"/>
      <c r="O88" s="294"/>
      <c r="P88" s="412"/>
      <c r="Q88" s="294"/>
      <c r="R88" s="294"/>
      <c r="S88" s="294"/>
      <c r="T88" s="263"/>
      <c r="U88" s="269"/>
      <c r="V88" s="270"/>
      <c r="W88" s="270"/>
      <c r="X88" s="270"/>
      <c r="Y88" s="412"/>
      <c r="Z88" s="412"/>
      <c r="AA88" s="256"/>
      <c r="AB88" s="294"/>
      <c r="AC88" s="412" t="str">
        <f t="shared" si="64"/>
        <v/>
      </c>
      <c r="AD88" s="412"/>
      <c r="AE88" s="412"/>
      <c r="AF88" s="412"/>
      <c r="AG88" s="192"/>
      <c r="AH88" s="412"/>
      <c r="AI88" s="412"/>
      <c r="AJ88" s="412"/>
      <c r="AK88" s="412"/>
      <c r="AL88" s="256"/>
      <c r="AM88" s="256"/>
      <c r="AN88" s="256"/>
    </row>
    <row r="89" spans="1:40" x14ac:dyDescent="0.2">
      <c r="A89" s="294"/>
      <c r="B89" s="408"/>
      <c r="C89" s="408"/>
      <c r="D89" s="408"/>
      <c r="E89" s="408"/>
      <c r="F89" s="408"/>
      <c r="G89" s="408"/>
      <c r="H89" s="408"/>
      <c r="I89" s="410"/>
      <c r="J89" s="410"/>
      <c r="K89" s="410"/>
      <c r="L89" s="411"/>
      <c r="M89" s="294"/>
      <c r="N89" s="294"/>
      <c r="O89" s="294"/>
      <c r="P89" s="412"/>
      <c r="Q89" s="294"/>
      <c r="R89" s="294"/>
      <c r="S89" s="294"/>
      <c r="T89" s="263"/>
      <c r="U89" s="269"/>
      <c r="V89" s="270"/>
      <c r="W89" s="270"/>
      <c r="X89" s="270"/>
      <c r="Y89" s="412"/>
      <c r="Z89" s="412"/>
      <c r="AA89" s="256"/>
      <c r="AB89" s="294"/>
      <c r="AC89" s="412" t="str">
        <f t="shared" si="64"/>
        <v/>
      </c>
      <c r="AD89" s="412"/>
      <c r="AE89" s="412"/>
      <c r="AF89" s="412"/>
      <c r="AG89" s="192"/>
      <c r="AH89" s="412"/>
      <c r="AI89" s="412"/>
      <c r="AJ89" s="412"/>
      <c r="AK89" s="412"/>
      <c r="AL89" s="256"/>
      <c r="AM89" s="256"/>
      <c r="AN89" s="256"/>
    </row>
    <row r="90" spans="1:40" x14ac:dyDescent="0.2">
      <c r="A90" s="294"/>
      <c r="B90" s="408"/>
      <c r="C90" s="408"/>
      <c r="D90" s="408"/>
      <c r="E90" s="408"/>
      <c r="F90" s="408"/>
      <c r="G90" s="408"/>
      <c r="H90" s="408"/>
      <c r="I90" s="410"/>
      <c r="J90" s="410"/>
      <c r="K90" s="410"/>
      <c r="L90" s="411"/>
      <c r="M90" s="294"/>
      <c r="N90" s="294"/>
      <c r="O90" s="294"/>
      <c r="P90" s="412"/>
      <c r="Q90" s="294"/>
      <c r="R90" s="294"/>
      <c r="S90" s="294"/>
      <c r="T90" s="263"/>
      <c r="U90" s="269"/>
      <c r="V90" s="270"/>
      <c r="W90" s="270"/>
      <c r="X90" s="270"/>
      <c r="Y90" s="412"/>
      <c r="Z90" s="412"/>
      <c r="AA90" s="256"/>
      <c r="AB90" s="294"/>
      <c r="AC90" s="412" t="str">
        <f t="shared" si="64"/>
        <v/>
      </c>
      <c r="AD90" s="412"/>
      <c r="AE90" s="412"/>
      <c r="AF90" s="412"/>
      <c r="AG90" s="192"/>
      <c r="AH90" s="412"/>
      <c r="AI90" s="412"/>
      <c r="AJ90" s="412"/>
      <c r="AK90" s="412"/>
      <c r="AL90" s="256"/>
      <c r="AM90" s="256"/>
      <c r="AN90" s="256"/>
    </row>
    <row r="91" spans="1:40" x14ac:dyDescent="0.2">
      <c r="A91" s="294"/>
      <c r="B91" s="408"/>
      <c r="C91" s="408"/>
      <c r="D91" s="408"/>
      <c r="E91" s="408"/>
      <c r="F91" s="408"/>
      <c r="G91" s="408"/>
      <c r="H91" s="408"/>
      <c r="I91" s="410"/>
      <c r="J91" s="410"/>
      <c r="K91" s="410"/>
      <c r="L91" s="411"/>
      <c r="M91" s="294"/>
      <c r="N91" s="294"/>
      <c r="O91" s="294"/>
      <c r="P91" s="412"/>
      <c r="Q91" s="294"/>
      <c r="R91" s="294"/>
      <c r="S91" s="294"/>
      <c r="T91" s="263"/>
      <c r="U91" s="269"/>
      <c r="V91" s="270"/>
      <c r="W91" s="270"/>
      <c r="X91" s="270"/>
      <c r="Y91" s="412"/>
      <c r="Z91" s="412"/>
      <c r="AA91" s="256"/>
      <c r="AB91" s="294"/>
      <c r="AC91" s="412" t="str">
        <f t="shared" si="64"/>
        <v/>
      </c>
      <c r="AD91" s="412"/>
      <c r="AE91" s="412"/>
      <c r="AF91" s="412"/>
      <c r="AG91" s="192"/>
      <c r="AH91" s="412"/>
      <c r="AI91" s="412"/>
      <c r="AJ91" s="412"/>
      <c r="AK91" s="412"/>
      <c r="AL91" s="256"/>
      <c r="AM91" s="256"/>
      <c r="AN91" s="256"/>
    </row>
    <row r="92" spans="1:40" x14ac:dyDescent="0.2">
      <c r="A92" s="294"/>
      <c r="B92" s="408"/>
      <c r="C92" s="408"/>
      <c r="D92" s="408"/>
      <c r="E92" s="408"/>
      <c r="F92" s="408"/>
      <c r="G92" s="408"/>
      <c r="H92" s="408"/>
      <c r="I92" s="410"/>
      <c r="J92" s="410"/>
      <c r="K92" s="410"/>
      <c r="L92" s="411"/>
      <c r="M92" s="294"/>
      <c r="N92" s="294"/>
      <c r="O92" s="294"/>
      <c r="P92" s="412"/>
      <c r="Q92" s="294"/>
      <c r="R92" s="294"/>
      <c r="S92" s="294"/>
      <c r="T92" s="263"/>
      <c r="U92" s="269"/>
      <c r="V92" s="270" t="str">
        <f>IF($U92="","",$U92*(1+$V$1))</f>
        <v/>
      </c>
      <c r="W92" s="270" t="str">
        <f>+IF(P92="EE",+V92*$W$1,"")</f>
        <v/>
      </c>
      <c r="X92" s="270" t="str">
        <f>_xlfn.IFS(P92="ER",V92,P92="EE",W92,P92="N",V92,P92="","")</f>
        <v/>
      </c>
      <c r="Y92" s="412"/>
      <c r="Z92" s="412"/>
      <c r="AA92" s="256">
        <f>SUM(X92:Z92)</f>
        <v>0</v>
      </c>
      <c r="AB92" s="294"/>
      <c r="AC92" s="412" t="str">
        <f t="shared" si="64"/>
        <v/>
      </c>
      <c r="AD92" s="412" t="str">
        <f>_xlfn.IFS(P92="N",$AD$1*AA92,P92="EE","",P92="ER","",P92="","")</f>
        <v/>
      </c>
      <c r="AE92" s="412" t="str">
        <f>_xlfn.IFS(P92="EE",X92*$AE$1,P92="ER",X92*$AE$2,P92="N","",P92="","")</f>
        <v/>
      </c>
      <c r="AF92" s="412" t="str">
        <f>+IF(AA92&gt;1,AA92*$AF$1,"")</f>
        <v/>
      </c>
      <c r="AG92" s="192">
        <v>0</v>
      </c>
      <c r="AH92" s="412" t="str">
        <f>+IF(AA92&gt;1,AA92*$AH$1,"")</f>
        <v/>
      </c>
      <c r="AI92" s="412"/>
      <c r="AJ92" s="412"/>
      <c r="AK92" s="412"/>
      <c r="AL92" s="256">
        <f>SUM(AC92:AK92)</f>
        <v>0</v>
      </c>
      <c r="AM92" s="256">
        <f>AA92</f>
        <v>0</v>
      </c>
      <c r="AN92" s="256">
        <f>SUM(AL92:AM92)</f>
        <v>0</v>
      </c>
    </row>
    <row r="93" spans="1:40" x14ac:dyDescent="0.2">
      <c r="A93" s="294"/>
      <c r="B93" s="408"/>
      <c r="C93" s="408"/>
      <c r="D93" s="408"/>
      <c r="E93" s="408"/>
      <c r="F93" s="408"/>
      <c r="G93" s="408"/>
      <c r="H93" s="408"/>
      <c r="I93" s="410"/>
      <c r="J93" s="410"/>
      <c r="K93" s="410"/>
      <c r="L93" s="411"/>
      <c r="M93" s="294"/>
      <c r="N93" s="294"/>
      <c r="O93" s="294"/>
      <c r="P93" s="412"/>
      <c r="Q93" s="294"/>
      <c r="R93" s="294"/>
      <c r="S93" s="294"/>
      <c r="T93" s="263"/>
      <c r="U93" s="269"/>
      <c r="V93" s="270" t="str">
        <f>IF($U93="","",$U93*(1+$V$1))</f>
        <v/>
      </c>
      <c r="W93" s="270" t="str">
        <f>+IF(P93="EE",+V93*$W$1,"")</f>
        <v/>
      </c>
      <c r="X93" s="270" t="str">
        <f>_xlfn.IFS(P93="ER",V93,P93="EE",W93,P93="N",V93,P93="","")</f>
        <v/>
      </c>
      <c r="Y93" s="412"/>
      <c r="Z93" s="412"/>
      <c r="AA93" s="256">
        <f>SUM(X93:Z93)</f>
        <v>0</v>
      </c>
      <c r="AB93" s="294"/>
      <c r="AC93" s="412" t="str">
        <f t="shared" si="64"/>
        <v/>
      </c>
      <c r="AD93" s="412" t="str">
        <f>_xlfn.IFS(P93="N",$AD$1*AA93,P93="EE","",P93="ER","",P93="","")</f>
        <v/>
      </c>
      <c r="AE93" s="412" t="str">
        <f>_xlfn.IFS(P93="EE",X93*$AE$1,P93="ER",X93*$AE$2,P93="N","",P93="","")</f>
        <v/>
      </c>
      <c r="AF93" s="412" t="str">
        <f>+IF(AA93&gt;1,AA93*$AF$1,"")</f>
        <v/>
      </c>
      <c r="AG93" s="192">
        <v>0</v>
      </c>
      <c r="AH93" s="412" t="str">
        <f>+IF(AA93&gt;1,AA93*$AH$1,"")</f>
        <v/>
      </c>
      <c r="AI93" s="412"/>
      <c r="AJ93" s="412"/>
      <c r="AK93" s="412"/>
      <c r="AL93" s="256">
        <f>SUM(AC93:AK93)</f>
        <v>0</v>
      </c>
      <c r="AM93" s="256">
        <f>AA93</f>
        <v>0</v>
      </c>
      <c r="AN93" s="256">
        <f>SUM(AL93:AM93)</f>
        <v>0</v>
      </c>
    </row>
    <row r="94" spans="1:40" x14ac:dyDescent="0.2">
      <c r="A94" s="294"/>
      <c r="B94" s="408"/>
      <c r="C94" s="408"/>
      <c r="D94" s="408"/>
      <c r="E94" s="408"/>
      <c r="F94" s="408"/>
      <c r="G94" s="408"/>
      <c r="H94" s="408"/>
      <c r="I94" s="410"/>
      <c r="J94" s="410"/>
      <c r="K94" s="410"/>
      <c r="L94" s="410"/>
      <c r="M94" s="411"/>
      <c r="N94" s="294"/>
      <c r="O94" s="294"/>
      <c r="P94" s="294"/>
      <c r="Q94" s="412"/>
      <c r="R94" s="294"/>
      <c r="S94" s="294"/>
      <c r="T94" s="263"/>
      <c r="U94" s="269"/>
      <c r="V94" s="270"/>
      <c r="W94" s="270" t="str">
        <f t="shared" ref="W94:W95" si="65">+IF(P94="EE",+V94*$W$1,"")</f>
        <v/>
      </c>
      <c r="X94" s="270" t="str">
        <f t="shared" ref="X94:X96" si="66">_xlfn.IFS(P94="ER",V94,P94="EE",W94,P94="N",V94,P94="","")</f>
        <v/>
      </c>
      <c r="Y94" s="412"/>
      <c r="Z94" s="412"/>
      <c r="AA94" s="256">
        <f t="shared" si="4"/>
        <v>0</v>
      </c>
      <c r="AB94" s="294"/>
      <c r="AC94" s="412" t="str">
        <f t="shared" si="64"/>
        <v/>
      </c>
      <c r="AD94" s="412" t="str">
        <f t="shared" ref="AD94:AD96" si="67">_xlfn.IFS(P94="N",$AD$1*AA94,P94="EE","",P94="ER","",P94="","")</f>
        <v/>
      </c>
      <c r="AE94" s="412" t="str">
        <f t="shared" ref="AE94:AE96" si="68">_xlfn.IFS(P94="EE",X94*$AE$1,P94="ER",X94*$AE$2,P94="N","",P94="","")</f>
        <v/>
      </c>
      <c r="AF94" s="412" t="str">
        <f t="shared" ref="AF94:AF96" si="69">+IF(AA94&gt;1,AA94*$AF$1,"")</f>
        <v/>
      </c>
      <c r="AG94" s="192">
        <v>0</v>
      </c>
      <c r="AH94" s="412" t="str">
        <f t="shared" ref="AH94:AH96" si="70">+IF(AA94&gt;1,AA94*$AH$1,"")</f>
        <v/>
      </c>
      <c r="AI94" s="412"/>
      <c r="AJ94" s="412"/>
      <c r="AK94" s="412"/>
      <c r="AL94" s="256">
        <f t="shared" ref="AL94:AL95" si="71">SUM(AC94:AK94)</f>
        <v>0</v>
      </c>
      <c r="AM94" s="256">
        <f t="shared" ref="AM94:AM95" si="72">AA94</f>
        <v>0</v>
      </c>
      <c r="AN94" s="256">
        <f t="shared" ref="AN94:AN95" si="73">SUM(AL94:AM94)</f>
        <v>0</v>
      </c>
    </row>
    <row r="95" spans="1:40" x14ac:dyDescent="0.2">
      <c r="A95" s="294"/>
      <c r="B95" s="408"/>
      <c r="C95" s="408"/>
      <c r="D95" s="408"/>
      <c r="E95" s="408"/>
      <c r="F95" s="408"/>
      <c r="G95" s="408"/>
      <c r="H95" s="408"/>
      <c r="I95" s="410"/>
      <c r="J95" s="410"/>
      <c r="K95" s="410"/>
      <c r="L95" s="410"/>
      <c r="M95" s="411"/>
      <c r="N95" s="294"/>
      <c r="O95" s="294"/>
      <c r="P95" s="294"/>
      <c r="Q95" s="412"/>
      <c r="R95" s="294"/>
      <c r="S95" s="294"/>
      <c r="T95" s="263"/>
      <c r="U95" s="269"/>
      <c r="V95" s="270"/>
      <c r="W95" s="270" t="str">
        <f t="shared" si="65"/>
        <v/>
      </c>
      <c r="X95" s="270" t="str">
        <f t="shared" si="66"/>
        <v/>
      </c>
      <c r="Y95" s="412"/>
      <c r="Z95" s="412"/>
      <c r="AA95" s="256">
        <f t="shared" si="4"/>
        <v>0</v>
      </c>
      <c r="AB95" s="294"/>
      <c r="AC95" s="412" t="str">
        <f t="shared" si="64"/>
        <v/>
      </c>
      <c r="AD95" s="412" t="str">
        <f t="shared" si="67"/>
        <v/>
      </c>
      <c r="AE95" s="412" t="str">
        <f t="shared" si="68"/>
        <v/>
      </c>
      <c r="AF95" s="412" t="str">
        <f t="shared" si="69"/>
        <v/>
      </c>
      <c r="AG95" s="192">
        <v>0</v>
      </c>
      <c r="AH95" s="412" t="str">
        <f t="shared" si="70"/>
        <v/>
      </c>
      <c r="AI95" s="412"/>
      <c r="AJ95" s="412"/>
      <c r="AK95" s="412"/>
      <c r="AL95" s="256">
        <f t="shared" si="71"/>
        <v>0</v>
      </c>
      <c r="AM95" s="256">
        <f t="shared" si="72"/>
        <v>0</v>
      </c>
      <c r="AN95" s="256">
        <f t="shared" si="73"/>
        <v>0</v>
      </c>
    </row>
    <row r="96" spans="1:40" x14ac:dyDescent="0.2">
      <c r="A96" s="264"/>
      <c r="B96" s="264"/>
      <c r="C96" s="264"/>
      <c r="D96" s="264"/>
      <c r="E96" s="264"/>
      <c r="F96" s="264"/>
      <c r="G96" s="264"/>
      <c r="H96" s="264"/>
      <c r="I96" s="265"/>
      <c r="J96" s="265"/>
      <c r="K96" s="265"/>
      <c r="L96" s="265"/>
      <c r="M96" s="267"/>
      <c r="N96" s="264"/>
      <c r="O96" s="264"/>
      <c r="P96" s="264"/>
      <c r="Q96" s="268"/>
      <c r="R96" s="264"/>
      <c r="S96" s="264"/>
      <c r="T96" s="263" t="str">
        <f t="shared" ref="T96" si="74">+IF(R96="","",R96*S96)</f>
        <v/>
      </c>
      <c r="U96" s="269"/>
      <c r="V96" s="270" t="str">
        <f t="shared" ref="V96" si="75">IF($U96="","",$U96*(1+$V$1))</f>
        <v/>
      </c>
      <c r="W96" s="270" t="str">
        <f t="shared" ref="W96" si="76">+IF(P96="EE",+V96*$W$1,"")</f>
        <v/>
      </c>
      <c r="X96" s="270" t="str">
        <f t="shared" si="66"/>
        <v/>
      </c>
      <c r="Y96" s="62"/>
      <c r="Z96" s="62"/>
      <c r="AA96" s="256">
        <f t="shared" si="4"/>
        <v>0</v>
      </c>
      <c r="AB96" s="3"/>
      <c r="AC96" s="62" t="str">
        <f t="shared" si="64"/>
        <v/>
      </c>
      <c r="AD96" s="62" t="str">
        <f t="shared" si="67"/>
        <v/>
      </c>
      <c r="AE96" s="62" t="str">
        <f t="shared" si="68"/>
        <v/>
      </c>
      <c r="AF96" s="62" t="str">
        <f t="shared" si="69"/>
        <v/>
      </c>
      <c r="AG96" s="192">
        <v>0</v>
      </c>
      <c r="AH96" s="62" t="str">
        <f t="shared" si="70"/>
        <v/>
      </c>
      <c r="AI96" s="62"/>
      <c r="AJ96" s="62"/>
      <c r="AK96" s="62"/>
      <c r="AL96" s="256">
        <f t="shared" ref="AL96" si="77">SUM(AC96:AK96)</f>
        <v>0</v>
      </c>
      <c r="AM96" s="256">
        <f t="shared" ref="AM96" si="78">AA96</f>
        <v>0</v>
      </c>
      <c r="AN96" s="256">
        <f t="shared" ref="AN96" si="79">SUM(AL96:AM96)</f>
        <v>0</v>
      </c>
    </row>
    <row r="97" spans="1:40" ht="13.5" thickBot="1" x14ac:dyDescent="0.25">
      <c r="A97" s="259"/>
      <c r="B97" s="259"/>
      <c r="C97" s="259"/>
      <c r="D97" s="259"/>
      <c r="E97" s="259"/>
      <c r="F97" s="259"/>
      <c r="G97" s="259"/>
      <c r="H97" s="259"/>
      <c r="I97" s="260"/>
      <c r="J97" s="260"/>
      <c r="K97" s="260"/>
      <c r="L97" s="260"/>
      <c r="M97" s="261">
        <f>SUM(M6:M96)</f>
        <v>28.75</v>
      </c>
      <c r="N97" s="259"/>
      <c r="O97" s="259"/>
      <c r="P97" s="259"/>
      <c r="Q97" s="259"/>
      <c r="R97" s="259"/>
      <c r="S97" s="259"/>
      <c r="T97" s="259"/>
      <c r="U97" s="258">
        <f t="shared" ref="U97:AA97" si="80">SUM(U6:U96)</f>
        <v>1767989.35</v>
      </c>
      <c r="V97" s="258">
        <f t="shared" si="80"/>
        <v>1790504.59</v>
      </c>
      <c r="W97" s="258">
        <f t="shared" si="80"/>
        <v>512368.14146700001</v>
      </c>
      <c r="X97" s="258">
        <f t="shared" si="80"/>
        <v>1918224.711467</v>
      </c>
      <c r="Y97" s="258">
        <f t="shared" si="80"/>
        <v>-191073.542136</v>
      </c>
      <c r="Z97" s="258">
        <f t="shared" si="80"/>
        <v>50850</v>
      </c>
      <c r="AA97" s="258">
        <f t="shared" si="80"/>
        <v>1778001.1693309997</v>
      </c>
      <c r="AB97" s="5"/>
      <c r="AC97" s="257" t="str">
        <f t="shared" si="64"/>
        <v/>
      </c>
      <c r="AD97" s="257">
        <f t="shared" ref="AD97:AN97" si="81">SUM(AD6:AD96)</f>
        <v>1312.4675</v>
      </c>
      <c r="AE97" s="257">
        <f t="shared" si="81"/>
        <v>419086.02594797756</v>
      </c>
      <c r="AF97" s="257">
        <f t="shared" si="81"/>
        <v>25781.013705299494</v>
      </c>
      <c r="AG97" s="257">
        <f t="shared" si="81"/>
        <v>0</v>
      </c>
      <c r="AH97" s="257">
        <f t="shared" si="81"/>
        <v>16015.146321448487</v>
      </c>
      <c r="AI97" s="257">
        <f t="shared" si="81"/>
        <v>4482.0348975390525</v>
      </c>
      <c r="AJ97" s="257">
        <f t="shared" si="81"/>
        <v>0</v>
      </c>
      <c r="AK97" s="257">
        <f t="shared" si="81"/>
        <v>0</v>
      </c>
      <c r="AL97" s="257">
        <f t="shared" si="81"/>
        <v>641439.40837226494</v>
      </c>
      <c r="AM97" s="257">
        <f t="shared" si="81"/>
        <v>1778001.1693309997</v>
      </c>
      <c r="AN97" s="257">
        <f t="shared" si="81"/>
        <v>2419440.5777032631</v>
      </c>
    </row>
    <row r="98" spans="1:40" ht="13.5" thickTop="1" x14ac:dyDescent="0.2">
      <c r="A98" s="3"/>
      <c r="B98" s="3"/>
      <c r="C98" s="3"/>
      <c r="D98" s="3"/>
      <c r="E98" s="3"/>
      <c r="F98" s="3"/>
      <c r="G98" s="3"/>
      <c r="H98" s="3"/>
      <c r="I98" s="255"/>
      <c r="J98" s="255"/>
      <c r="K98" s="255"/>
      <c r="L98" s="25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 t="str">
        <f t="shared" si="64"/>
        <v/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3.5" thickBot="1" x14ac:dyDescent="0.25">
      <c r="A99" s="259"/>
      <c r="B99" s="259"/>
      <c r="C99" s="259"/>
      <c r="D99" s="259"/>
      <c r="E99" s="259"/>
      <c r="F99" s="259"/>
      <c r="G99" s="259"/>
      <c r="H99" s="259"/>
      <c r="I99" s="260"/>
      <c r="J99" s="260"/>
      <c r="K99" s="260"/>
      <c r="L99" s="260"/>
      <c r="M99" s="261">
        <f>SUBTOTAL(9,M6:M96)</f>
        <v>28.75</v>
      </c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5"/>
      <c r="Z99" s="5"/>
      <c r="AA99" s="258">
        <f t="shared" ref="AA99:AN99" si="82">SUBTOTAL(9,AA6:AA96)</f>
        <v>1778001.1693309997</v>
      </c>
      <c r="AB99" s="258">
        <f t="shared" si="82"/>
        <v>0</v>
      </c>
      <c r="AC99" s="258" t="str">
        <f t="shared" si="64"/>
        <v/>
      </c>
      <c r="AD99" s="258">
        <f t="shared" si="82"/>
        <v>1312.4675</v>
      </c>
      <c r="AE99" s="258">
        <f t="shared" si="82"/>
        <v>419086.02594797756</v>
      </c>
      <c r="AF99" s="258">
        <f t="shared" si="82"/>
        <v>25781.013705299494</v>
      </c>
      <c r="AG99" s="258">
        <f t="shared" si="82"/>
        <v>0</v>
      </c>
      <c r="AH99" s="258">
        <f t="shared" si="82"/>
        <v>16015.146321448487</v>
      </c>
      <c r="AI99" s="258">
        <f t="shared" si="82"/>
        <v>4482.0348975390525</v>
      </c>
      <c r="AJ99" s="258">
        <f t="shared" si="82"/>
        <v>0</v>
      </c>
      <c r="AK99" s="258">
        <f t="shared" si="82"/>
        <v>0</v>
      </c>
      <c r="AL99" s="258">
        <f t="shared" si="82"/>
        <v>641439.40837226494</v>
      </c>
      <c r="AM99" s="258">
        <f t="shared" si="82"/>
        <v>1778001.1693309997</v>
      </c>
      <c r="AN99" s="258">
        <f t="shared" si="82"/>
        <v>2419440.5777032631</v>
      </c>
    </row>
    <row r="100" spans="1:40" ht="13.5" thickTop="1" x14ac:dyDescent="0.2">
      <c r="A100" s="3"/>
      <c r="B100" s="3"/>
      <c r="C100" s="3"/>
      <c r="D100" s="3"/>
      <c r="E100" s="3"/>
      <c r="F100" s="3"/>
      <c r="G100" s="3"/>
      <c r="H100" s="3"/>
      <c r="I100" s="255"/>
      <c r="J100" s="255"/>
      <c r="K100" s="255"/>
      <c r="L100" s="25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 t="str">
        <f t="shared" si="64"/>
        <v/>
      </c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x14ac:dyDescent="0.2">
      <c r="A101" s="3"/>
      <c r="B101" s="3"/>
      <c r="C101" s="3"/>
      <c r="D101" s="3"/>
      <c r="E101" s="3"/>
      <c r="F101" s="3"/>
      <c r="G101" s="3"/>
      <c r="H101" s="3"/>
      <c r="I101" s="255"/>
      <c r="J101" s="255"/>
      <c r="K101" s="255"/>
      <c r="L101" s="255"/>
      <c r="M101" s="255"/>
      <c r="N101" s="255"/>
      <c r="O101" s="25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 t="str">
        <f t="shared" si="64"/>
        <v/>
      </c>
      <c r="AD101" s="3"/>
      <c r="AE101" s="3"/>
      <c r="AF101" s="3"/>
      <c r="AG101" s="3"/>
      <c r="AH101" s="355"/>
      <c r="AI101" s="3"/>
      <c r="AJ101" s="3"/>
      <c r="AK101" s="3"/>
      <c r="AL101" s="3"/>
      <c r="AM101" s="3"/>
      <c r="AN101" s="3"/>
    </row>
    <row r="102" spans="1:40" x14ac:dyDescent="0.2">
      <c r="A102" s="3"/>
      <c r="B102" s="3"/>
      <c r="C102" s="3"/>
      <c r="D102" s="3"/>
      <c r="E102" s="3"/>
      <c r="F102" s="3"/>
      <c r="G102" s="3"/>
      <c r="H102" s="3"/>
      <c r="I102" s="255"/>
      <c r="J102" s="255"/>
      <c r="K102" s="255"/>
      <c r="L102" s="255"/>
      <c r="M102" s="255"/>
      <c r="N102" s="255"/>
      <c r="O102" s="25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 t="str">
        <f t="shared" si="64"/>
        <v/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x14ac:dyDescent="0.2">
      <c r="A103" s="3"/>
      <c r="B103" s="3"/>
      <c r="C103" s="3"/>
      <c r="D103" s="3"/>
      <c r="E103" s="3"/>
      <c r="F103" s="3"/>
      <c r="G103" s="3"/>
      <c r="H103" s="3"/>
      <c r="I103" s="255"/>
      <c r="J103" s="255"/>
      <c r="K103" s="255"/>
      <c r="L103" s="255"/>
      <c r="M103" s="255"/>
      <c r="N103" s="255"/>
      <c r="O103" s="25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 t="str">
        <f t="shared" si="64"/>
        <v/>
      </c>
      <c r="AD103" s="3"/>
      <c r="AE103" s="3"/>
      <c r="AF103" s="3"/>
      <c r="AG103" s="3"/>
      <c r="AH103" s="355"/>
      <c r="AI103" s="3"/>
      <c r="AJ103" s="3"/>
      <c r="AK103" s="3"/>
      <c r="AL103" s="3"/>
      <c r="AM103" s="3"/>
      <c r="AN103" s="3"/>
    </row>
    <row r="104" spans="1:40" x14ac:dyDescent="0.2">
      <c r="A104" s="3"/>
      <c r="B104" s="3"/>
      <c r="C104" s="3"/>
      <c r="D104" s="3"/>
      <c r="E104" s="3"/>
      <c r="F104" s="3"/>
      <c r="G104" s="3"/>
      <c r="H104" s="3"/>
      <c r="I104" s="255"/>
      <c r="J104" s="255"/>
      <c r="K104" s="255"/>
      <c r="L104" s="255"/>
      <c r="M104" s="255"/>
      <c r="N104" s="255"/>
      <c r="O104" s="25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 t="str">
        <f t="shared" si="64"/>
        <v/>
      </c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x14ac:dyDescent="0.2">
      <c r="A105" s="3"/>
      <c r="B105" s="3"/>
      <c r="C105" s="3"/>
      <c r="D105" s="3"/>
      <c r="E105" s="3"/>
      <c r="F105" s="3"/>
      <c r="G105" s="3"/>
      <c r="H105" s="3"/>
      <c r="I105" s="255"/>
      <c r="J105" s="255"/>
      <c r="K105" s="255"/>
      <c r="L105" s="255"/>
      <c r="M105" s="255"/>
      <c r="N105" s="255"/>
      <c r="O105" s="25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 t="str">
        <f t="shared" si="64"/>
        <v/>
      </c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x14ac:dyDescent="0.2">
      <c r="A106" s="3"/>
      <c r="B106" s="3"/>
      <c r="C106" s="3"/>
      <c r="D106" s="3"/>
      <c r="E106" s="3"/>
      <c r="F106" s="3"/>
      <c r="G106" s="3"/>
      <c r="H106" s="3"/>
      <c r="I106" s="255"/>
      <c r="J106" s="255"/>
      <c r="K106" s="255"/>
      <c r="L106" s="25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 t="str">
        <f t="shared" si="64"/>
        <v/>
      </c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x14ac:dyDescent="0.2">
      <c r="A107" s="3"/>
      <c r="B107" s="3"/>
      <c r="C107" s="3"/>
      <c r="D107" s="3"/>
      <c r="E107" s="3"/>
      <c r="F107" s="3"/>
      <c r="G107" s="3"/>
      <c r="H107" s="3"/>
      <c r="I107" s="255"/>
      <c r="J107" s="255"/>
      <c r="K107" s="255"/>
      <c r="L107" s="25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 t="str">
        <f t="shared" si="64"/>
        <v/>
      </c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x14ac:dyDescent="0.2">
      <c r="A108" s="3"/>
      <c r="B108" s="3"/>
      <c r="C108" s="3"/>
      <c r="D108" s="3"/>
      <c r="E108" s="3"/>
      <c r="F108" s="3"/>
      <c r="G108" s="3"/>
      <c r="H108" s="3"/>
      <c r="I108" s="255"/>
      <c r="J108" s="255"/>
      <c r="K108" s="255"/>
      <c r="L108" s="25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 t="str">
        <f t="shared" si="64"/>
        <v/>
      </c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x14ac:dyDescent="0.2">
      <c r="A109" s="3"/>
      <c r="B109" s="3"/>
      <c r="C109" s="3"/>
      <c r="D109" s="3"/>
      <c r="E109" s="3"/>
      <c r="F109" s="3"/>
      <c r="G109" s="3"/>
      <c r="H109" s="3"/>
      <c r="I109" s="255"/>
      <c r="J109" s="255"/>
      <c r="K109" s="255"/>
      <c r="L109" s="25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 t="str">
        <f t="shared" si="64"/>
        <v/>
      </c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x14ac:dyDescent="0.2">
      <c r="A110" s="3"/>
      <c r="B110" s="3"/>
      <c r="C110" s="3"/>
      <c r="D110" s="3"/>
      <c r="E110" s="3"/>
      <c r="F110" s="3"/>
      <c r="G110" s="3"/>
      <c r="H110" s="3"/>
      <c r="I110" s="255"/>
      <c r="J110" s="255"/>
      <c r="K110" s="255"/>
      <c r="L110" s="25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 t="str">
        <f t="shared" si="64"/>
        <v/>
      </c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x14ac:dyDescent="0.2">
      <c r="A111" s="3"/>
      <c r="B111" s="3"/>
      <c r="C111" s="3"/>
      <c r="D111" s="3"/>
      <c r="E111" s="3"/>
      <c r="F111" s="3"/>
      <c r="G111" s="3"/>
      <c r="H111" s="3"/>
      <c r="I111" s="255"/>
      <c r="J111" s="255"/>
      <c r="K111" s="255"/>
      <c r="L111" s="25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 t="str">
        <f t="shared" si="64"/>
        <v/>
      </c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x14ac:dyDescent="0.2">
      <c r="A112" s="3"/>
      <c r="B112" s="3"/>
      <c r="C112" s="3"/>
      <c r="D112" s="3"/>
      <c r="E112" s="3"/>
      <c r="F112" s="3"/>
      <c r="G112" s="3"/>
      <c r="H112" s="3"/>
      <c r="I112" s="255"/>
      <c r="J112" s="255"/>
      <c r="K112" s="255"/>
      <c r="L112" s="25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 t="str">
        <f t="shared" si="64"/>
        <v/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x14ac:dyDescent="0.2">
      <c r="A113" s="3"/>
      <c r="B113" s="3"/>
      <c r="C113" s="3"/>
      <c r="D113" s="3"/>
      <c r="E113" s="3"/>
      <c r="F113" s="3"/>
      <c r="G113" s="3"/>
      <c r="H113" s="3"/>
      <c r="I113" s="255"/>
      <c r="J113" s="255"/>
      <c r="K113" s="255"/>
      <c r="L113" s="25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 t="str">
        <f t="shared" si="64"/>
        <v/>
      </c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x14ac:dyDescent="0.2">
      <c r="A114" s="3"/>
      <c r="B114" s="3"/>
      <c r="C114" s="3"/>
      <c r="D114" s="3"/>
      <c r="E114" s="3"/>
      <c r="F114" s="3"/>
      <c r="G114" s="3"/>
      <c r="H114" s="3"/>
      <c r="I114" s="255"/>
      <c r="J114" s="255"/>
      <c r="K114" s="255"/>
      <c r="L114" s="25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 t="str">
        <f t="shared" si="64"/>
        <v/>
      </c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x14ac:dyDescent="0.2">
      <c r="A115" s="3"/>
      <c r="B115" s="3"/>
      <c r="C115" s="3"/>
      <c r="D115" s="3"/>
      <c r="E115" s="3"/>
      <c r="F115" s="3"/>
      <c r="G115" s="3"/>
      <c r="H115" s="3"/>
      <c r="I115" s="255"/>
      <c r="J115" s="255"/>
      <c r="K115" s="255"/>
      <c r="L115" s="25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 t="str">
        <f t="shared" si="64"/>
        <v/>
      </c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x14ac:dyDescent="0.2">
      <c r="A116" s="3"/>
      <c r="B116" s="3"/>
      <c r="C116" s="3"/>
      <c r="D116" s="3"/>
      <c r="E116" s="3"/>
      <c r="F116" s="3"/>
      <c r="G116" s="3"/>
      <c r="H116" s="3"/>
      <c r="I116" s="255"/>
      <c r="J116" s="255"/>
      <c r="K116" s="255"/>
      <c r="L116" s="25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 t="str">
        <f t="shared" si="64"/>
        <v/>
      </c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x14ac:dyDescent="0.2">
      <c r="A117" s="3"/>
      <c r="B117" s="3"/>
      <c r="C117" s="3"/>
      <c r="D117" s="3"/>
      <c r="E117" s="3"/>
      <c r="F117" s="3"/>
      <c r="G117" s="3"/>
      <c r="H117" s="3"/>
      <c r="I117" s="255"/>
      <c r="J117" s="255"/>
      <c r="K117" s="255"/>
      <c r="L117" s="25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 t="str">
        <f t="shared" si="64"/>
        <v/>
      </c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x14ac:dyDescent="0.2">
      <c r="A118" s="3"/>
      <c r="B118" s="3"/>
      <c r="C118" s="3"/>
      <c r="D118" s="3"/>
      <c r="E118" s="3"/>
      <c r="F118" s="3"/>
      <c r="G118" s="3"/>
      <c r="H118" s="3"/>
      <c r="I118" s="255"/>
      <c r="J118" s="255"/>
      <c r="K118" s="255"/>
      <c r="L118" s="25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x14ac:dyDescent="0.2">
      <c r="A119" s="3"/>
      <c r="B119" s="3"/>
      <c r="C119" s="3"/>
      <c r="D119" s="3"/>
      <c r="E119" s="3"/>
      <c r="F119" s="3"/>
      <c r="G119" s="3"/>
      <c r="H119" s="3"/>
      <c r="I119" s="255"/>
      <c r="J119" s="255"/>
      <c r="K119" s="255"/>
      <c r="L119" s="25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x14ac:dyDescent="0.2">
      <c r="A120" s="3"/>
      <c r="B120" s="3"/>
      <c r="C120" s="3"/>
      <c r="D120" s="3"/>
      <c r="E120" s="3"/>
      <c r="F120" s="3"/>
      <c r="G120" s="3"/>
      <c r="H120" s="3"/>
      <c r="I120" s="255"/>
      <c r="J120" s="255"/>
      <c r="K120" s="255"/>
      <c r="L120" s="25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</sheetData>
  <autoFilter ref="B5:G95" xr:uid="{57A549D0-75F3-459A-9358-0E703B586E5C}"/>
  <sortState xmlns:xlrd2="http://schemas.microsoft.com/office/spreadsheetml/2017/richdata2" ref="A7:WWF93">
    <sortCondition ref="I7:I93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3437E-03DD-47EC-921E-A7916253645F}">
  <sheetPr codeName="Sheet25"/>
  <dimension ref="A1:WWF155"/>
  <sheetViews>
    <sheetView workbookViewId="0"/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26.7109375" style="253" bestFit="1" customWidth="1"/>
    <col min="10" max="10" width="9.42578125" style="253" bestFit="1" customWidth="1"/>
    <col min="11" max="11" width="18.5703125" style="253" bestFit="1" customWidth="1"/>
    <col min="12" max="12" width="42.7109375" style="253" bestFit="1" customWidth="1"/>
    <col min="13" max="13" width="9.140625" customWidth="1"/>
    <col min="16" max="16" width="11.140625" customWidth="1"/>
    <col min="21" max="22" width="11" bestFit="1" customWidth="1"/>
    <col min="23" max="23" width="10.5703125" customWidth="1"/>
    <col min="24" max="24" width="12" customWidth="1"/>
    <col min="25" max="25" width="12.28515625" customWidth="1"/>
    <col min="26" max="26" width="10" bestFit="1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9" bestFit="1" customWidth="1"/>
    <col min="36" max="36" width="7.85546875" bestFit="1" customWidth="1"/>
    <col min="37" max="37" width="7.28515625" bestFit="1" customWidth="1"/>
    <col min="38" max="38" width="11" bestFit="1" customWidth="1"/>
    <col min="39" max="40" width="12.85546875" customWidth="1"/>
    <col min="41" max="41" width="11.28515625" bestFit="1" customWidth="1"/>
    <col min="43" max="43" width="12" bestFit="1" customWidth="1"/>
    <col min="45" max="45" width="10.28515625" bestFit="1" customWidth="1"/>
  </cols>
  <sheetData>
    <row r="1" spans="1:16152" s="233" customFormat="1" x14ac:dyDescent="0.2">
      <c r="A1" s="230" t="str">
        <f>'# of Students'!A1</f>
        <v>Beacon Academy of Nevada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29"/>
      <c r="T1" s="229"/>
      <c r="U1" s="229"/>
      <c r="V1" s="254">
        <f>'Employee Detail FY21'!V1+0.03</f>
        <v>0.03</v>
      </c>
      <c r="W1" s="226">
        <f>IF('Employee Detail FY21'!W1="","",'Employee Detail FY21'!W1)</f>
        <v>1.150709</v>
      </c>
      <c r="X1" s="229"/>
      <c r="Y1" s="229"/>
      <c r="Z1" s="229"/>
      <c r="AA1" s="229"/>
      <c r="AB1" s="229"/>
      <c r="AC1" s="192">
        <f>IF('Employee Detail FY21'!AC1="","",'Employee Detail FY21'!AC1)</f>
        <v>7943.76</v>
      </c>
      <c r="AD1" s="232">
        <v>6.2E-2</v>
      </c>
      <c r="AE1" s="232">
        <v>0.155</v>
      </c>
      <c r="AF1" s="232">
        <v>1.4500000000000001E-2</v>
      </c>
      <c r="AG1" s="229"/>
      <c r="AH1" s="281">
        <f>'Employee Detail FY21'!AH1</f>
        <v>9.1023361069124693E-3</v>
      </c>
      <c r="AI1" s="281">
        <f>'Employee Detail FY21'!AI1</f>
        <v>2.9451987096649392E-3</v>
      </c>
      <c r="AJ1" s="229"/>
      <c r="AK1" s="229"/>
      <c r="AL1" s="229"/>
      <c r="AM1" s="229"/>
      <c r="AN1" s="229"/>
    </row>
    <row r="2" spans="1:16152" s="233" customFormat="1" x14ac:dyDescent="0.2">
      <c r="A2" s="234" t="s">
        <v>315</v>
      </c>
      <c r="B2" s="235"/>
      <c r="C2" s="235" t="str">
        <f>'# of Students'!D6</f>
        <v>FY2223</v>
      </c>
      <c r="D2" s="235"/>
      <c r="E2" s="231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32">
        <v>0.29499999999999998</v>
      </c>
      <c r="AF2" s="229"/>
      <c r="AG2" s="229"/>
      <c r="AH2" s="229"/>
      <c r="AI2" s="281">
        <f>'Employee Detail FY21'!AI2</f>
        <v>2.9451987096649392E-3</v>
      </c>
      <c r="AJ2" s="229"/>
      <c r="AK2" s="229"/>
      <c r="AL2" s="229"/>
      <c r="AM2" s="229"/>
      <c r="AN2" s="229"/>
    </row>
    <row r="3" spans="1:16152" s="243" customFormat="1" ht="40.5" customHeight="1" x14ac:dyDescent="0.2">
      <c r="A3" s="250"/>
      <c r="B3" s="237" t="s">
        <v>117</v>
      </c>
      <c r="C3" s="237" t="s">
        <v>316</v>
      </c>
      <c r="D3" s="237"/>
      <c r="E3" s="237" t="s">
        <v>119</v>
      </c>
      <c r="F3" s="237" t="s">
        <v>120</v>
      </c>
      <c r="G3" s="237" t="s">
        <v>121</v>
      </c>
      <c r="H3" s="237" t="s">
        <v>373</v>
      </c>
      <c r="I3" s="251" t="s">
        <v>317</v>
      </c>
      <c r="J3" s="251" t="s">
        <v>318</v>
      </c>
      <c r="K3" s="251" t="s">
        <v>319</v>
      </c>
      <c r="L3" s="251" t="s">
        <v>320</v>
      </c>
      <c r="M3" s="238" t="s">
        <v>321</v>
      </c>
      <c r="N3" s="239" t="s">
        <v>322</v>
      </c>
      <c r="O3" s="239" t="s">
        <v>323</v>
      </c>
      <c r="P3" s="238" t="s">
        <v>339</v>
      </c>
      <c r="Q3" s="238" t="s">
        <v>324</v>
      </c>
      <c r="R3" s="238" t="s">
        <v>325</v>
      </c>
      <c r="S3" s="238" t="s">
        <v>326</v>
      </c>
      <c r="T3" s="238" t="s">
        <v>337</v>
      </c>
      <c r="U3" s="240" t="s">
        <v>327</v>
      </c>
      <c r="V3" s="240" t="s">
        <v>328</v>
      </c>
      <c r="W3" s="240" t="s">
        <v>338</v>
      </c>
      <c r="X3" s="240" t="s">
        <v>329</v>
      </c>
      <c r="Y3" s="240" t="s">
        <v>330</v>
      </c>
      <c r="Z3" s="227" t="s">
        <v>331</v>
      </c>
      <c r="AA3" s="227" t="s">
        <v>332</v>
      </c>
      <c r="AB3" s="241"/>
      <c r="AC3" s="227" t="s">
        <v>333</v>
      </c>
      <c r="AD3" s="227" t="s">
        <v>179</v>
      </c>
      <c r="AE3" s="227" t="s">
        <v>181</v>
      </c>
      <c r="AF3" s="227" t="s">
        <v>183</v>
      </c>
      <c r="AG3" s="227" t="s">
        <v>334</v>
      </c>
      <c r="AH3" s="227" t="s">
        <v>187</v>
      </c>
      <c r="AI3" s="227" t="s">
        <v>189</v>
      </c>
      <c r="AJ3" s="227" t="s">
        <v>335</v>
      </c>
      <c r="AK3" s="227" t="s">
        <v>193</v>
      </c>
      <c r="AL3" s="227" t="s">
        <v>195</v>
      </c>
      <c r="AM3" s="227" t="s">
        <v>332</v>
      </c>
      <c r="AN3" s="227" t="s">
        <v>336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42"/>
      <c r="JH3" s="242"/>
      <c r="JI3" s="242"/>
      <c r="JJ3" s="242"/>
      <c r="JK3" s="242"/>
      <c r="JL3" s="242"/>
      <c r="JM3" s="242"/>
      <c r="JN3" s="242"/>
      <c r="JO3" s="242"/>
      <c r="JP3" s="242"/>
      <c r="JQ3" s="242"/>
      <c r="JR3" s="242"/>
      <c r="JS3" s="242"/>
      <c r="JT3" s="242"/>
      <c r="JU3" s="242"/>
      <c r="JV3" s="242"/>
      <c r="JW3" s="242"/>
      <c r="JX3" s="242"/>
      <c r="JY3" s="242"/>
      <c r="JZ3" s="242"/>
      <c r="KA3" s="242"/>
      <c r="KB3" s="242"/>
      <c r="KC3" s="242"/>
      <c r="KD3" s="242"/>
      <c r="KE3" s="242"/>
      <c r="KF3" s="242"/>
      <c r="KG3" s="242"/>
      <c r="KH3" s="242"/>
      <c r="KI3" s="242"/>
      <c r="KJ3" s="242"/>
      <c r="KK3" s="242"/>
      <c r="KL3" s="242"/>
      <c r="KM3" s="242"/>
      <c r="KN3" s="242"/>
      <c r="KO3" s="242"/>
      <c r="KP3" s="242"/>
      <c r="KQ3" s="242"/>
      <c r="KR3" s="242"/>
      <c r="KS3" s="242"/>
      <c r="KT3" s="242"/>
      <c r="KU3" s="242"/>
      <c r="KV3" s="242"/>
      <c r="KW3" s="242"/>
      <c r="KX3" s="242"/>
      <c r="KY3" s="242"/>
      <c r="KZ3" s="242"/>
      <c r="LA3" s="242"/>
      <c r="LB3" s="242"/>
      <c r="LC3" s="242"/>
      <c r="LD3" s="242"/>
      <c r="LE3" s="242"/>
      <c r="LF3" s="242"/>
      <c r="LG3" s="242"/>
      <c r="LH3" s="242"/>
      <c r="LI3" s="242"/>
      <c r="LJ3" s="242"/>
      <c r="LK3" s="242"/>
      <c r="LL3" s="242"/>
      <c r="LM3" s="242"/>
      <c r="LN3" s="242"/>
      <c r="LO3" s="242"/>
      <c r="LP3" s="242"/>
      <c r="LQ3" s="242"/>
      <c r="LR3" s="242"/>
      <c r="LS3" s="242"/>
      <c r="LT3" s="242"/>
      <c r="LU3" s="242"/>
      <c r="LV3" s="242"/>
      <c r="LW3" s="242"/>
      <c r="LX3" s="242"/>
      <c r="LY3" s="242"/>
      <c r="LZ3" s="242"/>
      <c r="MA3" s="242"/>
      <c r="MB3" s="242"/>
      <c r="MC3" s="242"/>
      <c r="MD3" s="242"/>
      <c r="ME3" s="242"/>
      <c r="MF3" s="242"/>
      <c r="MG3" s="242"/>
      <c r="MH3" s="242"/>
      <c r="MI3" s="242"/>
      <c r="MJ3" s="242"/>
      <c r="MK3" s="242"/>
      <c r="ML3" s="242"/>
      <c r="MM3" s="242"/>
      <c r="MN3" s="242"/>
      <c r="MO3" s="242"/>
      <c r="MP3" s="242"/>
      <c r="MQ3" s="242"/>
      <c r="MR3" s="242"/>
      <c r="MS3" s="242"/>
      <c r="MT3" s="242"/>
      <c r="MU3" s="242"/>
      <c r="MV3" s="242"/>
      <c r="MW3" s="242"/>
      <c r="MX3" s="242"/>
      <c r="MY3" s="242"/>
      <c r="MZ3" s="242"/>
      <c r="NA3" s="242"/>
      <c r="NB3" s="242"/>
      <c r="NC3" s="242"/>
      <c r="ND3" s="242"/>
      <c r="NE3" s="242"/>
      <c r="NF3" s="242"/>
      <c r="NG3" s="242"/>
      <c r="NH3" s="242"/>
      <c r="NI3" s="242"/>
      <c r="NJ3" s="242"/>
      <c r="NK3" s="242"/>
      <c r="NL3" s="242"/>
      <c r="NM3" s="242"/>
      <c r="NN3" s="242"/>
      <c r="NO3" s="242"/>
      <c r="NP3" s="242"/>
      <c r="NQ3" s="242"/>
      <c r="NR3" s="242"/>
      <c r="NS3" s="242"/>
      <c r="NT3" s="242"/>
      <c r="NU3" s="242"/>
      <c r="NV3" s="242"/>
      <c r="NW3" s="242"/>
      <c r="NX3" s="242"/>
      <c r="NY3" s="242"/>
      <c r="NZ3" s="242"/>
      <c r="OA3" s="242"/>
      <c r="OB3" s="242"/>
      <c r="OC3" s="242"/>
      <c r="OD3" s="242"/>
      <c r="OE3" s="242"/>
      <c r="OF3" s="242"/>
      <c r="OG3" s="242"/>
      <c r="OH3" s="242"/>
      <c r="OI3" s="242"/>
      <c r="OJ3" s="242"/>
      <c r="OK3" s="242"/>
      <c r="OL3" s="242"/>
      <c r="OM3" s="242"/>
      <c r="ON3" s="242"/>
      <c r="OO3" s="242"/>
      <c r="OP3" s="242"/>
      <c r="OQ3" s="242"/>
      <c r="OR3" s="242"/>
      <c r="OS3" s="242"/>
      <c r="OT3" s="242"/>
      <c r="OU3" s="242"/>
      <c r="OV3" s="242"/>
      <c r="OW3" s="242"/>
      <c r="OX3" s="242"/>
      <c r="OY3" s="242"/>
      <c r="OZ3" s="242"/>
      <c r="PA3" s="242"/>
      <c r="PB3" s="242"/>
      <c r="PC3" s="242"/>
      <c r="PD3" s="242"/>
      <c r="PE3" s="242"/>
      <c r="PF3" s="242"/>
      <c r="PG3" s="242"/>
      <c r="PH3" s="242"/>
      <c r="PI3" s="242"/>
      <c r="PJ3" s="242"/>
      <c r="PK3" s="242"/>
      <c r="PL3" s="242"/>
      <c r="PM3" s="242"/>
      <c r="PN3" s="242"/>
      <c r="PO3" s="242"/>
      <c r="PP3" s="242"/>
      <c r="PQ3" s="242"/>
      <c r="PR3" s="242"/>
      <c r="PS3" s="242"/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2"/>
      <c r="QH3" s="242"/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2"/>
      <c r="QU3" s="242"/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2"/>
      <c r="RH3" s="242"/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2"/>
      <c r="RW3" s="242"/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2"/>
      <c r="SJ3" s="242"/>
      <c r="SK3" s="242"/>
      <c r="SL3" s="242"/>
      <c r="SM3" s="242"/>
      <c r="SN3" s="242"/>
      <c r="SO3" s="242"/>
      <c r="SP3" s="242"/>
      <c r="SQ3" s="242"/>
      <c r="SR3" s="242"/>
      <c r="SS3" s="242"/>
      <c r="ST3" s="242"/>
      <c r="SU3" s="242"/>
      <c r="SV3" s="242"/>
      <c r="SW3" s="242"/>
      <c r="SX3" s="242"/>
      <c r="SY3" s="242"/>
      <c r="SZ3" s="242"/>
      <c r="TA3" s="242"/>
      <c r="TB3" s="242"/>
      <c r="TC3" s="242"/>
      <c r="TD3" s="242"/>
      <c r="TE3" s="242"/>
      <c r="TF3" s="242"/>
      <c r="TG3" s="242"/>
      <c r="TH3" s="242"/>
      <c r="TI3" s="242"/>
      <c r="TJ3" s="242"/>
      <c r="TK3" s="242"/>
      <c r="TL3" s="242"/>
      <c r="TM3" s="242"/>
      <c r="TN3" s="242"/>
      <c r="TO3" s="242"/>
      <c r="TP3" s="242"/>
      <c r="TQ3" s="242"/>
      <c r="TR3" s="242"/>
      <c r="TS3" s="242"/>
      <c r="TT3" s="242"/>
      <c r="TU3" s="242"/>
      <c r="TV3" s="242"/>
      <c r="TW3" s="242"/>
      <c r="TX3" s="242"/>
      <c r="TY3" s="242"/>
      <c r="TZ3" s="242"/>
      <c r="UA3" s="242"/>
      <c r="UB3" s="242"/>
      <c r="UC3" s="242"/>
      <c r="UD3" s="242"/>
      <c r="UE3" s="242"/>
      <c r="UF3" s="242"/>
      <c r="UG3" s="242"/>
      <c r="UH3" s="242"/>
      <c r="UI3" s="242"/>
      <c r="UJ3" s="242"/>
      <c r="UK3" s="242"/>
      <c r="UL3" s="242"/>
      <c r="UM3" s="242"/>
      <c r="UN3" s="242"/>
      <c r="UO3" s="242"/>
      <c r="UP3" s="242"/>
      <c r="UQ3" s="242"/>
      <c r="UR3" s="242"/>
      <c r="US3" s="242"/>
      <c r="UT3" s="242"/>
      <c r="UU3" s="242"/>
      <c r="UV3" s="242"/>
      <c r="UW3" s="242"/>
      <c r="UX3" s="242"/>
      <c r="UY3" s="242"/>
      <c r="UZ3" s="242"/>
      <c r="VA3" s="242"/>
      <c r="VB3" s="242"/>
      <c r="VC3" s="242"/>
      <c r="VD3" s="242"/>
      <c r="VE3" s="242"/>
      <c r="VF3" s="242"/>
      <c r="VG3" s="242"/>
      <c r="VH3" s="242"/>
      <c r="VI3" s="242"/>
      <c r="VJ3" s="242"/>
      <c r="VK3" s="242"/>
      <c r="VL3" s="242"/>
      <c r="VM3" s="242"/>
      <c r="VN3" s="242"/>
      <c r="VO3" s="242"/>
      <c r="VP3" s="242"/>
      <c r="VQ3" s="242"/>
      <c r="VR3" s="242"/>
      <c r="VS3" s="242"/>
      <c r="VT3" s="242"/>
      <c r="VU3" s="242"/>
      <c r="VV3" s="242"/>
      <c r="VW3" s="242"/>
      <c r="VX3" s="242"/>
      <c r="VY3" s="242"/>
      <c r="VZ3" s="242"/>
      <c r="WA3" s="242"/>
      <c r="WB3" s="242"/>
      <c r="WC3" s="242"/>
      <c r="WD3" s="242"/>
      <c r="WE3" s="242"/>
      <c r="WF3" s="242"/>
      <c r="WG3" s="242"/>
      <c r="WH3" s="242"/>
      <c r="WI3" s="242"/>
      <c r="WJ3" s="242"/>
      <c r="WK3" s="242"/>
      <c r="WL3" s="242"/>
      <c r="WM3" s="242"/>
      <c r="WN3" s="242"/>
      <c r="WO3" s="242"/>
      <c r="WP3" s="242"/>
      <c r="WQ3" s="242"/>
      <c r="WR3" s="242"/>
      <c r="WS3" s="242"/>
      <c r="WT3" s="242"/>
      <c r="WU3" s="242"/>
      <c r="WV3" s="242"/>
      <c r="WW3" s="242"/>
      <c r="WX3" s="242"/>
      <c r="WY3" s="242"/>
      <c r="WZ3" s="242"/>
      <c r="XA3" s="242"/>
      <c r="XB3" s="242"/>
      <c r="XC3" s="242"/>
      <c r="XD3" s="242"/>
      <c r="XE3" s="242"/>
      <c r="XF3" s="242"/>
      <c r="XG3" s="242"/>
      <c r="XH3" s="242"/>
      <c r="XI3" s="242"/>
      <c r="XJ3" s="242"/>
      <c r="XK3" s="242"/>
      <c r="XL3" s="242"/>
      <c r="XM3" s="242"/>
      <c r="XN3" s="242"/>
      <c r="XO3" s="242"/>
      <c r="XP3" s="242"/>
      <c r="XQ3" s="242"/>
      <c r="XR3" s="242"/>
      <c r="XS3" s="242"/>
      <c r="XT3" s="242"/>
      <c r="XU3" s="242"/>
      <c r="XV3" s="242"/>
      <c r="XW3" s="242"/>
      <c r="XX3" s="242"/>
      <c r="XY3" s="242"/>
      <c r="XZ3" s="242"/>
      <c r="YA3" s="242"/>
      <c r="YB3" s="242"/>
      <c r="YC3" s="242"/>
      <c r="YD3" s="242"/>
      <c r="YE3" s="242"/>
      <c r="YF3" s="242"/>
      <c r="YG3" s="242"/>
      <c r="YH3" s="242"/>
      <c r="YI3" s="242"/>
      <c r="YJ3" s="242"/>
      <c r="YK3" s="242"/>
      <c r="YL3" s="242"/>
      <c r="YM3" s="242"/>
      <c r="YN3" s="242"/>
      <c r="YO3" s="242"/>
      <c r="YP3" s="242"/>
      <c r="YQ3" s="242"/>
      <c r="YR3" s="242"/>
      <c r="YS3" s="242"/>
      <c r="YT3" s="242"/>
      <c r="YU3" s="242"/>
      <c r="YV3" s="242"/>
      <c r="YW3" s="242"/>
      <c r="YX3" s="242"/>
      <c r="YY3" s="242"/>
      <c r="YZ3" s="242"/>
      <c r="ZA3" s="242"/>
      <c r="ZB3" s="242"/>
      <c r="ZC3" s="242"/>
      <c r="ZD3" s="242"/>
      <c r="ZE3" s="242"/>
      <c r="ZF3" s="242"/>
      <c r="ZG3" s="242"/>
      <c r="ZH3" s="242"/>
      <c r="ZI3" s="242"/>
      <c r="ZJ3" s="242"/>
      <c r="ZK3" s="242"/>
      <c r="ZL3" s="242"/>
      <c r="ZM3" s="242"/>
      <c r="ZN3" s="242"/>
      <c r="ZO3" s="242"/>
      <c r="ZP3" s="242"/>
      <c r="ZQ3" s="242"/>
      <c r="ZR3" s="242"/>
      <c r="ZS3" s="242"/>
      <c r="ZT3" s="242"/>
      <c r="ZU3" s="242"/>
      <c r="ZV3" s="242"/>
      <c r="ZW3" s="242"/>
      <c r="ZX3" s="242"/>
      <c r="ZY3" s="242"/>
      <c r="ZZ3" s="242"/>
      <c r="AAA3" s="242"/>
      <c r="AAB3" s="242"/>
      <c r="AAC3" s="242"/>
      <c r="AAD3" s="242"/>
      <c r="AAE3" s="242"/>
      <c r="AAF3" s="242"/>
      <c r="AAG3" s="242"/>
      <c r="AAH3" s="242"/>
      <c r="AAI3" s="242"/>
      <c r="AAJ3" s="242"/>
      <c r="AAK3" s="242"/>
      <c r="AAL3" s="242"/>
      <c r="AAM3" s="242"/>
      <c r="AAN3" s="242"/>
      <c r="AAO3" s="242"/>
      <c r="AAP3" s="242"/>
      <c r="AAQ3" s="242"/>
      <c r="AAR3" s="242"/>
      <c r="AAS3" s="242"/>
      <c r="AAT3" s="242"/>
      <c r="AAU3" s="242"/>
      <c r="AAV3" s="242"/>
      <c r="AAW3" s="242"/>
      <c r="AAX3" s="242"/>
      <c r="AAY3" s="242"/>
      <c r="AAZ3" s="242"/>
      <c r="ABA3" s="242"/>
      <c r="ABB3" s="242"/>
      <c r="ABC3" s="242"/>
      <c r="ABD3" s="242"/>
      <c r="ABE3" s="242"/>
      <c r="ABF3" s="242"/>
      <c r="ABG3" s="242"/>
      <c r="ABH3" s="242"/>
      <c r="ABI3" s="242"/>
      <c r="ABJ3" s="242"/>
      <c r="ABK3" s="242"/>
      <c r="ABL3" s="242"/>
      <c r="ABM3" s="242"/>
      <c r="ABN3" s="242"/>
      <c r="ABO3" s="242"/>
      <c r="ABP3" s="242"/>
      <c r="ABQ3" s="242"/>
      <c r="ABR3" s="242"/>
      <c r="ABS3" s="242"/>
      <c r="ABT3" s="242"/>
      <c r="ABU3" s="242"/>
      <c r="ABV3" s="242"/>
      <c r="ABW3" s="242"/>
      <c r="ABX3" s="242"/>
      <c r="ABY3" s="242"/>
      <c r="ABZ3" s="242"/>
      <c r="ACA3" s="242"/>
      <c r="ACB3" s="242"/>
      <c r="ACC3" s="242"/>
      <c r="ACD3" s="242"/>
      <c r="ACE3" s="242"/>
      <c r="ACF3" s="242"/>
      <c r="ACG3" s="242"/>
      <c r="ACH3" s="242"/>
      <c r="ACI3" s="242"/>
      <c r="ACJ3" s="242"/>
      <c r="ACK3" s="242"/>
      <c r="ACL3" s="242"/>
      <c r="ACM3" s="242"/>
      <c r="ACN3" s="242"/>
      <c r="ACO3" s="242"/>
      <c r="ACP3" s="242"/>
      <c r="ACQ3" s="242"/>
      <c r="ACR3" s="242"/>
      <c r="ACS3" s="242"/>
      <c r="ACT3" s="242"/>
      <c r="ACU3" s="242"/>
      <c r="ACV3" s="242"/>
      <c r="ACW3" s="242"/>
      <c r="ACX3" s="242"/>
      <c r="ACY3" s="242"/>
      <c r="ACZ3" s="242"/>
      <c r="ADA3" s="242"/>
      <c r="ADB3" s="242"/>
      <c r="ADC3" s="242"/>
      <c r="ADD3" s="242"/>
      <c r="ADE3" s="242"/>
      <c r="ADF3" s="242"/>
      <c r="ADG3" s="242"/>
      <c r="ADH3" s="242"/>
      <c r="ADI3" s="242"/>
      <c r="ADJ3" s="242"/>
      <c r="ADK3" s="242"/>
      <c r="ADL3" s="242"/>
      <c r="ADM3" s="242"/>
      <c r="ADN3" s="242"/>
      <c r="ADO3" s="242"/>
      <c r="ADP3" s="242"/>
      <c r="ADQ3" s="242"/>
      <c r="ADR3" s="242"/>
      <c r="ADS3" s="242"/>
      <c r="ADT3" s="242"/>
      <c r="ADU3" s="242"/>
      <c r="ADV3" s="242"/>
      <c r="ADW3" s="242"/>
      <c r="ADX3" s="242"/>
      <c r="ADY3" s="242"/>
      <c r="ADZ3" s="242"/>
      <c r="AEA3" s="242"/>
      <c r="AEB3" s="242"/>
      <c r="AEC3" s="242"/>
      <c r="AED3" s="242"/>
      <c r="AEE3" s="242"/>
      <c r="AEF3" s="242"/>
      <c r="AEG3" s="242"/>
      <c r="AEH3" s="242"/>
      <c r="AEI3" s="242"/>
      <c r="AEJ3" s="242"/>
      <c r="AEK3" s="242"/>
      <c r="AEL3" s="242"/>
      <c r="AEM3" s="242"/>
      <c r="AEN3" s="242"/>
      <c r="AEO3" s="242"/>
      <c r="AEP3" s="242"/>
      <c r="AEQ3" s="242"/>
      <c r="AER3" s="242"/>
      <c r="AES3" s="242"/>
      <c r="AET3" s="242"/>
      <c r="AEU3" s="242"/>
      <c r="AEV3" s="242"/>
      <c r="AEW3" s="242"/>
      <c r="AEX3" s="242"/>
      <c r="AEY3" s="242"/>
      <c r="AEZ3" s="242"/>
      <c r="AFA3" s="242"/>
      <c r="AFB3" s="242"/>
      <c r="AFC3" s="242"/>
      <c r="AFD3" s="242"/>
      <c r="AFE3" s="242"/>
      <c r="AFF3" s="242"/>
      <c r="AFG3" s="242"/>
      <c r="AFH3" s="242"/>
      <c r="AFI3" s="242"/>
      <c r="AFJ3" s="242"/>
      <c r="AFK3" s="242"/>
      <c r="AFL3" s="242"/>
      <c r="AFM3" s="242"/>
      <c r="AFN3" s="242"/>
      <c r="AFO3" s="242"/>
      <c r="AFP3" s="242"/>
      <c r="AFQ3" s="242"/>
      <c r="AFR3" s="242"/>
      <c r="AFS3" s="242"/>
      <c r="AFT3" s="242"/>
      <c r="AFU3" s="242"/>
      <c r="AFV3" s="242"/>
      <c r="AFW3" s="242"/>
      <c r="AFX3" s="242"/>
      <c r="AFY3" s="242"/>
      <c r="AFZ3" s="242"/>
      <c r="AGA3" s="242"/>
      <c r="AGB3" s="242"/>
      <c r="AGC3" s="242"/>
      <c r="AGD3" s="242"/>
      <c r="AGE3" s="242"/>
      <c r="AGF3" s="242"/>
      <c r="AGG3" s="242"/>
      <c r="AGH3" s="242"/>
      <c r="AGI3" s="242"/>
      <c r="AGJ3" s="242"/>
      <c r="AGK3" s="242"/>
      <c r="AGL3" s="242"/>
      <c r="AGM3" s="242"/>
      <c r="AGN3" s="242"/>
      <c r="AGO3" s="242"/>
      <c r="AGP3" s="242"/>
      <c r="AGQ3" s="242"/>
      <c r="AGR3" s="242"/>
      <c r="AGS3" s="242"/>
      <c r="AGT3" s="242"/>
      <c r="AGU3" s="242"/>
      <c r="AGV3" s="242"/>
      <c r="AGW3" s="242"/>
      <c r="AGX3" s="242"/>
      <c r="AGY3" s="242"/>
      <c r="AGZ3" s="242"/>
      <c r="AHA3" s="242"/>
      <c r="AHB3" s="242"/>
      <c r="AHC3" s="242"/>
      <c r="AHD3" s="242"/>
      <c r="AHE3" s="242"/>
      <c r="AHF3" s="242"/>
      <c r="AHG3" s="242"/>
      <c r="AHH3" s="242"/>
      <c r="AHI3" s="242"/>
      <c r="AHJ3" s="242"/>
      <c r="AHK3" s="242"/>
      <c r="AHL3" s="242"/>
      <c r="AHM3" s="242"/>
      <c r="AHN3" s="242"/>
      <c r="AHO3" s="242"/>
      <c r="AHP3" s="242"/>
      <c r="AHQ3" s="242"/>
      <c r="AHR3" s="242"/>
      <c r="AHS3" s="242"/>
      <c r="AHT3" s="242"/>
      <c r="AHU3" s="242"/>
      <c r="AHV3" s="242"/>
      <c r="AHW3" s="242"/>
      <c r="AHX3" s="242"/>
      <c r="AHY3" s="242"/>
      <c r="AHZ3" s="242"/>
      <c r="AIA3" s="242"/>
      <c r="AIB3" s="242"/>
      <c r="AIC3" s="242"/>
      <c r="AID3" s="242"/>
      <c r="AIE3" s="242"/>
      <c r="AIF3" s="242"/>
      <c r="AIG3" s="242"/>
      <c r="AIH3" s="242"/>
      <c r="AII3" s="242"/>
      <c r="AIJ3" s="242"/>
      <c r="AIK3" s="242"/>
      <c r="AIL3" s="242"/>
      <c r="AIM3" s="242"/>
      <c r="AIN3" s="242"/>
      <c r="AIO3" s="242"/>
      <c r="AIP3" s="242"/>
      <c r="AIQ3" s="242"/>
      <c r="AIR3" s="242"/>
      <c r="AIS3" s="242"/>
      <c r="AIT3" s="242"/>
      <c r="AIU3" s="242"/>
      <c r="AIV3" s="242"/>
      <c r="AIW3" s="242"/>
      <c r="AIX3" s="242"/>
      <c r="AIY3" s="242"/>
      <c r="AIZ3" s="242"/>
      <c r="AJA3" s="242"/>
      <c r="AJB3" s="242"/>
      <c r="AJC3" s="242"/>
      <c r="AJD3" s="242"/>
      <c r="AJE3" s="242"/>
      <c r="AJF3" s="242"/>
      <c r="AJG3" s="242"/>
      <c r="AJH3" s="242"/>
      <c r="AJI3" s="242"/>
      <c r="AJJ3" s="242"/>
      <c r="AJK3" s="242"/>
      <c r="AJL3" s="242"/>
      <c r="AJM3" s="242"/>
      <c r="AJN3" s="242"/>
      <c r="AJO3" s="242"/>
      <c r="AJP3" s="242"/>
      <c r="AJQ3" s="242"/>
      <c r="AJR3" s="242"/>
      <c r="AJS3" s="242"/>
      <c r="AJT3" s="242"/>
      <c r="AJU3" s="242"/>
      <c r="AJV3" s="242"/>
      <c r="AJW3" s="242"/>
      <c r="AJX3" s="242"/>
      <c r="AJY3" s="242"/>
      <c r="AJZ3" s="242"/>
      <c r="AKA3" s="242"/>
      <c r="AKB3" s="242"/>
      <c r="AKC3" s="242"/>
      <c r="AKD3" s="242"/>
      <c r="AKE3" s="242"/>
      <c r="AKF3" s="242"/>
      <c r="AKG3" s="242"/>
      <c r="AKH3" s="242"/>
      <c r="AKI3" s="242"/>
      <c r="AKJ3" s="242"/>
      <c r="AKK3" s="242"/>
      <c r="AKL3" s="242"/>
      <c r="AKM3" s="242"/>
      <c r="AKN3" s="242"/>
      <c r="AKO3" s="242"/>
      <c r="AKP3" s="242"/>
      <c r="AKQ3" s="242"/>
      <c r="AKR3" s="242"/>
      <c r="AKS3" s="242"/>
      <c r="AKT3" s="242"/>
      <c r="AKU3" s="242"/>
      <c r="AKV3" s="242"/>
      <c r="AKW3" s="242"/>
      <c r="AKX3" s="242"/>
      <c r="AKY3" s="242"/>
      <c r="AKZ3" s="242"/>
      <c r="ALA3" s="242"/>
      <c r="ALB3" s="242"/>
      <c r="ALC3" s="242"/>
      <c r="ALD3" s="242"/>
      <c r="ALE3" s="242"/>
      <c r="ALF3" s="242"/>
      <c r="ALG3" s="242"/>
      <c r="ALH3" s="242"/>
      <c r="ALI3" s="242"/>
      <c r="ALJ3" s="242"/>
      <c r="ALK3" s="242"/>
      <c r="ALL3" s="242"/>
      <c r="ALM3" s="242"/>
      <c r="ALN3" s="242"/>
      <c r="ALO3" s="242"/>
      <c r="ALP3" s="242"/>
      <c r="ALQ3" s="242"/>
      <c r="ALR3" s="242"/>
      <c r="ALS3" s="242"/>
      <c r="ALT3" s="242"/>
      <c r="ALU3" s="242"/>
      <c r="ALV3" s="242"/>
      <c r="ALW3" s="242"/>
      <c r="ALX3" s="242"/>
      <c r="ALY3" s="242"/>
      <c r="ALZ3" s="242"/>
      <c r="AMA3" s="242"/>
      <c r="AMB3" s="242"/>
      <c r="AMC3" s="242"/>
      <c r="AMD3" s="242"/>
      <c r="AME3" s="242"/>
      <c r="AMF3" s="242"/>
      <c r="AMG3" s="242"/>
      <c r="AMH3" s="242"/>
      <c r="AMI3" s="242"/>
      <c r="AMJ3" s="242"/>
      <c r="AMK3" s="242"/>
      <c r="AML3" s="242"/>
      <c r="AMM3" s="242"/>
      <c r="AMN3" s="242"/>
      <c r="AMO3" s="242"/>
      <c r="AMP3" s="242"/>
      <c r="AMQ3" s="242"/>
      <c r="AMR3" s="242"/>
      <c r="AMS3" s="242"/>
      <c r="AMT3" s="242"/>
      <c r="AMU3" s="242"/>
      <c r="AMV3" s="242"/>
      <c r="AMW3" s="242"/>
      <c r="AMX3" s="242"/>
      <c r="AMY3" s="242"/>
      <c r="AMZ3" s="242"/>
      <c r="ANA3" s="242"/>
      <c r="ANB3" s="242"/>
      <c r="ANC3" s="242"/>
      <c r="AND3" s="242"/>
      <c r="ANE3" s="242"/>
      <c r="ANF3" s="242"/>
      <c r="ANG3" s="242"/>
      <c r="ANH3" s="242"/>
      <c r="ANI3" s="242"/>
      <c r="ANJ3" s="242"/>
      <c r="ANK3" s="242"/>
      <c r="ANL3" s="242"/>
      <c r="ANM3" s="242"/>
      <c r="ANN3" s="242"/>
      <c r="ANO3" s="242"/>
      <c r="ANP3" s="242"/>
      <c r="ANQ3" s="242"/>
      <c r="ANR3" s="242"/>
      <c r="ANS3" s="242"/>
      <c r="ANT3" s="242"/>
      <c r="ANU3" s="242"/>
      <c r="ANV3" s="242"/>
      <c r="ANW3" s="242"/>
      <c r="ANX3" s="242"/>
      <c r="ANY3" s="242"/>
      <c r="ANZ3" s="242"/>
      <c r="AOA3" s="242"/>
      <c r="AOB3" s="242"/>
      <c r="AOC3" s="242"/>
      <c r="AOD3" s="242"/>
      <c r="AOE3" s="242"/>
      <c r="AOF3" s="242"/>
      <c r="AOG3" s="242"/>
      <c r="AOH3" s="242"/>
      <c r="AOI3" s="242"/>
      <c r="AOJ3" s="242"/>
      <c r="AOK3" s="242"/>
      <c r="AOL3" s="242"/>
      <c r="AOM3" s="242"/>
      <c r="AON3" s="242"/>
      <c r="AOO3" s="242"/>
      <c r="AOP3" s="242"/>
      <c r="AOQ3" s="242"/>
      <c r="AOR3" s="242"/>
      <c r="AOS3" s="242"/>
      <c r="AOT3" s="242"/>
      <c r="AOU3" s="242"/>
      <c r="AOV3" s="242"/>
      <c r="AOW3" s="242"/>
      <c r="AOX3" s="242"/>
      <c r="AOY3" s="242"/>
      <c r="AOZ3" s="242"/>
      <c r="APA3" s="242"/>
      <c r="APB3" s="242"/>
      <c r="APC3" s="242"/>
      <c r="APD3" s="242"/>
      <c r="APE3" s="242"/>
      <c r="APF3" s="242"/>
      <c r="APG3" s="242"/>
      <c r="APH3" s="242"/>
      <c r="API3" s="242"/>
      <c r="APJ3" s="242"/>
      <c r="APK3" s="242"/>
      <c r="APL3" s="242"/>
      <c r="APM3" s="242"/>
      <c r="APN3" s="242"/>
      <c r="APO3" s="242"/>
      <c r="APP3" s="242"/>
      <c r="APQ3" s="242"/>
      <c r="APR3" s="242"/>
      <c r="APS3" s="242"/>
      <c r="APT3" s="242"/>
      <c r="APU3" s="242"/>
      <c r="APV3" s="242"/>
      <c r="APW3" s="242"/>
      <c r="APX3" s="242"/>
      <c r="APY3" s="242"/>
      <c r="APZ3" s="242"/>
      <c r="AQA3" s="242"/>
      <c r="AQB3" s="242"/>
      <c r="AQC3" s="242"/>
      <c r="AQD3" s="242"/>
      <c r="AQE3" s="242"/>
      <c r="AQF3" s="242"/>
      <c r="AQG3" s="242"/>
      <c r="AQH3" s="242"/>
      <c r="AQI3" s="242"/>
      <c r="AQJ3" s="242"/>
      <c r="AQK3" s="242"/>
      <c r="AQL3" s="242"/>
      <c r="AQM3" s="242"/>
      <c r="AQN3" s="242"/>
      <c r="AQO3" s="242"/>
      <c r="AQP3" s="242"/>
      <c r="AQQ3" s="242"/>
      <c r="AQR3" s="242"/>
      <c r="AQS3" s="242"/>
      <c r="AQT3" s="242"/>
      <c r="AQU3" s="242"/>
      <c r="AQV3" s="242"/>
      <c r="AQW3" s="242"/>
      <c r="AQX3" s="242"/>
      <c r="AQY3" s="242"/>
      <c r="AQZ3" s="242"/>
      <c r="ARA3" s="242"/>
      <c r="ARB3" s="242"/>
      <c r="ARC3" s="242"/>
      <c r="ARD3" s="242"/>
      <c r="ARE3" s="242"/>
      <c r="ARF3" s="242"/>
      <c r="ARG3" s="242"/>
      <c r="ARH3" s="242"/>
      <c r="ARI3" s="242"/>
      <c r="ARJ3" s="242"/>
      <c r="ARK3" s="242"/>
      <c r="ARL3" s="242"/>
      <c r="ARM3" s="242"/>
      <c r="ARN3" s="242"/>
      <c r="ARO3" s="242"/>
      <c r="ARP3" s="242"/>
      <c r="ARQ3" s="242"/>
      <c r="ARR3" s="242"/>
      <c r="ARS3" s="242"/>
      <c r="ART3" s="242"/>
      <c r="ARU3" s="242"/>
      <c r="ARV3" s="242"/>
      <c r="ARW3" s="242"/>
      <c r="ARX3" s="242"/>
      <c r="ARY3" s="242"/>
      <c r="ARZ3" s="242"/>
      <c r="ASA3" s="242"/>
      <c r="ASB3" s="242"/>
      <c r="ASC3" s="242"/>
      <c r="ASD3" s="242"/>
      <c r="ASE3" s="242"/>
      <c r="ASF3" s="242"/>
      <c r="ASG3" s="242"/>
      <c r="ASH3" s="242"/>
      <c r="ASI3" s="242"/>
      <c r="ASJ3" s="242"/>
      <c r="ASK3" s="242"/>
      <c r="ASL3" s="242"/>
      <c r="ASM3" s="242"/>
      <c r="ASN3" s="242"/>
      <c r="ASO3" s="242"/>
      <c r="ASP3" s="242"/>
      <c r="ASQ3" s="242"/>
      <c r="ASR3" s="242"/>
      <c r="ASS3" s="242"/>
      <c r="AST3" s="242"/>
      <c r="ASU3" s="242"/>
      <c r="ASV3" s="242"/>
      <c r="ASW3" s="242"/>
      <c r="ASX3" s="242"/>
      <c r="ASY3" s="242"/>
      <c r="ASZ3" s="242"/>
      <c r="ATA3" s="242"/>
      <c r="ATB3" s="242"/>
      <c r="ATC3" s="242"/>
      <c r="ATD3" s="242"/>
      <c r="ATE3" s="242"/>
      <c r="ATF3" s="242"/>
      <c r="ATG3" s="242"/>
      <c r="ATH3" s="242"/>
      <c r="ATI3" s="242"/>
      <c r="ATJ3" s="242"/>
      <c r="ATK3" s="242"/>
      <c r="ATL3" s="242"/>
      <c r="ATM3" s="242"/>
      <c r="ATN3" s="242"/>
      <c r="ATO3" s="242"/>
      <c r="ATP3" s="242"/>
      <c r="ATQ3" s="242"/>
      <c r="ATR3" s="242"/>
      <c r="ATS3" s="242"/>
      <c r="ATT3" s="242"/>
      <c r="ATU3" s="242"/>
      <c r="ATV3" s="242"/>
      <c r="ATW3" s="242"/>
      <c r="ATX3" s="242"/>
      <c r="ATY3" s="242"/>
      <c r="ATZ3" s="242"/>
      <c r="AUA3" s="242"/>
      <c r="AUB3" s="242"/>
      <c r="AUC3" s="242"/>
      <c r="AUD3" s="242"/>
      <c r="AUE3" s="242"/>
      <c r="AUF3" s="242"/>
      <c r="AUG3" s="242"/>
      <c r="AUH3" s="242"/>
      <c r="AUI3" s="242"/>
      <c r="AUJ3" s="242"/>
      <c r="AUK3" s="242"/>
      <c r="AUL3" s="242"/>
      <c r="AUM3" s="242"/>
      <c r="AUN3" s="242"/>
      <c r="AUO3" s="242"/>
      <c r="AUP3" s="242"/>
      <c r="AUQ3" s="242"/>
      <c r="AUR3" s="242"/>
      <c r="AUS3" s="242"/>
      <c r="AUT3" s="242"/>
      <c r="AUU3" s="242"/>
      <c r="AUV3" s="242"/>
      <c r="AUW3" s="242"/>
      <c r="AUX3" s="242"/>
      <c r="AUY3" s="242"/>
      <c r="AUZ3" s="242"/>
      <c r="AVA3" s="242"/>
      <c r="AVB3" s="242"/>
      <c r="AVC3" s="242"/>
      <c r="AVD3" s="242"/>
      <c r="AVE3" s="242"/>
      <c r="AVF3" s="242"/>
      <c r="AVG3" s="242"/>
      <c r="AVH3" s="242"/>
      <c r="AVI3" s="242"/>
      <c r="AVJ3" s="242"/>
      <c r="AVK3" s="242"/>
      <c r="AVL3" s="242"/>
      <c r="AVM3" s="242"/>
      <c r="AVN3" s="242"/>
      <c r="AVO3" s="242"/>
      <c r="AVP3" s="242"/>
      <c r="AVQ3" s="242"/>
      <c r="AVR3" s="242"/>
      <c r="AVS3" s="242"/>
      <c r="AVT3" s="242"/>
      <c r="AVU3" s="242"/>
      <c r="AVV3" s="242"/>
      <c r="AVW3" s="242"/>
      <c r="AVX3" s="242"/>
      <c r="AVY3" s="242"/>
      <c r="AVZ3" s="242"/>
      <c r="AWA3" s="242"/>
      <c r="AWB3" s="242"/>
      <c r="AWC3" s="242"/>
      <c r="AWD3" s="242"/>
      <c r="AWE3" s="242"/>
      <c r="AWF3" s="242"/>
      <c r="AWG3" s="242"/>
      <c r="AWH3" s="242"/>
      <c r="AWI3" s="242"/>
      <c r="AWJ3" s="242"/>
      <c r="AWK3" s="242"/>
      <c r="AWL3" s="242"/>
      <c r="AWM3" s="242"/>
      <c r="AWN3" s="242"/>
      <c r="AWO3" s="242"/>
      <c r="AWP3" s="242"/>
      <c r="AWQ3" s="242"/>
      <c r="AWR3" s="242"/>
      <c r="AWS3" s="242"/>
      <c r="AWT3" s="242"/>
      <c r="AWU3" s="242"/>
      <c r="AWV3" s="242"/>
      <c r="AWW3" s="242"/>
      <c r="AWX3" s="242"/>
      <c r="AWY3" s="242"/>
      <c r="AWZ3" s="242"/>
      <c r="AXA3" s="242"/>
      <c r="AXB3" s="242"/>
      <c r="AXC3" s="242"/>
      <c r="AXD3" s="242"/>
      <c r="AXE3" s="242"/>
      <c r="AXF3" s="242"/>
      <c r="AXG3" s="242"/>
      <c r="AXH3" s="242"/>
      <c r="AXI3" s="242"/>
      <c r="AXJ3" s="242"/>
      <c r="AXK3" s="242"/>
      <c r="AXL3" s="242"/>
      <c r="AXM3" s="242"/>
      <c r="AXN3" s="242"/>
      <c r="AXO3" s="242"/>
      <c r="AXP3" s="242"/>
      <c r="AXQ3" s="242"/>
      <c r="AXR3" s="242"/>
      <c r="AXS3" s="242"/>
      <c r="AXT3" s="242"/>
      <c r="AXU3" s="242"/>
      <c r="AXV3" s="242"/>
      <c r="AXW3" s="242"/>
      <c r="AXX3" s="242"/>
      <c r="AXY3" s="242"/>
      <c r="AXZ3" s="242"/>
      <c r="AYA3" s="242"/>
      <c r="AYB3" s="242"/>
      <c r="AYC3" s="242"/>
      <c r="AYD3" s="242"/>
      <c r="AYE3" s="242"/>
      <c r="AYF3" s="242"/>
      <c r="AYG3" s="242"/>
      <c r="AYH3" s="242"/>
      <c r="AYI3" s="242"/>
      <c r="AYJ3" s="242"/>
      <c r="AYK3" s="242"/>
      <c r="AYL3" s="242"/>
      <c r="AYM3" s="242"/>
      <c r="AYN3" s="242"/>
      <c r="AYO3" s="242"/>
      <c r="AYP3" s="242"/>
      <c r="AYQ3" s="242"/>
      <c r="AYR3" s="242"/>
      <c r="AYS3" s="242"/>
      <c r="AYT3" s="242"/>
      <c r="AYU3" s="242"/>
      <c r="AYV3" s="242"/>
      <c r="AYW3" s="242"/>
      <c r="AYX3" s="242"/>
      <c r="AYY3" s="242"/>
      <c r="AYZ3" s="242"/>
      <c r="AZA3" s="242"/>
      <c r="AZB3" s="242"/>
      <c r="AZC3" s="242"/>
      <c r="AZD3" s="242"/>
      <c r="AZE3" s="242"/>
      <c r="AZF3" s="242"/>
      <c r="AZG3" s="242"/>
      <c r="AZH3" s="242"/>
      <c r="AZI3" s="242"/>
      <c r="AZJ3" s="242"/>
      <c r="AZK3" s="242"/>
      <c r="AZL3" s="242"/>
      <c r="AZM3" s="242"/>
      <c r="AZN3" s="242"/>
      <c r="AZO3" s="242"/>
      <c r="AZP3" s="242"/>
      <c r="AZQ3" s="242"/>
      <c r="AZR3" s="242"/>
      <c r="AZS3" s="242"/>
      <c r="AZT3" s="242"/>
      <c r="AZU3" s="242"/>
      <c r="AZV3" s="242"/>
      <c r="AZW3" s="242"/>
      <c r="AZX3" s="242"/>
      <c r="AZY3" s="242"/>
      <c r="AZZ3" s="242"/>
      <c r="BAA3" s="242"/>
      <c r="BAB3" s="242"/>
      <c r="BAC3" s="242"/>
      <c r="BAD3" s="242"/>
      <c r="BAE3" s="242"/>
      <c r="BAF3" s="242"/>
      <c r="BAG3" s="242"/>
      <c r="BAH3" s="242"/>
      <c r="BAI3" s="242"/>
      <c r="BAJ3" s="242"/>
      <c r="BAK3" s="242"/>
      <c r="BAL3" s="242"/>
      <c r="BAM3" s="242"/>
      <c r="BAN3" s="242"/>
      <c r="BAO3" s="242"/>
      <c r="BAP3" s="242"/>
      <c r="BAQ3" s="242"/>
      <c r="BAR3" s="242"/>
      <c r="BAS3" s="242"/>
      <c r="BAT3" s="242"/>
      <c r="BAU3" s="242"/>
      <c r="BAV3" s="242"/>
      <c r="BAW3" s="242"/>
      <c r="BAX3" s="242"/>
      <c r="BAY3" s="242"/>
      <c r="BAZ3" s="242"/>
      <c r="BBA3" s="242"/>
      <c r="BBB3" s="242"/>
      <c r="BBC3" s="242"/>
      <c r="BBD3" s="242"/>
      <c r="BBE3" s="242"/>
      <c r="BBF3" s="242"/>
      <c r="BBG3" s="242"/>
      <c r="BBH3" s="242"/>
      <c r="BBI3" s="242"/>
      <c r="BBJ3" s="242"/>
      <c r="BBK3" s="242"/>
      <c r="BBL3" s="242"/>
      <c r="BBM3" s="242"/>
      <c r="BBN3" s="242"/>
      <c r="BBO3" s="242"/>
      <c r="BBP3" s="242"/>
      <c r="BBQ3" s="242"/>
      <c r="BBR3" s="242"/>
      <c r="BBS3" s="242"/>
      <c r="BBT3" s="242"/>
      <c r="BBU3" s="242"/>
      <c r="BBV3" s="242"/>
      <c r="BBW3" s="242"/>
      <c r="BBX3" s="242"/>
      <c r="BBY3" s="242"/>
      <c r="BBZ3" s="242"/>
      <c r="BCA3" s="242"/>
      <c r="BCB3" s="242"/>
      <c r="BCC3" s="242"/>
      <c r="BCD3" s="242"/>
      <c r="BCE3" s="242"/>
      <c r="BCF3" s="242"/>
      <c r="BCG3" s="242"/>
      <c r="BCH3" s="242"/>
      <c r="BCI3" s="242"/>
      <c r="BCJ3" s="242"/>
      <c r="BCK3" s="242"/>
      <c r="BCL3" s="242"/>
      <c r="BCM3" s="242"/>
      <c r="BCN3" s="242"/>
      <c r="BCO3" s="242"/>
      <c r="BCP3" s="242"/>
      <c r="BCQ3" s="242"/>
      <c r="BCR3" s="242"/>
      <c r="BCS3" s="242"/>
      <c r="BCT3" s="242"/>
      <c r="BCU3" s="242"/>
      <c r="BCV3" s="242"/>
      <c r="BCW3" s="242"/>
      <c r="BCX3" s="242"/>
      <c r="BCY3" s="242"/>
      <c r="BCZ3" s="242"/>
      <c r="BDA3" s="242"/>
      <c r="BDB3" s="242"/>
      <c r="BDC3" s="242"/>
      <c r="BDD3" s="242"/>
      <c r="BDE3" s="242"/>
      <c r="BDF3" s="242"/>
      <c r="BDG3" s="242"/>
      <c r="BDH3" s="242"/>
      <c r="BDI3" s="242"/>
      <c r="BDJ3" s="242"/>
      <c r="BDK3" s="242"/>
      <c r="BDL3" s="242"/>
      <c r="BDM3" s="242"/>
      <c r="BDN3" s="242"/>
      <c r="BDO3" s="242"/>
      <c r="BDP3" s="242"/>
      <c r="BDQ3" s="242"/>
      <c r="BDR3" s="242"/>
      <c r="BDS3" s="242"/>
      <c r="BDT3" s="242"/>
      <c r="BDU3" s="242"/>
      <c r="BDV3" s="242"/>
      <c r="BDW3" s="242"/>
      <c r="BDX3" s="242"/>
      <c r="BDY3" s="242"/>
      <c r="BDZ3" s="242"/>
      <c r="BEA3" s="242"/>
      <c r="BEB3" s="242"/>
      <c r="BEC3" s="242"/>
      <c r="BED3" s="242"/>
      <c r="BEE3" s="242"/>
      <c r="BEF3" s="242"/>
      <c r="BEG3" s="242"/>
      <c r="BEH3" s="242"/>
      <c r="BEI3" s="242"/>
      <c r="BEJ3" s="242"/>
      <c r="BEK3" s="242"/>
      <c r="BEL3" s="242"/>
      <c r="BEM3" s="242"/>
      <c r="BEN3" s="242"/>
      <c r="BEO3" s="242"/>
      <c r="BEP3" s="242"/>
      <c r="BEQ3" s="242"/>
      <c r="BER3" s="242"/>
      <c r="BES3" s="242"/>
      <c r="BET3" s="242"/>
      <c r="BEU3" s="242"/>
      <c r="BEV3" s="242"/>
      <c r="BEW3" s="242"/>
      <c r="BEX3" s="242"/>
      <c r="BEY3" s="242"/>
      <c r="BEZ3" s="242"/>
      <c r="BFA3" s="242"/>
      <c r="BFB3" s="242"/>
      <c r="BFC3" s="242"/>
      <c r="BFD3" s="242"/>
      <c r="BFE3" s="242"/>
      <c r="BFF3" s="242"/>
      <c r="BFG3" s="242"/>
      <c r="BFH3" s="242"/>
      <c r="BFI3" s="242"/>
      <c r="BFJ3" s="242"/>
      <c r="BFK3" s="242"/>
      <c r="BFL3" s="242"/>
      <c r="BFM3" s="242"/>
      <c r="BFN3" s="242"/>
      <c r="BFO3" s="242"/>
      <c r="BFP3" s="242"/>
      <c r="BFQ3" s="242"/>
      <c r="BFR3" s="242"/>
      <c r="BFS3" s="242"/>
      <c r="BFT3" s="242"/>
      <c r="BFU3" s="242"/>
      <c r="BFV3" s="242"/>
      <c r="BFW3" s="242"/>
      <c r="BFX3" s="242"/>
      <c r="BFY3" s="242"/>
      <c r="BFZ3" s="242"/>
      <c r="BGA3" s="242"/>
      <c r="BGB3" s="242"/>
      <c r="BGC3" s="242"/>
      <c r="BGD3" s="242"/>
      <c r="BGE3" s="242"/>
      <c r="BGF3" s="242"/>
      <c r="BGG3" s="242"/>
      <c r="BGH3" s="242"/>
      <c r="BGI3" s="242"/>
      <c r="BGJ3" s="242"/>
      <c r="BGK3" s="242"/>
      <c r="BGL3" s="242"/>
      <c r="BGM3" s="242"/>
      <c r="BGN3" s="242"/>
      <c r="BGO3" s="242"/>
      <c r="BGP3" s="242"/>
      <c r="BGQ3" s="242"/>
      <c r="BGR3" s="242"/>
      <c r="BGS3" s="242"/>
      <c r="BGT3" s="242"/>
      <c r="BGU3" s="242"/>
      <c r="BGV3" s="242"/>
      <c r="BGW3" s="242"/>
      <c r="BGX3" s="242"/>
      <c r="BGY3" s="242"/>
      <c r="BGZ3" s="242"/>
      <c r="BHA3" s="242"/>
      <c r="BHB3" s="242"/>
      <c r="BHC3" s="242"/>
      <c r="BHD3" s="242"/>
      <c r="BHE3" s="242"/>
      <c r="BHF3" s="242"/>
      <c r="BHG3" s="242"/>
      <c r="BHH3" s="242"/>
      <c r="BHI3" s="242"/>
      <c r="BHJ3" s="242"/>
      <c r="BHK3" s="242"/>
      <c r="BHL3" s="242"/>
      <c r="BHM3" s="242"/>
      <c r="BHN3" s="242"/>
      <c r="BHO3" s="242"/>
      <c r="BHP3" s="242"/>
      <c r="BHQ3" s="242"/>
      <c r="BHR3" s="242"/>
      <c r="BHS3" s="242"/>
      <c r="BHT3" s="242"/>
      <c r="BHU3" s="242"/>
      <c r="BHV3" s="242"/>
      <c r="BHW3" s="242"/>
      <c r="BHX3" s="242"/>
      <c r="BHY3" s="242"/>
      <c r="BHZ3" s="242"/>
      <c r="BIA3" s="242"/>
      <c r="BIB3" s="242"/>
      <c r="BIC3" s="242"/>
      <c r="BID3" s="242"/>
      <c r="BIE3" s="242"/>
      <c r="BIF3" s="242"/>
      <c r="BIG3" s="242"/>
      <c r="BIH3" s="242"/>
      <c r="BII3" s="242"/>
      <c r="BIJ3" s="242"/>
      <c r="BIK3" s="242"/>
      <c r="BIL3" s="242"/>
      <c r="BIM3" s="242"/>
      <c r="BIN3" s="242"/>
      <c r="BIO3" s="242"/>
      <c r="BIP3" s="242"/>
      <c r="BIQ3" s="242"/>
      <c r="BIR3" s="242"/>
      <c r="BIS3" s="242"/>
      <c r="BIT3" s="242"/>
      <c r="BIU3" s="242"/>
      <c r="BIV3" s="242"/>
      <c r="BIW3" s="242"/>
      <c r="BIX3" s="242"/>
      <c r="BIY3" s="242"/>
      <c r="BIZ3" s="242"/>
      <c r="BJA3" s="242"/>
      <c r="BJB3" s="242"/>
      <c r="BJC3" s="242"/>
      <c r="BJD3" s="242"/>
      <c r="BJE3" s="242"/>
      <c r="BJF3" s="242"/>
      <c r="BJG3" s="242"/>
      <c r="BJH3" s="242"/>
      <c r="BJI3" s="242"/>
      <c r="BJJ3" s="242"/>
      <c r="BJK3" s="242"/>
      <c r="BJL3" s="242"/>
      <c r="BJM3" s="242"/>
      <c r="BJN3" s="242"/>
      <c r="BJO3" s="242"/>
      <c r="BJP3" s="242"/>
      <c r="BJQ3" s="242"/>
      <c r="BJR3" s="242"/>
      <c r="BJS3" s="242"/>
      <c r="BJT3" s="242"/>
      <c r="BJU3" s="242"/>
      <c r="BJV3" s="242"/>
      <c r="BJW3" s="242"/>
      <c r="BJX3" s="242"/>
      <c r="BJY3" s="242"/>
      <c r="BJZ3" s="242"/>
      <c r="BKA3" s="242"/>
      <c r="BKB3" s="242"/>
      <c r="BKC3" s="242"/>
      <c r="BKD3" s="242"/>
      <c r="BKE3" s="242"/>
      <c r="BKF3" s="242"/>
      <c r="BKG3" s="242"/>
      <c r="BKH3" s="242"/>
      <c r="BKI3" s="242"/>
      <c r="BKJ3" s="242"/>
      <c r="BKK3" s="242"/>
      <c r="BKL3" s="242"/>
      <c r="BKM3" s="242"/>
      <c r="BKN3" s="242"/>
      <c r="BKO3" s="242"/>
      <c r="BKP3" s="242"/>
      <c r="BKQ3" s="242"/>
      <c r="BKR3" s="242"/>
      <c r="BKS3" s="242"/>
      <c r="BKT3" s="242"/>
      <c r="BKU3" s="242"/>
      <c r="BKV3" s="242"/>
      <c r="BKW3" s="242"/>
      <c r="BKX3" s="242"/>
      <c r="BKY3" s="242"/>
      <c r="BKZ3" s="242"/>
      <c r="BLA3" s="242"/>
      <c r="BLB3" s="242"/>
      <c r="BLC3" s="242"/>
      <c r="BLD3" s="242"/>
      <c r="BLE3" s="242"/>
      <c r="BLF3" s="242"/>
      <c r="BLG3" s="242"/>
      <c r="BLH3" s="242"/>
      <c r="BLI3" s="242"/>
      <c r="BLJ3" s="242"/>
      <c r="BLK3" s="242"/>
      <c r="BLL3" s="242"/>
      <c r="BLM3" s="242"/>
      <c r="BLN3" s="242"/>
      <c r="BLO3" s="242"/>
      <c r="BLP3" s="242"/>
      <c r="BLQ3" s="242"/>
      <c r="BLR3" s="242"/>
      <c r="BLS3" s="242"/>
      <c r="BLT3" s="242"/>
      <c r="BLU3" s="242"/>
      <c r="BLV3" s="242"/>
      <c r="BLW3" s="242"/>
      <c r="BLX3" s="242"/>
      <c r="BLY3" s="242"/>
      <c r="BLZ3" s="242"/>
      <c r="BMA3" s="242"/>
      <c r="BMB3" s="242"/>
      <c r="BMC3" s="242"/>
      <c r="BMD3" s="242"/>
      <c r="BME3" s="242"/>
      <c r="BMF3" s="242"/>
      <c r="BMG3" s="242"/>
      <c r="BMH3" s="242"/>
      <c r="BMI3" s="242"/>
      <c r="BMJ3" s="242"/>
      <c r="BMK3" s="242"/>
      <c r="BML3" s="242"/>
      <c r="BMM3" s="242"/>
      <c r="BMN3" s="242"/>
      <c r="BMO3" s="242"/>
      <c r="BMP3" s="242"/>
      <c r="BMQ3" s="242"/>
      <c r="BMR3" s="242"/>
      <c r="BMS3" s="242"/>
      <c r="BMT3" s="242"/>
      <c r="BMU3" s="242"/>
      <c r="BMV3" s="242"/>
      <c r="BMW3" s="242"/>
      <c r="BMX3" s="242"/>
      <c r="BMY3" s="242"/>
      <c r="BMZ3" s="242"/>
      <c r="BNA3" s="242"/>
      <c r="BNB3" s="242"/>
      <c r="BNC3" s="242"/>
      <c r="BND3" s="242"/>
      <c r="BNE3" s="242"/>
      <c r="BNF3" s="242"/>
      <c r="BNG3" s="242"/>
      <c r="BNH3" s="242"/>
      <c r="BNI3" s="242"/>
      <c r="BNJ3" s="242"/>
      <c r="BNK3" s="242"/>
      <c r="BNL3" s="242"/>
      <c r="BNM3" s="242"/>
      <c r="BNN3" s="242"/>
      <c r="BNO3" s="242"/>
      <c r="BNP3" s="242"/>
      <c r="BNQ3" s="242"/>
      <c r="BNR3" s="242"/>
      <c r="BNS3" s="242"/>
      <c r="BNT3" s="242"/>
      <c r="BNU3" s="242"/>
      <c r="BNV3" s="242"/>
      <c r="BNW3" s="242"/>
      <c r="BNX3" s="242"/>
      <c r="BNY3" s="242"/>
      <c r="BNZ3" s="242"/>
      <c r="BOA3" s="242"/>
      <c r="BOB3" s="242"/>
      <c r="BOC3" s="242"/>
      <c r="BOD3" s="242"/>
      <c r="BOE3" s="242"/>
      <c r="BOF3" s="242"/>
      <c r="BOG3" s="242"/>
      <c r="BOH3" s="242"/>
      <c r="BOI3" s="242"/>
      <c r="BOJ3" s="242"/>
      <c r="BOK3" s="242"/>
      <c r="BOL3" s="242"/>
      <c r="BOM3" s="242"/>
      <c r="BON3" s="242"/>
      <c r="BOO3" s="242"/>
      <c r="BOP3" s="242"/>
      <c r="BOQ3" s="242"/>
      <c r="BOR3" s="242"/>
      <c r="BOS3" s="242"/>
      <c r="BOT3" s="242"/>
      <c r="BOU3" s="242"/>
      <c r="BOV3" s="242"/>
      <c r="BOW3" s="242"/>
      <c r="BOX3" s="242"/>
      <c r="BOY3" s="242"/>
      <c r="BOZ3" s="242"/>
      <c r="BPA3" s="242"/>
      <c r="BPB3" s="242"/>
      <c r="BPC3" s="242"/>
      <c r="BPD3" s="242"/>
      <c r="BPE3" s="242"/>
      <c r="BPF3" s="242"/>
      <c r="BPG3" s="242"/>
      <c r="BPH3" s="242"/>
      <c r="BPI3" s="242"/>
      <c r="BPJ3" s="242"/>
      <c r="BPK3" s="242"/>
      <c r="BPL3" s="242"/>
      <c r="BPM3" s="242"/>
      <c r="BPN3" s="242"/>
      <c r="BPO3" s="242"/>
      <c r="BPP3" s="242"/>
      <c r="BPQ3" s="242"/>
      <c r="BPR3" s="242"/>
      <c r="BPS3" s="242"/>
      <c r="BPT3" s="242"/>
      <c r="BPU3" s="242"/>
      <c r="BPV3" s="242"/>
      <c r="BPW3" s="242"/>
      <c r="BPX3" s="242"/>
      <c r="BPY3" s="242"/>
      <c r="BPZ3" s="242"/>
      <c r="BQA3" s="242"/>
      <c r="BQB3" s="242"/>
      <c r="BQC3" s="242"/>
      <c r="BQD3" s="242"/>
      <c r="BQE3" s="242"/>
      <c r="BQF3" s="242"/>
      <c r="BQG3" s="242"/>
      <c r="BQH3" s="242"/>
      <c r="BQI3" s="242"/>
      <c r="BQJ3" s="242"/>
      <c r="BQK3" s="242"/>
      <c r="BQL3" s="242"/>
      <c r="BQM3" s="242"/>
      <c r="BQN3" s="242"/>
      <c r="BQO3" s="242"/>
      <c r="BQP3" s="242"/>
      <c r="BQQ3" s="242"/>
      <c r="BQR3" s="242"/>
      <c r="BQS3" s="242"/>
      <c r="BQT3" s="242"/>
      <c r="BQU3" s="242"/>
      <c r="BQV3" s="242"/>
      <c r="BQW3" s="242"/>
      <c r="BQX3" s="242"/>
      <c r="BQY3" s="242"/>
      <c r="BQZ3" s="242"/>
      <c r="BRA3" s="242"/>
      <c r="BRB3" s="242"/>
      <c r="BRC3" s="242"/>
      <c r="BRD3" s="242"/>
      <c r="BRE3" s="242"/>
      <c r="BRF3" s="242"/>
      <c r="BRG3" s="242"/>
      <c r="BRH3" s="242"/>
      <c r="BRI3" s="242"/>
      <c r="BRJ3" s="242"/>
      <c r="BRK3" s="242"/>
      <c r="BRL3" s="242"/>
      <c r="BRM3" s="242"/>
      <c r="BRN3" s="242"/>
      <c r="BRO3" s="242"/>
      <c r="BRP3" s="242"/>
      <c r="BRQ3" s="242"/>
      <c r="BRR3" s="242"/>
      <c r="BRS3" s="242"/>
      <c r="BRT3" s="242"/>
      <c r="BRU3" s="242"/>
      <c r="BRV3" s="242"/>
      <c r="BRW3" s="242"/>
      <c r="BRX3" s="242"/>
      <c r="BRY3" s="242"/>
      <c r="BRZ3" s="242"/>
      <c r="BSA3" s="242"/>
      <c r="BSB3" s="242"/>
      <c r="BSC3" s="242"/>
      <c r="BSD3" s="242"/>
      <c r="BSE3" s="242"/>
      <c r="BSF3" s="242"/>
      <c r="BSG3" s="242"/>
      <c r="BSH3" s="242"/>
      <c r="BSI3" s="242"/>
      <c r="BSJ3" s="242"/>
      <c r="BSK3" s="242"/>
      <c r="BSL3" s="242"/>
      <c r="BSM3" s="242"/>
      <c r="BSN3" s="242"/>
      <c r="BSO3" s="242"/>
      <c r="BSP3" s="242"/>
      <c r="BSQ3" s="242"/>
      <c r="BSR3" s="242"/>
      <c r="BSS3" s="242"/>
      <c r="BST3" s="242"/>
      <c r="BSU3" s="242"/>
      <c r="BSV3" s="242"/>
      <c r="BSW3" s="242"/>
      <c r="BSX3" s="242"/>
      <c r="BSY3" s="242"/>
      <c r="BSZ3" s="242"/>
      <c r="BTA3" s="242"/>
      <c r="BTB3" s="242"/>
      <c r="BTC3" s="242"/>
      <c r="BTD3" s="242"/>
      <c r="BTE3" s="242"/>
      <c r="BTF3" s="242"/>
      <c r="BTG3" s="242"/>
      <c r="BTH3" s="242"/>
      <c r="BTI3" s="242"/>
      <c r="BTJ3" s="242"/>
      <c r="BTK3" s="242"/>
      <c r="BTL3" s="242"/>
      <c r="BTM3" s="242"/>
      <c r="BTN3" s="242"/>
      <c r="BTO3" s="242"/>
      <c r="BTP3" s="242"/>
      <c r="BTQ3" s="242"/>
      <c r="BTR3" s="242"/>
      <c r="BTS3" s="242"/>
      <c r="BTT3" s="242"/>
      <c r="BTU3" s="242"/>
      <c r="BTV3" s="242"/>
      <c r="BTW3" s="242"/>
      <c r="BTX3" s="242"/>
      <c r="BTY3" s="242"/>
      <c r="BTZ3" s="242"/>
      <c r="BUA3" s="242"/>
      <c r="BUB3" s="242"/>
      <c r="BUC3" s="242"/>
      <c r="BUD3" s="242"/>
      <c r="BUE3" s="242"/>
      <c r="BUF3" s="242"/>
      <c r="BUG3" s="242"/>
      <c r="BUH3" s="242"/>
      <c r="BUI3" s="242"/>
      <c r="BUJ3" s="242"/>
      <c r="BUK3" s="242"/>
      <c r="BUL3" s="242"/>
      <c r="BUM3" s="242"/>
      <c r="BUN3" s="242"/>
      <c r="BUO3" s="242"/>
      <c r="BUP3" s="242"/>
      <c r="BUQ3" s="242"/>
      <c r="BUR3" s="242"/>
      <c r="BUS3" s="242"/>
      <c r="BUT3" s="242"/>
      <c r="BUU3" s="242"/>
      <c r="BUV3" s="242"/>
      <c r="BUW3" s="242"/>
      <c r="BUX3" s="242"/>
      <c r="BUY3" s="242"/>
      <c r="BUZ3" s="242"/>
      <c r="BVA3" s="242"/>
      <c r="BVB3" s="242"/>
      <c r="BVC3" s="242"/>
      <c r="BVD3" s="242"/>
      <c r="BVE3" s="242"/>
      <c r="BVF3" s="242"/>
      <c r="BVG3" s="242"/>
      <c r="BVH3" s="242"/>
      <c r="BVI3" s="242"/>
      <c r="BVJ3" s="242"/>
      <c r="BVK3" s="242"/>
      <c r="BVL3" s="242"/>
      <c r="BVM3" s="242"/>
      <c r="BVN3" s="242"/>
      <c r="BVO3" s="242"/>
      <c r="BVP3" s="242"/>
      <c r="BVQ3" s="242"/>
      <c r="BVR3" s="242"/>
      <c r="BVS3" s="242"/>
      <c r="BVT3" s="242"/>
      <c r="BVU3" s="242"/>
      <c r="BVV3" s="242"/>
      <c r="BVW3" s="242"/>
      <c r="BVX3" s="242"/>
      <c r="BVY3" s="242"/>
      <c r="BVZ3" s="242"/>
      <c r="BWA3" s="242"/>
      <c r="BWB3" s="242"/>
      <c r="BWC3" s="242"/>
      <c r="BWD3" s="242"/>
      <c r="BWE3" s="242"/>
      <c r="BWF3" s="242"/>
      <c r="BWG3" s="242"/>
      <c r="BWH3" s="242"/>
      <c r="BWI3" s="242"/>
      <c r="BWJ3" s="242"/>
      <c r="BWK3" s="242"/>
      <c r="BWL3" s="242"/>
      <c r="BWM3" s="242"/>
      <c r="BWN3" s="242"/>
      <c r="BWO3" s="242"/>
      <c r="BWP3" s="242"/>
      <c r="BWQ3" s="242"/>
      <c r="BWR3" s="242"/>
      <c r="BWS3" s="242"/>
      <c r="BWT3" s="242"/>
      <c r="BWU3" s="242"/>
      <c r="BWV3" s="242"/>
      <c r="BWW3" s="242"/>
      <c r="BWX3" s="242"/>
      <c r="BWY3" s="242"/>
      <c r="BWZ3" s="242"/>
      <c r="BXA3" s="242"/>
      <c r="BXB3" s="242"/>
      <c r="BXC3" s="242"/>
      <c r="BXD3" s="242"/>
      <c r="BXE3" s="242"/>
      <c r="BXF3" s="242"/>
      <c r="BXG3" s="242"/>
      <c r="BXH3" s="242"/>
      <c r="BXI3" s="242"/>
      <c r="BXJ3" s="242"/>
      <c r="BXK3" s="242"/>
      <c r="BXL3" s="242"/>
      <c r="BXM3" s="242"/>
      <c r="BXN3" s="242"/>
      <c r="BXO3" s="242"/>
      <c r="BXP3" s="242"/>
      <c r="BXQ3" s="242"/>
      <c r="BXR3" s="242"/>
      <c r="BXS3" s="242"/>
      <c r="BXT3" s="242"/>
      <c r="BXU3" s="242"/>
      <c r="BXV3" s="242"/>
      <c r="BXW3" s="242"/>
      <c r="BXX3" s="242"/>
      <c r="BXY3" s="242"/>
      <c r="BXZ3" s="242"/>
      <c r="BYA3" s="242"/>
      <c r="BYB3" s="242"/>
      <c r="BYC3" s="242"/>
      <c r="BYD3" s="242"/>
      <c r="BYE3" s="242"/>
      <c r="BYF3" s="242"/>
      <c r="BYG3" s="242"/>
      <c r="BYH3" s="242"/>
      <c r="BYI3" s="242"/>
      <c r="BYJ3" s="242"/>
      <c r="BYK3" s="242"/>
      <c r="BYL3" s="242"/>
      <c r="BYM3" s="242"/>
      <c r="BYN3" s="242"/>
      <c r="BYO3" s="242"/>
      <c r="BYP3" s="242"/>
      <c r="BYQ3" s="242"/>
      <c r="BYR3" s="242"/>
      <c r="BYS3" s="242"/>
      <c r="BYT3" s="242"/>
      <c r="BYU3" s="242"/>
      <c r="BYV3" s="242"/>
      <c r="BYW3" s="242"/>
      <c r="BYX3" s="242"/>
      <c r="BYY3" s="242"/>
      <c r="BYZ3" s="242"/>
      <c r="BZA3" s="242"/>
      <c r="BZB3" s="242"/>
      <c r="BZC3" s="242"/>
      <c r="BZD3" s="242"/>
      <c r="BZE3" s="242"/>
      <c r="BZF3" s="242"/>
      <c r="BZG3" s="242"/>
      <c r="BZH3" s="242"/>
      <c r="BZI3" s="242"/>
      <c r="BZJ3" s="242"/>
      <c r="BZK3" s="242"/>
      <c r="BZL3" s="242"/>
      <c r="BZM3" s="242"/>
      <c r="BZN3" s="242"/>
      <c r="BZO3" s="242"/>
      <c r="BZP3" s="242"/>
      <c r="BZQ3" s="242"/>
      <c r="BZR3" s="242"/>
      <c r="BZS3" s="242"/>
      <c r="BZT3" s="242"/>
      <c r="BZU3" s="242"/>
      <c r="BZV3" s="242"/>
      <c r="BZW3" s="242"/>
      <c r="BZX3" s="242"/>
      <c r="BZY3" s="242"/>
      <c r="BZZ3" s="242"/>
      <c r="CAA3" s="242"/>
      <c r="CAB3" s="242"/>
      <c r="CAC3" s="242"/>
      <c r="CAD3" s="242"/>
      <c r="CAE3" s="242"/>
      <c r="CAF3" s="242"/>
      <c r="CAG3" s="242"/>
      <c r="CAH3" s="242"/>
      <c r="CAI3" s="242"/>
      <c r="CAJ3" s="242"/>
      <c r="CAK3" s="242"/>
      <c r="CAL3" s="242"/>
      <c r="CAM3" s="242"/>
      <c r="CAN3" s="242"/>
      <c r="CAO3" s="242"/>
      <c r="CAP3" s="242"/>
      <c r="CAQ3" s="242"/>
      <c r="CAR3" s="242"/>
      <c r="CAS3" s="242"/>
      <c r="CAT3" s="242"/>
      <c r="CAU3" s="242"/>
      <c r="CAV3" s="242"/>
      <c r="CAW3" s="242"/>
      <c r="CAX3" s="242"/>
      <c r="CAY3" s="242"/>
      <c r="CAZ3" s="242"/>
      <c r="CBA3" s="242"/>
      <c r="CBB3" s="242"/>
      <c r="CBC3" s="242"/>
      <c r="CBD3" s="242"/>
      <c r="CBE3" s="242"/>
      <c r="CBF3" s="242"/>
      <c r="CBG3" s="242"/>
      <c r="CBH3" s="242"/>
      <c r="CBI3" s="242"/>
      <c r="CBJ3" s="242"/>
      <c r="CBK3" s="242"/>
      <c r="CBL3" s="242"/>
      <c r="CBM3" s="242"/>
      <c r="CBN3" s="242"/>
      <c r="CBO3" s="242"/>
      <c r="CBP3" s="242"/>
      <c r="CBQ3" s="242"/>
      <c r="CBR3" s="242"/>
      <c r="CBS3" s="242"/>
      <c r="CBT3" s="242"/>
      <c r="CBU3" s="242"/>
      <c r="CBV3" s="242"/>
      <c r="CBW3" s="242"/>
      <c r="CBX3" s="242"/>
      <c r="CBY3" s="242"/>
      <c r="CBZ3" s="242"/>
      <c r="CCA3" s="242"/>
      <c r="CCB3" s="242"/>
      <c r="CCC3" s="242"/>
      <c r="CCD3" s="242"/>
      <c r="CCE3" s="242"/>
      <c r="CCF3" s="242"/>
      <c r="CCG3" s="242"/>
      <c r="CCH3" s="242"/>
      <c r="CCI3" s="242"/>
      <c r="CCJ3" s="242"/>
      <c r="CCK3" s="242"/>
      <c r="CCL3" s="242"/>
      <c r="CCM3" s="242"/>
      <c r="CCN3" s="242"/>
      <c r="CCO3" s="242"/>
      <c r="CCP3" s="242"/>
      <c r="CCQ3" s="242"/>
      <c r="CCR3" s="242"/>
      <c r="CCS3" s="242"/>
      <c r="CCT3" s="242"/>
      <c r="CCU3" s="242"/>
      <c r="CCV3" s="242"/>
      <c r="CCW3" s="242"/>
      <c r="CCX3" s="242"/>
      <c r="CCY3" s="242"/>
      <c r="CCZ3" s="242"/>
      <c r="CDA3" s="242"/>
      <c r="CDB3" s="242"/>
      <c r="CDC3" s="242"/>
      <c r="CDD3" s="242"/>
      <c r="CDE3" s="242"/>
      <c r="CDF3" s="242"/>
      <c r="CDG3" s="242"/>
      <c r="CDH3" s="242"/>
      <c r="CDI3" s="242"/>
      <c r="CDJ3" s="242"/>
      <c r="CDK3" s="242"/>
      <c r="CDL3" s="242"/>
      <c r="CDM3" s="242"/>
      <c r="CDN3" s="242"/>
      <c r="CDO3" s="242"/>
      <c r="CDP3" s="242"/>
      <c r="CDQ3" s="242"/>
      <c r="CDR3" s="242"/>
      <c r="CDS3" s="242"/>
      <c r="CDT3" s="242"/>
      <c r="CDU3" s="242"/>
      <c r="CDV3" s="242"/>
      <c r="CDW3" s="242"/>
      <c r="CDX3" s="242"/>
      <c r="CDY3" s="242"/>
      <c r="CDZ3" s="242"/>
      <c r="CEA3" s="242"/>
      <c r="CEB3" s="242"/>
      <c r="CEC3" s="242"/>
      <c r="CED3" s="242"/>
      <c r="CEE3" s="242"/>
      <c r="CEF3" s="242"/>
      <c r="CEG3" s="242"/>
      <c r="CEH3" s="242"/>
      <c r="CEI3" s="242"/>
      <c r="CEJ3" s="242"/>
      <c r="CEK3" s="242"/>
      <c r="CEL3" s="242"/>
      <c r="CEM3" s="242"/>
      <c r="CEN3" s="242"/>
      <c r="CEO3" s="242"/>
      <c r="CEP3" s="242"/>
      <c r="CEQ3" s="242"/>
      <c r="CER3" s="242"/>
      <c r="CES3" s="242"/>
      <c r="CET3" s="242"/>
      <c r="CEU3" s="242"/>
      <c r="CEV3" s="242"/>
      <c r="CEW3" s="242"/>
      <c r="CEX3" s="242"/>
      <c r="CEY3" s="242"/>
      <c r="CEZ3" s="242"/>
      <c r="CFA3" s="242"/>
      <c r="CFB3" s="242"/>
      <c r="CFC3" s="242"/>
      <c r="CFD3" s="242"/>
      <c r="CFE3" s="242"/>
      <c r="CFF3" s="242"/>
      <c r="CFG3" s="242"/>
      <c r="CFH3" s="242"/>
      <c r="CFI3" s="242"/>
      <c r="CFJ3" s="242"/>
      <c r="CFK3" s="242"/>
      <c r="CFL3" s="242"/>
      <c r="CFM3" s="242"/>
      <c r="CFN3" s="242"/>
      <c r="CFO3" s="242"/>
      <c r="CFP3" s="242"/>
      <c r="CFQ3" s="242"/>
      <c r="CFR3" s="242"/>
      <c r="CFS3" s="242"/>
      <c r="CFT3" s="242"/>
      <c r="CFU3" s="242"/>
      <c r="CFV3" s="242"/>
      <c r="CFW3" s="242"/>
      <c r="CFX3" s="242"/>
      <c r="CFY3" s="242"/>
      <c r="CFZ3" s="242"/>
      <c r="CGA3" s="242"/>
      <c r="CGB3" s="242"/>
      <c r="CGC3" s="242"/>
      <c r="CGD3" s="242"/>
      <c r="CGE3" s="242"/>
      <c r="CGF3" s="242"/>
      <c r="CGG3" s="242"/>
      <c r="CGH3" s="242"/>
      <c r="CGI3" s="242"/>
      <c r="CGJ3" s="242"/>
      <c r="CGK3" s="242"/>
      <c r="CGL3" s="242"/>
      <c r="CGM3" s="242"/>
      <c r="CGN3" s="242"/>
      <c r="CGO3" s="242"/>
      <c r="CGP3" s="242"/>
      <c r="CGQ3" s="242"/>
      <c r="CGR3" s="242"/>
      <c r="CGS3" s="242"/>
      <c r="CGT3" s="242"/>
      <c r="CGU3" s="242"/>
      <c r="CGV3" s="242"/>
      <c r="CGW3" s="242"/>
      <c r="CGX3" s="242"/>
      <c r="CGY3" s="242"/>
      <c r="CGZ3" s="242"/>
      <c r="CHA3" s="242"/>
      <c r="CHB3" s="242"/>
      <c r="CHC3" s="242"/>
      <c r="CHD3" s="242"/>
      <c r="CHE3" s="242"/>
      <c r="CHF3" s="242"/>
      <c r="CHG3" s="242"/>
      <c r="CHH3" s="242"/>
      <c r="CHI3" s="242"/>
      <c r="CHJ3" s="242"/>
      <c r="CHK3" s="242"/>
      <c r="CHL3" s="242"/>
      <c r="CHM3" s="242"/>
      <c r="CHN3" s="242"/>
      <c r="CHO3" s="242"/>
      <c r="CHP3" s="242"/>
      <c r="CHQ3" s="242"/>
      <c r="CHR3" s="242"/>
      <c r="CHS3" s="242"/>
      <c r="CHT3" s="242"/>
      <c r="CHU3" s="242"/>
      <c r="CHV3" s="242"/>
      <c r="CHW3" s="242"/>
      <c r="CHX3" s="242"/>
      <c r="CHY3" s="242"/>
      <c r="CHZ3" s="242"/>
      <c r="CIA3" s="242"/>
      <c r="CIB3" s="242"/>
      <c r="CIC3" s="242"/>
      <c r="CID3" s="242"/>
      <c r="CIE3" s="242"/>
      <c r="CIF3" s="242"/>
      <c r="CIG3" s="242"/>
      <c r="CIH3" s="242"/>
      <c r="CII3" s="242"/>
      <c r="CIJ3" s="242"/>
      <c r="CIK3" s="242"/>
      <c r="CIL3" s="242"/>
      <c r="CIM3" s="242"/>
      <c r="CIN3" s="242"/>
      <c r="CIO3" s="242"/>
      <c r="CIP3" s="242"/>
      <c r="CIQ3" s="242"/>
      <c r="CIR3" s="242"/>
      <c r="CIS3" s="242"/>
      <c r="CIT3" s="242"/>
      <c r="CIU3" s="242"/>
      <c r="CIV3" s="242"/>
      <c r="CIW3" s="242"/>
      <c r="CIX3" s="242"/>
      <c r="CIY3" s="242"/>
      <c r="CIZ3" s="242"/>
      <c r="CJA3" s="242"/>
      <c r="CJB3" s="242"/>
      <c r="CJC3" s="242"/>
      <c r="CJD3" s="242"/>
      <c r="CJE3" s="242"/>
      <c r="CJF3" s="242"/>
      <c r="CJG3" s="242"/>
      <c r="CJH3" s="242"/>
      <c r="CJI3" s="242"/>
      <c r="CJJ3" s="242"/>
      <c r="CJK3" s="242"/>
      <c r="CJL3" s="242"/>
      <c r="CJM3" s="242"/>
      <c r="CJN3" s="242"/>
      <c r="CJO3" s="242"/>
      <c r="CJP3" s="242"/>
      <c r="CJQ3" s="242"/>
      <c r="CJR3" s="242"/>
      <c r="CJS3" s="242"/>
      <c r="CJT3" s="242"/>
      <c r="CJU3" s="242"/>
      <c r="CJV3" s="242"/>
      <c r="CJW3" s="242"/>
      <c r="CJX3" s="242"/>
      <c r="CJY3" s="242"/>
      <c r="CJZ3" s="242"/>
      <c r="CKA3" s="242"/>
      <c r="CKB3" s="242"/>
      <c r="CKC3" s="242"/>
      <c r="CKD3" s="242"/>
      <c r="CKE3" s="242"/>
      <c r="CKF3" s="242"/>
      <c r="CKG3" s="242"/>
      <c r="CKH3" s="242"/>
      <c r="CKI3" s="242"/>
      <c r="CKJ3" s="242"/>
      <c r="CKK3" s="242"/>
      <c r="CKL3" s="242"/>
      <c r="CKM3" s="242"/>
      <c r="CKN3" s="242"/>
      <c r="CKO3" s="242"/>
      <c r="CKP3" s="242"/>
      <c r="CKQ3" s="242"/>
      <c r="CKR3" s="242"/>
      <c r="CKS3" s="242"/>
      <c r="CKT3" s="242"/>
      <c r="CKU3" s="242"/>
      <c r="CKV3" s="242"/>
      <c r="CKW3" s="242"/>
      <c r="CKX3" s="242"/>
      <c r="CKY3" s="242"/>
      <c r="CKZ3" s="242"/>
      <c r="CLA3" s="242"/>
      <c r="CLB3" s="242"/>
      <c r="CLC3" s="242"/>
      <c r="CLD3" s="242"/>
      <c r="CLE3" s="242"/>
      <c r="CLF3" s="242"/>
      <c r="CLG3" s="242"/>
      <c r="CLH3" s="242"/>
      <c r="CLI3" s="242"/>
      <c r="CLJ3" s="242"/>
      <c r="CLK3" s="242"/>
      <c r="CLL3" s="242"/>
      <c r="CLM3" s="242"/>
      <c r="CLN3" s="242"/>
      <c r="CLO3" s="242"/>
      <c r="CLP3" s="242"/>
      <c r="CLQ3" s="242"/>
      <c r="CLR3" s="242"/>
      <c r="CLS3" s="242"/>
      <c r="CLT3" s="242"/>
      <c r="CLU3" s="242"/>
      <c r="CLV3" s="242"/>
      <c r="CLW3" s="242"/>
      <c r="CLX3" s="242"/>
      <c r="CLY3" s="242"/>
      <c r="CLZ3" s="242"/>
      <c r="CMA3" s="242"/>
      <c r="CMB3" s="242"/>
      <c r="CMC3" s="242"/>
      <c r="CMD3" s="242"/>
      <c r="CME3" s="242"/>
      <c r="CMF3" s="242"/>
      <c r="CMG3" s="242"/>
      <c r="CMH3" s="242"/>
      <c r="CMI3" s="242"/>
      <c r="CMJ3" s="242"/>
      <c r="CMK3" s="242"/>
      <c r="CML3" s="242"/>
      <c r="CMM3" s="242"/>
      <c r="CMN3" s="242"/>
      <c r="CMO3" s="242"/>
      <c r="CMP3" s="242"/>
      <c r="CMQ3" s="242"/>
      <c r="CMR3" s="242"/>
      <c r="CMS3" s="242"/>
      <c r="CMT3" s="242"/>
      <c r="CMU3" s="242"/>
      <c r="CMV3" s="242"/>
      <c r="CMW3" s="242"/>
      <c r="CMX3" s="242"/>
      <c r="CMY3" s="242"/>
      <c r="CMZ3" s="242"/>
      <c r="CNA3" s="242"/>
      <c r="CNB3" s="242"/>
      <c r="CNC3" s="242"/>
      <c r="CND3" s="242"/>
      <c r="CNE3" s="242"/>
      <c r="CNF3" s="242"/>
      <c r="CNG3" s="242"/>
      <c r="CNH3" s="242"/>
      <c r="CNI3" s="242"/>
      <c r="CNJ3" s="242"/>
      <c r="CNK3" s="242"/>
      <c r="CNL3" s="242"/>
      <c r="CNM3" s="242"/>
      <c r="CNN3" s="242"/>
      <c r="CNO3" s="242"/>
      <c r="CNP3" s="242"/>
      <c r="CNQ3" s="242"/>
      <c r="CNR3" s="242"/>
      <c r="CNS3" s="242"/>
      <c r="CNT3" s="242"/>
      <c r="CNU3" s="242"/>
      <c r="CNV3" s="242"/>
      <c r="CNW3" s="242"/>
      <c r="CNX3" s="242"/>
      <c r="CNY3" s="242"/>
      <c r="CNZ3" s="242"/>
      <c r="COA3" s="242"/>
      <c r="COB3" s="242"/>
      <c r="COC3" s="242"/>
      <c r="COD3" s="242"/>
      <c r="COE3" s="242"/>
      <c r="COF3" s="242"/>
      <c r="COG3" s="242"/>
      <c r="COH3" s="242"/>
      <c r="COI3" s="242"/>
      <c r="COJ3" s="242"/>
      <c r="COK3" s="242"/>
      <c r="COL3" s="242"/>
      <c r="COM3" s="242"/>
      <c r="CON3" s="242"/>
      <c r="COO3" s="242"/>
      <c r="COP3" s="242"/>
      <c r="COQ3" s="242"/>
      <c r="COR3" s="242"/>
      <c r="COS3" s="242"/>
      <c r="COT3" s="242"/>
      <c r="COU3" s="242"/>
      <c r="COV3" s="242"/>
      <c r="COW3" s="242"/>
      <c r="COX3" s="242"/>
      <c r="COY3" s="242"/>
      <c r="COZ3" s="242"/>
      <c r="CPA3" s="242"/>
      <c r="CPB3" s="242"/>
      <c r="CPC3" s="242"/>
      <c r="CPD3" s="242"/>
      <c r="CPE3" s="242"/>
      <c r="CPF3" s="242"/>
      <c r="CPG3" s="242"/>
      <c r="CPH3" s="242"/>
      <c r="CPI3" s="242"/>
      <c r="CPJ3" s="242"/>
      <c r="CPK3" s="242"/>
      <c r="CPL3" s="242"/>
      <c r="CPM3" s="242"/>
      <c r="CPN3" s="242"/>
      <c r="CPO3" s="242"/>
      <c r="CPP3" s="242"/>
      <c r="CPQ3" s="242"/>
      <c r="CPR3" s="242"/>
      <c r="CPS3" s="242"/>
      <c r="CPT3" s="242"/>
      <c r="CPU3" s="242"/>
      <c r="CPV3" s="242"/>
      <c r="CPW3" s="242"/>
      <c r="CPX3" s="242"/>
      <c r="CPY3" s="242"/>
      <c r="CPZ3" s="242"/>
      <c r="CQA3" s="242"/>
      <c r="CQB3" s="242"/>
      <c r="CQC3" s="242"/>
      <c r="CQD3" s="242"/>
      <c r="CQE3" s="242"/>
      <c r="CQF3" s="242"/>
      <c r="CQG3" s="242"/>
      <c r="CQH3" s="242"/>
      <c r="CQI3" s="242"/>
      <c r="CQJ3" s="242"/>
      <c r="CQK3" s="242"/>
      <c r="CQL3" s="242"/>
      <c r="CQM3" s="242"/>
      <c r="CQN3" s="242"/>
      <c r="CQO3" s="242"/>
      <c r="CQP3" s="242"/>
      <c r="CQQ3" s="242"/>
      <c r="CQR3" s="242"/>
      <c r="CQS3" s="242"/>
      <c r="CQT3" s="242"/>
      <c r="CQU3" s="242"/>
      <c r="CQV3" s="242"/>
      <c r="CQW3" s="242"/>
      <c r="CQX3" s="242"/>
      <c r="CQY3" s="242"/>
      <c r="CQZ3" s="242"/>
      <c r="CRA3" s="242"/>
      <c r="CRB3" s="242"/>
      <c r="CRC3" s="242"/>
      <c r="CRD3" s="242"/>
      <c r="CRE3" s="242"/>
      <c r="CRF3" s="242"/>
      <c r="CRG3" s="242"/>
      <c r="CRH3" s="242"/>
      <c r="CRI3" s="242"/>
      <c r="CRJ3" s="242"/>
      <c r="CRK3" s="242"/>
      <c r="CRL3" s="242"/>
      <c r="CRM3" s="242"/>
      <c r="CRN3" s="242"/>
      <c r="CRO3" s="242"/>
      <c r="CRP3" s="242"/>
      <c r="CRQ3" s="242"/>
      <c r="CRR3" s="242"/>
      <c r="CRS3" s="242"/>
      <c r="CRT3" s="242"/>
      <c r="CRU3" s="242"/>
      <c r="CRV3" s="242"/>
      <c r="CRW3" s="242"/>
      <c r="CRX3" s="242"/>
      <c r="CRY3" s="242"/>
      <c r="CRZ3" s="242"/>
      <c r="CSA3" s="242"/>
      <c r="CSB3" s="242"/>
      <c r="CSC3" s="242"/>
      <c r="CSD3" s="242"/>
      <c r="CSE3" s="242"/>
      <c r="CSF3" s="242"/>
      <c r="CSG3" s="242"/>
      <c r="CSH3" s="242"/>
      <c r="CSI3" s="242"/>
      <c r="CSJ3" s="242"/>
      <c r="CSK3" s="242"/>
      <c r="CSL3" s="242"/>
      <c r="CSM3" s="242"/>
      <c r="CSN3" s="242"/>
      <c r="CSO3" s="242"/>
      <c r="CSP3" s="242"/>
      <c r="CSQ3" s="242"/>
      <c r="CSR3" s="242"/>
      <c r="CSS3" s="242"/>
      <c r="CST3" s="242"/>
      <c r="CSU3" s="242"/>
      <c r="CSV3" s="242"/>
      <c r="CSW3" s="242"/>
      <c r="CSX3" s="242"/>
      <c r="CSY3" s="242"/>
      <c r="CSZ3" s="242"/>
      <c r="CTA3" s="242"/>
      <c r="CTB3" s="242"/>
      <c r="CTC3" s="242"/>
      <c r="CTD3" s="242"/>
      <c r="CTE3" s="242"/>
      <c r="CTF3" s="242"/>
      <c r="CTG3" s="242"/>
      <c r="CTH3" s="242"/>
      <c r="CTI3" s="242"/>
      <c r="CTJ3" s="242"/>
      <c r="CTK3" s="242"/>
      <c r="CTL3" s="242"/>
      <c r="CTM3" s="242"/>
      <c r="CTN3" s="242"/>
      <c r="CTO3" s="242"/>
      <c r="CTP3" s="242"/>
      <c r="CTQ3" s="242"/>
      <c r="CTR3" s="242"/>
      <c r="CTS3" s="242"/>
      <c r="CTT3" s="242"/>
      <c r="CTU3" s="242"/>
      <c r="CTV3" s="242"/>
      <c r="CTW3" s="242"/>
      <c r="CTX3" s="242"/>
      <c r="CTY3" s="242"/>
      <c r="CTZ3" s="242"/>
      <c r="CUA3" s="242"/>
      <c r="CUB3" s="242"/>
      <c r="CUC3" s="242"/>
      <c r="CUD3" s="242"/>
      <c r="CUE3" s="242"/>
      <c r="CUF3" s="242"/>
      <c r="CUG3" s="242"/>
      <c r="CUH3" s="242"/>
      <c r="CUI3" s="242"/>
      <c r="CUJ3" s="242"/>
      <c r="CUK3" s="242"/>
      <c r="CUL3" s="242"/>
      <c r="CUM3" s="242"/>
      <c r="CUN3" s="242"/>
      <c r="CUO3" s="242"/>
      <c r="CUP3" s="242"/>
      <c r="CUQ3" s="242"/>
      <c r="CUR3" s="242"/>
      <c r="CUS3" s="242"/>
      <c r="CUT3" s="242"/>
      <c r="CUU3" s="242"/>
      <c r="CUV3" s="242"/>
      <c r="CUW3" s="242"/>
      <c r="CUX3" s="242"/>
      <c r="CUY3" s="242"/>
      <c r="CUZ3" s="242"/>
      <c r="CVA3" s="242"/>
      <c r="CVB3" s="242"/>
      <c r="CVC3" s="242"/>
      <c r="CVD3" s="242"/>
      <c r="CVE3" s="242"/>
      <c r="CVF3" s="242"/>
      <c r="CVG3" s="242"/>
      <c r="CVH3" s="242"/>
      <c r="CVI3" s="242"/>
      <c r="CVJ3" s="242"/>
      <c r="CVK3" s="242"/>
      <c r="CVL3" s="242"/>
      <c r="CVM3" s="242"/>
      <c r="CVN3" s="242"/>
      <c r="CVO3" s="242"/>
      <c r="CVP3" s="242"/>
      <c r="CVQ3" s="242"/>
      <c r="CVR3" s="242"/>
      <c r="CVS3" s="242"/>
      <c r="CVT3" s="242"/>
      <c r="CVU3" s="242"/>
      <c r="CVV3" s="242"/>
      <c r="CVW3" s="242"/>
      <c r="CVX3" s="242"/>
      <c r="CVY3" s="242"/>
      <c r="CVZ3" s="242"/>
      <c r="CWA3" s="242"/>
      <c r="CWB3" s="242"/>
      <c r="CWC3" s="242"/>
      <c r="CWD3" s="242"/>
      <c r="CWE3" s="242"/>
      <c r="CWF3" s="242"/>
      <c r="CWG3" s="242"/>
      <c r="CWH3" s="242"/>
      <c r="CWI3" s="242"/>
      <c r="CWJ3" s="242"/>
      <c r="CWK3" s="242"/>
      <c r="CWL3" s="242"/>
      <c r="CWM3" s="242"/>
      <c r="CWN3" s="242"/>
      <c r="CWO3" s="242"/>
      <c r="CWP3" s="242"/>
      <c r="CWQ3" s="242"/>
      <c r="CWR3" s="242"/>
      <c r="CWS3" s="242"/>
      <c r="CWT3" s="242"/>
      <c r="CWU3" s="242"/>
      <c r="CWV3" s="242"/>
      <c r="CWW3" s="242"/>
      <c r="CWX3" s="242"/>
      <c r="CWY3" s="242"/>
      <c r="CWZ3" s="242"/>
      <c r="CXA3" s="242"/>
      <c r="CXB3" s="242"/>
      <c r="CXC3" s="242"/>
      <c r="CXD3" s="242"/>
      <c r="CXE3" s="242"/>
      <c r="CXF3" s="242"/>
      <c r="CXG3" s="242"/>
      <c r="CXH3" s="242"/>
      <c r="CXI3" s="242"/>
      <c r="CXJ3" s="242"/>
      <c r="CXK3" s="242"/>
      <c r="CXL3" s="242"/>
      <c r="CXM3" s="242"/>
      <c r="CXN3" s="242"/>
      <c r="CXO3" s="242"/>
      <c r="CXP3" s="242"/>
      <c r="CXQ3" s="242"/>
      <c r="CXR3" s="242"/>
      <c r="CXS3" s="242"/>
      <c r="CXT3" s="242"/>
      <c r="CXU3" s="242"/>
      <c r="CXV3" s="242"/>
      <c r="CXW3" s="242"/>
      <c r="CXX3" s="242"/>
      <c r="CXY3" s="242"/>
      <c r="CXZ3" s="242"/>
      <c r="CYA3" s="242"/>
      <c r="CYB3" s="242"/>
      <c r="CYC3" s="242"/>
      <c r="CYD3" s="242"/>
      <c r="CYE3" s="242"/>
      <c r="CYF3" s="242"/>
      <c r="CYG3" s="242"/>
      <c r="CYH3" s="242"/>
      <c r="CYI3" s="242"/>
      <c r="CYJ3" s="242"/>
      <c r="CYK3" s="242"/>
      <c r="CYL3" s="242"/>
      <c r="CYM3" s="242"/>
      <c r="CYN3" s="242"/>
      <c r="CYO3" s="242"/>
      <c r="CYP3" s="242"/>
      <c r="CYQ3" s="242"/>
      <c r="CYR3" s="242"/>
      <c r="CYS3" s="242"/>
      <c r="CYT3" s="242"/>
      <c r="CYU3" s="242"/>
      <c r="CYV3" s="242"/>
      <c r="CYW3" s="242"/>
      <c r="CYX3" s="242"/>
      <c r="CYY3" s="242"/>
      <c r="CYZ3" s="242"/>
      <c r="CZA3" s="242"/>
      <c r="CZB3" s="242"/>
      <c r="CZC3" s="242"/>
      <c r="CZD3" s="242"/>
      <c r="CZE3" s="242"/>
      <c r="CZF3" s="242"/>
      <c r="CZG3" s="242"/>
      <c r="CZH3" s="242"/>
      <c r="CZI3" s="242"/>
      <c r="CZJ3" s="242"/>
      <c r="CZK3" s="242"/>
      <c r="CZL3" s="242"/>
      <c r="CZM3" s="242"/>
      <c r="CZN3" s="242"/>
      <c r="CZO3" s="242"/>
      <c r="CZP3" s="242"/>
      <c r="CZQ3" s="242"/>
      <c r="CZR3" s="242"/>
      <c r="CZS3" s="242"/>
      <c r="CZT3" s="242"/>
      <c r="CZU3" s="242"/>
      <c r="CZV3" s="242"/>
      <c r="CZW3" s="242"/>
      <c r="CZX3" s="242"/>
      <c r="CZY3" s="242"/>
      <c r="CZZ3" s="242"/>
      <c r="DAA3" s="242"/>
      <c r="DAB3" s="242"/>
      <c r="DAC3" s="242"/>
      <c r="DAD3" s="242"/>
      <c r="DAE3" s="242"/>
      <c r="DAF3" s="242"/>
      <c r="DAG3" s="242"/>
      <c r="DAH3" s="242"/>
      <c r="DAI3" s="242"/>
      <c r="DAJ3" s="242"/>
      <c r="DAK3" s="242"/>
      <c r="DAL3" s="242"/>
      <c r="DAM3" s="242"/>
      <c r="DAN3" s="242"/>
      <c r="DAO3" s="242"/>
      <c r="DAP3" s="242"/>
      <c r="DAQ3" s="242"/>
      <c r="DAR3" s="242"/>
      <c r="DAS3" s="242"/>
      <c r="DAT3" s="242"/>
      <c r="DAU3" s="242"/>
      <c r="DAV3" s="242"/>
      <c r="DAW3" s="242"/>
      <c r="DAX3" s="242"/>
      <c r="DAY3" s="242"/>
      <c r="DAZ3" s="242"/>
      <c r="DBA3" s="242"/>
      <c r="DBB3" s="242"/>
      <c r="DBC3" s="242"/>
      <c r="DBD3" s="242"/>
      <c r="DBE3" s="242"/>
      <c r="DBF3" s="242"/>
      <c r="DBG3" s="242"/>
      <c r="DBH3" s="242"/>
      <c r="DBI3" s="242"/>
      <c r="DBJ3" s="242"/>
      <c r="DBK3" s="242"/>
      <c r="DBL3" s="242"/>
      <c r="DBM3" s="242"/>
      <c r="DBN3" s="242"/>
      <c r="DBO3" s="242"/>
      <c r="DBP3" s="242"/>
      <c r="DBQ3" s="242"/>
      <c r="DBR3" s="242"/>
      <c r="DBS3" s="242"/>
      <c r="DBT3" s="242"/>
      <c r="DBU3" s="242"/>
      <c r="DBV3" s="242"/>
      <c r="DBW3" s="242"/>
      <c r="DBX3" s="242"/>
      <c r="DBY3" s="242"/>
      <c r="DBZ3" s="242"/>
      <c r="DCA3" s="242"/>
      <c r="DCB3" s="242"/>
      <c r="DCC3" s="242"/>
      <c r="DCD3" s="242"/>
      <c r="DCE3" s="242"/>
      <c r="DCF3" s="242"/>
      <c r="DCG3" s="242"/>
      <c r="DCH3" s="242"/>
      <c r="DCI3" s="242"/>
      <c r="DCJ3" s="242"/>
      <c r="DCK3" s="242"/>
      <c r="DCL3" s="242"/>
      <c r="DCM3" s="242"/>
      <c r="DCN3" s="242"/>
      <c r="DCO3" s="242"/>
      <c r="DCP3" s="242"/>
      <c r="DCQ3" s="242"/>
      <c r="DCR3" s="242"/>
      <c r="DCS3" s="242"/>
      <c r="DCT3" s="242"/>
      <c r="DCU3" s="242"/>
      <c r="DCV3" s="242"/>
      <c r="DCW3" s="242"/>
      <c r="DCX3" s="242"/>
      <c r="DCY3" s="242"/>
      <c r="DCZ3" s="242"/>
      <c r="DDA3" s="242"/>
      <c r="DDB3" s="242"/>
      <c r="DDC3" s="242"/>
      <c r="DDD3" s="242"/>
      <c r="DDE3" s="242"/>
      <c r="DDF3" s="242"/>
      <c r="DDG3" s="242"/>
      <c r="DDH3" s="242"/>
      <c r="DDI3" s="242"/>
      <c r="DDJ3" s="242"/>
      <c r="DDK3" s="242"/>
      <c r="DDL3" s="242"/>
      <c r="DDM3" s="242"/>
      <c r="DDN3" s="242"/>
      <c r="DDO3" s="242"/>
      <c r="DDP3" s="242"/>
      <c r="DDQ3" s="242"/>
      <c r="DDR3" s="242"/>
      <c r="DDS3" s="242"/>
      <c r="DDT3" s="242"/>
      <c r="DDU3" s="242"/>
      <c r="DDV3" s="242"/>
      <c r="DDW3" s="242"/>
      <c r="DDX3" s="242"/>
      <c r="DDY3" s="242"/>
      <c r="DDZ3" s="242"/>
      <c r="DEA3" s="242"/>
      <c r="DEB3" s="242"/>
      <c r="DEC3" s="242"/>
      <c r="DED3" s="242"/>
      <c r="DEE3" s="242"/>
      <c r="DEF3" s="242"/>
      <c r="DEG3" s="242"/>
      <c r="DEH3" s="242"/>
      <c r="DEI3" s="242"/>
      <c r="DEJ3" s="242"/>
      <c r="DEK3" s="242"/>
      <c r="DEL3" s="242"/>
      <c r="DEM3" s="242"/>
      <c r="DEN3" s="242"/>
      <c r="DEO3" s="242"/>
      <c r="DEP3" s="242"/>
      <c r="DEQ3" s="242"/>
      <c r="DER3" s="242"/>
      <c r="DES3" s="242"/>
      <c r="DET3" s="242"/>
      <c r="DEU3" s="242"/>
      <c r="DEV3" s="242"/>
      <c r="DEW3" s="242"/>
      <c r="DEX3" s="242"/>
      <c r="DEY3" s="242"/>
      <c r="DEZ3" s="242"/>
      <c r="DFA3" s="242"/>
      <c r="DFB3" s="242"/>
      <c r="DFC3" s="242"/>
      <c r="DFD3" s="242"/>
      <c r="DFE3" s="242"/>
      <c r="DFF3" s="242"/>
      <c r="DFG3" s="242"/>
      <c r="DFH3" s="242"/>
      <c r="DFI3" s="242"/>
      <c r="DFJ3" s="242"/>
      <c r="DFK3" s="242"/>
      <c r="DFL3" s="242"/>
      <c r="DFM3" s="242"/>
      <c r="DFN3" s="242"/>
      <c r="DFO3" s="242"/>
      <c r="DFP3" s="242"/>
      <c r="DFQ3" s="242"/>
      <c r="DFR3" s="242"/>
      <c r="DFS3" s="242"/>
      <c r="DFT3" s="242"/>
      <c r="DFU3" s="242"/>
      <c r="DFV3" s="242"/>
      <c r="DFW3" s="242"/>
      <c r="DFX3" s="242"/>
      <c r="DFY3" s="242"/>
      <c r="DFZ3" s="242"/>
      <c r="DGA3" s="242"/>
      <c r="DGB3" s="242"/>
      <c r="DGC3" s="242"/>
      <c r="DGD3" s="242"/>
      <c r="DGE3" s="242"/>
      <c r="DGF3" s="242"/>
      <c r="DGG3" s="242"/>
      <c r="DGH3" s="242"/>
      <c r="DGI3" s="242"/>
      <c r="DGJ3" s="242"/>
      <c r="DGK3" s="242"/>
      <c r="DGL3" s="242"/>
      <c r="DGM3" s="242"/>
      <c r="DGN3" s="242"/>
      <c r="DGO3" s="242"/>
      <c r="DGP3" s="242"/>
      <c r="DGQ3" s="242"/>
      <c r="DGR3" s="242"/>
      <c r="DGS3" s="242"/>
      <c r="DGT3" s="242"/>
      <c r="DGU3" s="242"/>
      <c r="DGV3" s="242"/>
      <c r="DGW3" s="242"/>
      <c r="DGX3" s="242"/>
      <c r="DGY3" s="242"/>
      <c r="DGZ3" s="242"/>
      <c r="DHA3" s="242"/>
      <c r="DHB3" s="242"/>
      <c r="DHC3" s="242"/>
      <c r="DHD3" s="242"/>
      <c r="DHE3" s="242"/>
      <c r="DHF3" s="242"/>
      <c r="DHG3" s="242"/>
      <c r="DHH3" s="242"/>
      <c r="DHI3" s="242"/>
      <c r="DHJ3" s="242"/>
      <c r="DHK3" s="242"/>
      <c r="DHL3" s="242"/>
      <c r="DHM3" s="242"/>
      <c r="DHN3" s="242"/>
      <c r="DHO3" s="242"/>
      <c r="DHP3" s="242"/>
      <c r="DHQ3" s="242"/>
      <c r="DHR3" s="242"/>
      <c r="DHS3" s="242"/>
      <c r="DHT3" s="242"/>
      <c r="DHU3" s="242"/>
      <c r="DHV3" s="242"/>
      <c r="DHW3" s="242"/>
      <c r="DHX3" s="242"/>
      <c r="DHY3" s="242"/>
      <c r="DHZ3" s="242"/>
      <c r="DIA3" s="242"/>
      <c r="DIB3" s="242"/>
      <c r="DIC3" s="242"/>
      <c r="DID3" s="242"/>
      <c r="DIE3" s="242"/>
      <c r="DIF3" s="242"/>
      <c r="DIG3" s="242"/>
      <c r="DIH3" s="242"/>
      <c r="DII3" s="242"/>
      <c r="DIJ3" s="242"/>
      <c r="DIK3" s="242"/>
      <c r="DIL3" s="242"/>
      <c r="DIM3" s="242"/>
      <c r="DIN3" s="242"/>
      <c r="DIO3" s="242"/>
      <c r="DIP3" s="242"/>
      <c r="DIQ3" s="242"/>
      <c r="DIR3" s="242"/>
      <c r="DIS3" s="242"/>
      <c r="DIT3" s="242"/>
      <c r="DIU3" s="242"/>
      <c r="DIV3" s="242"/>
      <c r="DIW3" s="242"/>
      <c r="DIX3" s="242"/>
      <c r="DIY3" s="242"/>
      <c r="DIZ3" s="242"/>
      <c r="DJA3" s="242"/>
      <c r="DJB3" s="242"/>
      <c r="DJC3" s="242"/>
      <c r="DJD3" s="242"/>
      <c r="DJE3" s="242"/>
      <c r="DJF3" s="242"/>
      <c r="DJG3" s="242"/>
      <c r="DJH3" s="242"/>
      <c r="DJI3" s="242"/>
      <c r="DJJ3" s="242"/>
      <c r="DJK3" s="242"/>
      <c r="DJL3" s="242"/>
      <c r="DJM3" s="242"/>
      <c r="DJN3" s="242"/>
      <c r="DJO3" s="242"/>
      <c r="DJP3" s="242"/>
      <c r="DJQ3" s="242"/>
      <c r="DJR3" s="242"/>
      <c r="DJS3" s="242"/>
      <c r="DJT3" s="242"/>
      <c r="DJU3" s="242"/>
      <c r="DJV3" s="242"/>
      <c r="DJW3" s="242"/>
      <c r="DJX3" s="242"/>
      <c r="DJY3" s="242"/>
      <c r="DJZ3" s="242"/>
      <c r="DKA3" s="242"/>
      <c r="DKB3" s="242"/>
      <c r="DKC3" s="242"/>
      <c r="DKD3" s="242"/>
      <c r="DKE3" s="242"/>
      <c r="DKF3" s="242"/>
      <c r="DKG3" s="242"/>
      <c r="DKH3" s="242"/>
      <c r="DKI3" s="242"/>
      <c r="DKJ3" s="242"/>
      <c r="DKK3" s="242"/>
      <c r="DKL3" s="242"/>
      <c r="DKM3" s="242"/>
      <c r="DKN3" s="242"/>
      <c r="DKO3" s="242"/>
      <c r="DKP3" s="242"/>
      <c r="DKQ3" s="242"/>
      <c r="DKR3" s="242"/>
      <c r="DKS3" s="242"/>
      <c r="DKT3" s="242"/>
      <c r="DKU3" s="242"/>
      <c r="DKV3" s="242"/>
      <c r="DKW3" s="242"/>
      <c r="DKX3" s="242"/>
      <c r="DKY3" s="242"/>
      <c r="DKZ3" s="242"/>
      <c r="DLA3" s="242"/>
      <c r="DLB3" s="242"/>
      <c r="DLC3" s="242"/>
      <c r="DLD3" s="242"/>
      <c r="DLE3" s="242"/>
      <c r="DLF3" s="242"/>
      <c r="DLG3" s="242"/>
      <c r="DLH3" s="242"/>
      <c r="DLI3" s="242"/>
      <c r="DLJ3" s="242"/>
      <c r="DLK3" s="242"/>
      <c r="DLL3" s="242"/>
      <c r="DLM3" s="242"/>
      <c r="DLN3" s="242"/>
      <c r="DLO3" s="242"/>
      <c r="DLP3" s="242"/>
      <c r="DLQ3" s="242"/>
      <c r="DLR3" s="242"/>
      <c r="DLS3" s="242"/>
      <c r="DLT3" s="242"/>
      <c r="DLU3" s="242"/>
      <c r="DLV3" s="242"/>
      <c r="DLW3" s="242"/>
      <c r="DLX3" s="242"/>
      <c r="DLY3" s="242"/>
      <c r="DLZ3" s="242"/>
      <c r="DMA3" s="242"/>
      <c r="DMB3" s="242"/>
      <c r="DMC3" s="242"/>
      <c r="DMD3" s="242"/>
      <c r="DME3" s="242"/>
      <c r="DMF3" s="242"/>
      <c r="DMG3" s="242"/>
      <c r="DMH3" s="242"/>
      <c r="DMI3" s="242"/>
      <c r="DMJ3" s="242"/>
      <c r="DMK3" s="242"/>
      <c r="DML3" s="242"/>
      <c r="DMM3" s="242"/>
      <c r="DMN3" s="242"/>
      <c r="DMO3" s="242"/>
      <c r="DMP3" s="242"/>
      <c r="DMQ3" s="242"/>
      <c r="DMR3" s="242"/>
      <c r="DMS3" s="242"/>
      <c r="DMT3" s="242"/>
      <c r="DMU3" s="242"/>
      <c r="DMV3" s="242"/>
      <c r="DMW3" s="242"/>
      <c r="DMX3" s="242"/>
      <c r="DMY3" s="242"/>
      <c r="DMZ3" s="242"/>
      <c r="DNA3" s="242"/>
      <c r="DNB3" s="242"/>
      <c r="DNC3" s="242"/>
      <c r="DND3" s="242"/>
      <c r="DNE3" s="242"/>
      <c r="DNF3" s="242"/>
      <c r="DNG3" s="242"/>
      <c r="DNH3" s="242"/>
      <c r="DNI3" s="242"/>
      <c r="DNJ3" s="242"/>
      <c r="DNK3" s="242"/>
      <c r="DNL3" s="242"/>
      <c r="DNM3" s="242"/>
      <c r="DNN3" s="242"/>
      <c r="DNO3" s="242"/>
      <c r="DNP3" s="242"/>
      <c r="DNQ3" s="242"/>
      <c r="DNR3" s="242"/>
      <c r="DNS3" s="242"/>
      <c r="DNT3" s="242"/>
      <c r="DNU3" s="242"/>
      <c r="DNV3" s="242"/>
      <c r="DNW3" s="242"/>
      <c r="DNX3" s="242"/>
      <c r="DNY3" s="242"/>
      <c r="DNZ3" s="242"/>
      <c r="DOA3" s="242"/>
      <c r="DOB3" s="242"/>
      <c r="DOC3" s="242"/>
      <c r="DOD3" s="242"/>
      <c r="DOE3" s="242"/>
      <c r="DOF3" s="242"/>
      <c r="DOG3" s="242"/>
      <c r="DOH3" s="242"/>
      <c r="DOI3" s="242"/>
      <c r="DOJ3" s="242"/>
      <c r="DOK3" s="242"/>
      <c r="DOL3" s="242"/>
      <c r="DOM3" s="242"/>
      <c r="DON3" s="242"/>
      <c r="DOO3" s="242"/>
      <c r="DOP3" s="242"/>
      <c r="DOQ3" s="242"/>
      <c r="DOR3" s="242"/>
      <c r="DOS3" s="242"/>
      <c r="DOT3" s="242"/>
      <c r="DOU3" s="242"/>
      <c r="DOV3" s="242"/>
      <c r="DOW3" s="242"/>
      <c r="DOX3" s="242"/>
      <c r="DOY3" s="242"/>
      <c r="DOZ3" s="242"/>
      <c r="DPA3" s="242"/>
      <c r="DPB3" s="242"/>
      <c r="DPC3" s="242"/>
      <c r="DPD3" s="242"/>
      <c r="DPE3" s="242"/>
      <c r="DPF3" s="242"/>
      <c r="DPG3" s="242"/>
      <c r="DPH3" s="242"/>
      <c r="DPI3" s="242"/>
      <c r="DPJ3" s="242"/>
      <c r="DPK3" s="242"/>
      <c r="DPL3" s="242"/>
      <c r="DPM3" s="242"/>
      <c r="DPN3" s="242"/>
      <c r="DPO3" s="242"/>
      <c r="DPP3" s="242"/>
      <c r="DPQ3" s="242"/>
      <c r="DPR3" s="242"/>
      <c r="DPS3" s="242"/>
      <c r="DPT3" s="242"/>
      <c r="DPU3" s="242"/>
      <c r="DPV3" s="242"/>
      <c r="DPW3" s="242"/>
      <c r="DPX3" s="242"/>
      <c r="DPY3" s="242"/>
      <c r="DPZ3" s="242"/>
      <c r="DQA3" s="242"/>
      <c r="DQB3" s="242"/>
      <c r="DQC3" s="242"/>
      <c r="DQD3" s="242"/>
      <c r="DQE3" s="242"/>
      <c r="DQF3" s="242"/>
      <c r="DQG3" s="242"/>
      <c r="DQH3" s="242"/>
      <c r="DQI3" s="242"/>
      <c r="DQJ3" s="242"/>
      <c r="DQK3" s="242"/>
      <c r="DQL3" s="242"/>
      <c r="DQM3" s="242"/>
      <c r="DQN3" s="242"/>
      <c r="DQO3" s="242"/>
      <c r="DQP3" s="242"/>
      <c r="DQQ3" s="242"/>
      <c r="DQR3" s="242"/>
      <c r="DQS3" s="242"/>
      <c r="DQT3" s="242"/>
      <c r="DQU3" s="242"/>
      <c r="DQV3" s="242"/>
      <c r="DQW3" s="242"/>
      <c r="DQX3" s="242"/>
      <c r="DQY3" s="242"/>
      <c r="DQZ3" s="242"/>
      <c r="DRA3" s="242"/>
      <c r="DRB3" s="242"/>
      <c r="DRC3" s="242"/>
      <c r="DRD3" s="242"/>
      <c r="DRE3" s="242"/>
      <c r="DRF3" s="242"/>
      <c r="DRG3" s="242"/>
      <c r="DRH3" s="242"/>
      <c r="DRI3" s="242"/>
      <c r="DRJ3" s="242"/>
      <c r="DRK3" s="242"/>
      <c r="DRL3" s="242"/>
      <c r="DRM3" s="242"/>
      <c r="DRN3" s="242"/>
      <c r="DRO3" s="242"/>
      <c r="DRP3" s="242"/>
      <c r="DRQ3" s="242"/>
      <c r="DRR3" s="242"/>
      <c r="DRS3" s="242"/>
      <c r="DRT3" s="242"/>
      <c r="DRU3" s="242"/>
      <c r="DRV3" s="242"/>
      <c r="DRW3" s="242"/>
      <c r="DRX3" s="242"/>
      <c r="DRY3" s="242"/>
      <c r="DRZ3" s="242"/>
      <c r="DSA3" s="242"/>
      <c r="DSB3" s="242"/>
      <c r="DSC3" s="242"/>
      <c r="DSD3" s="242"/>
      <c r="DSE3" s="242"/>
      <c r="DSF3" s="242"/>
      <c r="DSG3" s="242"/>
      <c r="DSH3" s="242"/>
      <c r="DSI3" s="242"/>
      <c r="DSJ3" s="242"/>
      <c r="DSK3" s="242"/>
      <c r="DSL3" s="242"/>
      <c r="DSM3" s="242"/>
      <c r="DSN3" s="242"/>
      <c r="DSO3" s="242"/>
      <c r="DSP3" s="242"/>
      <c r="DSQ3" s="242"/>
      <c r="DSR3" s="242"/>
      <c r="DSS3" s="242"/>
      <c r="DST3" s="242"/>
      <c r="DSU3" s="242"/>
      <c r="DSV3" s="242"/>
      <c r="DSW3" s="242"/>
      <c r="DSX3" s="242"/>
      <c r="DSY3" s="242"/>
      <c r="DSZ3" s="242"/>
      <c r="DTA3" s="242"/>
      <c r="DTB3" s="242"/>
      <c r="DTC3" s="242"/>
      <c r="DTD3" s="242"/>
      <c r="DTE3" s="242"/>
      <c r="DTF3" s="242"/>
      <c r="DTG3" s="242"/>
      <c r="DTH3" s="242"/>
      <c r="DTI3" s="242"/>
      <c r="DTJ3" s="242"/>
      <c r="DTK3" s="242"/>
      <c r="DTL3" s="242"/>
      <c r="DTM3" s="242"/>
      <c r="DTN3" s="242"/>
      <c r="DTO3" s="242"/>
      <c r="DTP3" s="242"/>
      <c r="DTQ3" s="242"/>
      <c r="DTR3" s="242"/>
      <c r="DTS3" s="242"/>
      <c r="DTT3" s="242"/>
      <c r="DTU3" s="242"/>
      <c r="DTV3" s="242"/>
      <c r="DTW3" s="242"/>
      <c r="DTX3" s="242"/>
      <c r="DTY3" s="242"/>
      <c r="DTZ3" s="242"/>
      <c r="DUA3" s="242"/>
      <c r="DUB3" s="242"/>
      <c r="DUC3" s="242"/>
      <c r="DUD3" s="242"/>
      <c r="DUE3" s="242"/>
      <c r="DUF3" s="242"/>
      <c r="DUG3" s="242"/>
      <c r="DUH3" s="242"/>
      <c r="DUI3" s="242"/>
      <c r="DUJ3" s="242"/>
      <c r="DUK3" s="242"/>
      <c r="DUL3" s="242"/>
      <c r="DUM3" s="242"/>
      <c r="DUN3" s="242"/>
      <c r="DUO3" s="242"/>
      <c r="DUP3" s="242"/>
      <c r="DUQ3" s="242"/>
      <c r="DUR3" s="242"/>
      <c r="DUS3" s="242"/>
      <c r="DUT3" s="242"/>
      <c r="DUU3" s="242"/>
      <c r="DUV3" s="242"/>
      <c r="DUW3" s="242"/>
      <c r="DUX3" s="242"/>
      <c r="DUY3" s="242"/>
      <c r="DUZ3" s="242"/>
      <c r="DVA3" s="242"/>
      <c r="DVB3" s="242"/>
      <c r="DVC3" s="242"/>
      <c r="DVD3" s="242"/>
      <c r="DVE3" s="242"/>
      <c r="DVF3" s="242"/>
      <c r="DVG3" s="242"/>
      <c r="DVH3" s="242"/>
      <c r="DVI3" s="242"/>
      <c r="DVJ3" s="242"/>
      <c r="DVK3" s="242"/>
      <c r="DVL3" s="242"/>
      <c r="DVM3" s="242"/>
      <c r="DVN3" s="242"/>
      <c r="DVO3" s="242"/>
      <c r="DVP3" s="242"/>
      <c r="DVQ3" s="242"/>
      <c r="DVR3" s="242"/>
      <c r="DVS3" s="242"/>
      <c r="DVT3" s="242"/>
      <c r="DVU3" s="242"/>
      <c r="DVV3" s="242"/>
      <c r="DVW3" s="242"/>
      <c r="DVX3" s="242"/>
      <c r="DVY3" s="242"/>
      <c r="DVZ3" s="242"/>
      <c r="DWA3" s="242"/>
      <c r="DWB3" s="242"/>
      <c r="DWC3" s="242"/>
      <c r="DWD3" s="242"/>
      <c r="DWE3" s="242"/>
      <c r="DWF3" s="242"/>
      <c r="DWG3" s="242"/>
      <c r="DWH3" s="242"/>
      <c r="DWI3" s="242"/>
      <c r="DWJ3" s="242"/>
      <c r="DWK3" s="242"/>
      <c r="DWL3" s="242"/>
      <c r="DWM3" s="242"/>
      <c r="DWN3" s="242"/>
      <c r="DWO3" s="242"/>
      <c r="DWP3" s="242"/>
      <c r="DWQ3" s="242"/>
      <c r="DWR3" s="242"/>
      <c r="DWS3" s="242"/>
      <c r="DWT3" s="242"/>
      <c r="DWU3" s="242"/>
      <c r="DWV3" s="242"/>
      <c r="DWW3" s="242"/>
      <c r="DWX3" s="242"/>
      <c r="DWY3" s="242"/>
      <c r="DWZ3" s="242"/>
      <c r="DXA3" s="242"/>
      <c r="DXB3" s="242"/>
      <c r="DXC3" s="242"/>
      <c r="DXD3" s="242"/>
      <c r="DXE3" s="242"/>
      <c r="DXF3" s="242"/>
      <c r="DXG3" s="242"/>
      <c r="DXH3" s="242"/>
      <c r="DXI3" s="242"/>
      <c r="DXJ3" s="242"/>
      <c r="DXK3" s="242"/>
      <c r="DXL3" s="242"/>
      <c r="DXM3" s="242"/>
      <c r="DXN3" s="242"/>
      <c r="DXO3" s="242"/>
      <c r="DXP3" s="242"/>
      <c r="DXQ3" s="242"/>
      <c r="DXR3" s="242"/>
      <c r="DXS3" s="242"/>
      <c r="DXT3" s="242"/>
      <c r="DXU3" s="242"/>
      <c r="DXV3" s="242"/>
      <c r="DXW3" s="242"/>
      <c r="DXX3" s="242"/>
      <c r="DXY3" s="242"/>
      <c r="DXZ3" s="242"/>
      <c r="DYA3" s="242"/>
      <c r="DYB3" s="242"/>
      <c r="DYC3" s="242"/>
      <c r="DYD3" s="242"/>
      <c r="DYE3" s="242"/>
      <c r="DYF3" s="242"/>
      <c r="DYG3" s="242"/>
      <c r="DYH3" s="242"/>
      <c r="DYI3" s="242"/>
      <c r="DYJ3" s="242"/>
      <c r="DYK3" s="242"/>
      <c r="DYL3" s="242"/>
      <c r="DYM3" s="242"/>
      <c r="DYN3" s="242"/>
      <c r="DYO3" s="242"/>
      <c r="DYP3" s="242"/>
      <c r="DYQ3" s="242"/>
      <c r="DYR3" s="242"/>
      <c r="DYS3" s="242"/>
      <c r="DYT3" s="242"/>
      <c r="DYU3" s="242"/>
      <c r="DYV3" s="242"/>
      <c r="DYW3" s="242"/>
      <c r="DYX3" s="242"/>
      <c r="DYY3" s="242"/>
      <c r="DYZ3" s="242"/>
      <c r="DZA3" s="242"/>
      <c r="DZB3" s="242"/>
      <c r="DZC3" s="242"/>
      <c r="DZD3" s="242"/>
      <c r="DZE3" s="242"/>
      <c r="DZF3" s="242"/>
      <c r="DZG3" s="242"/>
      <c r="DZH3" s="242"/>
      <c r="DZI3" s="242"/>
      <c r="DZJ3" s="242"/>
      <c r="DZK3" s="242"/>
      <c r="DZL3" s="242"/>
      <c r="DZM3" s="242"/>
      <c r="DZN3" s="242"/>
      <c r="DZO3" s="242"/>
      <c r="DZP3" s="242"/>
      <c r="DZQ3" s="242"/>
      <c r="DZR3" s="242"/>
      <c r="DZS3" s="242"/>
      <c r="DZT3" s="242"/>
      <c r="DZU3" s="242"/>
      <c r="DZV3" s="242"/>
      <c r="DZW3" s="242"/>
      <c r="DZX3" s="242"/>
      <c r="DZY3" s="242"/>
      <c r="DZZ3" s="242"/>
      <c r="EAA3" s="242"/>
      <c r="EAB3" s="242"/>
      <c r="EAC3" s="242"/>
      <c r="EAD3" s="242"/>
      <c r="EAE3" s="242"/>
      <c r="EAF3" s="242"/>
      <c r="EAG3" s="242"/>
      <c r="EAH3" s="242"/>
      <c r="EAI3" s="242"/>
      <c r="EAJ3" s="242"/>
      <c r="EAK3" s="242"/>
      <c r="EAL3" s="242"/>
      <c r="EAM3" s="242"/>
      <c r="EAN3" s="242"/>
      <c r="EAO3" s="242"/>
      <c r="EAP3" s="242"/>
      <c r="EAQ3" s="242"/>
      <c r="EAR3" s="242"/>
      <c r="EAS3" s="242"/>
      <c r="EAT3" s="242"/>
      <c r="EAU3" s="242"/>
      <c r="EAV3" s="242"/>
      <c r="EAW3" s="242"/>
      <c r="EAX3" s="242"/>
      <c r="EAY3" s="242"/>
      <c r="EAZ3" s="242"/>
      <c r="EBA3" s="242"/>
      <c r="EBB3" s="242"/>
      <c r="EBC3" s="242"/>
      <c r="EBD3" s="242"/>
      <c r="EBE3" s="242"/>
      <c r="EBF3" s="242"/>
      <c r="EBG3" s="242"/>
      <c r="EBH3" s="242"/>
      <c r="EBI3" s="242"/>
      <c r="EBJ3" s="242"/>
      <c r="EBK3" s="242"/>
      <c r="EBL3" s="242"/>
      <c r="EBM3" s="242"/>
      <c r="EBN3" s="242"/>
      <c r="EBO3" s="242"/>
      <c r="EBP3" s="242"/>
      <c r="EBQ3" s="242"/>
      <c r="EBR3" s="242"/>
      <c r="EBS3" s="242"/>
      <c r="EBT3" s="242"/>
      <c r="EBU3" s="242"/>
      <c r="EBV3" s="242"/>
      <c r="EBW3" s="242"/>
      <c r="EBX3" s="242"/>
      <c r="EBY3" s="242"/>
      <c r="EBZ3" s="242"/>
      <c r="ECA3" s="242"/>
      <c r="ECB3" s="242"/>
      <c r="ECC3" s="242"/>
      <c r="ECD3" s="242"/>
      <c r="ECE3" s="242"/>
      <c r="ECF3" s="242"/>
      <c r="ECG3" s="242"/>
      <c r="ECH3" s="242"/>
      <c r="ECI3" s="242"/>
      <c r="ECJ3" s="242"/>
      <c r="ECK3" s="242"/>
      <c r="ECL3" s="242"/>
      <c r="ECM3" s="242"/>
      <c r="ECN3" s="242"/>
      <c r="ECO3" s="242"/>
      <c r="ECP3" s="242"/>
      <c r="ECQ3" s="242"/>
      <c r="ECR3" s="242"/>
      <c r="ECS3" s="242"/>
      <c r="ECT3" s="242"/>
      <c r="ECU3" s="242"/>
      <c r="ECV3" s="242"/>
      <c r="ECW3" s="242"/>
      <c r="ECX3" s="242"/>
      <c r="ECY3" s="242"/>
      <c r="ECZ3" s="242"/>
      <c r="EDA3" s="242"/>
      <c r="EDB3" s="242"/>
      <c r="EDC3" s="242"/>
      <c r="EDD3" s="242"/>
      <c r="EDE3" s="242"/>
      <c r="EDF3" s="242"/>
      <c r="EDG3" s="242"/>
      <c r="EDH3" s="242"/>
      <c r="EDI3" s="242"/>
      <c r="EDJ3" s="242"/>
      <c r="EDK3" s="242"/>
      <c r="EDL3" s="242"/>
      <c r="EDM3" s="242"/>
      <c r="EDN3" s="242"/>
      <c r="EDO3" s="242"/>
      <c r="EDP3" s="242"/>
      <c r="EDQ3" s="242"/>
      <c r="EDR3" s="242"/>
      <c r="EDS3" s="242"/>
      <c r="EDT3" s="242"/>
      <c r="EDU3" s="242"/>
      <c r="EDV3" s="242"/>
      <c r="EDW3" s="242"/>
      <c r="EDX3" s="242"/>
      <c r="EDY3" s="242"/>
      <c r="EDZ3" s="242"/>
      <c r="EEA3" s="242"/>
      <c r="EEB3" s="242"/>
      <c r="EEC3" s="242"/>
      <c r="EED3" s="242"/>
      <c r="EEE3" s="242"/>
      <c r="EEF3" s="242"/>
      <c r="EEG3" s="242"/>
      <c r="EEH3" s="242"/>
      <c r="EEI3" s="242"/>
      <c r="EEJ3" s="242"/>
      <c r="EEK3" s="242"/>
      <c r="EEL3" s="242"/>
      <c r="EEM3" s="242"/>
      <c r="EEN3" s="242"/>
      <c r="EEO3" s="242"/>
      <c r="EEP3" s="242"/>
      <c r="EEQ3" s="242"/>
      <c r="EER3" s="242"/>
      <c r="EES3" s="242"/>
      <c r="EET3" s="242"/>
      <c r="EEU3" s="242"/>
      <c r="EEV3" s="242"/>
      <c r="EEW3" s="242"/>
      <c r="EEX3" s="242"/>
      <c r="EEY3" s="242"/>
      <c r="EEZ3" s="242"/>
      <c r="EFA3" s="242"/>
      <c r="EFB3" s="242"/>
      <c r="EFC3" s="242"/>
      <c r="EFD3" s="242"/>
      <c r="EFE3" s="242"/>
      <c r="EFF3" s="242"/>
      <c r="EFG3" s="242"/>
      <c r="EFH3" s="242"/>
      <c r="EFI3" s="242"/>
      <c r="EFJ3" s="242"/>
      <c r="EFK3" s="242"/>
      <c r="EFL3" s="242"/>
      <c r="EFM3" s="242"/>
      <c r="EFN3" s="242"/>
      <c r="EFO3" s="242"/>
      <c r="EFP3" s="242"/>
      <c r="EFQ3" s="242"/>
      <c r="EFR3" s="242"/>
      <c r="EFS3" s="242"/>
      <c r="EFT3" s="242"/>
      <c r="EFU3" s="242"/>
      <c r="EFV3" s="242"/>
      <c r="EFW3" s="242"/>
      <c r="EFX3" s="242"/>
      <c r="EFY3" s="242"/>
      <c r="EFZ3" s="242"/>
      <c r="EGA3" s="242"/>
      <c r="EGB3" s="242"/>
      <c r="EGC3" s="242"/>
      <c r="EGD3" s="242"/>
      <c r="EGE3" s="242"/>
      <c r="EGF3" s="242"/>
      <c r="EGG3" s="242"/>
      <c r="EGH3" s="242"/>
      <c r="EGI3" s="242"/>
      <c r="EGJ3" s="242"/>
      <c r="EGK3" s="242"/>
      <c r="EGL3" s="242"/>
      <c r="EGM3" s="242"/>
      <c r="EGN3" s="242"/>
      <c r="EGO3" s="242"/>
      <c r="EGP3" s="242"/>
      <c r="EGQ3" s="242"/>
      <c r="EGR3" s="242"/>
      <c r="EGS3" s="242"/>
      <c r="EGT3" s="242"/>
      <c r="EGU3" s="242"/>
      <c r="EGV3" s="242"/>
      <c r="EGW3" s="242"/>
      <c r="EGX3" s="242"/>
      <c r="EGY3" s="242"/>
      <c r="EGZ3" s="242"/>
      <c r="EHA3" s="242"/>
      <c r="EHB3" s="242"/>
      <c r="EHC3" s="242"/>
      <c r="EHD3" s="242"/>
      <c r="EHE3" s="242"/>
      <c r="EHF3" s="242"/>
      <c r="EHG3" s="242"/>
      <c r="EHH3" s="242"/>
      <c r="EHI3" s="242"/>
      <c r="EHJ3" s="242"/>
      <c r="EHK3" s="242"/>
      <c r="EHL3" s="242"/>
      <c r="EHM3" s="242"/>
      <c r="EHN3" s="242"/>
      <c r="EHO3" s="242"/>
      <c r="EHP3" s="242"/>
      <c r="EHQ3" s="242"/>
      <c r="EHR3" s="242"/>
      <c r="EHS3" s="242"/>
      <c r="EHT3" s="242"/>
      <c r="EHU3" s="242"/>
      <c r="EHV3" s="242"/>
      <c r="EHW3" s="242"/>
      <c r="EHX3" s="242"/>
      <c r="EHY3" s="242"/>
      <c r="EHZ3" s="242"/>
      <c r="EIA3" s="242"/>
      <c r="EIB3" s="242"/>
      <c r="EIC3" s="242"/>
      <c r="EID3" s="242"/>
      <c r="EIE3" s="242"/>
      <c r="EIF3" s="242"/>
      <c r="EIG3" s="242"/>
      <c r="EIH3" s="242"/>
      <c r="EII3" s="242"/>
      <c r="EIJ3" s="242"/>
      <c r="EIK3" s="242"/>
      <c r="EIL3" s="242"/>
      <c r="EIM3" s="242"/>
      <c r="EIN3" s="242"/>
      <c r="EIO3" s="242"/>
      <c r="EIP3" s="242"/>
      <c r="EIQ3" s="242"/>
      <c r="EIR3" s="242"/>
      <c r="EIS3" s="242"/>
      <c r="EIT3" s="242"/>
      <c r="EIU3" s="242"/>
      <c r="EIV3" s="242"/>
      <c r="EIW3" s="242"/>
      <c r="EIX3" s="242"/>
      <c r="EIY3" s="242"/>
      <c r="EIZ3" s="242"/>
      <c r="EJA3" s="242"/>
      <c r="EJB3" s="242"/>
      <c r="EJC3" s="242"/>
      <c r="EJD3" s="242"/>
      <c r="EJE3" s="242"/>
      <c r="EJF3" s="242"/>
      <c r="EJG3" s="242"/>
      <c r="EJH3" s="242"/>
      <c r="EJI3" s="242"/>
      <c r="EJJ3" s="242"/>
      <c r="EJK3" s="242"/>
      <c r="EJL3" s="242"/>
      <c r="EJM3" s="242"/>
      <c r="EJN3" s="242"/>
      <c r="EJO3" s="242"/>
      <c r="EJP3" s="242"/>
      <c r="EJQ3" s="242"/>
      <c r="EJR3" s="242"/>
      <c r="EJS3" s="242"/>
      <c r="EJT3" s="242"/>
      <c r="EJU3" s="242"/>
      <c r="EJV3" s="242"/>
      <c r="EJW3" s="242"/>
      <c r="EJX3" s="242"/>
      <c r="EJY3" s="242"/>
      <c r="EJZ3" s="242"/>
      <c r="EKA3" s="242"/>
      <c r="EKB3" s="242"/>
      <c r="EKC3" s="242"/>
      <c r="EKD3" s="242"/>
      <c r="EKE3" s="242"/>
      <c r="EKF3" s="242"/>
      <c r="EKG3" s="242"/>
      <c r="EKH3" s="242"/>
      <c r="EKI3" s="242"/>
      <c r="EKJ3" s="242"/>
      <c r="EKK3" s="242"/>
      <c r="EKL3" s="242"/>
      <c r="EKM3" s="242"/>
      <c r="EKN3" s="242"/>
      <c r="EKO3" s="242"/>
      <c r="EKP3" s="242"/>
      <c r="EKQ3" s="242"/>
      <c r="EKR3" s="242"/>
      <c r="EKS3" s="242"/>
      <c r="EKT3" s="242"/>
      <c r="EKU3" s="242"/>
      <c r="EKV3" s="242"/>
      <c r="EKW3" s="242"/>
      <c r="EKX3" s="242"/>
      <c r="EKY3" s="242"/>
      <c r="EKZ3" s="242"/>
      <c r="ELA3" s="242"/>
      <c r="ELB3" s="242"/>
      <c r="ELC3" s="242"/>
      <c r="ELD3" s="242"/>
      <c r="ELE3" s="242"/>
      <c r="ELF3" s="242"/>
      <c r="ELG3" s="242"/>
      <c r="ELH3" s="242"/>
      <c r="ELI3" s="242"/>
      <c r="ELJ3" s="242"/>
      <c r="ELK3" s="242"/>
      <c r="ELL3" s="242"/>
      <c r="ELM3" s="242"/>
      <c r="ELN3" s="242"/>
      <c r="ELO3" s="242"/>
      <c r="ELP3" s="242"/>
      <c r="ELQ3" s="242"/>
      <c r="ELR3" s="242"/>
      <c r="ELS3" s="242"/>
      <c r="ELT3" s="242"/>
      <c r="ELU3" s="242"/>
      <c r="ELV3" s="242"/>
      <c r="ELW3" s="242"/>
      <c r="ELX3" s="242"/>
      <c r="ELY3" s="242"/>
      <c r="ELZ3" s="242"/>
      <c r="EMA3" s="242"/>
      <c r="EMB3" s="242"/>
      <c r="EMC3" s="242"/>
      <c r="EMD3" s="242"/>
      <c r="EME3" s="242"/>
      <c r="EMF3" s="242"/>
      <c r="EMG3" s="242"/>
      <c r="EMH3" s="242"/>
      <c r="EMI3" s="242"/>
      <c r="EMJ3" s="242"/>
      <c r="EMK3" s="242"/>
      <c r="EML3" s="242"/>
      <c r="EMM3" s="242"/>
      <c r="EMN3" s="242"/>
      <c r="EMO3" s="242"/>
      <c r="EMP3" s="242"/>
      <c r="EMQ3" s="242"/>
      <c r="EMR3" s="242"/>
      <c r="EMS3" s="242"/>
      <c r="EMT3" s="242"/>
      <c r="EMU3" s="242"/>
      <c r="EMV3" s="242"/>
      <c r="EMW3" s="242"/>
      <c r="EMX3" s="242"/>
      <c r="EMY3" s="242"/>
      <c r="EMZ3" s="242"/>
      <c r="ENA3" s="242"/>
      <c r="ENB3" s="242"/>
      <c r="ENC3" s="242"/>
      <c r="END3" s="242"/>
      <c r="ENE3" s="242"/>
      <c r="ENF3" s="242"/>
      <c r="ENG3" s="242"/>
      <c r="ENH3" s="242"/>
      <c r="ENI3" s="242"/>
      <c r="ENJ3" s="242"/>
      <c r="ENK3" s="242"/>
      <c r="ENL3" s="242"/>
      <c r="ENM3" s="242"/>
      <c r="ENN3" s="242"/>
      <c r="ENO3" s="242"/>
      <c r="ENP3" s="242"/>
      <c r="ENQ3" s="242"/>
      <c r="ENR3" s="242"/>
      <c r="ENS3" s="242"/>
      <c r="ENT3" s="242"/>
      <c r="ENU3" s="242"/>
      <c r="ENV3" s="242"/>
      <c r="ENW3" s="242"/>
      <c r="ENX3" s="242"/>
      <c r="ENY3" s="242"/>
      <c r="ENZ3" s="242"/>
      <c r="EOA3" s="242"/>
      <c r="EOB3" s="242"/>
      <c r="EOC3" s="242"/>
      <c r="EOD3" s="242"/>
      <c r="EOE3" s="242"/>
      <c r="EOF3" s="242"/>
      <c r="EOG3" s="242"/>
      <c r="EOH3" s="242"/>
      <c r="EOI3" s="242"/>
      <c r="EOJ3" s="242"/>
      <c r="EOK3" s="242"/>
      <c r="EOL3" s="242"/>
      <c r="EOM3" s="242"/>
      <c r="EON3" s="242"/>
      <c r="EOO3" s="242"/>
      <c r="EOP3" s="242"/>
      <c r="EOQ3" s="242"/>
      <c r="EOR3" s="242"/>
      <c r="EOS3" s="242"/>
      <c r="EOT3" s="242"/>
      <c r="EOU3" s="242"/>
      <c r="EOV3" s="242"/>
      <c r="EOW3" s="242"/>
      <c r="EOX3" s="242"/>
      <c r="EOY3" s="242"/>
      <c r="EOZ3" s="242"/>
      <c r="EPA3" s="242"/>
      <c r="EPB3" s="242"/>
      <c r="EPC3" s="242"/>
      <c r="EPD3" s="242"/>
      <c r="EPE3" s="242"/>
      <c r="EPF3" s="242"/>
      <c r="EPG3" s="242"/>
      <c r="EPH3" s="242"/>
      <c r="EPI3" s="242"/>
      <c r="EPJ3" s="242"/>
      <c r="EPK3" s="242"/>
      <c r="EPL3" s="242"/>
      <c r="EPM3" s="242"/>
      <c r="EPN3" s="242"/>
      <c r="EPO3" s="242"/>
      <c r="EPP3" s="242"/>
      <c r="EPQ3" s="242"/>
      <c r="EPR3" s="242"/>
      <c r="EPS3" s="242"/>
      <c r="EPT3" s="242"/>
      <c r="EPU3" s="242"/>
      <c r="EPV3" s="242"/>
      <c r="EPW3" s="242"/>
      <c r="EPX3" s="242"/>
      <c r="EPY3" s="242"/>
      <c r="EPZ3" s="242"/>
      <c r="EQA3" s="242"/>
      <c r="EQB3" s="242"/>
      <c r="EQC3" s="242"/>
      <c r="EQD3" s="242"/>
      <c r="EQE3" s="242"/>
      <c r="EQF3" s="242"/>
      <c r="EQG3" s="242"/>
      <c r="EQH3" s="242"/>
      <c r="EQI3" s="242"/>
      <c r="EQJ3" s="242"/>
      <c r="EQK3" s="242"/>
      <c r="EQL3" s="242"/>
      <c r="EQM3" s="242"/>
      <c r="EQN3" s="242"/>
      <c r="EQO3" s="242"/>
      <c r="EQP3" s="242"/>
      <c r="EQQ3" s="242"/>
      <c r="EQR3" s="242"/>
      <c r="EQS3" s="242"/>
      <c r="EQT3" s="242"/>
      <c r="EQU3" s="242"/>
      <c r="EQV3" s="242"/>
      <c r="EQW3" s="242"/>
      <c r="EQX3" s="242"/>
      <c r="EQY3" s="242"/>
      <c r="EQZ3" s="242"/>
      <c r="ERA3" s="242"/>
      <c r="ERB3" s="242"/>
      <c r="ERC3" s="242"/>
      <c r="ERD3" s="242"/>
      <c r="ERE3" s="242"/>
      <c r="ERF3" s="242"/>
      <c r="ERG3" s="242"/>
      <c r="ERH3" s="242"/>
      <c r="ERI3" s="242"/>
      <c r="ERJ3" s="242"/>
      <c r="ERK3" s="242"/>
      <c r="ERL3" s="242"/>
      <c r="ERM3" s="242"/>
      <c r="ERN3" s="242"/>
      <c r="ERO3" s="242"/>
      <c r="ERP3" s="242"/>
      <c r="ERQ3" s="242"/>
      <c r="ERR3" s="242"/>
      <c r="ERS3" s="242"/>
      <c r="ERT3" s="242"/>
      <c r="ERU3" s="242"/>
      <c r="ERV3" s="242"/>
      <c r="ERW3" s="242"/>
      <c r="ERX3" s="242"/>
      <c r="ERY3" s="242"/>
      <c r="ERZ3" s="242"/>
      <c r="ESA3" s="242"/>
      <c r="ESB3" s="242"/>
      <c r="ESC3" s="242"/>
      <c r="ESD3" s="242"/>
      <c r="ESE3" s="242"/>
      <c r="ESF3" s="242"/>
      <c r="ESG3" s="242"/>
      <c r="ESH3" s="242"/>
      <c r="ESI3" s="242"/>
      <c r="ESJ3" s="242"/>
      <c r="ESK3" s="242"/>
      <c r="ESL3" s="242"/>
      <c r="ESM3" s="242"/>
      <c r="ESN3" s="242"/>
      <c r="ESO3" s="242"/>
      <c r="ESP3" s="242"/>
      <c r="ESQ3" s="242"/>
      <c r="ESR3" s="242"/>
      <c r="ESS3" s="242"/>
      <c r="EST3" s="242"/>
      <c r="ESU3" s="242"/>
      <c r="ESV3" s="242"/>
      <c r="ESW3" s="242"/>
      <c r="ESX3" s="242"/>
      <c r="ESY3" s="242"/>
      <c r="ESZ3" s="242"/>
      <c r="ETA3" s="242"/>
      <c r="ETB3" s="242"/>
      <c r="ETC3" s="242"/>
      <c r="ETD3" s="242"/>
      <c r="ETE3" s="242"/>
      <c r="ETF3" s="242"/>
      <c r="ETG3" s="242"/>
      <c r="ETH3" s="242"/>
      <c r="ETI3" s="242"/>
      <c r="ETJ3" s="242"/>
      <c r="ETK3" s="242"/>
      <c r="ETL3" s="242"/>
      <c r="ETM3" s="242"/>
      <c r="ETN3" s="242"/>
      <c r="ETO3" s="242"/>
      <c r="ETP3" s="242"/>
      <c r="ETQ3" s="242"/>
      <c r="ETR3" s="242"/>
      <c r="ETS3" s="242"/>
      <c r="ETT3" s="242"/>
      <c r="ETU3" s="242"/>
      <c r="ETV3" s="242"/>
      <c r="ETW3" s="242"/>
      <c r="ETX3" s="242"/>
      <c r="ETY3" s="242"/>
      <c r="ETZ3" s="242"/>
      <c r="EUA3" s="242"/>
      <c r="EUB3" s="242"/>
      <c r="EUC3" s="242"/>
      <c r="EUD3" s="242"/>
      <c r="EUE3" s="242"/>
      <c r="EUF3" s="242"/>
      <c r="EUG3" s="242"/>
      <c r="EUH3" s="242"/>
      <c r="EUI3" s="242"/>
      <c r="EUJ3" s="242"/>
      <c r="EUK3" s="242"/>
      <c r="EUL3" s="242"/>
      <c r="EUM3" s="242"/>
      <c r="EUN3" s="242"/>
      <c r="EUO3" s="242"/>
      <c r="EUP3" s="242"/>
      <c r="EUQ3" s="242"/>
      <c r="EUR3" s="242"/>
      <c r="EUS3" s="242"/>
      <c r="EUT3" s="242"/>
      <c r="EUU3" s="242"/>
      <c r="EUV3" s="242"/>
      <c r="EUW3" s="242"/>
      <c r="EUX3" s="242"/>
      <c r="EUY3" s="242"/>
      <c r="EUZ3" s="242"/>
      <c r="EVA3" s="242"/>
      <c r="EVB3" s="242"/>
      <c r="EVC3" s="242"/>
      <c r="EVD3" s="242"/>
      <c r="EVE3" s="242"/>
      <c r="EVF3" s="242"/>
      <c r="EVG3" s="242"/>
      <c r="EVH3" s="242"/>
      <c r="EVI3" s="242"/>
      <c r="EVJ3" s="242"/>
      <c r="EVK3" s="242"/>
      <c r="EVL3" s="242"/>
      <c r="EVM3" s="242"/>
      <c r="EVN3" s="242"/>
      <c r="EVO3" s="242"/>
      <c r="EVP3" s="242"/>
      <c r="EVQ3" s="242"/>
      <c r="EVR3" s="242"/>
      <c r="EVS3" s="242"/>
      <c r="EVT3" s="242"/>
      <c r="EVU3" s="242"/>
      <c r="EVV3" s="242"/>
      <c r="EVW3" s="242"/>
      <c r="EVX3" s="242"/>
      <c r="EVY3" s="242"/>
      <c r="EVZ3" s="242"/>
      <c r="EWA3" s="242"/>
      <c r="EWB3" s="242"/>
      <c r="EWC3" s="242"/>
      <c r="EWD3" s="242"/>
      <c r="EWE3" s="242"/>
      <c r="EWF3" s="242"/>
      <c r="EWG3" s="242"/>
      <c r="EWH3" s="242"/>
      <c r="EWI3" s="242"/>
      <c r="EWJ3" s="242"/>
      <c r="EWK3" s="242"/>
      <c r="EWL3" s="242"/>
      <c r="EWM3" s="242"/>
      <c r="EWN3" s="242"/>
      <c r="EWO3" s="242"/>
      <c r="EWP3" s="242"/>
      <c r="EWQ3" s="242"/>
      <c r="EWR3" s="242"/>
      <c r="EWS3" s="242"/>
      <c r="EWT3" s="242"/>
      <c r="EWU3" s="242"/>
      <c r="EWV3" s="242"/>
      <c r="EWW3" s="242"/>
      <c r="EWX3" s="242"/>
      <c r="EWY3" s="242"/>
      <c r="EWZ3" s="242"/>
      <c r="EXA3" s="242"/>
      <c r="EXB3" s="242"/>
      <c r="EXC3" s="242"/>
      <c r="EXD3" s="242"/>
      <c r="EXE3" s="242"/>
      <c r="EXF3" s="242"/>
      <c r="EXG3" s="242"/>
      <c r="EXH3" s="242"/>
      <c r="EXI3" s="242"/>
      <c r="EXJ3" s="242"/>
      <c r="EXK3" s="242"/>
      <c r="EXL3" s="242"/>
      <c r="EXM3" s="242"/>
      <c r="EXN3" s="242"/>
      <c r="EXO3" s="242"/>
      <c r="EXP3" s="242"/>
      <c r="EXQ3" s="242"/>
      <c r="EXR3" s="242"/>
      <c r="EXS3" s="242"/>
      <c r="EXT3" s="242"/>
      <c r="EXU3" s="242"/>
      <c r="EXV3" s="242"/>
      <c r="EXW3" s="242"/>
      <c r="EXX3" s="242"/>
      <c r="EXY3" s="242"/>
      <c r="EXZ3" s="242"/>
      <c r="EYA3" s="242"/>
      <c r="EYB3" s="242"/>
      <c r="EYC3" s="242"/>
      <c r="EYD3" s="242"/>
      <c r="EYE3" s="242"/>
      <c r="EYF3" s="242"/>
      <c r="EYG3" s="242"/>
      <c r="EYH3" s="242"/>
      <c r="EYI3" s="242"/>
      <c r="EYJ3" s="242"/>
      <c r="EYK3" s="242"/>
      <c r="EYL3" s="242"/>
      <c r="EYM3" s="242"/>
      <c r="EYN3" s="242"/>
      <c r="EYO3" s="242"/>
      <c r="EYP3" s="242"/>
      <c r="EYQ3" s="242"/>
      <c r="EYR3" s="242"/>
      <c r="EYS3" s="242"/>
      <c r="EYT3" s="242"/>
      <c r="EYU3" s="242"/>
      <c r="EYV3" s="242"/>
      <c r="EYW3" s="242"/>
      <c r="EYX3" s="242"/>
      <c r="EYY3" s="242"/>
      <c r="EYZ3" s="242"/>
      <c r="EZA3" s="242"/>
      <c r="EZB3" s="242"/>
      <c r="EZC3" s="242"/>
      <c r="EZD3" s="242"/>
      <c r="EZE3" s="242"/>
      <c r="EZF3" s="242"/>
      <c r="EZG3" s="242"/>
      <c r="EZH3" s="242"/>
      <c r="EZI3" s="242"/>
      <c r="EZJ3" s="242"/>
      <c r="EZK3" s="242"/>
      <c r="EZL3" s="242"/>
      <c r="EZM3" s="242"/>
      <c r="EZN3" s="242"/>
      <c r="EZO3" s="242"/>
      <c r="EZP3" s="242"/>
      <c r="EZQ3" s="242"/>
      <c r="EZR3" s="242"/>
      <c r="EZS3" s="242"/>
      <c r="EZT3" s="242"/>
      <c r="EZU3" s="242"/>
      <c r="EZV3" s="242"/>
      <c r="EZW3" s="242"/>
      <c r="EZX3" s="242"/>
      <c r="EZY3" s="242"/>
      <c r="EZZ3" s="242"/>
      <c r="FAA3" s="242"/>
      <c r="FAB3" s="242"/>
      <c r="FAC3" s="242"/>
      <c r="FAD3" s="242"/>
      <c r="FAE3" s="242"/>
      <c r="FAF3" s="242"/>
      <c r="FAG3" s="242"/>
      <c r="FAH3" s="242"/>
      <c r="FAI3" s="242"/>
      <c r="FAJ3" s="242"/>
      <c r="FAK3" s="242"/>
      <c r="FAL3" s="242"/>
      <c r="FAM3" s="242"/>
      <c r="FAN3" s="242"/>
      <c r="FAO3" s="242"/>
      <c r="FAP3" s="242"/>
      <c r="FAQ3" s="242"/>
      <c r="FAR3" s="242"/>
      <c r="FAS3" s="242"/>
      <c r="FAT3" s="242"/>
      <c r="FAU3" s="242"/>
      <c r="FAV3" s="242"/>
      <c r="FAW3" s="242"/>
      <c r="FAX3" s="242"/>
      <c r="FAY3" s="242"/>
      <c r="FAZ3" s="242"/>
      <c r="FBA3" s="242"/>
      <c r="FBB3" s="242"/>
      <c r="FBC3" s="242"/>
      <c r="FBD3" s="242"/>
      <c r="FBE3" s="242"/>
      <c r="FBF3" s="242"/>
      <c r="FBG3" s="242"/>
      <c r="FBH3" s="242"/>
      <c r="FBI3" s="242"/>
      <c r="FBJ3" s="242"/>
      <c r="FBK3" s="242"/>
      <c r="FBL3" s="242"/>
      <c r="FBM3" s="242"/>
      <c r="FBN3" s="242"/>
      <c r="FBO3" s="242"/>
      <c r="FBP3" s="242"/>
      <c r="FBQ3" s="242"/>
      <c r="FBR3" s="242"/>
      <c r="FBS3" s="242"/>
      <c r="FBT3" s="242"/>
      <c r="FBU3" s="242"/>
      <c r="FBV3" s="242"/>
      <c r="FBW3" s="242"/>
      <c r="FBX3" s="242"/>
      <c r="FBY3" s="242"/>
      <c r="FBZ3" s="242"/>
      <c r="FCA3" s="242"/>
      <c r="FCB3" s="242"/>
      <c r="FCC3" s="242"/>
      <c r="FCD3" s="242"/>
      <c r="FCE3" s="242"/>
      <c r="FCF3" s="242"/>
      <c r="FCG3" s="242"/>
      <c r="FCH3" s="242"/>
      <c r="FCI3" s="242"/>
      <c r="FCJ3" s="242"/>
      <c r="FCK3" s="242"/>
      <c r="FCL3" s="242"/>
      <c r="FCM3" s="242"/>
      <c r="FCN3" s="242"/>
      <c r="FCO3" s="242"/>
      <c r="FCP3" s="242"/>
      <c r="FCQ3" s="242"/>
      <c r="FCR3" s="242"/>
      <c r="FCS3" s="242"/>
      <c r="FCT3" s="242"/>
      <c r="FCU3" s="242"/>
      <c r="FCV3" s="242"/>
      <c r="FCW3" s="242"/>
      <c r="FCX3" s="242"/>
      <c r="FCY3" s="242"/>
      <c r="FCZ3" s="242"/>
      <c r="FDA3" s="242"/>
      <c r="FDB3" s="242"/>
      <c r="FDC3" s="242"/>
      <c r="FDD3" s="242"/>
      <c r="FDE3" s="242"/>
      <c r="FDF3" s="242"/>
      <c r="FDG3" s="242"/>
      <c r="FDH3" s="242"/>
      <c r="FDI3" s="242"/>
      <c r="FDJ3" s="242"/>
      <c r="FDK3" s="242"/>
      <c r="FDL3" s="242"/>
      <c r="FDM3" s="242"/>
      <c r="FDN3" s="242"/>
      <c r="FDO3" s="242"/>
      <c r="FDP3" s="242"/>
      <c r="FDQ3" s="242"/>
      <c r="FDR3" s="242"/>
      <c r="FDS3" s="242"/>
      <c r="FDT3" s="242"/>
      <c r="FDU3" s="242"/>
      <c r="FDV3" s="242"/>
      <c r="FDW3" s="242"/>
      <c r="FDX3" s="242"/>
      <c r="FDY3" s="242"/>
      <c r="FDZ3" s="242"/>
      <c r="FEA3" s="242"/>
      <c r="FEB3" s="242"/>
      <c r="FEC3" s="242"/>
      <c r="FED3" s="242"/>
      <c r="FEE3" s="242"/>
      <c r="FEF3" s="242"/>
      <c r="FEG3" s="242"/>
      <c r="FEH3" s="242"/>
      <c r="FEI3" s="242"/>
      <c r="FEJ3" s="242"/>
      <c r="FEK3" s="242"/>
      <c r="FEL3" s="242"/>
      <c r="FEM3" s="242"/>
      <c r="FEN3" s="242"/>
      <c r="FEO3" s="242"/>
      <c r="FEP3" s="242"/>
      <c r="FEQ3" s="242"/>
      <c r="FER3" s="242"/>
      <c r="FES3" s="242"/>
      <c r="FET3" s="242"/>
      <c r="FEU3" s="242"/>
      <c r="FEV3" s="242"/>
      <c r="FEW3" s="242"/>
      <c r="FEX3" s="242"/>
      <c r="FEY3" s="242"/>
      <c r="FEZ3" s="242"/>
      <c r="FFA3" s="242"/>
      <c r="FFB3" s="242"/>
      <c r="FFC3" s="242"/>
      <c r="FFD3" s="242"/>
      <c r="FFE3" s="242"/>
      <c r="FFF3" s="242"/>
      <c r="FFG3" s="242"/>
      <c r="FFH3" s="242"/>
      <c r="FFI3" s="242"/>
      <c r="FFJ3" s="242"/>
      <c r="FFK3" s="242"/>
      <c r="FFL3" s="242"/>
      <c r="FFM3" s="242"/>
      <c r="FFN3" s="242"/>
      <c r="FFO3" s="242"/>
      <c r="FFP3" s="242"/>
      <c r="FFQ3" s="242"/>
      <c r="FFR3" s="242"/>
      <c r="FFS3" s="242"/>
      <c r="FFT3" s="242"/>
      <c r="FFU3" s="242"/>
      <c r="FFV3" s="242"/>
      <c r="FFW3" s="242"/>
      <c r="FFX3" s="242"/>
      <c r="FFY3" s="242"/>
      <c r="FFZ3" s="242"/>
      <c r="FGA3" s="242"/>
      <c r="FGB3" s="242"/>
      <c r="FGC3" s="242"/>
      <c r="FGD3" s="242"/>
      <c r="FGE3" s="242"/>
      <c r="FGF3" s="242"/>
      <c r="FGG3" s="242"/>
      <c r="FGH3" s="242"/>
      <c r="FGI3" s="242"/>
      <c r="FGJ3" s="242"/>
      <c r="FGK3" s="242"/>
      <c r="FGL3" s="242"/>
      <c r="FGM3" s="242"/>
      <c r="FGN3" s="242"/>
      <c r="FGO3" s="242"/>
      <c r="FGP3" s="242"/>
      <c r="FGQ3" s="242"/>
      <c r="FGR3" s="242"/>
      <c r="FGS3" s="242"/>
      <c r="FGT3" s="242"/>
      <c r="FGU3" s="242"/>
      <c r="FGV3" s="242"/>
      <c r="FGW3" s="242"/>
      <c r="FGX3" s="242"/>
      <c r="FGY3" s="242"/>
      <c r="FGZ3" s="242"/>
      <c r="FHA3" s="242"/>
      <c r="FHB3" s="242"/>
      <c r="FHC3" s="242"/>
      <c r="FHD3" s="242"/>
      <c r="FHE3" s="242"/>
      <c r="FHF3" s="242"/>
      <c r="FHG3" s="242"/>
      <c r="FHH3" s="242"/>
      <c r="FHI3" s="242"/>
      <c r="FHJ3" s="242"/>
      <c r="FHK3" s="242"/>
      <c r="FHL3" s="242"/>
      <c r="FHM3" s="242"/>
      <c r="FHN3" s="242"/>
      <c r="FHO3" s="242"/>
      <c r="FHP3" s="242"/>
      <c r="FHQ3" s="242"/>
      <c r="FHR3" s="242"/>
      <c r="FHS3" s="242"/>
      <c r="FHT3" s="242"/>
      <c r="FHU3" s="242"/>
      <c r="FHV3" s="242"/>
      <c r="FHW3" s="242"/>
      <c r="FHX3" s="242"/>
      <c r="FHY3" s="242"/>
      <c r="FHZ3" s="242"/>
      <c r="FIA3" s="242"/>
      <c r="FIB3" s="242"/>
      <c r="FIC3" s="242"/>
      <c r="FID3" s="242"/>
      <c r="FIE3" s="242"/>
      <c r="FIF3" s="242"/>
      <c r="FIG3" s="242"/>
      <c r="FIH3" s="242"/>
      <c r="FII3" s="242"/>
      <c r="FIJ3" s="242"/>
      <c r="FIK3" s="242"/>
      <c r="FIL3" s="242"/>
      <c r="FIM3" s="242"/>
      <c r="FIN3" s="242"/>
      <c r="FIO3" s="242"/>
      <c r="FIP3" s="242"/>
      <c r="FIQ3" s="242"/>
      <c r="FIR3" s="242"/>
      <c r="FIS3" s="242"/>
      <c r="FIT3" s="242"/>
      <c r="FIU3" s="242"/>
      <c r="FIV3" s="242"/>
      <c r="FIW3" s="242"/>
      <c r="FIX3" s="242"/>
      <c r="FIY3" s="242"/>
      <c r="FIZ3" s="242"/>
      <c r="FJA3" s="242"/>
      <c r="FJB3" s="242"/>
      <c r="FJC3" s="242"/>
      <c r="FJD3" s="242"/>
      <c r="FJE3" s="242"/>
      <c r="FJF3" s="242"/>
      <c r="FJG3" s="242"/>
      <c r="FJH3" s="242"/>
      <c r="FJI3" s="242"/>
      <c r="FJJ3" s="242"/>
      <c r="FJK3" s="242"/>
      <c r="FJL3" s="242"/>
      <c r="FJM3" s="242"/>
      <c r="FJN3" s="242"/>
      <c r="FJO3" s="242"/>
      <c r="FJP3" s="242"/>
      <c r="FJQ3" s="242"/>
      <c r="FJR3" s="242"/>
      <c r="FJS3" s="242"/>
      <c r="FJT3" s="242"/>
      <c r="FJU3" s="242"/>
      <c r="FJV3" s="242"/>
      <c r="FJW3" s="242"/>
      <c r="FJX3" s="242"/>
      <c r="FJY3" s="242"/>
      <c r="FJZ3" s="242"/>
      <c r="FKA3" s="242"/>
      <c r="FKB3" s="242"/>
      <c r="FKC3" s="242"/>
      <c r="FKD3" s="242"/>
      <c r="FKE3" s="242"/>
      <c r="FKF3" s="242"/>
      <c r="FKG3" s="242"/>
      <c r="FKH3" s="242"/>
      <c r="FKI3" s="242"/>
      <c r="FKJ3" s="242"/>
      <c r="FKK3" s="242"/>
      <c r="FKL3" s="242"/>
      <c r="FKM3" s="242"/>
      <c r="FKN3" s="242"/>
      <c r="FKO3" s="242"/>
      <c r="FKP3" s="242"/>
      <c r="FKQ3" s="242"/>
      <c r="FKR3" s="242"/>
      <c r="FKS3" s="242"/>
      <c r="FKT3" s="242"/>
      <c r="FKU3" s="242"/>
      <c r="FKV3" s="242"/>
      <c r="FKW3" s="242"/>
      <c r="FKX3" s="242"/>
      <c r="FKY3" s="242"/>
      <c r="FKZ3" s="242"/>
      <c r="FLA3" s="242"/>
      <c r="FLB3" s="242"/>
      <c r="FLC3" s="242"/>
      <c r="FLD3" s="242"/>
      <c r="FLE3" s="242"/>
      <c r="FLF3" s="242"/>
      <c r="FLG3" s="242"/>
      <c r="FLH3" s="242"/>
      <c r="FLI3" s="242"/>
      <c r="FLJ3" s="242"/>
      <c r="FLK3" s="242"/>
      <c r="FLL3" s="242"/>
      <c r="FLM3" s="242"/>
      <c r="FLN3" s="242"/>
      <c r="FLO3" s="242"/>
      <c r="FLP3" s="242"/>
      <c r="FLQ3" s="242"/>
      <c r="FLR3" s="242"/>
      <c r="FLS3" s="242"/>
      <c r="FLT3" s="242"/>
      <c r="FLU3" s="242"/>
      <c r="FLV3" s="242"/>
      <c r="FLW3" s="242"/>
      <c r="FLX3" s="242"/>
      <c r="FLY3" s="242"/>
      <c r="FLZ3" s="242"/>
      <c r="FMA3" s="242"/>
      <c r="FMB3" s="242"/>
      <c r="FMC3" s="242"/>
      <c r="FMD3" s="242"/>
      <c r="FME3" s="242"/>
      <c r="FMF3" s="242"/>
      <c r="FMG3" s="242"/>
      <c r="FMH3" s="242"/>
      <c r="FMI3" s="242"/>
      <c r="FMJ3" s="242"/>
      <c r="FMK3" s="242"/>
      <c r="FML3" s="242"/>
      <c r="FMM3" s="242"/>
      <c r="FMN3" s="242"/>
      <c r="FMO3" s="242"/>
      <c r="FMP3" s="242"/>
      <c r="FMQ3" s="242"/>
      <c r="FMR3" s="242"/>
      <c r="FMS3" s="242"/>
      <c r="FMT3" s="242"/>
      <c r="FMU3" s="242"/>
      <c r="FMV3" s="242"/>
      <c r="FMW3" s="242"/>
      <c r="FMX3" s="242"/>
      <c r="FMY3" s="242"/>
      <c r="FMZ3" s="242"/>
      <c r="FNA3" s="242"/>
      <c r="FNB3" s="242"/>
      <c r="FNC3" s="242"/>
      <c r="FND3" s="242"/>
      <c r="FNE3" s="242"/>
      <c r="FNF3" s="242"/>
      <c r="FNG3" s="242"/>
      <c r="FNH3" s="242"/>
      <c r="FNI3" s="242"/>
      <c r="FNJ3" s="242"/>
      <c r="FNK3" s="242"/>
      <c r="FNL3" s="242"/>
      <c r="FNM3" s="242"/>
      <c r="FNN3" s="242"/>
      <c r="FNO3" s="242"/>
      <c r="FNP3" s="242"/>
      <c r="FNQ3" s="242"/>
      <c r="FNR3" s="242"/>
      <c r="FNS3" s="242"/>
      <c r="FNT3" s="242"/>
      <c r="FNU3" s="242"/>
      <c r="FNV3" s="242"/>
      <c r="FNW3" s="242"/>
      <c r="FNX3" s="242"/>
      <c r="FNY3" s="242"/>
      <c r="FNZ3" s="242"/>
      <c r="FOA3" s="242"/>
      <c r="FOB3" s="242"/>
      <c r="FOC3" s="242"/>
      <c r="FOD3" s="242"/>
      <c r="FOE3" s="242"/>
      <c r="FOF3" s="242"/>
      <c r="FOG3" s="242"/>
      <c r="FOH3" s="242"/>
      <c r="FOI3" s="242"/>
      <c r="FOJ3" s="242"/>
      <c r="FOK3" s="242"/>
      <c r="FOL3" s="242"/>
      <c r="FOM3" s="242"/>
      <c r="FON3" s="242"/>
      <c r="FOO3" s="242"/>
      <c r="FOP3" s="242"/>
      <c r="FOQ3" s="242"/>
      <c r="FOR3" s="242"/>
      <c r="FOS3" s="242"/>
      <c r="FOT3" s="242"/>
      <c r="FOU3" s="242"/>
      <c r="FOV3" s="242"/>
      <c r="FOW3" s="242"/>
      <c r="FOX3" s="242"/>
      <c r="FOY3" s="242"/>
      <c r="FOZ3" s="242"/>
      <c r="FPA3" s="242"/>
      <c r="FPB3" s="242"/>
      <c r="FPC3" s="242"/>
      <c r="FPD3" s="242"/>
      <c r="FPE3" s="242"/>
      <c r="FPF3" s="242"/>
      <c r="FPG3" s="242"/>
      <c r="FPH3" s="242"/>
      <c r="FPI3" s="242"/>
      <c r="FPJ3" s="242"/>
      <c r="FPK3" s="242"/>
      <c r="FPL3" s="242"/>
      <c r="FPM3" s="242"/>
      <c r="FPN3" s="242"/>
      <c r="FPO3" s="242"/>
      <c r="FPP3" s="242"/>
      <c r="FPQ3" s="242"/>
      <c r="FPR3" s="242"/>
      <c r="FPS3" s="242"/>
      <c r="FPT3" s="242"/>
      <c r="FPU3" s="242"/>
      <c r="FPV3" s="242"/>
      <c r="FPW3" s="242"/>
      <c r="FPX3" s="242"/>
      <c r="FPY3" s="242"/>
      <c r="FPZ3" s="242"/>
      <c r="FQA3" s="242"/>
      <c r="FQB3" s="242"/>
      <c r="FQC3" s="242"/>
      <c r="FQD3" s="242"/>
      <c r="FQE3" s="242"/>
      <c r="FQF3" s="242"/>
      <c r="FQG3" s="242"/>
      <c r="FQH3" s="242"/>
      <c r="FQI3" s="242"/>
      <c r="FQJ3" s="242"/>
      <c r="FQK3" s="242"/>
      <c r="FQL3" s="242"/>
      <c r="FQM3" s="242"/>
      <c r="FQN3" s="242"/>
      <c r="FQO3" s="242"/>
      <c r="FQP3" s="242"/>
      <c r="FQQ3" s="242"/>
      <c r="FQR3" s="242"/>
      <c r="FQS3" s="242"/>
      <c r="FQT3" s="242"/>
      <c r="FQU3" s="242"/>
      <c r="FQV3" s="242"/>
      <c r="FQW3" s="242"/>
      <c r="FQX3" s="242"/>
      <c r="FQY3" s="242"/>
      <c r="FQZ3" s="242"/>
      <c r="FRA3" s="242"/>
      <c r="FRB3" s="242"/>
      <c r="FRC3" s="242"/>
      <c r="FRD3" s="242"/>
      <c r="FRE3" s="242"/>
      <c r="FRF3" s="242"/>
      <c r="FRG3" s="242"/>
      <c r="FRH3" s="242"/>
      <c r="FRI3" s="242"/>
      <c r="FRJ3" s="242"/>
      <c r="FRK3" s="242"/>
      <c r="FRL3" s="242"/>
      <c r="FRM3" s="242"/>
      <c r="FRN3" s="242"/>
      <c r="FRO3" s="242"/>
      <c r="FRP3" s="242"/>
      <c r="FRQ3" s="242"/>
      <c r="FRR3" s="242"/>
      <c r="FRS3" s="242"/>
      <c r="FRT3" s="242"/>
      <c r="FRU3" s="242"/>
      <c r="FRV3" s="242"/>
      <c r="FRW3" s="242"/>
      <c r="FRX3" s="242"/>
      <c r="FRY3" s="242"/>
      <c r="FRZ3" s="242"/>
      <c r="FSA3" s="242"/>
      <c r="FSB3" s="242"/>
      <c r="FSC3" s="242"/>
      <c r="FSD3" s="242"/>
      <c r="FSE3" s="242"/>
      <c r="FSF3" s="242"/>
      <c r="FSG3" s="242"/>
      <c r="FSH3" s="242"/>
      <c r="FSI3" s="242"/>
      <c r="FSJ3" s="242"/>
      <c r="FSK3" s="242"/>
      <c r="FSL3" s="242"/>
      <c r="FSM3" s="242"/>
      <c r="FSN3" s="242"/>
      <c r="FSO3" s="242"/>
      <c r="FSP3" s="242"/>
      <c r="FSQ3" s="242"/>
      <c r="FSR3" s="242"/>
      <c r="FSS3" s="242"/>
      <c r="FST3" s="242"/>
      <c r="FSU3" s="242"/>
      <c r="FSV3" s="242"/>
      <c r="FSW3" s="242"/>
      <c r="FSX3" s="242"/>
      <c r="FSY3" s="242"/>
      <c r="FSZ3" s="242"/>
      <c r="FTA3" s="242"/>
      <c r="FTB3" s="242"/>
      <c r="FTC3" s="242"/>
      <c r="FTD3" s="242"/>
      <c r="FTE3" s="242"/>
      <c r="FTF3" s="242"/>
      <c r="FTG3" s="242"/>
      <c r="FTH3" s="242"/>
      <c r="FTI3" s="242"/>
      <c r="FTJ3" s="242"/>
      <c r="FTK3" s="242"/>
      <c r="FTL3" s="242"/>
      <c r="FTM3" s="242"/>
      <c r="FTN3" s="242"/>
      <c r="FTO3" s="242"/>
      <c r="FTP3" s="242"/>
      <c r="FTQ3" s="242"/>
      <c r="FTR3" s="242"/>
      <c r="FTS3" s="242"/>
      <c r="FTT3" s="242"/>
      <c r="FTU3" s="242"/>
      <c r="FTV3" s="242"/>
      <c r="FTW3" s="242"/>
      <c r="FTX3" s="242"/>
      <c r="FTY3" s="242"/>
      <c r="FTZ3" s="242"/>
      <c r="FUA3" s="242"/>
      <c r="FUB3" s="242"/>
      <c r="FUC3" s="242"/>
      <c r="FUD3" s="242"/>
      <c r="FUE3" s="242"/>
      <c r="FUF3" s="242"/>
      <c r="FUG3" s="242"/>
      <c r="FUH3" s="242"/>
      <c r="FUI3" s="242"/>
      <c r="FUJ3" s="242"/>
      <c r="FUK3" s="242"/>
      <c r="FUL3" s="242"/>
      <c r="FUM3" s="242"/>
      <c r="FUN3" s="242"/>
      <c r="FUO3" s="242"/>
      <c r="FUP3" s="242"/>
      <c r="FUQ3" s="242"/>
      <c r="FUR3" s="242"/>
      <c r="FUS3" s="242"/>
      <c r="FUT3" s="242"/>
      <c r="FUU3" s="242"/>
      <c r="FUV3" s="242"/>
      <c r="FUW3" s="242"/>
      <c r="FUX3" s="242"/>
      <c r="FUY3" s="242"/>
      <c r="FUZ3" s="242"/>
      <c r="FVA3" s="242"/>
      <c r="FVB3" s="242"/>
      <c r="FVC3" s="242"/>
      <c r="FVD3" s="242"/>
      <c r="FVE3" s="242"/>
      <c r="FVF3" s="242"/>
      <c r="FVG3" s="242"/>
      <c r="FVH3" s="242"/>
      <c r="FVI3" s="242"/>
      <c r="FVJ3" s="242"/>
      <c r="FVK3" s="242"/>
      <c r="FVL3" s="242"/>
      <c r="FVM3" s="242"/>
      <c r="FVN3" s="242"/>
      <c r="FVO3" s="242"/>
      <c r="FVP3" s="242"/>
      <c r="FVQ3" s="242"/>
      <c r="FVR3" s="242"/>
      <c r="FVS3" s="242"/>
      <c r="FVT3" s="242"/>
      <c r="FVU3" s="242"/>
      <c r="FVV3" s="242"/>
      <c r="FVW3" s="242"/>
      <c r="FVX3" s="242"/>
      <c r="FVY3" s="242"/>
      <c r="FVZ3" s="242"/>
      <c r="FWA3" s="242"/>
      <c r="FWB3" s="242"/>
      <c r="FWC3" s="242"/>
      <c r="FWD3" s="242"/>
      <c r="FWE3" s="242"/>
      <c r="FWF3" s="242"/>
      <c r="FWG3" s="242"/>
      <c r="FWH3" s="242"/>
      <c r="FWI3" s="242"/>
      <c r="FWJ3" s="242"/>
      <c r="FWK3" s="242"/>
      <c r="FWL3" s="242"/>
      <c r="FWM3" s="242"/>
      <c r="FWN3" s="242"/>
      <c r="FWO3" s="242"/>
      <c r="FWP3" s="242"/>
      <c r="FWQ3" s="242"/>
      <c r="FWR3" s="242"/>
      <c r="FWS3" s="242"/>
      <c r="FWT3" s="242"/>
      <c r="FWU3" s="242"/>
      <c r="FWV3" s="242"/>
      <c r="FWW3" s="242"/>
      <c r="FWX3" s="242"/>
      <c r="FWY3" s="242"/>
      <c r="FWZ3" s="242"/>
      <c r="FXA3" s="242"/>
      <c r="FXB3" s="242"/>
      <c r="FXC3" s="242"/>
      <c r="FXD3" s="242"/>
      <c r="FXE3" s="242"/>
      <c r="FXF3" s="242"/>
      <c r="FXG3" s="242"/>
      <c r="FXH3" s="242"/>
      <c r="FXI3" s="242"/>
      <c r="FXJ3" s="242"/>
      <c r="FXK3" s="242"/>
      <c r="FXL3" s="242"/>
      <c r="FXM3" s="242"/>
      <c r="FXN3" s="242"/>
      <c r="FXO3" s="242"/>
      <c r="FXP3" s="242"/>
      <c r="FXQ3" s="242"/>
      <c r="FXR3" s="242"/>
      <c r="FXS3" s="242"/>
      <c r="FXT3" s="242"/>
      <c r="FXU3" s="242"/>
      <c r="FXV3" s="242"/>
      <c r="FXW3" s="242"/>
      <c r="FXX3" s="242"/>
      <c r="FXY3" s="242"/>
      <c r="FXZ3" s="242"/>
      <c r="FYA3" s="242"/>
      <c r="FYB3" s="242"/>
      <c r="FYC3" s="242"/>
      <c r="FYD3" s="242"/>
      <c r="FYE3" s="242"/>
      <c r="FYF3" s="242"/>
      <c r="FYG3" s="242"/>
      <c r="FYH3" s="242"/>
      <c r="FYI3" s="242"/>
      <c r="FYJ3" s="242"/>
      <c r="FYK3" s="242"/>
      <c r="FYL3" s="242"/>
      <c r="FYM3" s="242"/>
      <c r="FYN3" s="242"/>
      <c r="FYO3" s="242"/>
      <c r="FYP3" s="242"/>
      <c r="FYQ3" s="242"/>
      <c r="FYR3" s="242"/>
      <c r="FYS3" s="242"/>
      <c r="FYT3" s="242"/>
      <c r="FYU3" s="242"/>
      <c r="FYV3" s="242"/>
      <c r="FYW3" s="242"/>
      <c r="FYX3" s="242"/>
      <c r="FYY3" s="242"/>
      <c r="FYZ3" s="242"/>
      <c r="FZA3" s="242"/>
      <c r="FZB3" s="242"/>
      <c r="FZC3" s="242"/>
      <c r="FZD3" s="242"/>
      <c r="FZE3" s="242"/>
      <c r="FZF3" s="242"/>
      <c r="FZG3" s="242"/>
      <c r="FZH3" s="242"/>
      <c r="FZI3" s="242"/>
      <c r="FZJ3" s="242"/>
      <c r="FZK3" s="242"/>
      <c r="FZL3" s="242"/>
      <c r="FZM3" s="242"/>
      <c r="FZN3" s="242"/>
      <c r="FZO3" s="242"/>
      <c r="FZP3" s="242"/>
      <c r="FZQ3" s="242"/>
      <c r="FZR3" s="242"/>
      <c r="FZS3" s="242"/>
      <c r="FZT3" s="242"/>
      <c r="FZU3" s="242"/>
      <c r="FZV3" s="242"/>
      <c r="FZW3" s="242"/>
      <c r="FZX3" s="242"/>
      <c r="FZY3" s="242"/>
      <c r="FZZ3" s="242"/>
      <c r="GAA3" s="242"/>
      <c r="GAB3" s="242"/>
      <c r="GAC3" s="242"/>
      <c r="GAD3" s="242"/>
      <c r="GAE3" s="242"/>
      <c r="GAF3" s="242"/>
      <c r="GAG3" s="242"/>
      <c r="GAH3" s="242"/>
      <c r="GAI3" s="242"/>
      <c r="GAJ3" s="242"/>
      <c r="GAK3" s="242"/>
      <c r="GAL3" s="242"/>
      <c r="GAM3" s="242"/>
      <c r="GAN3" s="242"/>
      <c r="GAO3" s="242"/>
      <c r="GAP3" s="242"/>
      <c r="GAQ3" s="242"/>
      <c r="GAR3" s="242"/>
      <c r="GAS3" s="242"/>
      <c r="GAT3" s="242"/>
      <c r="GAU3" s="242"/>
      <c r="GAV3" s="242"/>
      <c r="GAW3" s="242"/>
      <c r="GAX3" s="242"/>
      <c r="GAY3" s="242"/>
      <c r="GAZ3" s="242"/>
      <c r="GBA3" s="242"/>
      <c r="GBB3" s="242"/>
      <c r="GBC3" s="242"/>
      <c r="GBD3" s="242"/>
      <c r="GBE3" s="242"/>
      <c r="GBF3" s="242"/>
      <c r="GBG3" s="242"/>
      <c r="GBH3" s="242"/>
      <c r="GBI3" s="242"/>
      <c r="GBJ3" s="242"/>
      <c r="GBK3" s="242"/>
      <c r="GBL3" s="242"/>
      <c r="GBM3" s="242"/>
      <c r="GBN3" s="242"/>
      <c r="GBO3" s="242"/>
      <c r="GBP3" s="242"/>
      <c r="GBQ3" s="242"/>
      <c r="GBR3" s="242"/>
      <c r="GBS3" s="242"/>
      <c r="GBT3" s="242"/>
      <c r="GBU3" s="242"/>
      <c r="GBV3" s="242"/>
      <c r="GBW3" s="242"/>
      <c r="GBX3" s="242"/>
      <c r="GBY3" s="242"/>
      <c r="GBZ3" s="242"/>
      <c r="GCA3" s="242"/>
      <c r="GCB3" s="242"/>
      <c r="GCC3" s="242"/>
      <c r="GCD3" s="242"/>
      <c r="GCE3" s="242"/>
      <c r="GCF3" s="242"/>
      <c r="GCG3" s="242"/>
      <c r="GCH3" s="242"/>
      <c r="GCI3" s="242"/>
      <c r="GCJ3" s="242"/>
      <c r="GCK3" s="242"/>
      <c r="GCL3" s="242"/>
      <c r="GCM3" s="242"/>
      <c r="GCN3" s="242"/>
      <c r="GCO3" s="242"/>
      <c r="GCP3" s="242"/>
      <c r="GCQ3" s="242"/>
      <c r="GCR3" s="242"/>
      <c r="GCS3" s="242"/>
      <c r="GCT3" s="242"/>
      <c r="GCU3" s="242"/>
      <c r="GCV3" s="242"/>
      <c r="GCW3" s="242"/>
      <c r="GCX3" s="242"/>
      <c r="GCY3" s="242"/>
      <c r="GCZ3" s="242"/>
      <c r="GDA3" s="242"/>
      <c r="GDB3" s="242"/>
      <c r="GDC3" s="242"/>
      <c r="GDD3" s="242"/>
      <c r="GDE3" s="242"/>
      <c r="GDF3" s="242"/>
      <c r="GDG3" s="242"/>
      <c r="GDH3" s="242"/>
      <c r="GDI3" s="242"/>
      <c r="GDJ3" s="242"/>
      <c r="GDK3" s="242"/>
      <c r="GDL3" s="242"/>
      <c r="GDM3" s="242"/>
      <c r="GDN3" s="242"/>
      <c r="GDO3" s="242"/>
      <c r="GDP3" s="242"/>
      <c r="GDQ3" s="242"/>
      <c r="GDR3" s="242"/>
      <c r="GDS3" s="242"/>
      <c r="GDT3" s="242"/>
      <c r="GDU3" s="242"/>
      <c r="GDV3" s="242"/>
      <c r="GDW3" s="242"/>
      <c r="GDX3" s="242"/>
      <c r="GDY3" s="242"/>
      <c r="GDZ3" s="242"/>
      <c r="GEA3" s="242"/>
      <c r="GEB3" s="242"/>
      <c r="GEC3" s="242"/>
      <c r="GED3" s="242"/>
      <c r="GEE3" s="242"/>
      <c r="GEF3" s="242"/>
      <c r="GEG3" s="242"/>
      <c r="GEH3" s="242"/>
      <c r="GEI3" s="242"/>
      <c r="GEJ3" s="242"/>
      <c r="GEK3" s="242"/>
      <c r="GEL3" s="242"/>
      <c r="GEM3" s="242"/>
      <c r="GEN3" s="242"/>
      <c r="GEO3" s="242"/>
      <c r="GEP3" s="242"/>
      <c r="GEQ3" s="242"/>
      <c r="GER3" s="242"/>
      <c r="GES3" s="242"/>
      <c r="GET3" s="242"/>
      <c r="GEU3" s="242"/>
      <c r="GEV3" s="242"/>
      <c r="GEW3" s="242"/>
      <c r="GEX3" s="242"/>
      <c r="GEY3" s="242"/>
      <c r="GEZ3" s="242"/>
      <c r="GFA3" s="242"/>
      <c r="GFB3" s="242"/>
      <c r="GFC3" s="242"/>
      <c r="GFD3" s="242"/>
      <c r="GFE3" s="242"/>
      <c r="GFF3" s="242"/>
      <c r="GFG3" s="242"/>
      <c r="GFH3" s="242"/>
      <c r="GFI3" s="242"/>
      <c r="GFJ3" s="242"/>
      <c r="GFK3" s="242"/>
      <c r="GFL3" s="242"/>
      <c r="GFM3" s="242"/>
      <c r="GFN3" s="242"/>
      <c r="GFO3" s="242"/>
      <c r="GFP3" s="242"/>
      <c r="GFQ3" s="242"/>
      <c r="GFR3" s="242"/>
      <c r="GFS3" s="242"/>
      <c r="GFT3" s="242"/>
      <c r="GFU3" s="242"/>
      <c r="GFV3" s="242"/>
      <c r="GFW3" s="242"/>
      <c r="GFX3" s="242"/>
      <c r="GFY3" s="242"/>
      <c r="GFZ3" s="242"/>
      <c r="GGA3" s="242"/>
      <c r="GGB3" s="242"/>
      <c r="GGC3" s="242"/>
      <c r="GGD3" s="242"/>
      <c r="GGE3" s="242"/>
      <c r="GGF3" s="242"/>
      <c r="GGG3" s="242"/>
      <c r="GGH3" s="242"/>
      <c r="GGI3" s="242"/>
      <c r="GGJ3" s="242"/>
      <c r="GGK3" s="242"/>
      <c r="GGL3" s="242"/>
      <c r="GGM3" s="242"/>
      <c r="GGN3" s="242"/>
      <c r="GGO3" s="242"/>
      <c r="GGP3" s="242"/>
      <c r="GGQ3" s="242"/>
      <c r="GGR3" s="242"/>
      <c r="GGS3" s="242"/>
      <c r="GGT3" s="242"/>
      <c r="GGU3" s="242"/>
      <c r="GGV3" s="242"/>
      <c r="GGW3" s="242"/>
      <c r="GGX3" s="242"/>
      <c r="GGY3" s="242"/>
      <c r="GGZ3" s="242"/>
      <c r="GHA3" s="242"/>
      <c r="GHB3" s="242"/>
      <c r="GHC3" s="242"/>
      <c r="GHD3" s="242"/>
      <c r="GHE3" s="242"/>
      <c r="GHF3" s="242"/>
      <c r="GHG3" s="242"/>
      <c r="GHH3" s="242"/>
      <c r="GHI3" s="242"/>
      <c r="GHJ3" s="242"/>
      <c r="GHK3" s="242"/>
      <c r="GHL3" s="242"/>
      <c r="GHM3" s="242"/>
      <c r="GHN3" s="242"/>
      <c r="GHO3" s="242"/>
      <c r="GHP3" s="242"/>
      <c r="GHQ3" s="242"/>
      <c r="GHR3" s="242"/>
      <c r="GHS3" s="242"/>
      <c r="GHT3" s="242"/>
      <c r="GHU3" s="242"/>
      <c r="GHV3" s="242"/>
      <c r="GHW3" s="242"/>
      <c r="GHX3" s="242"/>
      <c r="GHY3" s="242"/>
      <c r="GHZ3" s="242"/>
      <c r="GIA3" s="242"/>
      <c r="GIB3" s="242"/>
      <c r="GIC3" s="242"/>
      <c r="GID3" s="242"/>
      <c r="GIE3" s="242"/>
      <c r="GIF3" s="242"/>
      <c r="GIG3" s="242"/>
      <c r="GIH3" s="242"/>
      <c r="GII3" s="242"/>
      <c r="GIJ3" s="242"/>
      <c r="GIK3" s="242"/>
      <c r="GIL3" s="242"/>
      <c r="GIM3" s="242"/>
      <c r="GIN3" s="242"/>
      <c r="GIO3" s="242"/>
      <c r="GIP3" s="242"/>
      <c r="GIQ3" s="242"/>
      <c r="GIR3" s="242"/>
      <c r="GIS3" s="242"/>
      <c r="GIT3" s="242"/>
      <c r="GIU3" s="242"/>
      <c r="GIV3" s="242"/>
      <c r="GIW3" s="242"/>
      <c r="GIX3" s="242"/>
      <c r="GIY3" s="242"/>
      <c r="GIZ3" s="242"/>
      <c r="GJA3" s="242"/>
      <c r="GJB3" s="242"/>
      <c r="GJC3" s="242"/>
      <c r="GJD3" s="242"/>
      <c r="GJE3" s="242"/>
      <c r="GJF3" s="242"/>
      <c r="GJG3" s="242"/>
      <c r="GJH3" s="242"/>
      <c r="GJI3" s="242"/>
      <c r="GJJ3" s="242"/>
      <c r="GJK3" s="242"/>
      <c r="GJL3" s="242"/>
      <c r="GJM3" s="242"/>
      <c r="GJN3" s="242"/>
      <c r="GJO3" s="242"/>
      <c r="GJP3" s="242"/>
      <c r="GJQ3" s="242"/>
      <c r="GJR3" s="242"/>
      <c r="GJS3" s="242"/>
      <c r="GJT3" s="242"/>
      <c r="GJU3" s="242"/>
      <c r="GJV3" s="242"/>
      <c r="GJW3" s="242"/>
      <c r="GJX3" s="242"/>
      <c r="GJY3" s="242"/>
      <c r="GJZ3" s="242"/>
      <c r="GKA3" s="242"/>
      <c r="GKB3" s="242"/>
      <c r="GKC3" s="242"/>
      <c r="GKD3" s="242"/>
      <c r="GKE3" s="242"/>
      <c r="GKF3" s="242"/>
      <c r="GKG3" s="242"/>
      <c r="GKH3" s="242"/>
      <c r="GKI3" s="242"/>
      <c r="GKJ3" s="242"/>
      <c r="GKK3" s="242"/>
      <c r="GKL3" s="242"/>
      <c r="GKM3" s="242"/>
      <c r="GKN3" s="242"/>
      <c r="GKO3" s="242"/>
      <c r="GKP3" s="242"/>
      <c r="GKQ3" s="242"/>
      <c r="GKR3" s="242"/>
      <c r="GKS3" s="242"/>
      <c r="GKT3" s="242"/>
      <c r="GKU3" s="242"/>
      <c r="GKV3" s="242"/>
      <c r="GKW3" s="242"/>
      <c r="GKX3" s="242"/>
      <c r="GKY3" s="242"/>
      <c r="GKZ3" s="242"/>
      <c r="GLA3" s="242"/>
      <c r="GLB3" s="242"/>
      <c r="GLC3" s="242"/>
      <c r="GLD3" s="242"/>
      <c r="GLE3" s="242"/>
      <c r="GLF3" s="242"/>
      <c r="GLG3" s="242"/>
      <c r="GLH3" s="242"/>
      <c r="GLI3" s="242"/>
      <c r="GLJ3" s="242"/>
      <c r="GLK3" s="242"/>
      <c r="GLL3" s="242"/>
      <c r="GLM3" s="242"/>
      <c r="GLN3" s="242"/>
      <c r="GLO3" s="242"/>
      <c r="GLP3" s="242"/>
      <c r="GLQ3" s="242"/>
      <c r="GLR3" s="242"/>
      <c r="GLS3" s="242"/>
      <c r="GLT3" s="242"/>
      <c r="GLU3" s="242"/>
      <c r="GLV3" s="242"/>
      <c r="GLW3" s="242"/>
      <c r="GLX3" s="242"/>
      <c r="GLY3" s="242"/>
      <c r="GLZ3" s="242"/>
      <c r="GMA3" s="242"/>
      <c r="GMB3" s="242"/>
      <c r="GMC3" s="242"/>
      <c r="GMD3" s="242"/>
      <c r="GME3" s="242"/>
      <c r="GMF3" s="242"/>
      <c r="GMG3" s="242"/>
      <c r="GMH3" s="242"/>
      <c r="GMI3" s="242"/>
      <c r="GMJ3" s="242"/>
      <c r="GMK3" s="242"/>
      <c r="GML3" s="242"/>
      <c r="GMM3" s="242"/>
      <c r="GMN3" s="242"/>
      <c r="GMO3" s="242"/>
      <c r="GMP3" s="242"/>
      <c r="GMQ3" s="242"/>
      <c r="GMR3" s="242"/>
      <c r="GMS3" s="242"/>
      <c r="GMT3" s="242"/>
      <c r="GMU3" s="242"/>
      <c r="GMV3" s="242"/>
      <c r="GMW3" s="242"/>
      <c r="GMX3" s="242"/>
      <c r="GMY3" s="242"/>
      <c r="GMZ3" s="242"/>
      <c r="GNA3" s="242"/>
      <c r="GNB3" s="242"/>
      <c r="GNC3" s="242"/>
      <c r="GND3" s="242"/>
      <c r="GNE3" s="242"/>
      <c r="GNF3" s="242"/>
      <c r="GNG3" s="242"/>
      <c r="GNH3" s="242"/>
      <c r="GNI3" s="242"/>
      <c r="GNJ3" s="242"/>
      <c r="GNK3" s="242"/>
      <c r="GNL3" s="242"/>
      <c r="GNM3" s="242"/>
      <c r="GNN3" s="242"/>
      <c r="GNO3" s="242"/>
      <c r="GNP3" s="242"/>
      <c r="GNQ3" s="242"/>
      <c r="GNR3" s="242"/>
      <c r="GNS3" s="242"/>
      <c r="GNT3" s="242"/>
      <c r="GNU3" s="242"/>
      <c r="GNV3" s="242"/>
      <c r="GNW3" s="242"/>
      <c r="GNX3" s="242"/>
      <c r="GNY3" s="242"/>
      <c r="GNZ3" s="242"/>
      <c r="GOA3" s="242"/>
      <c r="GOB3" s="242"/>
      <c r="GOC3" s="242"/>
      <c r="GOD3" s="242"/>
      <c r="GOE3" s="242"/>
      <c r="GOF3" s="242"/>
      <c r="GOG3" s="242"/>
      <c r="GOH3" s="242"/>
      <c r="GOI3" s="242"/>
      <c r="GOJ3" s="242"/>
      <c r="GOK3" s="242"/>
      <c r="GOL3" s="242"/>
      <c r="GOM3" s="242"/>
      <c r="GON3" s="242"/>
      <c r="GOO3" s="242"/>
      <c r="GOP3" s="242"/>
      <c r="GOQ3" s="242"/>
      <c r="GOR3" s="242"/>
      <c r="GOS3" s="242"/>
      <c r="GOT3" s="242"/>
      <c r="GOU3" s="242"/>
      <c r="GOV3" s="242"/>
      <c r="GOW3" s="242"/>
      <c r="GOX3" s="242"/>
      <c r="GOY3" s="242"/>
      <c r="GOZ3" s="242"/>
      <c r="GPA3" s="242"/>
      <c r="GPB3" s="242"/>
      <c r="GPC3" s="242"/>
      <c r="GPD3" s="242"/>
      <c r="GPE3" s="242"/>
      <c r="GPF3" s="242"/>
      <c r="GPG3" s="242"/>
      <c r="GPH3" s="242"/>
      <c r="GPI3" s="242"/>
      <c r="GPJ3" s="242"/>
      <c r="GPK3" s="242"/>
      <c r="GPL3" s="242"/>
      <c r="GPM3" s="242"/>
      <c r="GPN3" s="242"/>
      <c r="GPO3" s="242"/>
      <c r="GPP3" s="242"/>
      <c r="GPQ3" s="242"/>
      <c r="GPR3" s="242"/>
      <c r="GPS3" s="242"/>
      <c r="GPT3" s="242"/>
      <c r="GPU3" s="242"/>
      <c r="GPV3" s="242"/>
      <c r="GPW3" s="242"/>
      <c r="GPX3" s="242"/>
      <c r="GPY3" s="242"/>
      <c r="GPZ3" s="242"/>
      <c r="GQA3" s="242"/>
      <c r="GQB3" s="242"/>
      <c r="GQC3" s="242"/>
      <c r="GQD3" s="242"/>
      <c r="GQE3" s="242"/>
      <c r="GQF3" s="242"/>
      <c r="GQG3" s="242"/>
      <c r="GQH3" s="242"/>
      <c r="GQI3" s="242"/>
      <c r="GQJ3" s="242"/>
      <c r="GQK3" s="242"/>
      <c r="GQL3" s="242"/>
      <c r="GQM3" s="242"/>
      <c r="GQN3" s="242"/>
      <c r="GQO3" s="242"/>
      <c r="GQP3" s="242"/>
      <c r="GQQ3" s="242"/>
      <c r="GQR3" s="242"/>
      <c r="GQS3" s="242"/>
      <c r="GQT3" s="242"/>
      <c r="GQU3" s="242"/>
      <c r="GQV3" s="242"/>
      <c r="GQW3" s="242"/>
      <c r="GQX3" s="242"/>
      <c r="GQY3" s="242"/>
      <c r="GQZ3" s="242"/>
      <c r="GRA3" s="242"/>
      <c r="GRB3" s="242"/>
      <c r="GRC3" s="242"/>
      <c r="GRD3" s="242"/>
      <c r="GRE3" s="242"/>
      <c r="GRF3" s="242"/>
      <c r="GRG3" s="242"/>
      <c r="GRH3" s="242"/>
      <c r="GRI3" s="242"/>
      <c r="GRJ3" s="242"/>
      <c r="GRK3" s="242"/>
      <c r="GRL3" s="242"/>
      <c r="GRM3" s="242"/>
      <c r="GRN3" s="242"/>
      <c r="GRO3" s="242"/>
      <c r="GRP3" s="242"/>
      <c r="GRQ3" s="242"/>
      <c r="GRR3" s="242"/>
      <c r="GRS3" s="242"/>
      <c r="GRT3" s="242"/>
      <c r="GRU3" s="242"/>
      <c r="GRV3" s="242"/>
      <c r="GRW3" s="242"/>
      <c r="GRX3" s="242"/>
      <c r="GRY3" s="242"/>
      <c r="GRZ3" s="242"/>
      <c r="GSA3" s="242"/>
      <c r="GSB3" s="242"/>
      <c r="GSC3" s="242"/>
      <c r="GSD3" s="242"/>
      <c r="GSE3" s="242"/>
      <c r="GSF3" s="242"/>
      <c r="GSG3" s="242"/>
      <c r="GSH3" s="242"/>
      <c r="GSI3" s="242"/>
      <c r="GSJ3" s="242"/>
      <c r="GSK3" s="242"/>
      <c r="GSL3" s="242"/>
      <c r="GSM3" s="242"/>
      <c r="GSN3" s="242"/>
      <c r="GSO3" s="242"/>
      <c r="GSP3" s="242"/>
      <c r="GSQ3" s="242"/>
      <c r="GSR3" s="242"/>
      <c r="GSS3" s="242"/>
      <c r="GST3" s="242"/>
      <c r="GSU3" s="242"/>
      <c r="GSV3" s="242"/>
      <c r="GSW3" s="242"/>
      <c r="GSX3" s="242"/>
      <c r="GSY3" s="242"/>
      <c r="GSZ3" s="242"/>
      <c r="GTA3" s="242"/>
      <c r="GTB3" s="242"/>
      <c r="GTC3" s="242"/>
      <c r="GTD3" s="242"/>
      <c r="GTE3" s="242"/>
      <c r="GTF3" s="242"/>
      <c r="GTG3" s="242"/>
      <c r="GTH3" s="242"/>
      <c r="GTI3" s="242"/>
      <c r="GTJ3" s="242"/>
      <c r="GTK3" s="242"/>
      <c r="GTL3" s="242"/>
      <c r="GTM3" s="242"/>
      <c r="GTN3" s="242"/>
      <c r="GTO3" s="242"/>
      <c r="GTP3" s="242"/>
      <c r="GTQ3" s="242"/>
      <c r="GTR3" s="242"/>
      <c r="GTS3" s="242"/>
      <c r="GTT3" s="242"/>
      <c r="GTU3" s="242"/>
      <c r="GTV3" s="242"/>
      <c r="GTW3" s="242"/>
      <c r="GTX3" s="242"/>
      <c r="GTY3" s="242"/>
      <c r="GTZ3" s="242"/>
      <c r="GUA3" s="242"/>
      <c r="GUB3" s="242"/>
      <c r="GUC3" s="242"/>
      <c r="GUD3" s="242"/>
      <c r="GUE3" s="242"/>
      <c r="GUF3" s="242"/>
      <c r="GUG3" s="242"/>
      <c r="GUH3" s="242"/>
      <c r="GUI3" s="242"/>
      <c r="GUJ3" s="242"/>
      <c r="GUK3" s="242"/>
      <c r="GUL3" s="242"/>
      <c r="GUM3" s="242"/>
      <c r="GUN3" s="242"/>
      <c r="GUO3" s="242"/>
      <c r="GUP3" s="242"/>
      <c r="GUQ3" s="242"/>
      <c r="GUR3" s="242"/>
      <c r="GUS3" s="242"/>
      <c r="GUT3" s="242"/>
      <c r="GUU3" s="242"/>
      <c r="GUV3" s="242"/>
      <c r="GUW3" s="242"/>
      <c r="GUX3" s="242"/>
      <c r="GUY3" s="242"/>
      <c r="GUZ3" s="242"/>
      <c r="GVA3" s="242"/>
      <c r="GVB3" s="242"/>
      <c r="GVC3" s="242"/>
      <c r="GVD3" s="242"/>
      <c r="GVE3" s="242"/>
      <c r="GVF3" s="242"/>
      <c r="GVG3" s="242"/>
      <c r="GVH3" s="242"/>
      <c r="GVI3" s="242"/>
      <c r="GVJ3" s="242"/>
      <c r="GVK3" s="242"/>
      <c r="GVL3" s="242"/>
      <c r="GVM3" s="242"/>
      <c r="GVN3" s="242"/>
      <c r="GVO3" s="242"/>
      <c r="GVP3" s="242"/>
      <c r="GVQ3" s="242"/>
      <c r="GVR3" s="242"/>
      <c r="GVS3" s="242"/>
      <c r="GVT3" s="242"/>
      <c r="GVU3" s="242"/>
      <c r="GVV3" s="242"/>
      <c r="GVW3" s="242"/>
      <c r="GVX3" s="242"/>
      <c r="GVY3" s="242"/>
      <c r="GVZ3" s="242"/>
      <c r="GWA3" s="242"/>
      <c r="GWB3" s="242"/>
      <c r="GWC3" s="242"/>
      <c r="GWD3" s="242"/>
      <c r="GWE3" s="242"/>
      <c r="GWF3" s="242"/>
      <c r="GWG3" s="242"/>
      <c r="GWH3" s="242"/>
      <c r="GWI3" s="242"/>
      <c r="GWJ3" s="242"/>
      <c r="GWK3" s="242"/>
      <c r="GWL3" s="242"/>
      <c r="GWM3" s="242"/>
      <c r="GWN3" s="242"/>
      <c r="GWO3" s="242"/>
      <c r="GWP3" s="242"/>
      <c r="GWQ3" s="242"/>
      <c r="GWR3" s="242"/>
      <c r="GWS3" s="242"/>
      <c r="GWT3" s="242"/>
      <c r="GWU3" s="242"/>
      <c r="GWV3" s="242"/>
      <c r="GWW3" s="242"/>
      <c r="GWX3" s="242"/>
      <c r="GWY3" s="242"/>
      <c r="GWZ3" s="242"/>
      <c r="GXA3" s="242"/>
      <c r="GXB3" s="242"/>
      <c r="GXC3" s="242"/>
      <c r="GXD3" s="242"/>
      <c r="GXE3" s="242"/>
      <c r="GXF3" s="242"/>
      <c r="GXG3" s="242"/>
      <c r="GXH3" s="242"/>
      <c r="GXI3" s="242"/>
      <c r="GXJ3" s="242"/>
      <c r="GXK3" s="242"/>
      <c r="GXL3" s="242"/>
      <c r="GXM3" s="242"/>
      <c r="GXN3" s="242"/>
      <c r="GXO3" s="242"/>
      <c r="GXP3" s="242"/>
      <c r="GXQ3" s="242"/>
      <c r="GXR3" s="242"/>
      <c r="GXS3" s="242"/>
      <c r="GXT3" s="242"/>
      <c r="GXU3" s="242"/>
      <c r="GXV3" s="242"/>
      <c r="GXW3" s="242"/>
      <c r="GXX3" s="242"/>
      <c r="GXY3" s="242"/>
      <c r="GXZ3" s="242"/>
      <c r="GYA3" s="242"/>
      <c r="GYB3" s="242"/>
      <c r="GYC3" s="242"/>
      <c r="GYD3" s="242"/>
      <c r="GYE3" s="242"/>
      <c r="GYF3" s="242"/>
      <c r="GYG3" s="242"/>
      <c r="GYH3" s="242"/>
      <c r="GYI3" s="242"/>
      <c r="GYJ3" s="242"/>
      <c r="GYK3" s="242"/>
      <c r="GYL3" s="242"/>
      <c r="GYM3" s="242"/>
      <c r="GYN3" s="242"/>
      <c r="GYO3" s="242"/>
      <c r="GYP3" s="242"/>
      <c r="GYQ3" s="242"/>
      <c r="GYR3" s="242"/>
      <c r="GYS3" s="242"/>
      <c r="GYT3" s="242"/>
      <c r="GYU3" s="242"/>
      <c r="GYV3" s="242"/>
      <c r="GYW3" s="242"/>
      <c r="GYX3" s="242"/>
      <c r="GYY3" s="242"/>
      <c r="GYZ3" s="242"/>
      <c r="GZA3" s="242"/>
      <c r="GZB3" s="242"/>
      <c r="GZC3" s="242"/>
      <c r="GZD3" s="242"/>
      <c r="GZE3" s="242"/>
      <c r="GZF3" s="242"/>
      <c r="GZG3" s="242"/>
      <c r="GZH3" s="242"/>
      <c r="GZI3" s="242"/>
      <c r="GZJ3" s="242"/>
      <c r="GZK3" s="242"/>
      <c r="GZL3" s="242"/>
      <c r="GZM3" s="242"/>
      <c r="GZN3" s="242"/>
      <c r="GZO3" s="242"/>
      <c r="GZP3" s="242"/>
      <c r="GZQ3" s="242"/>
      <c r="GZR3" s="242"/>
      <c r="GZS3" s="242"/>
      <c r="GZT3" s="242"/>
      <c r="GZU3" s="242"/>
      <c r="GZV3" s="242"/>
      <c r="GZW3" s="242"/>
      <c r="GZX3" s="242"/>
      <c r="GZY3" s="242"/>
      <c r="GZZ3" s="242"/>
      <c r="HAA3" s="242"/>
      <c r="HAB3" s="242"/>
      <c r="HAC3" s="242"/>
      <c r="HAD3" s="242"/>
      <c r="HAE3" s="242"/>
      <c r="HAF3" s="242"/>
      <c r="HAG3" s="242"/>
      <c r="HAH3" s="242"/>
      <c r="HAI3" s="242"/>
      <c r="HAJ3" s="242"/>
      <c r="HAK3" s="242"/>
      <c r="HAL3" s="242"/>
      <c r="HAM3" s="242"/>
      <c r="HAN3" s="242"/>
      <c r="HAO3" s="242"/>
      <c r="HAP3" s="242"/>
      <c r="HAQ3" s="242"/>
      <c r="HAR3" s="242"/>
      <c r="HAS3" s="242"/>
      <c r="HAT3" s="242"/>
      <c r="HAU3" s="242"/>
      <c r="HAV3" s="242"/>
      <c r="HAW3" s="242"/>
      <c r="HAX3" s="242"/>
      <c r="HAY3" s="242"/>
      <c r="HAZ3" s="242"/>
      <c r="HBA3" s="242"/>
      <c r="HBB3" s="242"/>
      <c r="HBC3" s="242"/>
      <c r="HBD3" s="242"/>
      <c r="HBE3" s="242"/>
      <c r="HBF3" s="242"/>
      <c r="HBG3" s="242"/>
      <c r="HBH3" s="242"/>
      <c r="HBI3" s="242"/>
      <c r="HBJ3" s="242"/>
      <c r="HBK3" s="242"/>
      <c r="HBL3" s="242"/>
      <c r="HBM3" s="242"/>
      <c r="HBN3" s="242"/>
      <c r="HBO3" s="242"/>
      <c r="HBP3" s="242"/>
      <c r="HBQ3" s="242"/>
      <c r="HBR3" s="242"/>
      <c r="HBS3" s="242"/>
      <c r="HBT3" s="242"/>
      <c r="HBU3" s="242"/>
      <c r="HBV3" s="242"/>
      <c r="HBW3" s="242"/>
      <c r="HBX3" s="242"/>
      <c r="HBY3" s="242"/>
      <c r="HBZ3" s="242"/>
      <c r="HCA3" s="242"/>
      <c r="HCB3" s="242"/>
      <c r="HCC3" s="242"/>
      <c r="HCD3" s="242"/>
      <c r="HCE3" s="242"/>
      <c r="HCF3" s="242"/>
      <c r="HCG3" s="242"/>
      <c r="HCH3" s="242"/>
      <c r="HCI3" s="242"/>
      <c r="HCJ3" s="242"/>
      <c r="HCK3" s="242"/>
      <c r="HCL3" s="242"/>
      <c r="HCM3" s="242"/>
      <c r="HCN3" s="242"/>
      <c r="HCO3" s="242"/>
      <c r="HCP3" s="242"/>
      <c r="HCQ3" s="242"/>
      <c r="HCR3" s="242"/>
      <c r="HCS3" s="242"/>
      <c r="HCT3" s="242"/>
      <c r="HCU3" s="242"/>
      <c r="HCV3" s="242"/>
      <c r="HCW3" s="242"/>
      <c r="HCX3" s="242"/>
      <c r="HCY3" s="242"/>
      <c r="HCZ3" s="242"/>
      <c r="HDA3" s="242"/>
      <c r="HDB3" s="242"/>
      <c r="HDC3" s="242"/>
      <c r="HDD3" s="242"/>
      <c r="HDE3" s="242"/>
      <c r="HDF3" s="242"/>
      <c r="HDG3" s="242"/>
      <c r="HDH3" s="242"/>
      <c r="HDI3" s="242"/>
      <c r="HDJ3" s="242"/>
      <c r="HDK3" s="242"/>
      <c r="HDL3" s="242"/>
      <c r="HDM3" s="242"/>
      <c r="HDN3" s="242"/>
      <c r="HDO3" s="242"/>
      <c r="HDP3" s="242"/>
      <c r="HDQ3" s="242"/>
      <c r="HDR3" s="242"/>
      <c r="HDS3" s="242"/>
      <c r="HDT3" s="242"/>
      <c r="HDU3" s="242"/>
      <c r="HDV3" s="242"/>
      <c r="HDW3" s="242"/>
      <c r="HDX3" s="242"/>
      <c r="HDY3" s="242"/>
      <c r="HDZ3" s="242"/>
      <c r="HEA3" s="242"/>
      <c r="HEB3" s="242"/>
      <c r="HEC3" s="242"/>
      <c r="HED3" s="242"/>
      <c r="HEE3" s="242"/>
      <c r="HEF3" s="242"/>
      <c r="HEG3" s="242"/>
      <c r="HEH3" s="242"/>
      <c r="HEI3" s="242"/>
      <c r="HEJ3" s="242"/>
      <c r="HEK3" s="242"/>
      <c r="HEL3" s="242"/>
      <c r="HEM3" s="242"/>
      <c r="HEN3" s="242"/>
      <c r="HEO3" s="242"/>
      <c r="HEP3" s="242"/>
      <c r="HEQ3" s="242"/>
      <c r="HER3" s="242"/>
      <c r="HES3" s="242"/>
      <c r="HET3" s="242"/>
      <c r="HEU3" s="242"/>
      <c r="HEV3" s="242"/>
      <c r="HEW3" s="242"/>
      <c r="HEX3" s="242"/>
      <c r="HEY3" s="242"/>
      <c r="HEZ3" s="242"/>
      <c r="HFA3" s="242"/>
      <c r="HFB3" s="242"/>
      <c r="HFC3" s="242"/>
      <c r="HFD3" s="242"/>
      <c r="HFE3" s="242"/>
      <c r="HFF3" s="242"/>
      <c r="HFG3" s="242"/>
      <c r="HFH3" s="242"/>
      <c r="HFI3" s="242"/>
      <c r="HFJ3" s="242"/>
      <c r="HFK3" s="242"/>
      <c r="HFL3" s="242"/>
      <c r="HFM3" s="242"/>
      <c r="HFN3" s="242"/>
      <c r="HFO3" s="242"/>
      <c r="HFP3" s="242"/>
      <c r="HFQ3" s="242"/>
      <c r="HFR3" s="242"/>
      <c r="HFS3" s="242"/>
      <c r="HFT3" s="242"/>
      <c r="HFU3" s="242"/>
      <c r="HFV3" s="242"/>
      <c r="HFW3" s="242"/>
      <c r="HFX3" s="242"/>
      <c r="HFY3" s="242"/>
      <c r="HFZ3" s="242"/>
      <c r="HGA3" s="242"/>
      <c r="HGB3" s="242"/>
      <c r="HGC3" s="242"/>
      <c r="HGD3" s="242"/>
      <c r="HGE3" s="242"/>
      <c r="HGF3" s="242"/>
      <c r="HGG3" s="242"/>
      <c r="HGH3" s="242"/>
      <c r="HGI3" s="242"/>
      <c r="HGJ3" s="242"/>
      <c r="HGK3" s="242"/>
      <c r="HGL3" s="242"/>
      <c r="HGM3" s="242"/>
      <c r="HGN3" s="242"/>
      <c r="HGO3" s="242"/>
      <c r="HGP3" s="242"/>
      <c r="HGQ3" s="242"/>
      <c r="HGR3" s="242"/>
      <c r="HGS3" s="242"/>
      <c r="HGT3" s="242"/>
      <c r="HGU3" s="242"/>
      <c r="HGV3" s="242"/>
      <c r="HGW3" s="242"/>
      <c r="HGX3" s="242"/>
      <c r="HGY3" s="242"/>
      <c r="HGZ3" s="242"/>
      <c r="HHA3" s="242"/>
      <c r="HHB3" s="242"/>
      <c r="HHC3" s="242"/>
      <c r="HHD3" s="242"/>
      <c r="HHE3" s="242"/>
      <c r="HHF3" s="242"/>
      <c r="HHG3" s="242"/>
      <c r="HHH3" s="242"/>
      <c r="HHI3" s="242"/>
      <c r="HHJ3" s="242"/>
      <c r="HHK3" s="242"/>
      <c r="HHL3" s="242"/>
      <c r="HHM3" s="242"/>
      <c r="HHN3" s="242"/>
      <c r="HHO3" s="242"/>
      <c r="HHP3" s="242"/>
      <c r="HHQ3" s="242"/>
      <c r="HHR3" s="242"/>
      <c r="HHS3" s="242"/>
      <c r="HHT3" s="242"/>
      <c r="HHU3" s="242"/>
      <c r="HHV3" s="242"/>
      <c r="HHW3" s="242"/>
      <c r="HHX3" s="242"/>
      <c r="HHY3" s="242"/>
      <c r="HHZ3" s="242"/>
      <c r="HIA3" s="242"/>
      <c r="HIB3" s="242"/>
      <c r="HIC3" s="242"/>
      <c r="HID3" s="242"/>
      <c r="HIE3" s="242"/>
      <c r="HIF3" s="242"/>
      <c r="HIG3" s="242"/>
      <c r="HIH3" s="242"/>
      <c r="HII3" s="242"/>
      <c r="HIJ3" s="242"/>
      <c r="HIK3" s="242"/>
      <c r="HIL3" s="242"/>
      <c r="HIM3" s="242"/>
      <c r="HIN3" s="242"/>
      <c r="HIO3" s="242"/>
      <c r="HIP3" s="242"/>
      <c r="HIQ3" s="242"/>
      <c r="HIR3" s="242"/>
      <c r="HIS3" s="242"/>
      <c r="HIT3" s="242"/>
      <c r="HIU3" s="242"/>
      <c r="HIV3" s="242"/>
      <c r="HIW3" s="242"/>
      <c r="HIX3" s="242"/>
      <c r="HIY3" s="242"/>
      <c r="HIZ3" s="242"/>
      <c r="HJA3" s="242"/>
      <c r="HJB3" s="242"/>
      <c r="HJC3" s="242"/>
      <c r="HJD3" s="242"/>
      <c r="HJE3" s="242"/>
      <c r="HJF3" s="242"/>
      <c r="HJG3" s="242"/>
      <c r="HJH3" s="242"/>
      <c r="HJI3" s="242"/>
      <c r="HJJ3" s="242"/>
      <c r="HJK3" s="242"/>
      <c r="HJL3" s="242"/>
      <c r="HJM3" s="242"/>
      <c r="HJN3" s="242"/>
      <c r="HJO3" s="242"/>
      <c r="HJP3" s="242"/>
      <c r="HJQ3" s="242"/>
      <c r="HJR3" s="242"/>
      <c r="HJS3" s="242"/>
      <c r="HJT3" s="242"/>
      <c r="HJU3" s="242"/>
      <c r="HJV3" s="242"/>
      <c r="HJW3" s="242"/>
      <c r="HJX3" s="242"/>
      <c r="HJY3" s="242"/>
      <c r="HJZ3" s="242"/>
      <c r="HKA3" s="242"/>
      <c r="HKB3" s="242"/>
      <c r="HKC3" s="242"/>
      <c r="HKD3" s="242"/>
      <c r="HKE3" s="242"/>
      <c r="HKF3" s="242"/>
      <c r="HKG3" s="242"/>
      <c r="HKH3" s="242"/>
      <c r="HKI3" s="242"/>
      <c r="HKJ3" s="242"/>
      <c r="HKK3" s="242"/>
      <c r="HKL3" s="242"/>
      <c r="HKM3" s="242"/>
      <c r="HKN3" s="242"/>
      <c r="HKO3" s="242"/>
      <c r="HKP3" s="242"/>
      <c r="HKQ3" s="242"/>
      <c r="HKR3" s="242"/>
      <c r="HKS3" s="242"/>
      <c r="HKT3" s="242"/>
      <c r="HKU3" s="242"/>
      <c r="HKV3" s="242"/>
      <c r="HKW3" s="242"/>
      <c r="HKX3" s="242"/>
      <c r="HKY3" s="242"/>
      <c r="HKZ3" s="242"/>
      <c r="HLA3" s="242"/>
      <c r="HLB3" s="242"/>
      <c r="HLC3" s="242"/>
      <c r="HLD3" s="242"/>
      <c r="HLE3" s="242"/>
      <c r="HLF3" s="242"/>
      <c r="HLG3" s="242"/>
      <c r="HLH3" s="242"/>
      <c r="HLI3" s="242"/>
      <c r="HLJ3" s="242"/>
      <c r="HLK3" s="242"/>
      <c r="HLL3" s="242"/>
      <c r="HLM3" s="242"/>
      <c r="HLN3" s="242"/>
      <c r="HLO3" s="242"/>
      <c r="HLP3" s="242"/>
      <c r="HLQ3" s="242"/>
      <c r="HLR3" s="242"/>
      <c r="HLS3" s="242"/>
      <c r="HLT3" s="242"/>
      <c r="HLU3" s="242"/>
      <c r="HLV3" s="242"/>
      <c r="HLW3" s="242"/>
      <c r="HLX3" s="242"/>
      <c r="HLY3" s="242"/>
      <c r="HLZ3" s="242"/>
      <c r="HMA3" s="242"/>
      <c r="HMB3" s="242"/>
      <c r="HMC3" s="242"/>
      <c r="HMD3" s="242"/>
      <c r="HME3" s="242"/>
      <c r="HMF3" s="242"/>
      <c r="HMG3" s="242"/>
      <c r="HMH3" s="242"/>
      <c r="HMI3" s="242"/>
      <c r="HMJ3" s="242"/>
      <c r="HMK3" s="242"/>
      <c r="HML3" s="242"/>
      <c r="HMM3" s="242"/>
      <c r="HMN3" s="242"/>
      <c r="HMO3" s="242"/>
      <c r="HMP3" s="242"/>
      <c r="HMQ3" s="242"/>
      <c r="HMR3" s="242"/>
      <c r="HMS3" s="242"/>
      <c r="HMT3" s="242"/>
      <c r="HMU3" s="242"/>
      <c r="HMV3" s="242"/>
      <c r="HMW3" s="242"/>
      <c r="HMX3" s="242"/>
      <c r="HMY3" s="242"/>
      <c r="HMZ3" s="242"/>
      <c r="HNA3" s="242"/>
      <c r="HNB3" s="242"/>
      <c r="HNC3" s="242"/>
      <c r="HND3" s="242"/>
      <c r="HNE3" s="242"/>
      <c r="HNF3" s="242"/>
      <c r="HNG3" s="242"/>
      <c r="HNH3" s="242"/>
      <c r="HNI3" s="242"/>
      <c r="HNJ3" s="242"/>
      <c r="HNK3" s="242"/>
      <c r="HNL3" s="242"/>
      <c r="HNM3" s="242"/>
      <c r="HNN3" s="242"/>
      <c r="HNO3" s="242"/>
      <c r="HNP3" s="242"/>
      <c r="HNQ3" s="242"/>
      <c r="HNR3" s="242"/>
      <c r="HNS3" s="242"/>
      <c r="HNT3" s="242"/>
      <c r="HNU3" s="242"/>
      <c r="HNV3" s="242"/>
      <c r="HNW3" s="242"/>
      <c r="HNX3" s="242"/>
      <c r="HNY3" s="242"/>
      <c r="HNZ3" s="242"/>
      <c r="HOA3" s="242"/>
      <c r="HOB3" s="242"/>
      <c r="HOC3" s="242"/>
      <c r="HOD3" s="242"/>
      <c r="HOE3" s="242"/>
      <c r="HOF3" s="242"/>
      <c r="HOG3" s="242"/>
      <c r="HOH3" s="242"/>
      <c r="HOI3" s="242"/>
      <c r="HOJ3" s="242"/>
      <c r="HOK3" s="242"/>
      <c r="HOL3" s="242"/>
      <c r="HOM3" s="242"/>
      <c r="HON3" s="242"/>
      <c r="HOO3" s="242"/>
      <c r="HOP3" s="242"/>
      <c r="HOQ3" s="242"/>
      <c r="HOR3" s="242"/>
      <c r="HOS3" s="242"/>
      <c r="HOT3" s="242"/>
      <c r="HOU3" s="242"/>
      <c r="HOV3" s="242"/>
      <c r="HOW3" s="242"/>
      <c r="HOX3" s="242"/>
      <c r="HOY3" s="242"/>
      <c r="HOZ3" s="242"/>
      <c r="HPA3" s="242"/>
      <c r="HPB3" s="242"/>
      <c r="HPC3" s="242"/>
      <c r="HPD3" s="242"/>
      <c r="HPE3" s="242"/>
      <c r="HPF3" s="242"/>
      <c r="HPG3" s="242"/>
      <c r="HPH3" s="242"/>
      <c r="HPI3" s="242"/>
      <c r="HPJ3" s="242"/>
      <c r="HPK3" s="242"/>
      <c r="HPL3" s="242"/>
      <c r="HPM3" s="242"/>
      <c r="HPN3" s="242"/>
      <c r="HPO3" s="242"/>
      <c r="HPP3" s="242"/>
      <c r="HPQ3" s="242"/>
      <c r="HPR3" s="242"/>
      <c r="HPS3" s="242"/>
      <c r="HPT3" s="242"/>
      <c r="HPU3" s="242"/>
      <c r="HPV3" s="242"/>
      <c r="HPW3" s="242"/>
      <c r="HPX3" s="242"/>
      <c r="HPY3" s="242"/>
      <c r="HPZ3" s="242"/>
      <c r="HQA3" s="242"/>
      <c r="HQB3" s="242"/>
      <c r="HQC3" s="242"/>
      <c r="HQD3" s="242"/>
      <c r="HQE3" s="242"/>
      <c r="HQF3" s="242"/>
      <c r="HQG3" s="242"/>
      <c r="HQH3" s="242"/>
      <c r="HQI3" s="242"/>
      <c r="HQJ3" s="242"/>
      <c r="HQK3" s="242"/>
      <c r="HQL3" s="242"/>
      <c r="HQM3" s="242"/>
      <c r="HQN3" s="242"/>
      <c r="HQO3" s="242"/>
      <c r="HQP3" s="242"/>
      <c r="HQQ3" s="242"/>
      <c r="HQR3" s="242"/>
      <c r="HQS3" s="242"/>
      <c r="HQT3" s="242"/>
      <c r="HQU3" s="242"/>
      <c r="HQV3" s="242"/>
      <c r="HQW3" s="242"/>
      <c r="HQX3" s="242"/>
      <c r="HQY3" s="242"/>
      <c r="HQZ3" s="242"/>
      <c r="HRA3" s="242"/>
      <c r="HRB3" s="242"/>
      <c r="HRC3" s="242"/>
      <c r="HRD3" s="242"/>
      <c r="HRE3" s="242"/>
      <c r="HRF3" s="242"/>
      <c r="HRG3" s="242"/>
      <c r="HRH3" s="242"/>
      <c r="HRI3" s="242"/>
      <c r="HRJ3" s="242"/>
      <c r="HRK3" s="242"/>
      <c r="HRL3" s="242"/>
      <c r="HRM3" s="242"/>
      <c r="HRN3" s="242"/>
      <c r="HRO3" s="242"/>
      <c r="HRP3" s="242"/>
      <c r="HRQ3" s="242"/>
      <c r="HRR3" s="242"/>
      <c r="HRS3" s="242"/>
      <c r="HRT3" s="242"/>
      <c r="HRU3" s="242"/>
      <c r="HRV3" s="242"/>
      <c r="HRW3" s="242"/>
      <c r="HRX3" s="242"/>
      <c r="HRY3" s="242"/>
      <c r="HRZ3" s="242"/>
      <c r="HSA3" s="242"/>
      <c r="HSB3" s="242"/>
      <c r="HSC3" s="242"/>
      <c r="HSD3" s="242"/>
      <c r="HSE3" s="242"/>
      <c r="HSF3" s="242"/>
      <c r="HSG3" s="242"/>
      <c r="HSH3" s="242"/>
      <c r="HSI3" s="242"/>
      <c r="HSJ3" s="242"/>
      <c r="HSK3" s="242"/>
      <c r="HSL3" s="242"/>
      <c r="HSM3" s="242"/>
      <c r="HSN3" s="242"/>
      <c r="HSO3" s="242"/>
      <c r="HSP3" s="242"/>
      <c r="HSQ3" s="242"/>
      <c r="HSR3" s="242"/>
      <c r="HSS3" s="242"/>
      <c r="HST3" s="242"/>
      <c r="HSU3" s="242"/>
      <c r="HSV3" s="242"/>
      <c r="HSW3" s="242"/>
      <c r="HSX3" s="242"/>
      <c r="HSY3" s="242"/>
      <c r="HSZ3" s="242"/>
      <c r="HTA3" s="242"/>
      <c r="HTB3" s="242"/>
      <c r="HTC3" s="242"/>
      <c r="HTD3" s="242"/>
      <c r="HTE3" s="242"/>
      <c r="HTF3" s="242"/>
      <c r="HTG3" s="242"/>
      <c r="HTH3" s="242"/>
      <c r="HTI3" s="242"/>
      <c r="HTJ3" s="242"/>
      <c r="HTK3" s="242"/>
      <c r="HTL3" s="242"/>
      <c r="HTM3" s="242"/>
      <c r="HTN3" s="242"/>
      <c r="HTO3" s="242"/>
      <c r="HTP3" s="242"/>
      <c r="HTQ3" s="242"/>
      <c r="HTR3" s="242"/>
      <c r="HTS3" s="242"/>
      <c r="HTT3" s="242"/>
      <c r="HTU3" s="242"/>
      <c r="HTV3" s="242"/>
      <c r="HTW3" s="242"/>
      <c r="HTX3" s="242"/>
      <c r="HTY3" s="242"/>
      <c r="HTZ3" s="242"/>
      <c r="HUA3" s="242"/>
      <c r="HUB3" s="242"/>
      <c r="HUC3" s="242"/>
      <c r="HUD3" s="242"/>
      <c r="HUE3" s="242"/>
      <c r="HUF3" s="242"/>
      <c r="HUG3" s="242"/>
      <c r="HUH3" s="242"/>
      <c r="HUI3" s="242"/>
      <c r="HUJ3" s="242"/>
      <c r="HUK3" s="242"/>
      <c r="HUL3" s="242"/>
      <c r="HUM3" s="242"/>
      <c r="HUN3" s="242"/>
      <c r="HUO3" s="242"/>
      <c r="HUP3" s="242"/>
      <c r="HUQ3" s="242"/>
      <c r="HUR3" s="242"/>
      <c r="HUS3" s="242"/>
      <c r="HUT3" s="242"/>
      <c r="HUU3" s="242"/>
      <c r="HUV3" s="242"/>
      <c r="HUW3" s="242"/>
      <c r="HUX3" s="242"/>
      <c r="HUY3" s="242"/>
      <c r="HUZ3" s="242"/>
      <c r="HVA3" s="242"/>
      <c r="HVB3" s="242"/>
      <c r="HVC3" s="242"/>
      <c r="HVD3" s="242"/>
      <c r="HVE3" s="242"/>
      <c r="HVF3" s="242"/>
      <c r="HVG3" s="242"/>
      <c r="HVH3" s="242"/>
      <c r="HVI3" s="242"/>
      <c r="HVJ3" s="242"/>
      <c r="HVK3" s="242"/>
      <c r="HVL3" s="242"/>
      <c r="HVM3" s="242"/>
      <c r="HVN3" s="242"/>
      <c r="HVO3" s="242"/>
      <c r="HVP3" s="242"/>
      <c r="HVQ3" s="242"/>
      <c r="HVR3" s="242"/>
      <c r="HVS3" s="242"/>
      <c r="HVT3" s="242"/>
      <c r="HVU3" s="242"/>
      <c r="HVV3" s="242"/>
      <c r="HVW3" s="242"/>
      <c r="HVX3" s="242"/>
      <c r="HVY3" s="242"/>
      <c r="HVZ3" s="242"/>
      <c r="HWA3" s="242"/>
      <c r="HWB3" s="242"/>
      <c r="HWC3" s="242"/>
      <c r="HWD3" s="242"/>
      <c r="HWE3" s="242"/>
      <c r="HWF3" s="242"/>
      <c r="HWG3" s="242"/>
      <c r="HWH3" s="242"/>
      <c r="HWI3" s="242"/>
      <c r="HWJ3" s="242"/>
      <c r="HWK3" s="242"/>
      <c r="HWL3" s="242"/>
      <c r="HWM3" s="242"/>
      <c r="HWN3" s="242"/>
      <c r="HWO3" s="242"/>
      <c r="HWP3" s="242"/>
      <c r="HWQ3" s="242"/>
      <c r="HWR3" s="242"/>
      <c r="HWS3" s="242"/>
      <c r="HWT3" s="242"/>
      <c r="HWU3" s="242"/>
      <c r="HWV3" s="242"/>
      <c r="HWW3" s="242"/>
      <c r="HWX3" s="242"/>
      <c r="HWY3" s="242"/>
      <c r="HWZ3" s="242"/>
      <c r="HXA3" s="242"/>
      <c r="HXB3" s="242"/>
      <c r="HXC3" s="242"/>
      <c r="HXD3" s="242"/>
      <c r="HXE3" s="242"/>
      <c r="HXF3" s="242"/>
      <c r="HXG3" s="242"/>
      <c r="HXH3" s="242"/>
      <c r="HXI3" s="242"/>
      <c r="HXJ3" s="242"/>
      <c r="HXK3" s="242"/>
      <c r="HXL3" s="242"/>
      <c r="HXM3" s="242"/>
      <c r="HXN3" s="242"/>
      <c r="HXO3" s="242"/>
      <c r="HXP3" s="242"/>
      <c r="HXQ3" s="242"/>
      <c r="HXR3" s="242"/>
      <c r="HXS3" s="242"/>
      <c r="HXT3" s="242"/>
      <c r="HXU3" s="242"/>
      <c r="HXV3" s="242"/>
      <c r="HXW3" s="242"/>
      <c r="HXX3" s="242"/>
      <c r="HXY3" s="242"/>
      <c r="HXZ3" s="242"/>
      <c r="HYA3" s="242"/>
      <c r="HYB3" s="242"/>
      <c r="HYC3" s="242"/>
      <c r="HYD3" s="242"/>
      <c r="HYE3" s="242"/>
      <c r="HYF3" s="242"/>
      <c r="HYG3" s="242"/>
      <c r="HYH3" s="242"/>
      <c r="HYI3" s="242"/>
      <c r="HYJ3" s="242"/>
      <c r="HYK3" s="242"/>
      <c r="HYL3" s="242"/>
      <c r="HYM3" s="242"/>
      <c r="HYN3" s="242"/>
      <c r="HYO3" s="242"/>
      <c r="HYP3" s="242"/>
      <c r="HYQ3" s="242"/>
      <c r="HYR3" s="242"/>
      <c r="HYS3" s="242"/>
      <c r="HYT3" s="242"/>
      <c r="HYU3" s="242"/>
      <c r="HYV3" s="242"/>
      <c r="HYW3" s="242"/>
      <c r="HYX3" s="242"/>
      <c r="HYY3" s="242"/>
      <c r="HYZ3" s="242"/>
      <c r="HZA3" s="242"/>
      <c r="HZB3" s="242"/>
      <c r="HZC3" s="242"/>
      <c r="HZD3" s="242"/>
      <c r="HZE3" s="242"/>
      <c r="HZF3" s="242"/>
      <c r="HZG3" s="242"/>
      <c r="HZH3" s="242"/>
      <c r="HZI3" s="242"/>
      <c r="HZJ3" s="242"/>
      <c r="HZK3" s="242"/>
      <c r="HZL3" s="242"/>
      <c r="HZM3" s="242"/>
      <c r="HZN3" s="242"/>
      <c r="HZO3" s="242"/>
      <c r="HZP3" s="242"/>
      <c r="HZQ3" s="242"/>
      <c r="HZR3" s="242"/>
      <c r="HZS3" s="242"/>
      <c r="HZT3" s="242"/>
      <c r="HZU3" s="242"/>
      <c r="HZV3" s="242"/>
      <c r="HZW3" s="242"/>
      <c r="HZX3" s="242"/>
      <c r="HZY3" s="242"/>
      <c r="HZZ3" s="242"/>
      <c r="IAA3" s="242"/>
      <c r="IAB3" s="242"/>
      <c r="IAC3" s="242"/>
      <c r="IAD3" s="242"/>
      <c r="IAE3" s="242"/>
      <c r="IAF3" s="242"/>
      <c r="IAG3" s="242"/>
      <c r="IAH3" s="242"/>
      <c r="IAI3" s="242"/>
      <c r="IAJ3" s="242"/>
      <c r="IAK3" s="242"/>
      <c r="IAL3" s="242"/>
      <c r="IAM3" s="242"/>
      <c r="IAN3" s="242"/>
      <c r="IAO3" s="242"/>
      <c r="IAP3" s="242"/>
      <c r="IAQ3" s="242"/>
      <c r="IAR3" s="242"/>
      <c r="IAS3" s="242"/>
      <c r="IAT3" s="242"/>
      <c r="IAU3" s="242"/>
      <c r="IAV3" s="242"/>
      <c r="IAW3" s="242"/>
      <c r="IAX3" s="242"/>
      <c r="IAY3" s="242"/>
      <c r="IAZ3" s="242"/>
      <c r="IBA3" s="242"/>
      <c r="IBB3" s="242"/>
      <c r="IBC3" s="242"/>
      <c r="IBD3" s="242"/>
      <c r="IBE3" s="242"/>
      <c r="IBF3" s="242"/>
      <c r="IBG3" s="242"/>
      <c r="IBH3" s="242"/>
      <c r="IBI3" s="242"/>
      <c r="IBJ3" s="242"/>
      <c r="IBK3" s="242"/>
      <c r="IBL3" s="242"/>
      <c r="IBM3" s="242"/>
      <c r="IBN3" s="242"/>
      <c r="IBO3" s="242"/>
      <c r="IBP3" s="242"/>
      <c r="IBQ3" s="242"/>
      <c r="IBR3" s="242"/>
      <c r="IBS3" s="242"/>
      <c r="IBT3" s="242"/>
      <c r="IBU3" s="242"/>
      <c r="IBV3" s="242"/>
      <c r="IBW3" s="242"/>
      <c r="IBX3" s="242"/>
      <c r="IBY3" s="242"/>
      <c r="IBZ3" s="242"/>
      <c r="ICA3" s="242"/>
      <c r="ICB3" s="242"/>
      <c r="ICC3" s="242"/>
      <c r="ICD3" s="242"/>
      <c r="ICE3" s="242"/>
      <c r="ICF3" s="242"/>
      <c r="ICG3" s="242"/>
      <c r="ICH3" s="242"/>
      <c r="ICI3" s="242"/>
      <c r="ICJ3" s="242"/>
      <c r="ICK3" s="242"/>
      <c r="ICL3" s="242"/>
      <c r="ICM3" s="242"/>
      <c r="ICN3" s="242"/>
      <c r="ICO3" s="242"/>
      <c r="ICP3" s="242"/>
      <c r="ICQ3" s="242"/>
      <c r="ICR3" s="242"/>
      <c r="ICS3" s="242"/>
      <c r="ICT3" s="242"/>
      <c r="ICU3" s="242"/>
      <c r="ICV3" s="242"/>
      <c r="ICW3" s="242"/>
      <c r="ICX3" s="242"/>
      <c r="ICY3" s="242"/>
      <c r="ICZ3" s="242"/>
      <c r="IDA3" s="242"/>
      <c r="IDB3" s="242"/>
      <c r="IDC3" s="242"/>
      <c r="IDD3" s="242"/>
      <c r="IDE3" s="242"/>
      <c r="IDF3" s="242"/>
      <c r="IDG3" s="242"/>
      <c r="IDH3" s="242"/>
      <c r="IDI3" s="242"/>
      <c r="IDJ3" s="242"/>
      <c r="IDK3" s="242"/>
      <c r="IDL3" s="242"/>
      <c r="IDM3" s="242"/>
      <c r="IDN3" s="242"/>
      <c r="IDO3" s="242"/>
      <c r="IDP3" s="242"/>
      <c r="IDQ3" s="242"/>
      <c r="IDR3" s="242"/>
      <c r="IDS3" s="242"/>
      <c r="IDT3" s="242"/>
      <c r="IDU3" s="242"/>
      <c r="IDV3" s="242"/>
      <c r="IDW3" s="242"/>
      <c r="IDX3" s="242"/>
      <c r="IDY3" s="242"/>
      <c r="IDZ3" s="242"/>
      <c r="IEA3" s="242"/>
      <c r="IEB3" s="242"/>
      <c r="IEC3" s="242"/>
      <c r="IED3" s="242"/>
      <c r="IEE3" s="242"/>
      <c r="IEF3" s="242"/>
      <c r="IEG3" s="242"/>
      <c r="IEH3" s="242"/>
      <c r="IEI3" s="242"/>
      <c r="IEJ3" s="242"/>
      <c r="IEK3" s="242"/>
      <c r="IEL3" s="242"/>
      <c r="IEM3" s="242"/>
      <c r="IEN3" s="242"/>
      <c r="IEO3" s="242"/>
      <c r="IEP3" s="242"/>
      <c r="IEQ3" s="242"/>
      <c r="IER3" s="242"/>
      <c r="IES3" s="242"/>
      <c r="IET3" s="242"/>
      <c r="IEU3" s="242"/>
      <c r="IEV3" s="242"/>
      <c r="IEW3" s="242"/>
      <c r="IEX3" s="242"/>
      <c r="IEY3" s="242"/>
      <c r="IEZ3" s="242"/>
      <c r="IFA3" s="242"/>
      <c r="IFB3" s="242"/>
      <c r="IFC3" s="242"/>
      <c r="IFD3" s="242"/>
      <c r="IFE3" s="242"/>
      <c r="IFF3" s="242"/>
      <c r="IFG3" s="242"/>
      <c r="IFH3" s="242"/>
      <c r="IFI3" s="242"/>
      <c r="IFJ3" s="242"/>
      <c r="IFK3" s="242"/>
      <c r="IFL3" s="242"/>
      <c r="IFM3" s="242"/>
      <c r="IFN3" s="242"/>
      <c r="IFO3" s="242"/>
      <c r="IFP3" s="242"/>
      <c r="IFQ3" s="242"/>
      <c r="IFR3" s="242"/>
      <c r="IFS3" s="242"/>
      <c r="IFT3" s="242"/>
      <c r="IFU3" s="242"/>
      <c r="IFV3" s="242"/>
      <c r="IFW3" s="242"/>
      <c r="IFX3" s="242"/>
      <c r="IFY3" s="242"/>
      <c r="IFZ3" s="242"/>
      <c r="IGA3" s="242"/>
      <c r="IGB3" s="242"/>
      <c r="IGC3" s="242"/>
      <c r="IGD3" s="242"/>
      <c r="IGE3" s="242"/>
      <c r="IGF3" s="242"/>
      <c r="IGG3" s="242"/>
      <c r="IGH3" s="242"/>
      <c r="IGI3" s="242"/>
      <c r="IGJ3" s="242"/>
      <c r="IGK3" s="242"/>
      <c r="IGL3" s="242"/>
      <c r="IGM3" s="242"/>
      <c r="IGN3" s="242"/>
      <c r="IGO3" s="242"/>
      <c r="IGP3" s="242"/>
      <c r="IGQ3" s="242"/>
      <c r="IGR3" s="242"/>
      <c r="IGS3" s="242"/>
      <c r="IGT3" s="242"/>
      <c r="IGU3" s="242"/>
      <c r="IGV3" s="242"/>
      <c r="IGW3" s="242"/>
      <c r="IGX3" s="242"/>
      <c r="IGY3" s="242"/>
      <c r="IGZ3" s="242"/>
      <c r="IHA3" s="242"/>
      <c r="IHB3" s="242"/>
      <c r="IHC3" s="242"/>
      <c r="IHD3" s="242"/>
      <c r="IHE3" s="242"/>
      <c r="IHF3" s="242"/>
      <c r="IHG3" s="242"/>
      <c r="IHH3" s="242"/>
      <c r="IHI3" s="242"/>
      <c r="IHJ3" s="242"/>
      <c r="IHK3" s="242"/>
      <c r="IHL3" s="242"/>
      <c r="IHM3" s="242"/>
      <c r="IHN3" s="242"/>
      <c r="IHO3" s="242"/>
      <c r="IHP3" s="242"/>
      <c r="IHQ3" s="242"/>
      <c r="IHR3" s="242"/>
      <c r="IHS3" s="242"/>
      <c r="IHT3" s="242"/>
      <c r="IHU3" s="242"/>
      <c r="IHV3" s="242"/>
      <c r="IHW3" s="242"/>
      <c r="IHX3" s="242"/>
      <c r="IHY3" s="242"/>
      <c r="IHZ3" s="242"/>
      <c r="IIA3" s="242"/>
      <c r="IIB3" s="242"/>
      <c r="IIC3" s="242"/>
      <c r="IID3" s="242"/>
      <c r="IIE3" s="242"/>
      <c r="IIF3" s="242"/>
      <c r="IIG3" s="242"/>
      <c r="IIH3" s="242"/>
      <c r="III3" s="242"/>
      <c r="IIJ3" s="242"/>
      <c r="IIK3" s="242"/>
      <c r="IIL3" s="242"/>
      <c r="IIM3" s="242"/>
      <c r="IIN3" s="242"/>
      <c r="IIO3" s="242"/>
      <c r="IIP3" s="242"/>
      <c r="IIQ3" s="242"/>
      <c r="IIR3" s="242"/>
      <c r="IIS3" s="242"/>
      <c r="IIT3" s="242"/>
      <c r="IIU3" s="242"/>
      <c r="IIV3" s="242"/>
      <c r="IIW3" s="242"/>
      <c r="IIX3" s="242"/>
      <c r="IIY3" s="242"/>
      <c r="IIZ3" s="242"/>
      <c r="IJA3" s="242"/>
      <c r="IJB3" s="242"/>
      <c r="IJC3" s="242"/>
      <c r="IJD3" s="242"/>
      <c r="IJE3" s="242"/>
      <c r="IJF3" s="242"/>
      <c r="IJG3" s="242"/>
      <c r="IJH3" s="242"/>
      <c r="IJI3" s="242"/>
      <c r="IJJ3" s="242"/>
      <c r="IJK3" s="242"/>
      <c r="IJL3" s="242"/>
      <c r="IJM3" s="242"/>
      <c r="IJN3" s="242"/>
      <c r="IJO3" s="242"/>
      <c r="IJP3" s="242"/>
      <c r="IJQ3" s="242"/>
      <c r="IJR3" s="242"/>
      <c r="IJS3" s="242"/>
      <c r="IJT3" s="242"/>
      <c r="IJU3" s="242"/>
      <c r="IJV3" s="242"/>
      <c r="IJW3" s="242"/>
      <c r="IJX3" s="242"/>
      <c r="IJY3" s="242"/>
      <c r="IJZ3" s="242"/>
      <c r="IKA3" s="242"/>
      <c r="IKB3" s="242"/>
      <c r="IKC3" s="242"/>
      <c r="IKD3" s="242"/>
      <c r="IKE3" s="242"/>
      <c r="IKF3" s="242"/>
      <c r="IKG3" s="242"/>
      <c r="IKH3" s="242"/>
      <c r="IKI3" s="242"/>
      <c r="IKJ3" s="242"/>
      <c r="IKK3" s="242"/>
      <c r="IKL3" s="242"/>
      <c r="IKM3" s="242"/>
      <c r="IKN3" s="242"/>
      <c r="IKO3" s="242"/>
      <c r="IKP3" s="242"/>
      <c r="IKQ3" s="242"/>
      <c r="IKR3" s="242"/>
      <c r="IKS3" s="242"/>
      <c r="IKT3" s="242"/>
      <c r="IKU3" s="242"/>
      <c r="IKV3" s="242"/>
      <c r="IKW3" s="242"/>
      <c r="IKX3" s="242"/>
      <c r="IKY3" s="242"/>
      <c r="IKZ3" s="242"/>
      <c r="ILA3" s="242"/>
      <c r="ILB3" s="242"/>
      <c r="ILC3" s="242"/>
      <c r="ILD3" s="242"/>
      <c r="ILE3" s="242"/>
      <c r="ILF3" s="242"/>
      <c r="ILG3" s="242"/>
      <c r="ILH3" s="242"/>
      <c r="ILI3" s="242"/>
      <c r="ILJ3" s="242"/>
      <c r="ILK3" s="242"/>
      <c r="ILL3" s="242"/>
      <c r="ILM3" s="242"/>
      <c r="ILN3" s="242"/>
      <c r="ILO3" s="242"/>
      <c r="ILP3" s="242"/>
      <c r="ILQ3" s="242"/>
      <c r="ILR3" s="242"/>
      <c r="ILS3" s="242"/>
      <c r="ILT3" s="242"/>
      <c r="ILU3" s="242"/>
      <c r="ILV3" s="242"/>
      <c r="ILW3" s="242"/>
      <c r="ILX3" s="242"/>
      <c r="ILY3" s="242"/>
      <c r="ILZ3" s="242"/>
      <c r="IMA3" s="242"/>
      <c r="IMB3" s="242"/>
      <c r="IMC3" s="242"/>
      <c r="IMD3" s="242"/>
      <c r="IME3" s="242"/>
      <c r="IMF3" s="242"/>
      <c r="IMG3" s="242"/>
      <c r="IMH3" s="242"/>
      <c r="IMI3" s="242"/>
      <c r="IMJ3" s="242"/>
      <c r="IMK3" s="242"/>
      <c r="IML3" s="242"/>
      <c r="IMM3" s="242"/>
      <c r="IMN3" s="242"/>
      <c r="IMO3" s="242"/>
      <c r="IMP3" s="242"/>
      <c r="IMQ3" s="242"/>
      <c r="IMR3" s="242"/>
      <c r="IMS3" s="242"/>
      <c r="IMT3" s="242"/>
      <c r="IMU3" s="242"/>
      <c r="IMV3" s="242"/>
      <c r="IMW3" s="242"/>
      <c r="IMX3" s="242"/>
      <c r="IMY3" s="242"/>
      <c r="IMZ3" s="242"/>
      <c r="INA3" s="242"/>
      <c r="INB3" s="242"/>
      <c r="INC3" s="242"/>
      <c r="IND3" s="242"/>
      <c r="INE3" s="242"/>
      <c r="INF3" s="242"/>
      <c r="ING3" s="242"/>
      <c r="INH3" s="242"/>
      <c r="INI3" s="242"/>
      <c r="INJ3" s="242"/>
      <c r="INK3" s="242"/>
      <c r="INL3" s="242"/>
      <c r="INM3" s="242"/>
      <c r="INN3" s="242"/>
      <c r="INO3" s="242"/>
      <c r="INP3" s="242"/>
      <c r="INQ3" s="242"/>
      <c r="INR3" s="242"/>
      <c r="INS3" s="242"/>
      <c r="INT3" s="242"/>
      <c r="INU3" s="242"/>
      <c r="INV3" s="242"/>
      <c r="INW3" s="242"/>
      <c r="INX3" s="242"/>
      <c r="INY3" s="242"/>
      <c r="INZ3" s="242"/>
      <c r="IOA3" s="242"/>
      <c r="IOB3" s="242"/>
      <c r="IOC3" s="242"/>
      <c r="IOD3" s="242"/>
      <c r="IOE3" s="242"/>
      <c r="IOF3" s="242"/>
      <c r="IOG3" s="242"/>
      <c r="IOH3" s="242"/>
      <c r="IOI3" s="242"/>
      <c r="IOJ3" s="242"/>
      <c r="IOK3" s="242"/>
      <c r="IOL3" s="242"/>
      <c r="IOM3" s="242"/>
      <c r="ION3" s="242"/>
      <c r="IOO3" s="242"/>
      <c r="IOP3" s="242"/>
      <c r="IOQ3" s="242"/>
      <c r="IOR3" s="242"/>
      <c r="IOS3" s="242"/>
      <c r="IOT3" s="242"/>
      <c r="IOU3" s="242"/>
      <c r="IOV3" s="242"/>
      <c r="IOW3" s="242"/>
      <c r="IOX3" s="242"/>
      <c r="IOY3" s="242"/>
      <c r="IOZ3" s="242"/>
      <c r="IPA3" s="242"/>
      <c r="IPB3" s="242"/>
      <c r="IPC3" s="242"/>
      <c r="IPD3" s="242"/>
      <c r="IPE3" s="242"/>
      <c r="IPF3" s="242"/>
      <c r="IPG3" s="242"/>
      <c r="IPH3" s="242"/>
      <c r="IPI3" s="242"/>
      <c r="IPJ3" s="242"/>
      <c r="IPK3" s="242"/>
      <c r="IPL3" s="242"/>
      <c r="IPM3" s="242"/>
      <c r="IPN3" s="242"/>
      <c r="IPO3" s="242"/>
      <c r="IPP3" s="242"/>
      <c r="IPQ3" s="242"/>
      <c r="IPR3" s="242"/>
      <c r="IPS3" s="242"/>
      <c r="IPT3" s="242"/>
      <c r="IPU3" s="242"/>
      <c r="IPV3" s="242"/>
      <c r="IPW3" s="242"/>
      <c r="IPX3" s="242"/>
      <c r="IPY3" s="242"/>
      <c r="IPZ3" s="242"/>
      <c r="IQA3" s="242"/>
      <c r="IQB3" s="242"/>
      <c r="IQC3" s="242"/>
      <c r="IQD3" s="242"/>
      <c r="IQE3" s="242"/>
      <c r="IQF3" s="242"/>
      <c r="IQG3" s="242"/>
      <c r="IQH3" s="242"/>
      <c r="IQI3" s="242"/>
      <c r="IQJ3" s="242"/>
      <c r="IQK3" s="242"/>
      <c r="IQL3" s="242"/>
      <c r="IQM3" s="242"/>
      <c r="IQN3" s="242"/>
      <c r="IQO3" s="242"/>
      <c r="IQP3" s="242"/>
      <c r="IQQ3" s="242"/>
      <c r="IQR3" s="242"/>
      <c r="IQS3" s="242"/>
      <c r="IQT3" s="242"/>
      <c r="IQU3" s="242"/>
      <c r="IQV3" s="242"/>
      <c r="IQW3" s="242"/>
      <c r="IQX3" s="242"/>
      <c r="IQY3" s="242"/>
      <c r="IQZ3" s="242"/>
      <c r="IRA3" s="242"/>
      <c r="IRB3" s="242"/>
      <c r="IRC3" s="242"/>
      <c r="IRD3" s="242"/>
      <c r="IRE3" s="242"/>
      <c r="IRF3" s="242"/>
      <c r="IRG3" s="242"/>
      <c r="IRH3" s="242"/>
      <c r="IRI3" s="242"/>
      <c r="IRJ3" s="242"/>
      <c r="IRK3" s="242"/>
      <c r="IRL3" s="242"/>
      <c r="IRM3" s="242"/>
      <c r="IRN3" s="242"/>
      <c r="IRO3" s="242"/>
      <c r="IRP3" s="242"/>
      <c r="IRQ3" s="242"/>
      <c r="IRR3" s="242"/>
      <c r="IRS3" s="242"/>
      <c r="IRT3" s="242"/>
      <c r="IRU3" s="242"/>
      <c r="IRV3" s="242"/>
      <c r="IRW3" s="242"/>
      <c r="IRX3" s="242"/>
      <c r="IRY3" s="242"/>
      <c r="IRZ3" s="242"/>
      <c r="ISA3" s="242"/>
      <c r="ISB3" s="242"/>
      <c r="ISC3" s="242"/>
      <c r="ISD3" s="242"/>
      <c r="ISE3" s="242"/>
      <c r="ISF3" s="242"/>
      <c r="ISG3" s="242"/>
      <c r="ISH3" s="242"/>
      <c r="ISI3" s="242"/>
      <c r="ISJ3" s="242"/>
      <c r="ISK3" s="242"/>
      <c r="ISL3" s="242"/>
      <c r="ISM3" s="242"/>
      <c r="ISN3" s="242"/>
      <c r="ISO3" s="242"/>
      <c r="ISP3" s="242"/>
      <c r="ISQ3" s="242"/>
      <c r="ISR3" s="242"/>
      <c r="ISS3" s="242"/>
      <c r="IST3" s="242"/>
      <c r="ISU3" s="242"/>
      <c r="ISV3" s="242"/>
      <c r="ISW3" s="242"/>
      <c r="ISX3" s="242"/>
      <c r="ISY3" s="242"/>
      <c r="ISZ3" s="242"/>
      <c r="ITA3" s="242"/>
      <c r="ITB3" s="242"/>
      <c r="ITC3" s="242"/>
      <c r="ITD3" s="242"/>
      <c r="ITE3" s="242"/>
      <c r="ITF3" s="242"/>
      <c r="ITG3" s="242"/>
      <c r="ITH3" s="242"/>
      <c r="ITI3" s="242"/>
      <c r="ITJ3" s="242"/>
      <c r="ITK3" s="242"/>
      <c r="ITL3" s="242"/>
      <c r="ITM3" s="242"/>
      <c r="ITN3" s="242"/>
      <c r="ITO3" s="242"/>
      <c r="ITP3" s="242"/>
      <c r="ITQ3" s="242"/>
      <c r="ITR3" s="242"/>
      <c r="ITS3" s="242"/>
      <c r="ITT3" s="242"/>
      <c r="ITU3" s="242"/>
      <c r="ITV3" s="242"/>
      <c r="ITW3" s="242"/>
      <c r="ITX3" s="242"/>
      <c r="ITY3" s="242"/>
      <c r="ITZ3" s="242"/>
      <c r="IUA3" s="242"/>
      <c r="IUB3" s="242"/>
      <c r="IUC3" s="242"/>
      <c r="IUD3" s="242"/>
      <c r="IUE3" s="242"/>
      <c r="IUF3" s="242"/>
      <c r="IUG3" s="242"/>
      <c r="IUH3" s="242"/>
      <c r="IUI3" s="242"/>
      <c r="IUJ3" s="242"/>
      <c r="IUK3" s="242"/>
      <c r="IUL3" s="242"/>
      <c r="IUM3" s="242"/>
      <c r="IUN3" s="242"/>
      <c r="IUO3" s="242"/>
      <c r="IUP3" s="242"/>
      <c r="IUQ3" s="242"/>
      <c r="IUR3" s="242"/>
      <c r="IUS3" s="242"/>
      <c r="IUT3" s="242"/>
      <c r="IUU3" s="242"/>
      <c r="IUV3" s="242"/>
      <c r="IUW3" s="242"/>
      <c r="IUX3" s="242"/>
      <c r="IUY3" s="242"/>
      <c r="IUZ3" s="242"/>
      <c r="IVA3" s="242"/>
      <c r="IVB3" s="242"/>
      <c r="IVC3" s="242"/>
      <c r="IVD3" s="242"/>
      <c r="IVE3" s="242"/>
      <c r="IVF3" s="242"/>
      <c r="IVG3" s="242"/>
      <c r="IVH3" s="242"/>
      <c r="IVI3" s="242"/>
      <c r="IVJ3" s="242"/>
      <c r="IVK3" s="242"/>
      <c r="IVL3" s="242"/>
      <c r="IVM3" s="242"/>
      <c r="IVN3" s="242"/>
      <c r="IVO3" s="242"/>
      <c r="IVP3" s="242"/>
      <c r="IVQ3" s="242"/>
      <c r="IVR3" s="242"/>
      <c r="IVS3" s="242"/>
      <c r="IVT3" s="242"/>
      <c r="IVU3" s="242"/>
      <c r="IVV3" s="242"/>
      <c r="IVW3" s="242"/>
      <c r="IVX3" s="242"/>
      <c r="IVY3" s="242"/>
      <c r="IVZ3" s="242"/>
      <c r="IWA3" s="242"/>
      <c r="IWB3" s="242"/>
      <c r="IWC3" s="242"/>
      <c r="IWD3" s="242"/>
      <c r="IWE3" s="242"/>
      <c r="IWF3" s="242"/>
      <c r="IWG3" s="242"/>
      <c r="IWH3" s="242"/>
      <c r="IWI3" s="242"/>
      <c r="IWJ3" s="242"/>
      <c r="IWK3" s="242"/>
      <c r="IWL3" s="242"/>
      <c r="IWM3" s="242"/>
      <c r="IWN3" s="242"/>
      <c r="IWO3" s="242"/>
      <c r="IWP3" s="242"/>
      <c r="IWQ3" s="242"/>
      <c r="IWR3" s="242"/>
      <c r="IWS3" s="242"/>
      <c r="IWT3" s="242"/>
      <c r="IWU3" s="242"/>
      <c r="IWV3" s="242"/>
      <c r="IWW3" s="242"/>
      <c r="IWX3" s="242"/>
      <c r="IWY3" s="242"/>
      <c r="IWZ3" s="242"/>
      <c r="IXA3" s="242"/>
      <c r="IXB3" s="242"/>
      <c r="IXC3" s="242"/>
      <c r="IXD3" s="242"/>
      <c r="IXE3" s="242"/>
      <c r="IXF3" s="242"/>
      <c r="IXG3" s="242"/>
      <c r="IXH3" s="242"/>
      <c r="IXI3" s="242"/>
      <c r="IXJ3" s="242"/>
      <c r="IXK3" s="242"/>
      <c r="IXL3" s="242"/>
      <c r="IXM3" s="242"/>
      <c r="IXN3" s="242"/>
      <c r="IXO3" s="242"/>
      <c r="IXP3" s="242"/>
      <c r="IXQ3" s="242"/>
      <c r="IXR3" s="242"/>
      <c r="IXS3" s="242"/>
      <c r="IXT3" s="242"/>
      <c r="IXU3" s="242"/>
      <c r="IXV3" s="242"/>
      <c r="IXW3" s="242"/>
      <c r="IXX3" s="242"/>
      <c r="IXY3" s="242"/>
      <c r="IXZ3" s="242"/>
      <c r="IYA3" s="242"/>
      <c r="IYB3" s="242"/>
      <c r="IYC3" s="242"/>
      <c r="IYD3" s="242"/>
      <c r="IYE3" s="242"/>
      <c r="IYF3" s="242"/>
      <c r="IYG3" s="242"/>
      <c r="IYH3" s="242"/>
      <c r="IYI3" s="242"/>
      <c r="IYJ3" s="242"/>
      <c r="IYK3" s="242"/>
      <c r="IYL3" s="242"/>
      <c r="IYM3" s="242"/>
      <c r="IYN3" s="242"/>
      <c r="IYO3" s="242"/>
      <c r="IYP3" s="242"/>
      <c r="IYQ3" s="242"/>
      <c r="IYR3" s="242"/>
      <c r="IYS3" s="242"/>
      <c r="IYT3" s="242"/>
      <c r="IYU3" s="242"/>
      <c r="IYV3" s="242"/>
      <c r="IYW3" s="242"/>
      <c r="IYX3" s="242"/>
      <c r="IYY3" s="242"/>
      <c r="IYZ3" s="242"/>
      <c r="IZA3" s="242"/>
      <c r="IZB3" s="242"/>
      <c r="IZC3" s="242"/>
      <c r="IZD3" s="242"/>
      <c r="IZE3" s="242"/>
      <c r="IZF3" s="242"/>
      <c r="IZG3" s="242"/>
      <c r="IZH3" s="242"/>
      <c r="IZI3" s="242"/>
      <c r="IZJ3" s="242"/>
      <c r="IZK3" s="242"/>
      <c r="IZL3" s="242"/>
      <c r="IZM3" s="242"/>
      <c r="IZN3" s="242"/>
      <c r="IZO3" s="242"/>
      <c r="IZP3" s="242"/>
      <c r="IZQ3" s="242"/>
      <c r="IZR3" s="242"/>
      <c r="IZS3" s="242"/>
      <c r="IZT3" s="242"/>
      <c r="IZU3" s="242"/>
      <c r="IZV3" s="242"/>
      <c r="IZW3" s="242"/>
      <c r="IZX3" s="242"/>
      <c r="IZY3" s="242"/>
      <c r="IZZ3" s="242"/>
      <c r="JAA3" s="242"/>
      <c r="JAB3" s="242"/>
      <c r="JAC3" s="242"/>
      <c r="JAD3" s="242"/>
      <c r="JAE3" s="242"/>
      <c r="JAF3" s="242"/>
      <c r="JAG3" s="242"/>
      <c r="JAH3" s="242"/>
      <c r="JAI3" s="242"/>
      <c r="JAJ3" s="242"/>
      <c r="JAK3" s="242"/>
      <c r="JAL3" s="242"/>
      <c r="JAM3" s="242"/>
      <c r="JAN3" s="242"/>
      <c r="JAO3" s="242"/>
      <c r="JAP3" s="242"/>
      <c r="JAQ3" s="242"/>
      <c r="JAR3" s="242"/>
      <c r="JAS3" s="242"/>
      <c r="JAT3" s="242"/>
      <c r="JAU3" s="242"/>
      <c r="JAV3" s="242"/>
      <c r="JAW3" s="242"/>
      <c r="JAX3" s="242"/>
      <c r="JAY3" s="242"/>
      <c r="JAZ3" s="242"/>
      <c r="JBA3" s="242"/>
      <c r="JBB3" s="242"/>
      <c r="JBC3" s="242"/>
      <c r="JBD3" s="242"/>
      <c r="JBE3" s="242"/>
      <c r="JBF3" s="242"/>
      <c r="JBG3" s="242"/>
      <c r="JBH3" s="242"/>
      <c r="JBI3" s="242"/>
      <c r="JBJ3" s="242"/>
      <c r="JBK3" s="242"/>
      <c r="JBL3" s="242"/>
      <c r="JBM3" s="242"/>
      <c r="JBN3" s="242"/>
      <c r="JBO3" s="242"/>
      <c r="JBP3" s="242"/>
      <c r="JBQ3" s="242"/>
      <c r="JBR3" s="242"/>
      <c r="JBS3" s="242"/>
      <c r="JBT3" s="242"/>
      <c r="JBU3" s="242"/>
      <c r="JBV3" s="242"/>
      <c r="JBW3" s="242"/>
      <c r="JBX3" s="242"/>
      <c r="JBY3" s="242"/>
      <c r="JBZ3" s="242"/>
      <c r="JCA3" s="242"/>
      <c r="JCB3" s="242"/>
      <c r="JCC3" s="242"/>
      <c r="JCD3" s="242"/>
      <c r="JCE3" s="242"/>
      <c r="JCF3" s="242"/>
      <c r="JCG3" s="242"/>
      <c r="JCH3" s="242"/>
      <c r="JCI3" s="242"/>
      <c r="JCJ3" s="242"/>
      <c r="JCK3" s="242"/>
      <c r="JCL3" s="242"/>
      <c r="JCM3" s="242"/>
      <c r="JCN3" s="242"/>
      <c r="JCO3" s="242"/>
      <c r="JCP3" s="242"/>
      <c r="JCQ3" s="242"/>
      <c r="JCR3" s="242"/>
      <c r="JCS3" s="242"/>
      <c r="JCT3" s="242"/>
      <c r="JCU3" s="242"/>
      <c r="JCV3" s="242"/>
      <c r="JCW3" s="242"/>
      <c r="JCX3" s="242"/>
      <c r="JCY3" s="242"/>
      <c r="JCZ3" s="242"/>
      <c r="JDA3" s="242"/>
      <c r="JDB3" s="242"/>
      <c r="JDC3" s="242"/>
      <c r="JDD3" s="242"/>
      <c r="JDE3" s="242"/>
      <c r="JDF3" s="242"/>
      <c r="JDG3" s="242"/>
      <c r="JDH3" s="242"/>
      <c r="JDI3" s="242"/>
      <c r="JDJ3" s="242"/>
      <c r="JDK3" s="242"/>
      <c r="JDL3" s="242"/>
      <c r="JDM3" s="242"/>
      <c r="JDN3" s="242"/>
      <c r="JDO3" s="242"/>
      <c r="JDP3" s="242"/>
      <c r="JDQ3" s="242"/>
      <c r="JDR3" s="242"/>
      <c r="JDS3" s="242"/>
      <c r="JDT3" s="242"/>
      <c r="JDU3" s="242"/>
      <c r="JDV3" s="242"/>
      <c r="JDW3" s="242"/>
      <c r="JDX3" s="242"/>
      <c r="JDY3" s="242"/>
      <c r="JDZ3" s="242"/>
      <c r="JEA3" s="242"/>
      <c r="JEB3" s="242"/>
      <c r="JEC3" s="242"/>
      <c r="JED3" s="242"/>
      <c r="JEE3" s="242"/>
      <c r="JEF3" s="242"/>
      <c r="JEG3" s="242"/>
      <c r="JEH3" s="242"/>
      <c r="JEI3" s="242"/>
      <c r="JEJ3" s="242"/>
      <c r="JEK3" s="242"/>
      <c r="JEL3" s="242"/>
      <c r="JEM3" s="242"/>
      <c r="JEN3" s="242"/>
      <c r="JEO3" s="242"/>
      <c r="JEP3" s="242"/>
      <c r="JEQ3" s="242"/>
      <c r="JER3" s="242"/>
      <c r="JES3" s="242"/>
      <c r="JET3" s="242"/>
      <c r="JEU3" s="242"/>
      <c r="JEV3" s="242"/>
      <c r="JEW3" s="242"/>
      <c r="JEX3" s="242"/>
      <c r="JEY3" s="242"/>
      <c r="JEZ3" s="242"/>
      <c r="JFA3" s="242"/>
      <c r="JFB3" s="242"/>
      <c r="JFC3" s="242"/>
      <c r="JFD3" s="242"/>
      <c r="JFE3" s="242"/>
      <c r="JFF3" s="242"/>
      <c r="JFG3" s="242"/>
      <c r="JFH3" s="242"/>
      <c r="JFI3" s="242"/>
      <c r="JFJ3" s="242"/>
      <c r="JFK3" s="242"/>
      <c r="JFL3" s="242"/>
      <c r="JFM3" s="242"/>
      <c r="JFN3" s="242"/>
      <c r="JFO3" s="242"/>
      <c r="JFP3" s="242"/>
      <c r="JFQ3" s="242"/>
      <c r="JFR3" s="242"/>
      <c r="JFS3" s="242"/>
      <c r="JFT3" s="242"/>
      <c r="JFU3" s="242"/>
      <c r="JFV3" s="242"/>
      <c r="JFW3" s="242"/>
      <c r="JFX3" s="242"/>
      <c r="JFY3" s="242"/>
      <c r="JFZ3" s="242"/>
      <c r="JGA3" s="242"/>
      <c r="JGB3" s="242"/>
      <c r="JGC3" s="242"/>
      <c r="JGD3" s="242"/>
      <c r="JGE3" s="242"/>
      <c r="JGF3" s="242"/>
      <c r="JGG3" s="242"/>
      <c r="JGH3" s="242"/>
      <c r="JGI3" s="242"/>
      <c r="JGJ3" s="242"/>
      <c r="JGK3" s="242"/>
      <c r="JGL3" s="242"/>
      <c r="JGM3" s="242"/>
      <c r="JGN3" s="242"/>
      <c r="JGO3" s="242"/>
      <c r="JGP3" s="242"/>
      <c r="JGQ3" s="242"/>
      <c r="JGR3" s="242"/>
      <c r="JGS3" s="242"/>
      <c r="JGT3" s="242"/>
      <c r="JGU3" s="242"/>
      <c r="JGV3" s="242"/>
      <c r="JGW3" s="242"/>
      <c r="JGX3" s="242"/>
      <c r="JGY3" s="242"/>
      <c r="JGZ3" s="242"/>
      <c r="JHA3" s="242"/>
      <c r="JHB3" s="242"/>
      <c r="JHC3" s="242"/>
      <c r="JHD3" s="242"/>
      <c r="JHE3" s="242"/>
      <c r="JHF3" s="242"/>
      <c r="JHG3" s="242"/>
      <c r="JHH3" s="242"/>
      <c r="JHI3" s="242"/>
      <c r="JHJ3" s="242"/>
      <c r="JHK3" s="242"/>
      <c r="JHL3" s="242"/>
      <c r="JHM3" s="242"/>
      <c r="JHN3" s="242"/>
      <c r="JHO3" s="242"/>
      <c r="JHP3" s="242"/>
      <c r="JHQ3" s="242"/>
      <c r="JHR3" s="242"/>
      <c r="JHS3" s="242"/>
      <c r="JHT3" s="242"/>
      <c r="JHU3" s="242"/>
      <c r="JHV3" s="242"/>
      <c r="JHW3" s="242"/>
      <c r="JHX3" s="242"/>
      <c r="JHY3" s="242"/>
      <c r="JHZ3" s="242"/>
      <c r="JIA3" s="242"/>
      <c r="JIB3" s="242"/>
      <c r="JIC3" s="242"/>
      <c r="JID3" s="242"/>
      <c r="JIE3" s="242"/>
      <c r="JIF3" s="242"/>
      <c r="JIG3" s="242"/>
      <c r="JIH3" s="242"/>
      <c r="JII3" s="242"/>
      <c r="JIJ3" s="242"/>
      <c r="JIK3" s="242"/>
      <c r="JIL3" s="242"/>
      <c r="JIM3" s="242"/>
      <c r="JIN3" s="242"/>
      <c r="JIO3" s="242"/>
      <c r="JIP3" s="242"/>
      <c r="JIQ3" s="242"/>
      <c r="JIR3" s="242"/>
      <c r="JIS3" s="242"/>
      <c r="JIT3" s="242"/>
      <c r="JIU3" s="242"/>
      <c r="JIV3" s="242"/>
      <c r="JIW3" s="242"/>
      <c r="JIX3" s="242"/>
      <c r="JIY3" s="242"/>
      <c r="JIZ3" s="242"/>
      <c r="JJA3" s="242"/>
      <c r="JJB3" s="242"/>
      <c r="JJC3" s="242"/>
      <c r="JJD3" s="242"/>
      <c r="JJE3" s="242"/>
      <c r="JJF3" s="242"/>
      <c r="JJG3" s="242"/>
      <c r="JJH3" s="242"/>
      <c r="JJI3" s="242"/>
      <c r="JJJ3" s="242"/>
      <c r="JJK3" s="242"/>
      <c r="JJL3" s="242"/>
      <c r="JJM3" s="242"/>
      <c r="JJN3" s="242"/>
      <c r="JJO3" s="242"/>
      <c r="JJP3" s="242"/>
      <c r="JJQ3" s="242"/>
      <c r="JJR3" s="242"/>
      <c r="JJS3" s="242"/>
      <c r="JJT3" s="242"/>
      <c r="JJU3" s="242"/>
      <c r="JJV3" s="242"/>
      <c r="JJW3" s="242"/>
      <c r="JJX3" s="242"/>
      <c r="JJY3" s="242"/>
      <c r="JJZ3" s="242"/>
      <c r="JKA3" s="242"/>
      <c r="JKB3" s="242"/>
      <c r="JKC3" s="242"/>
      <c r="JKD3" s="242"/>
      <c r="JKE3" s="242"/>
      <c r="JKF3" s="242"/>
      <c r="JKG3" s="242"/>
      <c r="JKH3" s="242"/>
      <c r="JKI3" s="242"/>
      <c r="JKJ3" s="242"/>
      <c r="JKK3" s="242"/>
      <c r="JKL3" s="242"/>
      <c r="JKM3" s="242"/>
      <c r="JKN3" s="242"/>
      <c r="JKO3" s="242"/>
      <c r="JKP3" s="242"/>
      <c r="JKQ3" s="242"/>
      <c r="JKR3" s="242"/>
      <c r="JKS3" s="242"/>
      <c r="JKT3" s="242"/>
      <c r="JKU3" s="242"/>
      <c r="JKV3" s="242"/>
      <c r="JKW3" s="242"/>
      <c r="JKX3" s="242"/>
      <c r="JKY3" s="242"/>
      <c r="JKZ3" s="242"/>
      <c r="JLA3" s="242"/>
      <c r="JLB3" s="242"/>
      <c r="JLC3" s="242"/>
      <c r="JLD3" s="242"/>
      <c r="JLE3" s="242"/>
      <c r="JLF3" s="242"/>
      <c r="JLG3" s="242"/>
      <c r="JLH3" s="242"/>
      <c r="JLI3" s="242"/>
      <c r="JLJ3" s="242"/>
      <c r="JLK3" s="242"/>
      <c r="JLL3" s="242"/>
      <c r="JLM3" s="242"/>
      <c r="JLN3" s="242"/>
      <c r="JLO3" s="242"/>
      <c r="JLP3" s="242"/>
      <c r="JLQ3" s="242"/>
      <c r="JLR3" s="242"/>
      <c r="JLS3" s="242"/>
      <c r="JLT3" s="242"/>
      <c r="JLU3" s="242"/>
      <c r="JLV3" s="242"/>
      <c r="JLW3" s="242"/>
      <c r="JLX3" s="242"/>
      <c r="JLY3" s="242"/>
      <c r="JLZ3" s="242"/>
      <c r="JMA3" s="242"/>
      <c r="JMB3" s="242"/>
      <c r="JMC3" s="242"/>
      <c r="JMD3" s="242"/>
      <c r="JME3" s="242"/>
      <c r="JMF3" s="242"/>
      <c r="JMG3" s="242"/>
      <c r="JMH3" s="242"/>
      <c r="JMI3" s="242"/>
      <c r="JMJ3" s="242"/>
      <c r="JMK3" s="242"/>
      <c r="JML3" s="242"/>
      <c r="JMM3" s="242"/>
      <c r="JMN3" s="242"/>
      <c r="JMO3" s="242"/>
      <c r="JMP3" s="242"/>
      <c r="JMQ3" s="242"/>
      <c r="JMR3" s="242"/>
      <c r="JMS3" s="242"/>
      <c r="JMT3" s="242"/>
      <c r="JMU3" s="242"/>
      <c r="JMV3" s="242"/>
      <c r="JMW3" s="242"/>
      <c r="JMX3" s="242"/>
      <c r="JMY3" s="242"/>
      <c r="JMZ3" s="242"/>
      <c r="JNA3" s="242"/>
      <c r="JNB3" s="242"/>
      <c r="JNC3" s="242"/>
      <c r="JND3" s="242"/>
      <c r="JNE3" s="242"/>
      <c r="JNF3" s="242"/>
      <c r="JNG3" s="242"/>
      <c r="JNH3" s="242"/>
      <c r="JNI3" s="242"/>
      <c r="JNJ3" s="242"/>
      <c r="JNK3" s="242"/>
      <c r="JNL3" s="242"/>
      <c r="JNM3" s="242"/>
      <c r="JNN3" s="242"/>
      <c r="JNO3" s="242"/>
      <c r="JNP3" s="242"/>
      <c r="JNQ3" s="242"/>
      <c r="JNR3" s="242"/>
      <c r="JNS3" s="242"/>
      <c r="JNT3" s="242"/>
      <c r="JNU3" s="242"/>
      <c r="JNV3" s="242"/>
      <c r="JNW3" s="242"/>
      <c r="JNX3" s="242"/>
      <c r="JNY3" s="242"/>
      <c r="JNZ3" s="242"/>
      <c r="JOA3" s="242"/>
      <c r="JOB3" s="242"/>
      <c r="JOC3" s="242"/>
      <c r="JOD3" s="242"/>
      <c r="JOE3" s="242"/>
      <c r="JOF3" s="242"/>
      <c r="JOG3" s="242"/>
      <c r="JOH3" s="242"/>
      <c r="JOI3" s="242"/>
      <c r="JOJ3" s="242"/>
      <c r="JOK3" s="242"/>
      <c r="JOL3" s="242"/>
      <c r="JOM3" s="242"/>
      <c r="JON3" s="242"/>
      <c r="JOO3" s="242"/>
      <c r="JOP3" s="242"/>
      <c r="JOQ3" s="242"/>
      <c r="JOR3" s="242"/>
      <c r="JOS3" s="242"/>
      <c r="JOT3" s="242"/>
      <c r="JOU3" s="242"/>
      <c r="JOV3" s="242"/>
      <c r="JOW3" s="242"/>
      <c r="JOX3" s="242"/>
      <c r="JOY3" s="242"/>
      <c r="JOZ3" s="242"/>
      <c r="JPA3" s="242"/>
      <c r="JPB3" s="242"/>
      <c r="JPC3" s="242"/>
      <c r="JPD3" s="242"/>
      <c r="JPE3" s="242"/>
      <c r="JPF3" s="242"/>
      <c r="JPG3" s="242"/>
      <c r="JPH3" s="242"/>
      <c r="JPI3" s="242"/>
      <c r="JPJ3" s="242"/>
      <c r="JPK3" s="242"/>
      <c r="JPL3" s="242"/>
      <c r="JPM3" s="242"/>
      <c r="JPN3" s="242"/>
      <c r="JPO3" s="242"/>
      <c r="JPP3" s="242"/>
      <c r="JPQ3" s="242"/>
      <c r="JPR3" s="242"/>
      <c r="JPS3" s="242"/>
      <c r="JPT3" s="242"/>
      <c r="JPU3" s="242"/>
      <c r="JPV3" s="242"/>
      <c r="JPW3" s="242"/>
      <c r="JPX3" s="242"/>
      <c r="JPY3" s="242"/>
      <c r="JPZ3" s="242"/>
      <c r="JQA3" s="242"/>
      <c r="JQB3" s="242"/>
      <c r="JQC3" s="242"/>
      <c r="JQD3" s="242"/>
      <c r="JQE3" s="242"/>
      <c r="JQF3" s="242"/>
      <c r="JQG3" s="242"/>
      <c r="JQH3" s="242"/>
      <c r="JQI3" s="242"/>
      <c r="JQJ3" s="242"/>
      <c r="JQK3" s="242"/>
      <c r="JQL3" s="242"/>
      <c r="JQM3" s="242"/>
      <c r="JQN3" s="242"/>
      <c r="JQO3" s="242"/>
      <c r="JQP3" s="242"/>
      <c r="JQQ3" s="242"/>
      <c r="JQR3" s="242"/>
      <c r="JQS3" s="242"/>
      <c r="JQT3" s="242"/>
      <c r="JQU3" s="242"/>
      <c r="JQV3" s="242"/>
      <c r="JQW3" s="242"/>
      <c r="JQX3" s="242"/>
      <c r="JQY3" s="242"/>
      <c r="JQZ3" s="242"/>
      <c r="JRA3" s="242"/>
      <c r="JRB3" s="242"/>
      <c r="JRC3" s="242"/>
      <c r="JRD3" s="242"/>
      <c r="JRE3" s="242"/>
      <c r="JRF3" s="242"/>
      <c r="JRG3" s="242"/>
      <c r="JRH3" s="242"/>
      <c r="JRI3" s="242"/>
      <c r="JRJ3" s="242"/>
      <c r="JRK3" s="242"/>
      <c r="JRL3" s="242"/>
      <c r="JRM3" s="242"/>
      <c r="JRN3" s="242"/>
      <c r="JRO3" s="242"/>
      <c r="JRP3" s="242"/>
      <c r="JRQ3" s="242"/>
      <c r="JRR3" s="242"/>
      <c r="JRS3" s="242"/>
      <c r="JRT3" s="242"/>
      <c r="JRU3" s="242"/>
      <c r="JRV3" s="242"/>
      <c r="JRW3" s="242"/>
      <c r="JRX3" s="242"/>
      <c r="JRY3" s="242"/>
      <c r="JRZ3" s="242"/>
      <c r="JSA3" s="242"/>
      <c r="JSB3" s="242"/>
      <c r="JSC3" s="242"/>
      <c r="JSD3" s="242"/>
      <c r="JSE3" s="242"/>
      <c r="JSF3" s="242"/>
      <c r="JSG3" s="242"/>
      <c r="JSH3" s="242"/>
      <c r="JSI3" s="242"/>
      <c r="JSJ3" s="242"/>
      <c r="JSK3" s="242"/>
      <c r="JSL3" s="242"/>
      <c r="JSM3" s="242"/>
      <c r="JSN3" s="242"/>
      <c r="JSO3" s="242"/>
      <c r="JSP3" s="242"/>
      <c r="JSQ3" s="242"/>
      <c r="JSR3" s="242"/>
      <c r="JSS3" s="242"/>
      <c r="JST3" s="242"/>
      <c r="JSU3" s="242"/>
      <c r="JSV3" s="242"/>
      <c r="JSW3" s="242"/>
      <c r="JSX3" s="242"/>
      <c r="JSY3" s="242"/>
      <c r="JSZ3" s="242"/>
      <c r="JTA3" s="242"/>
      <c r="JTB3" s="242"/>
      <c r="JTC3" s="242"/>
      <c r="JTD3" s="242"/>
      <c r="JTE3" s="242"/>
      <c r="JTF3" s="242"/>
      <c r="JTG3" s="242"/>
      <c r="JTH3" s="242"/>
      <c r="JTI3" s="242"/>
      <c r="JTJ3" s="242"/>
      <c r="JTK3" s="242"/>
      <c r="JTL3" s="242"/>
      <c r="JTM3" s="242"/>
      <c r="JTN3" s="242"/>
      <c r="JTO3" s="242"/>
      <c r="JTP3" s="242"/>
      <c r="JTQ3" s="242"/>
      <c r="JTR3" s="242"/>
      <c r="JTS3" s="242"/>
      <c r="JTT3" s="242"/>
      <c r="JTU3" s="242"/>
      <c r="JTV3" s="242"/>
      <c r="JTW3" s="242"/>
      <c r="JTX3" s="242"/>
      <c r="JTY3" s="242"/>
      <c r="JTZ3" s="242"/>
      <c r="JUA3" s="242"/>
      <c r="JUB3" s="242"/>
      <c r="JUC3" s="242"/>
      <c r="JUD3" s="242"/>
      <c r="JUE3" s="242"/>
      <c r="JUF3" s="242"/>
      <c r="JUG3" s="242"/>
      <c r="JUH3" s="242"/>
      <c r="JUI3" s="242"/>
      <c r="JUJ3" s="242"/>
      <c r="JUK3" s="242"/>
      <c r="JUL3" s="242"/>
      <c r="JUM3" s="242"/>
      <c r="JUN3" s="242"/>
      <c r="JUO3" s="242"/>
      <c r="JUP3" s="242"/>
      <c r="JUQ3" s="242"/>
      <c r="JUR3" s="242"/>
      <c r="JUS3" s="242"/>
      <c r="JUT3" s="242"/>
      <c r="JUU3" s="242"/>
      <c r="JUV3" s="242"/>
      <c r="JUW3" s="242"/>
      <c r="JUX3" s="242"/>
      <c r="JUY3" s="242"/>
      <c r="JUZ3" s="242"/>
      <c r="JVA3" s="242"/>
      <c r="JVB3" s="242"/>
      <c r="JVC3" s="242"/>
      <c r="JVD3" s="242"/>
      <c r="JVE3" s="242"/>
      <c r="JVF3" s="242"/>
      <c r="JVG3" s="242"/>
      <c r="JVH3" s="242"/>
      <c r="JVI3" s="242"/>
      <c r="JVJ3" s="242"/>
      <c r="JVK3" s="242"/>
      <c r="JVL3" s="242"/>
      <c r="JVM3" s="242"/>
      <c r="JVN3" s="242"/>
      <c r="JVO3" s="242"/>
      <c r="JVP3" s="242"/>
      <c r="JVQ3" s="242"/>
      <c r="JVR3" s="242"/>
      <c r="JVS3" s="242"/>
      <c r="JVT3" s="242"/>
      <c r="JVU3" s="242"/>
      <c r="JVV3" s="242"/>
      <c r="JVW3" s="242"/>
      <c r="JVX3" s="242"/>
      <c r="JVY3" s="242"/>
      <c r="JVZ3" s="242"/>
      <c r="JWA3" s="242"/>
      <c r="JWB3" s="242"/>
      <c r="JWC3" s="242"/>
      <c r="JWD3" s="242"/>
      <c r="JWE3" s="242"/>
      <c r="JWF3" s="242"/>
      <c r="JWG3" s="242"/>
      <c r="JWH3" s="242"/>
      <c r="JWI3" s="242"/>
      <c r="JWJ3" s="242"/>
      <c r="JWK3" s="242"/>
      <c r="JWL3" s="242"/>
      <c r="JWM3" s="242"/>
      <c r="JWN3" s="242"/>
      <c r="JWO3" s="242"/>
      <c r="JWP3" s="242"/>
      <c r="JWQ3" s="242"/>
      <c r="JWR3" s="242"/>
      <c r="JWS3" s="242"/>
      <c r="JWT3" s="242"/>
      <c r="JWU3" s="242"/>
      <c r="JWV3" s="242"/>
      <c r="JWW3" s="242"/>
      <c r="JWX3" s="242"/>
      <c r="JWY3" s="242"/>
      <c r="JWZ3" s="242"/>
      <c r="JXA3" s="242"/>
      <c r="JXB3" s="242"/>
      <c r="JXC3" s="242"/>
      <c r="JXD3" s="242"/>
      <c r="JXE3" s="242"/>
      <c r="JXF3" s="242"/>
      <c r="JXG3" s="242"/>
      <c r="JXH3" s="242"/>
      <c r="JXI3" s="242"/>
      <c r="JXJ3" s="242"/>
      <c r="JXK3" s="242"/>
      <c r="JXL3" s="242"/>
      <c r="JXM3" s="242"/>
      <c r="JXN3" s="242"/>
      <c r="JXO3" s="242"/>
      <c r="JXP3" s="242"/>
      <c r="JXQ3" s="242"/>
      <c r="JXR3" s="242"/>
      <c r="JXS3" s="242"/>
      <c r="JXT3" s="242"/>
      <c r="JXU3" s="242"/>
      <c r="JXV3" s="242"/>
      <c r="JXW3" s="242"/>
      <c r="JXX3" s="242"/>
      <c r="JXY3" s="242"/>
      <c r="JXZ3" s="242"/>
      <c r="JYA3" s="242"/>
      <c r="JYB3" s="242"/>
      <c r="JYC3" s="242"/>
      <c r="JYD3" s="242"/>
      <c r="JYE3" s="242"/>
      <c r="JYF3" s="242"/>
      <c r="JYG3" s="242"/>
      <c r="JYH3" s="242"/>
      <c r="JYI3" s="242"/>
      <c r="JYJ3" s="242"/>
      <c r="JYK3" s="242"/>
      <c r="JYL3" s="242"/>
      <c r="JYM3" s="242"/>
      <c r="JYN3" s="242"/>
      <c r="JYO3" s="242"/>
      <c r="JYP3" s="242"/>
      <c r="JYQ3" s="242"/>
      <c r="JYR3" s="242"/>
      <c r="JYS3" s="242"/>
      <c r="JYT3" s="242"/>
      <c r="JYU3" s="242"/>
      <c r="JYV3" s="242"/>
      <c r="JYW3" s="242"/>
      <c r="JYX3" s="242"/>
      <c r="JYY3" s="242"/>
      <c r="JYZ3" s="242"/>
      <c r="JZA3" s="242"/>
      <c r="JZB3" s="242"/>
      <c r="JZC3" s="242"/>
      <c r="JZD3" s="242"/>
      <c r="JZE3" s="242"/>
      <c r="JZF3" s="242"/>
      <c r="JZG3" s="242"/>
      <c r="JZH3" s="242"/>
      <c r="JZI3" s="242"/>
      <c r="JZJ3" s="242"/>
      <c r="JZK3" s="242"/>
      <c r="JZL3" s="242"/>
      <c r="JZM3" s="242"/>
      <c r="JZN3" s="242"/>
      <c r="JZO3" s="242"/>
      <c r="JZP3" s="242"/>
      <c r="JZQ3" s="242"/>
      <c r="JZR3" s="242"/>
      <c r="JZS3" s="242"/>
      <c r="JZT3" s="242"/>
      <c r="JZU3" s="242"/>
      <c r="JZV3" s="242"/>
      <c r="JZW3" s="242"/>
      <c r="JZX3" s="242"/>
      <c r="JZY3" s="242"/>
      <c r="JZZ3" s="242"/>
      <c r="KAA3" s="242"/>
      <c r="KAB3" s="242"/>
      <c r="KAC3" s="242"/>
      <c r="KAD3" s="242"/>
      <c r="KAE3" s="242"/>
      <c r="KAF3" s="242"/>
      <c r="KAG3" s="242"/>
      <c r="KAH3" s="242"/>
      <c r="KAI3" s="242"/>
      <c r="KAJ3" s="242"/>
      <c r="KAK3" s="242"/>
      <c r="KAL3" s="242"/>
      <c r="KAM3" s="242"/>
      <c r="KAN3" s="242"/>
      <c r="KAO3" s="242"/>
      <c r="KAP3" s="242"/>
      <c r="KAQ3" s="242"/>
      <c r="KAR3" s="242"/>
      <c r="KAS3" s="242"/>
      <c r="KAT3" s="242"/>
      <c r="KAU3" s="242"/>
      <c r="KAV3" s="242"/>
      <c r="KAW3" s="242"/>
      <c r="KAX3" s="242"/>
      <c r="KAY3" s="242"/>
      <c r="KAZ3" s="242"/>
      <c r="KBA3" s="242"/>
      <c r="KBB3" s="242"/>
      <c r="KBC3" s="242"/>
      <c r="KBD3" s="242"/>
      <c r="KBE3" s="242"/>
      <c r="KBF3" s="242"/>
      <c r="KBG3" s="242"/>
      <c r="KBH3" s="242"/>
      <c r="KBI3" s="242"/>
      <c r="KBJ3" s="242"/>
      <c r="KBK3" s="242"/>
      <c r="KBL3" s="242"/>
      <c r="KBM3" s="242"/>
      <c r="KBN3" s="242"/>
      <c r="KBO3" s="242"/>
      <c r="KBP3" s="242"/>
      <c r="KBQ3" s="242"/>
      <c r="KBR3" s="242"/>
      <c r="KBS3" s="242"/>
      <c r="KBT3" s="242"/>
      <c r="KBU3" s="242"/>
      <c r="KBV3" s="242"/>
      <c r="KBW3" s="242"/>
      <c r="KBX3" s="242"/>
      <c r="KBY3" s="242"/>
      <c r="KBZ3" s="242"/>
      <c r="KCA3" s="242"/>
      <c r="KCB3" s="242"/>
      <c r="KCC3" s="242"/>
      <c r="KCD3" s="242"/>
      <c r="KCE3" s="242"/>
      <c r="KCF3" s="242"/>
      <c r="KCG3" s="242"/>
      <c r="KCH3" s="242"/>
      <c r="KCI3" s="242"/>
      <c r="KCJ3" s="242"/>
      <c r="KCK3" s="242"/>
      <c r="KCL3" s="242"/>
      <c r="KCM3" s="242"/>
      <c r="KCN3" s="242"/>
      <c r="KCO3" s="242"/>
      <c r="KCP3" s="242"/>
      <c r="KCQ3" s="242"/>
      <c r="KCR3" s="242"/>
      <c r="KCS3" s="242"/>
      <c r="KCT3" s="242"/>
      <c r="KCU3" s="242"/>
      <c r="KCV3" s="242"/>
      <c r="KCW3" s="242"/>
      <c r="KCX3" s="242"/>
      <c r="KCY3" s="242"/>
      <c r="KCZ3" s="242"/>
      <c r="KDA3" s="242"/>
      <c r="KDB3" s="242"/>
      <c r="KDC3" s="242"/>
      <c r="KDD3" s="242"/>
      <c r="KDE3" s="242"/>
      <c r="KDF3" s="242"/>
      <c r="KDG3" s="242"/>
      <c r="KDH3" s="242"/>
      <c r="KDI3" s="242"/>
      <c r="KDJ3" s="242"/>
      <c r="KDK3" s="242"/>
      <c r="KDL3" s="242"/>
      <c r="KDM3" s="242"/>
      <c r="KDN3" s="242"/>
      <c r="KDO3" s="242"/>
      <c r="KDP3" s="242"/>
      <c r="KDQ3" s="242"/>
      <c r="KDR3" s="242"/>
      <c r="KDS3" s="242"/>
      <c r="KDT3" s="242"/>
      <c r="KDU3" s="242"/>
      <c r="KDV3" s="242"/>
      <c r="KDW3" s="242"/>
      <c r="KDX3" s="242"/>
      <c r="KDY3" s="242"/>
      <c r="KDZ3" s="242"/>
      <c r="KEA3" s="242"/>
      <c r="KEB3" s="242"/>
      <c r="KEC3" s="242"/>
      <c r="KED3" s="242"/>
      <c r="KEE3" s="242"/>
      <c r="KEF3" s="242"/>
      <c r="KEG3" s="242"/>
      <c r="KEH3" s="242"/>
      <c r="KEI3" s="242"/>
      <c r="KEJ3" s="242"/>
      <c r="KEK3" s="242"/>
      <c r="KEL3" s="242"/>
      <c r="KEM3" s="242"/>
      <c r="KEN3" s="242"/>
      <c r="KEO3" s="242"/>
      <c r="KEP3" s="242"/>
      <c r="KEQ3" s="242"/>
      <c r="KER3" s="242"/>
      <c r="KES3" s="242"/>
      <c r="KET3" s="242"/>
      <c r="KEU3" s="242"/>
      <c r="KEV3" s="242"/>
      <c r="KEW3" s="242"/>
      <c r="KEX3" s="242"/>
      <c r="KEY3" s="242"/>
      <c r="KEZ3" s="242"/>
      <c r="KFA3" s="242"/>
      <c r="KFB3" s="242"/>
      <c r="KFC3" s="242"/>
      <c r="KFD3" s="242"/>
      <c r="KFE3" s="242"/>
      <c r="KFF3" s="242"/>
      <c r="KFG3" s="242"/>
      <c r="KFH3" s="242"/>
      <c r="KFI3" s="242"/>
      <c r="KFJ3" s="242"/>
      <c r="KFK3" s="242"/>
      <c r="KFL3" s="242"/>
      <c r="KFM3" s="242"/>
      <c r="KFN3" s="242"/>
      <c r="KFO3" s="242"/>
      <c r="KFP3" s="242"/>
      <c r="KFQ3" s="242"/>
      <c r="KFR3" s="242"/>
      <c r="KFS3" s="242"/>
      <c r="KFT3" s="242"/>
      <c r="KFU3" s="242"/>
      <c r="KFV3" s="242"/>
      <c r="KFW3" s="242"/>
      <c r="KFX3" s="242"/>
      <c r="KFY3" s="242"/>
      <c r="KFZ3" s="242"/>
      <c r="KGA3" s="242"/>
      <c r="KGB3" s="242"/>
      <c r="KGC3" s="242"/>
      <c r="KGD3" s="242"/>
      <c r="KGE3" s="242"/>
      <c r="KGF3" s="242"/>
      <c r="KGG3" s="242"/>
      <c r="KGH3" s="242"/>
      <c r="KGI3" s="242"/>
      <c r="KGJ3" s="242"/>
      <c r="KGK3" s="242"/>
      <c r="KGL3" s="242"/>
      <c r="KGM3" s="242"/>
      <c r="KGN3" s="242"/>
      <c r="KGO3" s="242"/>
      <c r="KGP3" s="242"/>
      <c r="KGQ3" s="242"/>
      <c r="KGR3" s="242"/>
      <c r="KGS3" s="242"/>
      <c r="KGT3" s="242"/>
      <c r="KGU3" s="242"/>
      <c r="KGV3" s="242"/>
      <c r="KGW3" s="242"/>
      <c r="KGX3" s="242"/>
      <c r="KGY3" s="242"/>
      <c r="KGZ3" s="242"/>
      <c r="KHA3" s="242"/>
      <c r="KHB3" s="242"/>
      <c r="KHC3" s="242"/>
      <c r="KHD3" s="242"/>
      <c r="KHE3" s="242"/>
      <c r="KHF3" s="242"/>
      <c r="KHG3" s="242"/>
      <c r="KHH3" s="242"/>
      <c r="KHI3" s="242"/>
      <c r="KHJ3" s="242"/>
      <c r="KHK3" s="242"/>
      <c r="KHL3" s="242"/>
      <c r="KHM3" s="242"/>
      <c r="KHN3" s="242"/>
      <c r="KHO3" s="242"/>
      <c r="KHP3" s="242"/>
      <c r="KHQ3" s="242"/>
      <c r="KHR3" s="242"/>
      <c r="KHS3" s="242"/>
      <c r="KHT3" s="242"/>
      <c r="KHU3" s="242"/>
      <c r="KHV3" s="242"/>
      <c r="KHW3" s="242"/>
      <c r="KHX3" s="242"/>
      <c r="KHY3" s="242"/>
      <c r="KHZ3" s="242"/>
      <c r="KIA3" s="242"/>
      <c r="KIB3" s="242"/>
      <c r="KIC3" s="242"/>
      <c r="KID3" s="242"/>
      <c r="KIE3" s="242"/>
      <c r="KIF3" s="242"/>
      <c r="KIG3" s="242"/>
      <c r="KIH3" s="242"/>
      <c r="KII3" s="242"/>
      <c r="KIJ3" s="242"/>
      <c r="KIK3" s="242"/>
      <c r="KIL3" s="242"/>
      <c r="KIM3" s="242"/>
      <c r="KIN3" s="242"/>
      <c r="KIO3" s="242"/>
      <c r="KIP3" s="242"/>
      <c r="KIQ3" s="242"/>
      <c r="KIR3" s="242"/>
      <c r="KIS3" s="242"/>
      <c r="KIT3" s="242"/>
      <c r="KIU3" s="242"/>
      <c r="KIV3" s="242"/>
      <c r="KIW3" s="242"/>
      <c r="KIX3" s="242"/>
      <c r="KIY3" s="242"/>
      <c r="KIZ3" s="242"/>
      <c r="KJA3" s="242"/>
      <c r="KJB3" s="242"/>
      <c r="KJC3" s="242"/>
      <c r="KJD3" s="242"/>
      <c r="KJE3" s="242"/>
      <c r="KJF3" s="242"/>
      <c r="KJG3" s="242"/>
      <c r="KJH3" s="242"/>
      <c r="KJI3" s="242"/>
      <c r="KJJ3" s="242"/>
      <c r="KJK3" s="242"/>
      <c r="KJL3" s="242"/>
      <c r="KJM3" s="242"/>
      <c r="KJN3" s="242"/>
      <c r="KJO3" s="242"/>
      <c r="KJP3" s="242"/>
      <c r="KJQ3" s="242"/>
      <c r="KJR3" s="242"/>
      <c r="KJS3" s="242"/>
      <c r="KJT3" s="242"/>
      <c r="KJU3" s="242"/>
      <c r="KJV3" s="242"/>
      <c r="KJW3" s="242"/>
      <c r="KJX3" s="242"/>
      <c r="KJY3" s="242"/>
      <c r="KJZ3" s="242"/>
      <c r="KKA3" s="242"/>
      <c r="KKB3" s="242"/>
      <c r="KKC3" s="242"/>
      <c r="KKD3" s="242"/>
      <c r="KKE3" s="242"/>
      <c r="KKF3" s="242"/>
      <c r="KKG3" s="242"/>
      <c r="KKH3" s="242"/>
      <c r="KKI3" s="242"/>
      <c r="KKJ3" s="242"/>
      <c r="KKK3" s="242"/>
      <c r="KKL3" s="242"/>
      <c r="KKM3" s="242"/>
      <c r="KKN3" s="242"/>
      <c r="KKO3" s="242"/>
      <c r="KKP3" s="242"/>
      <c r="KKQ3" s="242"/>
      <c r="KKR3" s="242"/>
      <c r="KKS3" s="242"/>
      <c r="KKT3" s="242"/>
      <c r="KKU3" s="242"/>
      <c r="KKV3" s="242"/>
      <c r="KKW3" s="242"/>
      <c r="KKX3" s="242"/>
      <c r="KKY3" s="242"/>
      <c r="KKZ3" s="242"/>
      <c r="KLA3" s="242"/>
      <c r="KLB3" s="242"/>
      <c r="KLC3" s="242"/>
      <c r="KLD3" s="242"/>
      <c r="KLE3" s="242"/>
      <c r="KLF3" s="242"/>
      <c r="KLG3" s="242"/>
      <c r="KLH3" s="242"/>
      <c r="KLI3" s="242"/>
      <c r="KLJ3" s="242"/>
      <c r="KLK3" s="242"/>
      <c r="KLL3" s="242"/>
      <c r="KLM3" s="242"/>
      <c r="KLN3" s="242"/>
      <c r="KLO3" s="242"/>
      <c r="KLP3" s="242"/>
      <c r="KLQ3" s="242"/>
      <c r="KLR3" s="242"/>
      <c r="KLS3" s="242"/>
      <c r="KLT3" s="242"/>
      <c r="KLU3" s="242"/>
      <c r="KLV3" s="242"/>
      <c r="KLW3" s="242"/>
      <c r="KLX3" s="242"/>
      <c r="KLY3" s="242"/>
      <c r="KLZ3" s="242"/>
      <c r="KMA3" s="242"/>
      <c r="KMB3" s="242"/>
      <c r="KMC3" s="242"/>
      <c r="KMD3" s="242"/>
      <c r="KME3" s="242"/>
      <c r="KMF3" s="242"/>
      <c r="KMG3" s="242"/>
      <c r="KMH3" s="242"/>
      <c r="KMI3" s="242"/>
      <c r="KMJ3" s="242"/>
      <c r="KMK3" s="242"/>
      <c r="KML3" s="242"/>
      <c r="KMM3" s="242"/>
      <c r="KMN3" s="242"/>
      <c r="KMO3" s="242"/>
      <c r="KMP3" s="242"/>
      <c r="KMQ3" s="242"/>
      <c r="KMR3" s="242"/>
      <c r="KMS3" s="242"/>
      <c r="KMT3" s="242"/>
      <c r="KMU3" s="242"/>
      <c r="KMV3" s="242"/>
      <c r="KMW3" s="242"/>
      <c r="KMX3" s="242"/>
      <c r="KMY3" s="242"/>
      <c r="KMZ3" s="242"/>
      <c r="KNA3" s="242"/>
      <c r="KNB3" s="242"/>
      <c r="KNC3" s="242"/>
      <c r="KND3" s="242"/>
      <c r="KNE3" s="242"/>
      <c r="KNF3" s="242"/>
      <c r="KNG3" s="242"/>
      <c r="KNH3" s="242"/>
      <c r="KNI3" s="242"/>
      <c r="KNJ3" s="242"/>
      <c r="KNK3" s="242"/>
      <c r="KNL3" s="242"/>
      <c r="KNM3" s="242"/>
      <c r="KNN3" s="242"/>
      <c r="KNO3" s="242"/>
      <c r="KNP3" s="242"/>
      <c r="KNQ3" s="242"/>
      <c r="KNR3" s="242"/>
      <c r="KNS3" s="242"/>
      <c r="KNT3" s="242"/>
      <c r="KNU3" s="242"/>
      <c r="KNV3" s="242"/>
      <c r="KNW3" s="242"/>
      <c r="KNX3" s="242"/>
      <c r="KNY3" s="242"/>
      <c r="KNZ3" s="242"/>
      <c r="KOA3" s="242"/>
      <c r="KOB3" s="242"/>
      <c r="KOC3" s="242"/>
      <c r="KOD3" s="242"/>
      <c r="KOE3" s="242"/>
      <c r="KOF3" s="242"/>
      <c r="KOG3" s="242"/>
      <c r="KOH3" s="242"/>
      <c r="KOI3" s="242"/>
      <c r="KOJ3" s="242"/>
      <c r="KOK3" s="242"/>
      <c r="KOL3" s="242"/>
      <c r="KOM3" s="242"/>
      <c r="KON3" s="242"/>
      <c r="KOO3" s="242"/>
      <c r="KOP3" s="242"/>
      <c r="KOQ3" s="242"/>
      <c r="KOR3" s="242"/>
      <c r="KOS3" s="242"/>
      <c r="KOT3" s="242"/>
      <c r="KOU3" s="242"/>
      <c r="KOV3" s="242"/>
      <c r="KOW3" s="242"/>
      <c r="KOX3" s="242"/>
      <c r="KOY3" s="242"/>
      <c r="KOZ3" s="242"/>
      <c r="KPA3" s="242"/>
      <c r="KPB3" s="242"/>
      <c r="KPC3" s="242"/>
      <c r="KPD3" s="242"/>
      <c r="KPE3" s="242"/>
      <c r="KPF3" s="242"/>
      <c r="KPG3" s="242"/>
      <c r="KPH3" s="242"/>
      <c r="KPI3" s="242"/>
      <c r="KPJ3" s="242"/>
      <c r="KPK3" s="242"/>
      <c r="KPL3" s="242"/>
      <c r="KPM3" s="242"/>
      <c r="KPN3" s="242"/>
      <c r="KPO3" s="242"/>
      <c r="KPP3" s="242"/>
      <c r="KPQ3" s="242"/>
      <c r="KPR3" s="242"/>
      <c r="KPS3" s="242"/>
      <c r="KPT3" s="242"/>
      <c r="KPU3" s="242"/>
      <c r="KPV3" s="242"/>
      <c r="KPW3" s="242"/>
      <c r="KPX3" s="242"/>
      <c r="KPY3" s="242"/>
      <c r="KPZ3" s="242"/>
      <c r="KQA3" s="242"/>
      <c r="KQB3" s="242"/>
      <c r="KQC3" s="242"/>
      <c r="KQD3" s="242"/>
      <c r="KQE3" s="242"/>
      <c r="KQF3" s="242"/>
      <c r="KQG3" s="242"/>
      <c r="KQH3" s="242"/>
      <c r="KQI3" s="242"/>
      <c r="KQJ3" s="242"/>
      <c r="KQK3" s="242"/>
      <c r="KQL3" s="242"/>
      <c r="KQM3" s="242"/>
      <c r="KQN3" s="242"/>
      <c r="KQO3" s="242"/>
      <c r="KQP3" s="242"/>
      <c r="KQQ3" s="242"/>
      <c r="KQR3" s="242"/>
      <c r="KQS3" s="242"/>
      <c r="KQT3" s="242"/>
      <c r="KQU3" s="242"/>
      <c r="KQV3" s="242"/>
      <c r="KQW3" s="242"/>
      <c r="KQX3" s="242"/>
      <c r="KQY3" s="242"/>
      <c r="KQZ3" s="242"/>
      <c r="KRA3" s="242"/>
      <c r="KRB3" s="242"/>
      <c r="KRC3" s="242"/>
      <c r="KRD3" s="242"/>
      <c r="KRE3" s="242"/>
      <c r="KRF3" s="242"/>
      <c r="KRG3" s="242"/>
      <c r="KRH3" s="242"/>
      <c r="KRI3" s="242"/>
      <c r="KRJ3" s="242"/>
      <c r="KRK3" s="242"/>
      <c r="KRL3" s="242"/>
      <c r="KRM3" s="242"/>
      <c r="KRN3" s="242"/>
      <c r="KRO3" s="242"/>
      <c r="KRP3" s="242"/>
      <c r="KRQ3" s="242"/>
      <c r="KRR3" s="242"/>
      <c r="KRS3" s="242"/>
      <c r="KRT3" s="242"/>
      <c r="KRU3" s="242"/>
      <c r="KRV3" s="242"/>
      <c r="KRW3" s="242"/>
      <c r="KRX3" s="242"/>
      <c r="KRY3" s="242"/>
      <c r="KRZ3" s="242"/>
      <c r="KSA3" s="242"/>
      <c r="KSB3" s="242"/>
      <c r="KSC3" s="242"/>
      <c r="KSD3" s="242"/>
      <c r="KSE3" s="242"/>
      <c r="KSF3" s="242"/>
      <c r="KSG3" s="242"/>
      <c r="KSH3" s="242"/>
      <c r="KSI3" s="242"/>
      <c r="KSJ3" s="242"/>
      <c r="KSK3" s="242"/>
      <c r="KSL3" s="242"/>
      <c r="KSM3" s="242"/>
      <c r="KSN3" s="242"/>
      <c r="KSO3" s="242"/>
      <c r="KSP3" s="242"/>
      <c r="KSQ3" s="242"/>
      <c r="KSR3" s="242"/>
      <c r="KSS3" s="242"/>
      <c r="KST3" s="242"/>
      <c r="KSU3" s="242"/>
      <c r="KSV3" s="242"/>
      <c r="KSW3" s="242"/>
      <c r="KSX3" s="242"/>
      <c r="KSY3" s="242"/>
      <c r="KSZ3" s="242"/>
      <c r="KTA3" s="242"/>
      <c r="KTB3" s="242"/>
      <c r="KTC3" s="242"/>
      <c r="KTD3" s="242"/>
      <c r="KTE3" s="242"/>
      <c r="KTF3" s="242"/>
      <c r="KTG3" s="242"/>
      <c r="KTH3" s="242"/>
      <c r="KTI3" s="242"/>
      <c r="KTJ3" s="242"/>
      <c r="KTK3" s="242"/>
      <c r="KTL3" s="242"/>
      <c r="KTM3" s="242"/>
      <c r="KTN3" s="242"/>
      <c r="KTO3" s="242"/>
      <c r="KTP3" s="242"/>
      <c r="KTQ3" s="242"/>
      <c r="KTR3" s="242"/>
      <c r="KTS3" s="242"/>
      <c r="KTT3" s="242"/>
      <c r="KTU3" s="242"/>
      <c r="KTV3" s="242"/>
      <c r="KTW3" s="242"/>
      <c r="KTX3" s="242"/>
      <c r="KTY3" s="242"/>
      <c r="KTZ3" s="242"/>
      <c r="KUA3" s="242"/>
      <c r="KUB3" s="242"/>
      <c r="KUC3" s="242"/>
      <c r="KUD3" s="242"/>
      <c r="KUE3" s="242"/>
      <c r="KUF3" s="242"/>
      <c r="KUG3" s="242"/>
      <c r="KUH3" s="242"/>
      <c r="KUI3" s="242"/>
      <c r="KUJ3" s="242"/>
      <c r="KUK3" s="242"/>
      <c r="KUL3" s="242"/>
      <c r="KUM3" s="242"/>
      <c r="KUN3" s="242"/>
      <c r="KUO3" s="242"/>
      <c r="KUP3" s="242"/>
      <c r="KUQ3" s="242"/>
      <c r="KUR3" s="242"/>
      <c r="KUS3" s="242"/>
      <c r="KUT3" s="242"/>
      <c r="KUU3" s="242"/>
      <c r="KUV3" s="242"/>
      <c r="KUW3" s="242"/>
      <c r="KUX3" s="242"/>
      <c r="KUY3" s="242"/>
      <c r="KUZ3" s="242"/>
      <c r="KVA3" s="242"/>
      <c r="KVB3" s="242"/>
      <c r="KVC3" s="242"/>
      <c r="KVD3" s="242"/>
      <c r="KVE3" s="242"/>
      <c r="KVF3" s="242"/>
      <c r="KVG3" s="242"/>
      <c r="KVH3" s="242"/>
      <c r="KVI3" s="242"/>
      <c r="KVJ3" s="242"/>
      <c r="KVK3" s="242"/>
      <c r="KVL3" s="242"/>
      <c r="KVM3" s="242"/>
      <c r="KVN3" s="242"/>
      <c r="KVO3" s="242"/>
      <c r="KVP3" s="242"/>
      <c r="KVQ3" s="242"/>
      <c r="KVR3" s="242"/>
      <c r="KVS3" s="242"/>
      <c r="KVT3" s="242"/>
      <c r="KVU3" s="242"/>
      <c r="KVV3" s="242"/>
      <c r="KVW3" s="242"/>
      <c r="KVX3" s="242"/>
      <c r="KVY3" s="242"/>
      <c r="KVZ3" s="242"/>
      <c r="KWA3" s="242"/>
      <c r="KWB3" s="242"/>
      <c r="KWC3" s="242"/>
      <c r="KWD3" s="242"/>
      <c r="KWE3" s="242"/>
      <c r="KWF3" s="242"/>
      <c r="KWG3" s="242"/>
      <c r="KWH3" s="242"/>
      <c r="KWI3" s="242"/>
      <c r="KWJ3" s="242"/>
      <c r="KWK3" s="242"/>
      <c r="KWL3" s="242"/>
      <c r="KWM3" s="242"/>
      <c r="KWN3" s="242"/>
      <c r="KWO3" s="242"/>
      <c r="KWP3" s="242"/>
      <c r="KWQ3" s="242"/>
      <c r="KWR3" s="242"/>
      <c r="KWS3" s="242"/>
      <c r="KWT3" s="242"/>
      <c r="KWU3" s="242"/>
      <c r="KWV3" s="242"/>
      <c r="KWW3" s="242"/>
      <c r="KWX3" s="242"/>
      <c r="KWY3" s="242"/>
      <c r="KWZ3" s="242"/>
      <c r="KXA3" s="242"/>
      <c r="KXB3" s="242"/>
      <c r="KXC3" s="242"/>
      <c r="KXD3" s="242"/>
      <c r="KXE3" s="242"/>
      <c r="KXF3" s="242"/>
      <c r="KXG3" s="242"/>
      <c r="KXH3" s="242"/>
      <c r="KXI3" s="242"/>
      <c r="KXJ3" s="242"/>
      <c r="KXK3" s="242"/>
      <c r="KXL3" s="242"/>
      <c r="KXM3" s="242"/>
      <c r="KXN3" s="242"/>
      <c r="KXO3" s="242"/>
      <c r="KXP3" s="242"/>
      <c r="KXQ3" s="242"/>
      <c r="KXR3" s="242"/>
      <c r="KXS3" s="242"/>
      <c r="KXT3" s="242"/>
      <c r="KXU3" s="242"/>
      <c r="KXV3" s="242"/>
      <c r="KXW3" s="242"/>
      <c r="KXX3" s="242"/>
      <c r="KXY3" s="242"/>
      <c r="KXZ3" s="242"/>
      <c r="KYA3" s="242"/>
      <c r="KYB3" s="242"/>
      <c r="KYC3" s="242"/>
      <c r="KYD3" s="242"/>
      <c r="KYE3" s="242"/>
      <c r="KYF3" s="242"/>
      <c r="KYG3" s="242"/>
      <c r="KYH3" s="242"/>
      <c r="KYI3" s="242"/>
      <c r="KYJ3" s="242"/>
      <c r="KYK3" s="242"/>
      <c r="KYL3" s="242"/>
      <c r="KYM3" s="242"/>
      <c r="KYN3" s="242"/>
      <c r="KYO3" s="242"/>
      <c r="KYP3" s="242"/>
      <c r="KYQ3" s="242"/>
      <c r="KYR3" s="242"/>
      <c r="KYS3" s="242"/>
      <c r="KYT3" s="242"/>
      <c r="KYU3" s="242"/>
      <c r="KYV3" s="242"/>
      <c r="KYW3" s="242"/>
      <c r="KYX3" s="242"/>
      <c r="KYY3" s="242"/>
      <c r="KYZ3" s="242"/>
      <c r="KZA3" s="242"/>
      <c r="KZB3" s="242"/>
      <c r="KZC3" s="242"/>
      <c r="KZD3" s="242"/>
      <c r="KZE3" s="242"/>
      <c r="KZF3" s="242"/>
      <c r="KZG3" s="242"/>
      <c r="KZH3" s="242"/>
      <c r="KZI3" s="242"/>
      <c r="KZJ3" s="242"/>
      <c r="KZK3" s="242"/>
      <c r="KZL3" s="242"/>
      <c r="KZM3" s="242"/>
      <c r="KZN3" s="242"/>
      <c r="KZO3" s="242"/>
      <c r="KZP3" s="242"/>
      <c r="KZQ3" s="242"/>
      <c r="KZR3" s="242"/>
      <c r="KZS3" s="242"/>
      <c r="KZT3" s="242"/>
      <c r="KZU3" s="242"/>
      <c r="KZV3" s="242"/>
      <c r="KZW3" s="242"/>
      <c r="KZX3" s="242"/>
      <c r="KZY3" s="242"/>
      <c r="KZZ3" s="242"/>
      <c r="LAA3" s="242"/>
      <c r="LAB3" s="242"/>
      <c r="LAC3" s="242"/>
      <c r="LAD3" s="242"/>
      <c r="LAE3" s="242"/>
      <c r="LAF3" s="242"/>
      <c r="LAG3" s="242"/>
      <c r="LAH3" s="242"/>
      <c r="LAI3" s="242"/>
      <c r="LAJ3" s="242"/>
      <c r="LAK3" s="242"/>
      <c r="LAL3" s="242"/>
      <c r="LAM3" s="242"/>
      <c r="LAN3" s="242"/>
      <c r="LAO3" s="242"/>
      <c r="LAP3" s="242"/>
      <c r="LAQ3" s="242"/>
      <c r="LAR3" s="242"/>
      <c r="LAS3" s="242"/>
      <c r="LAT3" s="242"/>
      <c r="LAU3" s="242"/>
      <c r="LAV3" s="242"/>
      <c r="LAW3" s="242"/>
      <c r="LAX3" s="242"/>
      <c r="LAY3" s="242"/>
      <c r="LAZ3" s="242"/>
      <c r="LBA3" s="242"/>
      <c r="LBB3" s="242"/>
      <c r="LBC3" s="242"/>
      <c r="LBD3" s="242"/>
      <c r="LBE3" s="242"/>
      <c r="LBF3" s="242"/>
      <c r="LBG3" s="242"/>
      <c r="LBH3" s="242"/>
      <c r="LBI3" s="242"/>
      <c r="LBJ3" s="242"/>
      <c r="LBK3" s="242"/>
      <c r="LBL3" s="242"/>
      <c r="LBM3" s="242"/>
      <c r="LBN3" s="242"/>
      <c r="LBO3" s="242"/>
      <c r="LBP3" s="242"/>
      <c r="LBQ3" s="242"/>
      <c r="LBR3" s="242"/>
      <c r="LBS3" s="242"/>
      <c r="LBT3" s="242"/>
      <c r="LBU3" s="242"/>
      <c r="LBV3" s="242"/>
      <c r="LBW3" s="242"/>
      <c r="LBX3" s="242"/>
      <c r="LBY3" s="242"/>
      <c r="LBZ3" s="242"/>
      <c r="LCA3" s="242"/>
      <c r="LCB3" s="242"/>
      <c r="LCC3" s="242"/>
      <c r="LCD3" s="242"/>
      <c r="LCE3" s="242"/>
      <c r="LCF3" s="242"/>
      <c r="LCG3" s="242"/>
      <c r="LCH3" s="242"/>
      <c r="LCI3" s="242"/>
      <c r="LCJ3" s="242"/>
      <c r="LCK3" s="242"/>
      <c r="LCL3" s="242"/>
      <c r="LCM3" s="242"/>
      <c r="LCN3" s="242"/>
      <c r="LCO3" s="242"/>
      <c r="LCP3" s="242"/>
      <c r="LCQ3" s="242"/>
      <c r="LCR3" s="242"/>
      <c r="LCS3" s="242"/>
      <c r="LCT3" s="242"/>
      <c r="LCU3" s="242"/>
      <c r="LCV3" s="242"/>
      <c r="LCW3" s="242"/>
      <c r="LCX3" s="242"/>
      <c r="LCY3" s="242"/>
      <c r="LCZ3" s="242"/>
      <c r="LDA3" s="242"/>
      <c r="LDB3" s="242"/>
      <c r="LDC3" s="242"/>
      <c r="LDD3" s="242"/>
      <c r="LDE3" s="242"/>
      <c r="LDF3" s="242"/>
      <c r="LDG3" s="242"/>
      <c r="LDH3" s="242"/>
      <c r="LDI3" s="242"/>
      <c r="LDJ3" s="242"/>
      <c r="LDK3" s="242"/>
      <c r="LDL3" s="242"/>
      <c r="LDM3" s="242"/>
      <c r="LDN3" s="242"/>
      <c r="LDO3" s="242"/>
      <c r="LDP3" s="242"/>
      <c r="LDQ3" s="242"/>
      <c r="LDR3" s="242"/>
      <c r="LDS3" s="242"/>
      <c r="LDT3" s="242"/>
      <c r="LDU3" s="242"/>
      <c r="LDV3" s="242"/>
      <c r="LDW3" s="242"/>
      <c r="LDX3" s="242"/>
      <c r="LDY3" s="242"/>
      <c r="LDZ3" s="242"/>
      <c r="LEA3" s="242"/>
      <c r="LEB3" s="242"/>
      <c r="LEC3" s="242"/>
      <c r="LED3" s="242"/>
      <c r="LEE3" s="242"/>
      <c r="LEF3" s="242"/>
      <c r="LEG3" s="242"/>
      <c r="LEH3" s="242"/>
      <c r="LEI3" s="242"/>
      <c r="LEJ3" s="242"/>
      <c r="LEK3" s="242"/>
      <c r="LEL3" s="242"/>
      <c r="LEM3" s="242"/>
      <c r="LEN3" s="242"/>
      <c r="LEO3" s="242"/>
      <c r="LEP3" s="242"/>
      <c r="LEQ3" s="242"/>
      <c r="LER3" s="242"/>
      <c r="LES3" s="242"/>
      <c r="LET3" s="242"/>
      <c r="LEU3" s="242"/>
      <c r="LEV3" s="242"/>
      <c r="LEW3" s="242"/>
      <c r="LEX3" s="242"/>
      <c r="LEY3" s="242"/>
      <c r="LEZ3" s="242"/>
      <c r="LFA3" s="242"/>
      <c r="LFB3" s="242"/>
      <c r="LFC3" s="242"/>
      <c r="LFD3" s="242"/>
      <c r="LFE3" s="242"/>
      <c r="LFF3" s="242"/>
      <c r="LFG3" s="242"/>
      <c r="LFH3" s="242"/>
      <c r="LFI3" s="242"/>
      <c r="LFJ3" s="242"/>
      <c r="LFK3" s="242"/>
      <c r="LFL3" s="242"/>
      <c r="LFM3" s="242"/>
      <c r="LFN3" s="242"/>
      <c r="LFO3" s="242"/>
      <c r="LFP3" s="242"/>
      <c r="LFQ3" s="242"/>
      <c r="LFR3" s="242"/>
      <c r="LFS3" s="242"/>
      <c r="LFT3" s="242"/>
      <c r="LFU3" s="242"/>
      <c r="LFV3" s="242"/>
      <c r="LFW3" s="242"/>
      <c r="LFX3" s="242"/>
      <c r="LFY3" s="242"/>
      <c r="LFZ3" s="242"/>
      <c r="LGA3" s="242"/>
      <c r="LGB3" s="242"/>
      <c r="LGC3" s="242"/>
      <c r="LGD3" s="242"/>
      <c r="LGE3" s="242"/>
      <c r="LGF3" s="242"/>
      <c r="LGG3" s="242"/>
      <c r="LGH3" s="242"/>
      <c r="LGI3" s="242"/>
      <c r="LGJ3" s="242"/>
      <c r="LGK3" s="242"/>
      <c r="LGL3" s="242"/>
      <c r="LGM3" s="242"/>
      <c r="LGN3" s="242"/>
      <c r="LGO3" s="242"/>
      <c r="LGP3" s="242"/>
      <c r="LGQ3" s="242"/>
      <c r="LGR3" s="242"/>
      <c r="LGS3" s="242"/>
      <c r="LGT3" s="242"/>
      <c r="LGU3" s="242"/>
      <c r="LGV3" s="242"/>
      <c r="LGW3" s="242"/>
      <c r="LGX3" s="242"/>
      <c r="LGY3" s="242"/>
      <c r="LGZ3" s="242"/>
      <c r="LHA3" s="242"/>
      <c r="LHB3" s="242"/>
      <c r="LHC3" s="242"/>
      <c r="LHD3" s="242"/>
      <c r="LHE3" s="242"/>
      <c r="LHF3" s="242"/>
      <c r="LHG3" s="242"/>
      <c r="LHH3" s="242"/>
      <c r="LHI3" s="242"/>
      <c r="LHJ3" s="242"/>
      <c r="LHK3" s="242"/>
      <c r="LHL3" s="242"/>
      <c r="LHM3" s="242"/>
      <c r="LHN3" s="242"/>
      <c r="LHO3" s="242"/>
      <c r="LHP3" s="242"/>
      <c r="LHQ3" s="242"/>
      <c r="LHR3" s="242"/>
      <c r="LHS3" s="242"/>
      <c r="LHT3" s="242"/>
      <c r="LHU3" s="242"/>
      <c r="LHV3" s="242"/>
      <c r="LHW3" s="242"/>
      <c r="LHX3" s="242"/>
      <c r="LHY3" s="242"/>
      <c r="LHZ3" s="242"/>
      <c r="LIA3" s="242"/>
      <c r="LIB3" s="242"/>
      <c r="LIC3" s="242"/>
      <c r="LID3" s="242"/>
      <c r="LIE3" s="242"/>
      <c r="LIF3" s="242"/>
      <c r="LIG3" s="242"/>
      <c r="LIH3" s="242"/>
      <c r="LII3" s="242"/>
      <c r="LIJ3" s="242"/>
      <c r="LIK3" s="242"/>
      <c r="LIL3" s="242"/>
      <c r="LIM3" s="242"/>
      <c r="LIN3" s="242"/>
      <c r="LIO3" s="242"/>
      <c r="LIP3" s="242"/>
      <c r="LIQ3" s="242"/>
      <c r="LIR3" s="242"/>
      <c r="LIS3" s="242"/>
      <c r="LIT3" s="242"/>
      <c r="LIU3" s="242"/>
      <c r="LIV3" s="242"/>
      <c r="LIW3" s="242"/>
      <c r="LIX3" s="242"/>
      <c r="LIY3" s="242"/>
      <c r="LIZ3" s="242"/>
      <c r="LJA3" s="242"/>
      <c r="LJB3" s="242"/>
      <c r="LJC3" s="242"/>
      <c r="LJD3" s="242"/>
      <c r="LJE3" s="242"/>
      <c r="LJF3" s="242"/>
      <c r="LJG3" s="242"/>
      <c r="LJH3" s="242"/>
      <c r="LJI3" s="242"/>
      <c r="LJJ3" s="242"/>
      <c r="LJK3" s="242"/>
      <c r="LJL3" s="242"/>
      <c r="LJM3" s="242"/>
      <c r="LJN3" s="242"/>
      <c r="LJO3" s="242"/>
      <c r="LJP3" s="242"/>
      <c r="LJQ3" s="242"/>
      <c r="LJR3" s="242"/>
      <c r="LJS3" s="242"/>
      <c r="LJT3" s="242"/>
      <c r="LJU3" s="242"/>
      <c r="LJV3" s="242"/>
      <c r="LJW3" s="242"/>
      <c r="LJX3" s="242"/>
      <c r="LJY3" s="242"/>
      <c r="LJZ3" s="242"/>
      <c r="LKA3" s="242"/>
      <c r="LKB3" s="242"/>
      <c r="LKC3" s="242"/>
      <c r="LKD3" s="242"/>
      <c r="LKE3" s="242"/>
      <c r="LKF3" s="242"/>
      <c r="LKG3" s="242"/>
      <c r="LKH3" s="242"/>
      <c r="LKI3" s="242"/>
      <c r="LKJ3" s="242"/>
      <c r="LKK3" s="242"/>
      <c r="LKL3" s="242"/>
      <c r="LKM3" s="242"/>
      <c r="LKN3" s="242"/>
      <c r="LKO3" s="242"/>
      <c r="LKP3" s="242"/>
      <c r="LKQ3" s="242"/>
      <c r="LKR3" s="242"/>
      <c r="LKS3" s="242"/>
      <c r="LKT3" s="242"/>
      <c r="LKU3" s="242"/>
      <c r="LKV3" s="242"/>
      <c r="LKW3" s="242"/>
      <c r="LKX3" s="242"/>
      <c r="LKY3" s="242"/>
      <c r="LKZ3" s="242"/>
      <c r="LLA3" s="242"/>
      <c r="LLB3" s="242"/>
      <c r="LLC3" s="242"/>
      <c r="LLD3" s="242"/>
      <c r="LLE3" s="242"/>
      <c r="LLF3" s="242"/>
      <c r="LLG3" s="242"/>
      <c r="LLH3" s="242"/>
      <c r="LLI3" s="242"/>
      <c r="LLJ3" s="242"/>
      <c r="LLK3" s="242"/>
      <c r="LLL3" s="242"/>
      <c r="LLM3" s="242"/>
      <c r="LLN3" s="242"/>
      <c r="LLO3" s="242"/>
      <c r="LLP3" s="242"/>
      <c r="LLQ3" s="242"/>
      <c r="LLR3" s="242"/>
      <c r="LLS3" s="242"/>
      <c r="LLT3" s="242"/>
      <c r="LLU3" s="242"/>
      <c r="LLV3" s="242"/>
      <c r="LLW3" s="242"/>
      <c r="LLX3" s="242"/>
      <c r="LLY3" s="242"/>
      <c r="LLZ3" s="242"/>
      <c r="LMA3" s="242"/>
      <c r="LMB3" s="242"/>
      <c r="LMC3" s="242"/>
      <c r="LMD3" s="242"/>
      <c r="LME3" s="242"/>
      <c r="LMF3" s="242"/>
      <c r="LMG3" s="242"/>
      <c r="LMH3" s="242"/>
      <c r="LMI3" s="242"/>
      <c r="LMJ3" s="242"/>
      <c r="LMK3" s="242"/>
      <c r="LML3" s="242"/>
      <c r="LMM3" s="242"/>
      <c r="LMN3" s="242"/>
      <c r="LMO3" s="242"/>
      <c r="LMP3" s="242"/>
      <c r="LMQ3" s="242"/>
      <c r="LMR3" s="242"/>
      <c r="LMS3" s="242"/>
      <c r="LMT3" s="242"/>
      <c r="LMU3" s="242"/>
      <c r="LMV3" s="242"/>
      <c r="LMW3" s="242"/>
      <c r="LMX3" s="242"/>
      <c r="LMY3" s="242"/>
      <c r="LMZ3" s="242"/>
      <c r="LNA3" s="242"/>
      <c r="LNB3" s="242"/>
      <c r="LNC3" s="242"/>
      <c r="LND3" s="242"/>
      <c r="LNE3" s="242"/>
      <c r="LNF3" s="242"/>
      <c r="LNG3" s="242"/>
      <c r="LNH3" s="242"/>
      <c r="LNI3" s="242"/>
      <c r="LNJ3" s="242"/>
      <c r="LNK3" s="242"/>
      <c r="LNL3" s="242"/>
      <c r="LNM3" s="242"/>
      <c r="LNN3" s="242"/>
      <c r="LNO3" s="242"/>
      <c r="LNP3" s="242"/>
      <c r="LNQ3" s="242"/>
      <c r="LNR3" s="242"/>
      <c r="LNS3" s="242"/>
      <c r="LNT3" s="242"/>
      <c r="LNU3" s="242"/>
      <c r="LNV3" s="242"/>
      <c r="LNW3" s="242"/>
      <c r="LNX3" s="242"/>
      <c r="LNY3" s="242"/>
      <c r="LNZ3" s="242"/>
      <c r="LOA3" s="242"/>
      <c r="LOB3" s="242"/>
      <c r="LOC3" s="242"/>
      <c r="LOD3" s="242"/>
      <c r="LOE3" s="242"/>
      <c r="LOF3" s="242"/>
      <c r="LOG3" s="242"/>
      <c r="LOH3" s="242"/>
      <c r="LOI3" s="242"/>
      <c r="LOJ3" s="242"/>
      <c r="LOK3" s="242"/>
      <c r="LOL3" s="242"/>
      <c r="LOM3" s="242"/>
      <c r="LON3" s="242"/>
      <c r="LOO3" s="242"/>
      <c r="LOP3" s="242"/>
      <c r="LOQ3" s="242"/>
      <c r="LOR3" s="242"/>
      <c r="LOS3" s="242"/>
      <c r="LOT3" s="242"/>
      <c r="LOU3" s="242"/>
      <c r="LOV3" s="242"/>
      <c r="LOW3" s="242"/>
      <c r="LOX3" s="242"/>
      <c r="LOY3" s="242"/>
      <c r="LOZ3" s="242"/>
      <c r="LPA3" s="242"/>
      <c r="LPB3" s="242"/>
      <c r="LPC3" s="242"/>
      <c r="LPD3" s="242"/>
      <c r="LPE3" s="242"/>
      <c r="LPF3" s="242"/>
      <c r="LPG3" s="242"/>
      <c r="LPH3" s="242"/>
      <c r="LPI3" s="242"/>
      <c r="LPJ3" s="242"/>
      <c r="LPK3" s="242"/>
      <c r="LPL3" s="242"/>
      <c r="LPM3" s="242"/>
      <c r="LPN3" s="242"/>
      <c r="LPO3" s="242"/>
      <c r="LPP3" s="242"/>
      <c r="LPQ3" s="242"/>
      <c r="LPR3" s="242"/>
      <c r="LPS3" s="242"/>
      <c r="LPT3" s="242"/>
      <c r="LPU3" s="242"/>
      <c r="LPV3" s="242"/>
      <c r="LPW3" s="242"/>
      <c r="LPX3" s="242"/>
      <c r="LPY3" s="242"/>
      <c r="LPZ3" s="242"/>
      <c r="LQA3" s="242"/>
      <c r="LQB3" s="242"/>
      <c r="LQC3" s="242"/>
      <c r="LQD3" s="242"/>
      <c r="LQE3" s="242"/>
      <c r="LQF3" s="242"/>
      <c r="LQG3" s="242"/>
      <c r="LQH3" s="242"/>
      <c r="LQI3" s="242"/>
      <c r="LQJ3" s="242"/>
      <c r="LQK3" s="242"/>
      <c r="LQL3" s="242"/>
      <c r="LQM3" s="242"/>
      <c r="LQN3" s="242"/>
      <c r="LQO3" s="242"/>
      <c r="LQP3" s="242"/>
      <c r="LQQ3" s="242"/>
      <c r="LQR3" s="242"/>
      <c r="LQS3" s="242"/>
      <c r="LQT3" s="242"/>
      <c r="LQU3" s="242"/>
      <c r="LQV3" s="242"/>
      <c r="LQW3" s="242"/>
      <c r="LQX3" s="242"/>
      <c r="LQY3" s="242"/>
      <c r="LQZ3" s="242"/>
      <c r="LRA3" s="242"/>
      <c r="LRB3" s="242"/>
      <c r="LRC3" s="242"/>
      <c r="LRD3" s="242"/>
      <c r="LRE3" s="242"/>
      <c r="LRF3" s="242"/>
      <c r="LRG3" s="242"/>
      <c r="LRH3" s="242"/>
      <c r="LRI3" s="242"/>
      <c r="LRJ3" s="242"/>
      <c r="LRK3" s="242"/>
      <c r="LRL3" s="242"/>
      <c r="LRM3" s="242"/>
      <c r="LRN3" s="242"/>
      <c r="LRO3" s="242"/>
      <c r="LRP3" s="242"/>
      <c r="LRQ3" s="242"/>
      <c r="LRR3" s="242"/>
      <c r="LRS3" s="242"/>
      <c r="LRT3" s="242"/>
      <c r="LRU3" s="242"/>
      <c r="LRV3" s="242"/>
      <c r="LRW3" s="242"/>
      <c r="LRX3" s="242"/>
      <c r="LRY3" s="242"/>
      <c r="LRZ3" s="242"/>
      <c r="LSA3" s="242"/>
      <c r="LSB3" s="242"/>
      <c r="LSC3" s="242"/>
      <c r="LSD3" s="242"/>
      <c r="LSE3" s="242"/>
      <c r="LSF3" s="242"/>
      <c r="LSG3" s="242"/>
      <c r="LSH3" s="242"/>
      <c r="LSI3" s="242"/>
      <c r="LSJ3" s="242"/>
      <c r="LSK3" s="242"/>
      <c r="LSL3" s="242"/>
      <c r="LSM3" s="242"/>
      <c r="LSN3" s="242"/>
      <c r="LSO3" s="242"/>
      <c r="LSP3" s="242"/>
      <c r="LSQ3" s="242"/>
      <c r="LSR3" s="242"/>
      <c r="LSS3" s="242"/>
      <c r="LST3" s="242"/>
      <c r="LSU3" s="242"/>
      <c r="LSV3" s="242"/>
      <c r="LSW3" s="242"/>
      <c r="LSX3" s="242"/>
      <c r="LSY3" s="242"/>
      <c r="LSZ3" s="242"/>
      <c r="LTA3" s="242"/>
      <c r="LTB3" s="242"/>
      <c r="LTC3" s="242"/>
      <c r="LTD3" s="242"/>
      <c r="LTE3" s="242"/>
      <c r="LTF3" s="242"/>
      <c r="LTG3" s="242"/>
      <c r="LTH3" s="242"/>
      <c r="LTI3" s="242"/>
      <c r="LTJ3" s="242"/>
      <c r="LTK3" s="242"/>
      <c r="LTL3" s="242"/>
      <c r="LTM3" s="242"/>
      <c r="LTN3" s="242"/>
      <c r="LTO3" s="242"/>
      <c r="LTP3" s="242"/>
      <c r="LTQ3" s="242"/>
      <c r="LTR3" s="242"/>
      <c r="LTS3" s="242"/>
      <c r="LTT3" s="242"/>
      <c r="LTU3" s="242"/>
      <c r="LTV3" s="242"/>
      <c r="LTW3" s="242"/>
      <c r="LTX3" s="242"/>
      <c r="LTY3" s="242"/>
      <c r="LTZ3" s="242"/>
      <c r="LUA3" s="242"/>
      <c r="LUB3" s="242"/>
      <c r="LUC3" s="242"/>
      <c r="LUD3" s="242"/>
      <c r="LUE3" s="242"/>
      <c r="LUF3" s="242"/>
      <c r="LUG3" s="242"/>
      <c r="LUH3" s="242"/>
      <c r="LUI3" s="242"/>
      <c r="LUJ3" s="242"/>
      <c r="LUK3" s="242"/>
      <c r="LUL3" s="242"/>
      <c r="LUM3" s="242"/>
      <c r="LUN3" s="242"/>
      <c r="LUO3" s="242"/>
      <c r="LUP3" s="242"/>
      <c r="LUQ3" s="242"/>
      <c r="LUR3" s="242"/>
      <c r="LUS3" s="242"/>
      <c r="LUT3" s="242"/>
      <c r="LUU3" s="242"/>
      <c r="LUV3" s="242"/>
      <c r="LUW3" s="242"/>
      <c r="LUX3" s="242"/>
      <c r="LUY3" s="242"/>
      <c r="LUZ3" s="242"/>
      <c r="LVA3" s="242"/>
      <c r="LVB3" s="242"/>
      <c r="LVC3" s="242"/>
      <c r="LVD3" s="242"/>
      <c r="LVE3" s="242"/>
      <c r="LVF3" s="242"/>
      <c r="LVG3" s="242"/>
      <c r="LVH3" s="242"/>
      <c r="LVI3" s="242"/>
      <c r="LVJ3" s="242"/>
      <c r="LVK3" s="242"/>
      <c r="LVL3" s="242"/>
      <c r="LVM3" s="242"/>
      <c r="LVN3" s="242"/>
      <c r="LVO3" s="242"/>
      <c r="LVP3" s="242"/>
      <c r="LVQ3" s="242"/>
      <c r="LVR3" s="242"/>
      <c r="LVS3" s="242"/>
      <c r="LVT3" s="242"/>
      <c r="LVU3" s="242"/>
      <c r="LVV3" s="242"/>
      <c r="LVW3" s="242"/>
      <c r="LVX3" s="242"/>
      <c r="LVY3" s="242"/>
      <c r="LVZ3" s="242"/>
      <c r="LWA3" s="242"/>
      <c r="LWB3" s="242"/>
      <c r="LWC3" s="242"/>
      <c r="LWD3" s="242"/>
      <c r="LWE3" s="242"/>
      <c r="LWF3" s="242"/>
      <c r="LWG3" s="242"/>
      <c r="LWH3" s="242"/>
      <c r="LWI3" s="242"/>
      <c r="LWJ3" s="242"/>
      <c r="LWK3" s="242"/>
      <c r="LWL3" s="242"/>
      <c r="LWM3" s="242"/>
      <c r="LWN3" s="242"/>
      <c r="LWO3" s="242"/>
      <c r="LWP3" s="242"/>
      <c r="LWQ3" s="242"/>
      <c r="LWR3" s="242"/>
      <c r="LWS3" s="242"/>
      <c r="LWT3" s="242"/>
      <c r="LWU3" s="242"/>
      <c r="LWV3" s="242"/>
      <c r="LWW3" s="242"/>
      <c r="LWX3" s="242"/>
      <c r="LWY3" s="242"/>
      <c r="LWZ3" s="242"/>
      <c r="LXA3" s="242"/>
      <c r="LXB3" s="242"/>
      <c r="LXC3" s="242"/>
      <c r="LXD3" s="242"/>
      <c r="LXE3" s="242"/>
      <c r="LXF3" s="242"/>
      <c r="LXG3" s="242"/>
      <c r="LXH3" s="242"/>
      <c r="LXI3" s="242"/>
      <c r="LXJ3" s="242"/>
      <c r="LXK3" s="242"/>
      <c r="LXL3" s="242"/>
      <c r="LXM3" s="242"/>
      <c r="LXN3" s="242"/>
      <c r="LXO3" s="242"/>
      <c r="LXP3" s="242"/>
      <c r="LXQ3" s="242"/>
      <c r="LXR3" s="242"/>
      <c r="LXS3" s="242"/>
      <c r="LXT3" s="242"/>
      <c r="LXU3" s="242"/>
      <c r="LXV3" s="242"/>
      <c r="LXW3" s="242"/>
      <c r="LXX3" s="242"/>
      <c r="LXY3" s="242"/>
      <c r="LXZ3" s="242"/>
      <c r="LYA3" s="242"/>
      <c r="LYB3" s="242"/>
      <c r="LYC3" s="242"/>
      <c r="LYD3" s="242"/>
      <c r="LYE3" s="242"/>
      <c r="LYF3" s="242"/>
      <c r="LYG3" s="242"/>
      <c r="LYH3" s="242"/>
      <c r="LYI3" s="242"/>
      <c r="LYJ3" s="242"/>
      <c r="LYK3" s="242"/>
      <c r="LYL3" s="242"/>
      <c r="LYM3" s="242"/>
      <c r="LYN3" s="242"/>
      <c r="LYO3" s="242"/>
      <c r="LYP3" s="242"/>
      <c r="LYQ3" s="242"/>
      <c r="LYR3" s="242"/>
      <c r="LYS3" s="242"/>
      <c r="LYT3" s="242"/>
      <c r="LYU3" s="242"/>
      <c r="LYV3" s="242"/>
      <c r="LYW3" s="242"/>
      <c r="LYX3" s="242"/>
      <c r="LYY3" s="242"/>
      <c r="LYZ3" s="242"/>
      <c r="LZA3" s="242"/>
      <c r="LZB3" s="242"/>
      <c r="LZC3" s="242"/>
      <c r="LZD3" s="242"/>
      <c r="LZE3" s="242"/>
      <c r="LZF3" s="242"/>
      <c r="LZG3" s="242"/>
      <c r="LZH3" s="242"/>
      <c r="LZI3" s="242"/>
      <c r="LZJ3" s="242"/>
      <c r="LZK3" s="242"/>
      <c r="LZL3" s="242"/>
      <c r="LZM3" s="242"/>
      <c r="LZN3" s="242"/>
      <c r="LZO3" s="242"/>
      <c r="LZP3" s="242"/>
      <c r="LZQ3" s="242"/>
      <c r="LZR3" s="242"/>
      <c r="LZS3" s="242"/>
      <c r="LZT3" s="242"/>
      <c r="LZU3" s="242"/>
      <c r="LZV3" s="242"/>
      <c r="LZW3" s="242"/>
      <c r="LZX3" s="242"/>
      <c r="LZY3" s="242"/>
      <c r="LZZ3" s="242"/>
      <c r="MAA3" s="242"/>
      <c r="MAB3" s="242"/>
      <c r="MAC3" s="242"/>
      <c r="MAD3" s="242"/>
      <c r="MAE3" s="242"/>
      <c r="MAF3" s="242"/>
      <c r="MAG3" s="242"/>
      <c r="MAH3" s="242"/>
      <c r="MAI3" s="242"/>
      <c r="MAJ3" s="242"/>
      <c r="MAK3" s="242"/>
      <c r="MAL3" s="242"/>
      <c r="MAM3" s="242"/>
      <c r="MAN3" s="242"/>
      <c r="MAO3" s="242"/>
      <c r="MAP3" s="242"/>
      <c r="MAQ3" s="242"/>
      <c r="MAR3" s="242"/>
      <c r="MAS3" s="242"/>
      <c r="MAT3" s="242"/>
      <c r="MAU3" s="242"/>
      <c r="MAV3" s="242"/>
      <c r="MAW3" s="242"/>
      <c r="MAX3" s="242"/>
      <c r="MAY3" s="242"/>
      <c r="MAZ3" s="242"/>
      <c r="MBA3" s="242"/>
      <c r="MBB3" s="242"/>
      <c r="MBC3" s="242"/>
      <c r="MBD3" s="242"/>
      <c r="MBE3" s="242"/>
      <c r="MBF3" s="242"/>
      <c r="MBG3" s="242"/>
      <c r="MBH3" s="242"/>
      <c r="MBI3" s="242"/>
      <c r="MBJ3" s="242"/>
      <c r="MBK3" s="242"/>
      <c r="MBL3" s="242"/>
      <c r="MBM3" s="242"/>
      <c r="MBN3" s="242"/>
      <c r="MBO3" s="242"/>
      <c r="MBP3" s="242"/>
      <c r="MBQ3" s="242"/>
      <c r="MBR3" s="242"/>
      <c r="MBS3" s="242"/>
      <c r="MBT3" s="242"/>
      <c r="MBU3" s="242"/>
      <c r="MBV3" s="242"/>
      <c r="MBW3" s="242"/>
      <c r="MBX3" s="242"/>
      <c r="MBY3" s="242"/>
      <c r="MBZ3" s="242"/>
      <c r="MCA3" s="242"/>
      <c r="MCB3" s="242"/>
      <c r="MCC3" s="242"/>
      <c r="MCD3" s="242"/>
      <c r="MCE3" s="242"/>
      <c r="MCF3" s="242"/>
      <c r="MCG3" s="242"/>
      <c r="MCH3" s="242"/>
      <c r="MCI3" s="242"/>
      <c r="MCJ3" s="242"/>
      <c r="MCK3" s="242"/>
      <c r="MCL3" s="242"/>
      <c r="MCM3" s="242"/>
      <c r="MCN3" s="242"/>
      <c r="MCO3" s="242"/>
      <c r="MCP3" s="242"/>
      <c r="MCQ3" s="242"/>
      <c r="MCR3" s="242"/>
      <c r="MCS3" s="242"/>
      <c r="MCT3" s="242"/>
      <c r="MCU3" s="242"/>
      <c r="MCV3" s="242"/>
      <c r="MCW3" s="242"/>
      <c r="MCX3" s="242"/>
      <c r="MCY3" s="242"/>
      <c r="MCZ3" s="242"/>
      <c r="MDA3" s="242"/>
      <c r="MDB3" s="242"/>
      <c r="MDC3" s="242"/>
      <c r="MDD3" s="242"/>
      <c r="MDE3" s="242"/>
      <c r="MDF3" s="242"/>
      <c r="MDG3" s="242"/>
      <c r="MDH3" s="242"/>
      <c r="MDI3" s="242"/>
      <c r="MDJ3" s="242"/>
      <c r="MDK3" s="242"/>
      <c r="MDL3" s="242"/>
      <c r="MDM3" s="242"/>
      <c r="MDN3" s="242"/>
      <c r="MDO3" s="242"/>
      <c r="MDP3" s="242"/>
      <c r="MDQ3" s="242"/>
      <c r="MDR3" s="242"/>
      <c r="MDS3" s="242"/>
      <c r="MDT3" s="242"/>
      <c r="MDU3" s="242"/>
      <c r="MDV3" s="242"/>
      <c r="MDW3" s="242"/>
      <c r="MDX3" s="242"/>
      <c r="MDY3" s="242"/>
      <c r="MDZ3" s="242"/>
      <c r="MEA3" s="242"/>
      <c r="MEB3" s="242"/>
      <c r="MEC3" s="242"/>
      <c r="MED3" s="242"/>
      <c r="MEE3" s="242"/>
      <c r="MEF3" s="242"/>
      <c r="MEG3" s="242"/>
      <c r="MEH3" s="242"/>
      <c r="MEI3" s="242"/>
      <c r="MEJ3" s="242"/>
      <c r="MEK3" s="242"/>
      <c r="MEL3" s="242"/>
      <c r="MEM3" s="242"/>
      <c r="MEN3" s="242"/>
      <c r="MEO3" s="242"/>
      <c r="MEP3" s="242"/>
      <c r="MEQ3" s="242"/>
      <c r="MER3" s="242"/>
      <c r="MES3" s="242"/>
      <c r="MET3" s="242"/>
      <c r="MEU3" s="242"/>
      <c r="MEV3" s="242"/>
      <c r="MEW3" s="242"/>
      <c r="MEX3" s="242"/>
      <c r="MEY3" s="242"/>
      <c r="MEZ3" s="242"/>
      <c r="MFA3" s="242"/>
      <c r="MFB3" s="242"/>
      <c r="MFC3" s="242"/>
      <c r="MFD3" s="242"/>
      <c r="MFE3" s="242"/>
      <c r="MFF3" s="242"/>
      <c r="MFG3" s="242"/>
      <c r="MFH3" s="242"/>
      <c r="MFI3" s="242"/>
      <c r="MFJ3" s="242"/>
      <c r="MFK3" s="242"/>
      <c r="MFL3" s="242"/>
      <c r="MFM3" s="242"/>
      <c r="MFN3" s="242"/>
      <c r="MFO3" s="242"/>
      <c r="MFP3" s="242"/>
      <c r="MFQ3" s="242"/>
      <c r="MFR3" s="242"/>
      <c r="MFS3" s="242"/>
      <c r="MFT3" s="242"/>
      <c r="MFU3" s="242"/>
      <c r="MFV3" s="242"/>
      <c r="MFW3" s="242"/>
      <c r="MFX3" s="242"/>
      <c r="MFY3" s="242"/>
      <c r="MFZ3" s="242"/>
      <c r="MGA3" s="242"/>
      <c r="MGB3" s="242"/>
      <c r="MGC3" s="242"/>
      <c r="MGD3" s="242"/>
      <c r="MGE3" s="242"/>
      <c r="MGF3" s="242"/>
      <c r="MGG3" s="242"/>
      <c r="MGH3" s="242"/>
      <c r="MGI3" s="242"/>
      <c r="MGJ3" s="242"/>
      <c r="MGK3" s="242"/>
      <c r="MGL3" s="242"/>
      <c r="MGM3" s="242"/>
      <c r="MGN3" s="242"/>
      <c r="MGO3" s="242"/>
      <c r="MGP3" s="242"/>
      <c r="MGQ3" s="242"/>
      <c r="MGR3" s="242"/>
      <c r="MGS3" s="242"/>
      <c r="MGT3" s="242"/>
      <c r="MGU3" s="242"/>
      <c r="MGV3" s="242"/>
      <c r="MGW3" s="242"/>
      <c r="MGX3" s="242"/>
      <c r="MGY3" s="242"/>
      <c r="MGZ3" s="242"/>
      <c r="MHA3" s="242"/>
      <c r="MHB3" s="242"/>
      <c r="MHC3" s="242"/>
      <c r="MHD3" s="242"/>
      <c r="MHE3" s="242"/>
      <c r="MHF3" s="242"/>
      <c r="MHG3" s="242"/>
      <c r="MHH3" s="242"/>
      <c r="MHI3" s="242"/>
      <c r="MHJ3" s="242"/>
      <c r="MHK3" s="242"/>
      <c r="MHL3" s="242"/>
      <c r="MHM3" s="242"/>
      <c r="MHN3" s="242"/>
      <c r="MHO3" s="242"/>
      <c r="MHP3" s="242"/>
      <c r="MHQ3" s="242"/>
      <c r="MHR3" s="242"/>
      <c r="MHS3" s="242"/>
      <c r="MHT3" s="242"/>
      <c r="MHU3" s="242"/>
      <c r="MHV3" s="242"/>
      <c r="MHW3" s="242"/>
      <c r="MHX3" s="242"/>
      <c r="MHY3" s="242"/>
      <c r="MHZ3" s="242"/>
      <c r="MIA3" s="242"/>
      <c r="MIB3" s="242"/>
      <c r="MIC3" s="242"/>
      <c r="MID3" s="242"/>
      <c r="MIE3" s="242"/>
      <c r="MIF3" s="242"/>
      <c r="MIG3" s="242"/>
      <c r="MIH3" s="242"/>
      <c r="MII3" s="242"/>
      <c r="MIJ3" s="242"/>
      <c r="MIK3" s="242"/>
      <c r="MIL3" s="242"/>
      <c r="MIM3" s="242"/>
      <c r="MIN3" s="242"/>
      <c r="MIO3" s="242"/>
      <c r="MIP3" s="242"/>
      <c r="MIQ3" s="242"/>
      <c r="MIR3" s="242"/>
      <c r="MIS3" s="242"/>
      <c r="MIT3" s="242"/>
      <c r="MIU3" s="242"/>
      <c r="MIV3" s="242"/>
      <c r="MIW3" s="242"/>
      <c r="MIX3" s="242"/>
      <c r="MIY3" s="242"/>
      <c r="MIZ3" s="242"/>
      <c r="MJA3" s="242"/>
      <c r="MJB3" s="242"/>
      <c r="MJC3" s="242"/>
      <c r="MJD3" s="242"/>
      <c r="MJE3" s="242"/>
      <c r="MJF3" s="242"/>
      <c r="MJG3" s="242"/>
      <c r="MJH3" s="242"/>
      <c r="MJI3" s="242"/>
      <c r="MJJ3" s="242"/>
      <c r="MJK3" s="242"/>
      <c r="MJL3" s="242"/>
      <c r="MJM3" s="242"/>
      <c r="MJN3" s="242"/>
      <c r="MJO3" s="242"/>
      <c r="MJP3" s="242"/>
      <c r="MJQ3" s="242"/>
      <c r="MJR3" s="242"/>
      <c r="MJS3" s="242"/>
      <c r="MJT3" s="242"/>
      <c r="MJU3" s="242"/>
      <c r="MJV3" s="242"/>
      <c r="MJW3" s="242"/>
      <c r="MJX3" s="242"/>
      <c r="MJY3" s="242"/>
      <c r="MJZ3" s="242"/>
      <c r="MKA3" s="242"/>
      <c r="MKB3" s="242"/>
      <c r="MKC3" s="242"/>
      <c r="MKD3" s="242"/>
      <c r="MKE3" s="242"/>
      <c r="MKF3" s="242"/>
      <c r="MKG3" s="242"/>
      <c r="MKH3" s="242"/>
      <c r="MKI3" s="242"/>
      <c r="MKJ3" s="242"/>
      <c r="MKK3" s="242"/>
      <c r="MKL3" s="242"/>
      <c r="MKM3" s="242"/>
      <c r="MKN3" s="242"/>
      <c r="MKO3" s="242"/>
      <c r="MKP3" s="242"/>
      <c r="MKQ3" s="242"/>
      <c r="MKR3" s="242"/>
      <c r="MKS3" s="242"/>
      <c r="MKT3" s="242"/>
      <c r="MKU3" s="242"/>
      <c r="MKV3" s="242"/>
      <c r="MKW3" s="242"/>
      <c r="MKX3" s="242"/>
      <c r="MKY3" s="242"/>
      <c r="MKZ3" s="242"/>
      <c r="MLA3" s="242"/>
      <c r="MLB3" s="242"/>
      <c r="MLC3" s="242"/>
      <c r="MLD3" s="242"/>
      <c r="MLE3" s="242"/>
      <c r="MLF3" s="242"/>
      <c r="MLG3" s="242"/>
      <c r="MLH3" s="242"/>
      <c r="MLI3" s="242"/>
      <c r="MLJ3" s="242"/>
      <c r="MLK3" s="242"/>
      <c r="MLL3" s="242"/>
      <c r="MLM3" s="242"/>
      <c r="MLN3" s="242"/>
      <c r="MLO3" s="242"/>
      <c r="MLP3" s="242"/>
      <c r="MLQ3" s="242"/>
      <c r="MLR3" s="242"/>
      <c r="MLS3" s="242"/>
      <c r="MLT3" s="242"/>
      <c r="MLU3" s="242"/>
      <c r="MLV3" s="242"/>
      <c r="MLW3" s="242"/>
      <c r="MLX3" s="242"/>
      <c r="MLY3" s="242"/>
      <c r="MLZ3" s="242"/>
      <c r="MMA3" s="242"/>
      <c r="MMB3" s="242"/>
      <c r="MMC3" s="242"/>
      <c r="MMD3" s="242"/>
      <c r="MME3" s="242"/>
      <c r="MMF3" s="242"/>
      <c r="MMG3" s="242"/>
      <c r="MMH3" s="242"/>
      <c r="MMI3" s="242"/>
      <c r="MMJ3" s="242"/>
      <c r="MMK3" s="242"/>
      <c r="MML3" s="242"/>
      <c r="MMM3" s="242"/>
      <c r="MMN3" s="242"/>
      <c r="MMO3" s="242"/>
      <c r="MMP3" s="242"/>
      <c r="MMQ3" s="242"/>
      <c r="MMR3" s="242"/>
      <c r="MMS3" s="242"/>
      <c r="MMT3" s="242"/>
      <c r="MMU3" s="242"/>
      <c r="MMV3" s="242"/>
      <c r="MMW3" s="242"/>
      <c r="MMX3" s="242"/>
      <c r="MMY3" s="242"/>
      <c r="MMZ3" s="242"/>
      <c r="MNA3" s="242"/>
      <c r="MNB3" s="242"/>
      <c r="MNC3" s="242"/>
      <c r="MND3" s="242"/>
      <c r="MNE3" s="242"/>
      <c r="MNF3" s="242"/>
      <c r="MNG3" s="242"/>
      <c r="MNH3" s="242"/>
      <c r="MNI3" s="242"/>
      <c r="MNJ3" s="242"/>
      <c r="MNK3" s="242"/>
      <c r="MNL3" s="242"/>
      <c r="MNM3" s="242"/>
      <c r="MNN3" s="242"/>
      <c r="MNO3" s="242"/>
      <c r="MNP3" s="242"/>
      <c r="MNQ3" s="242"/>
      <c r="MNR3" s="242"/>
      <c r="MNS3" s="242"/>
      <c r="MNT3" s="242"/>
      <c r="MNU3" s="242"/>
      <c r="MNV3" s="242"/>
      <c r="MNW3" s="242"/>
      <c r="MNX3" s="242"/>
      <c r="MNY3" s="242"/>
      <c r="MNZ3" s="242"/>
      <c r="MOA3" s="242"/>
      <c r="MOB3" s="242"/>
      <c r="MOC3" s="242"/>
      <c r="MOD3" s="242"/>
      <c r="MOE3" s="242"/>
      <c r="MOF3" s="242"/>
      <c r="MOG3" s="242"/>
      <c r="MOH3" s="242"/>
      <c r="MOI3" s="242"/>
      <c r="MOJ3" s="242"/>
      <c r="MOK3" s="242"/>
      <c r="MOL3" s="242"/>
      <c r="MOM3" s="242"/>
      <c r="MON3" s="242"/>
      <c r="MOO3" s="242"/>
      <c r="MOP3" s="242"/>
      <c r="MOQ3" s="242"/>
      <c r="MOR3" s="242"/>
      <c r="MOS3" s="242"/>
      <c r="MOT3" s="242"/>
      <c r="MOU3" s="242"/>
      <c r="MOV3" s="242"/>
      <c r="MOW3" s="242"/>
      <c r="MOX3" s="242"/>
      <c r="MOY3" s="242"/>
      <c r="MOZ3" s="242"/>
      <c r="MPA3" s="242"/>
      <c r="MPB3" s="242"/>
      <c r="MPC3" s="242"/>
      <c r="MPD3" s="242"/>
      <c r="MPE3" s="242"/>
      <c r="MPF3" s="242"/>
      <c r="MPG3" s="242"/>
      <c r="MPH3" s="242"/>
      <c r="MPI3" s="242"/>
      <c r="MPJ3" s="242"/>
      <c r="MPK3" s="242"/>
      <c r="MPL3" s="242"/>
      <c r="MPM3" s="242"/>
      <c r="MPN3" s="242"/>
      <c r="MPO3" s="242"/>
      <c r="MPP3" s="242"/>
      <c r="MPQ3" s="242"/>
      <c r="MPR3" s="242"/>
      <c r="MPS3" s="242"/>
      <c r="MPT3" s="242"/>
      <c r="MPU3" s="242"/>
      <c r="MPV3" s="242"/>
      <c r="MPW3" s="242"/>
      <c r="MPX3" s="242"/>
      <c r="MPY3" s="242"/>
      <c r="MPZ3" s="242"/>
      <c r="MQA3" s="242"/>
      <c r="MQB3" s="242"/>
      <c r="MQC3" s="242"/>
      <c r="MQD3" s="242"/>
      <c r="MQE3" s="242"/>
      <c r="MQF3" s="242"/>
      <c r="MQG3" s="242"/>
      <c r="MQH3" s="242"/>
      <c r="MQI3" s="242"/>
      <c r="MQJ3" s="242"/>
      <c r="MQK3" s="242"/>
      <c r="MQL3" s="242"/>
      <c r="MQM3" s="242"/>
      <c r="MQN3" s="242"/>
      <c r="MQO3" s="242"/>
      <c r="MQP3" s="242"/>
      <c r="MQQ3" s="242"/>
      <c r="MQR3" s="242"/>
      <c r="MQS3" s="242"/>
      <c r="MQT3" s="242"/>
      <c r="MQU3" s="242"/>
      <c r="MQV3" s="242"/>
      <c r="MQW3" s="242"/>
      <c r="MQX3" s="242"/>
      <c r="MQY3" s="242"/>
      <c r="MQZ3" s="242"/>
      <c r="MRA3" s="242"/>
      <c r="MRB3" s="242"/>
      <c r="MRC3" s="242"/>
      <c r="MRD3" s="242"/>
      <c r="MRE3" s="242"/>
      <c r="MRF3" s="242"/>
      <c r="MRG3" s="242"/>
      <c r="MRH3" s="242"/>
      <c r="MRI3" s="242"/>
      <c r="MRJ3" s="242"/>
      <c r="MRK3" s="242"/>
      <c r="MRL3" s="242"/>
      <c r="MRM3" s="242"/>
      <c r="MRN3" s="242"/>
      <c r="MRO3" s="242"/>
      <c r="MRP3" s="242"/>
      <c r="MRQ3" s="242"/>
      <c r="MRR3" s="242"/>
      <c r="MRS3" s="242"/>
      <c r="MRT3" s="242"/>
      <c r="MRU3" s="242"/>
      <c r="MRV3" s="242"/>
      <c r="MRW3" s="242"/>
      <c r="MRX3" s="242"/>
      <c r="MRY3" s="242"/>
      <c r="MRZ3" s="242"/>
      <c r="MSA3" s="242"/>
      <c r="MSB3" s="242"/>
      <c r="MSC3" s="242"/>
      <c r="MSD3" s="242"/>
      <c r="MSE3" s="242"/>
      <c r="MSF3" s="242"/>
      <c r="MSG3" s="242"/>
      <c r="MSH3" s="242"/>
      <c r="MSI3" s="242"/>
      <c r="MSJ3" s="242"/>
      <c r="MSK3" s="242"/>
      <c r="MSL3" s="242"/>
      <c r="MSM3" s="242"/>
      <c r="MSN3" s="242"/>
      <c r="MSO3" s="242"/>
      <c r="MSP3" s="242"/>
      <c r="MSQ3" s="242"/>
      <c r="MSR3" s="242"/>
      <c r="MSS3" s="242"/>
      <c r="MST3" s="242"/>
      <c r="MSU3" s="242"/>
      <c r="MSV3" s="242"/>
      <c r="MSW3" s="242"/>
      <c r="MSX3" s="242"/>
      <c r="MSY3" s="242"/>
      <c r="MSZ3" s="242"/>
      <c r="MTA3" s="242"/>
      <c r="MTB3" s="242"/>
      <c r="MTC3" s="242"/>
      <c r="MTD3" s="242"/>
      <c r="MTE3" s="242"/>
      <c r="MTF3" s="242"/>
      <c r="MTG3" s="242"/>
      <c r="MTH3" s="242"/>
      <c r="MTI3" s="242"/>
      <c r="MTJ3" s="242"/>
      <c r="MTK3" s="242"/>
      <c r="MTL3" s="242"/>
      <c r="MTM3" s="242"/>
      <c r="MTN3" s="242"/>
      <c r="MTO3" s="242"/>
      <c r="MTP3" s="242"/>
      <c r="MTQ3" s="242"/>
      <c r="MTR3" s="242"/>
      <c r="MTS3" s="242"/>
      <c r="MTT3" s="242"/>
      <c r="MTU3" s="242"/>
      <c r="MTV3" s="242"/>
      <c r="MTW3" s="242"/>
      <c r="MTX3" s="242"/>
      <c r="MTY3" s="242"/>
      <c r="MTZ3" s="242"/>
      <c r="MUA3" s="242"/>
      <c r="MUB3" s="242"/>
      <c r="MUC3" s="242"/>
      <c r="MUD3" s="242"/>
      <c r="MUE3" s="242"/>
      <c r="MUF3" s="242"/>
      <c r="MUG3" s="242"/>
      <c r="MUH3" s="242"/>
      <c r="MUI3" s="242"/>
      <c r="MUJ3" s="242"/>
      <c r="MUK3" s="242"/>
      <c r="MUL3" s="242"/>
      <c r="MUM3" s="242"/>
      <c r="MUN3" s="242"/>
      <c r="MUO3" s="242"/>
      <c r="MUP3" s="242"/>
      <c r="MUQ3" s="242"/>
      <c r="MUR3" s="242"/>
      <c r="MUS3" s="242"/>
      <c r="MUT3" s="242"/>
      <c r="MUU3" s="242"/>
      <c r="MUV3" s="242"/>
      <c r="MUW3" s="242"/>
      <c r="MUX3" s="242"/>
      <c r="MUY3" s="242"/>
      <c r="MUZ3" s="242"/>
      <c r="MVA3" s="242"/>
      <c r="MVB3" s="242"/>
      <c r="MVC3" s="242"/>
      <c r="MVD3" s="242"/>
      <c r="MVE3" s="242"/>
      <c r="MVF3" s="242"/>
      <c r="MVG3" s="242"/>
      <c r="MVH3" s="242"/>
      <c r="MVI3" s="242"/>
      <c r="MVJ3" s="242"/>
      <c r="MVK3" s="242"/>
      <c r="MVL3" s="242"/>
      <c r="MVM3" s="242"/>
      <c r="MVN3" s="242"/>
      <c r="MVO3" s="242"/>
      <c r="MVP3" s="242"/>
      <c r="MVQ3" s="242"/>
      <c r="MVR3" s="242"/>
      <c r="MVS3" s="242"/>
      <c r="MVT3" s="242"/>
      <c r="MVU3" s="242"/>
      <c r="MVV3" s="242"/>
      <c r="MVW3" s="242"/>
      <c r="MVX3" s="242"/>
      <c r="MVY3" s="242"/>
      <c r="MVZ3" s="242"/>
      <c r="MWA3" s="242"/>
      <c r="MWB3" s="242"/>
      <c r="MWC3" s="242"/>
      <c r="MWD3" s="242"/>
      <c r="MWE3" s="242"/>
      <c r="MWF3" s="242"/>
      <c r="MWG3" s="242"/>
      <c r="MWH3" s="242"/>
      <c r="MWI3" s="242"/>
      <c r="MWJ3" s="242"/>
      <c r="MWK3" s="242"/>
      <c r="MWL3" s="242"/>
      <c r="MWM3" s="242"/>
      <c r="MWN3" s="242"/>
      <c r="MWO3" s="242"/>
      <c r="MWP3" s="242"/>
      <c r="MWQ3" s="242"/>
      <c r="MWR3" s="242"/>
      <c r="MWS3" s="242"/>
      <c r="MWT3" s="242"/>
      <c r="MWU3" s="242"/>
      <c r="MWV3" s="242"/>
      <c r="MWW3" s="242"/>
      <c r="MWX3" s="242"/>
      <c r="MWY3" s="242"/>
      <c r="MWZ3" s="242"/>
      <c r="MXA3" s="242"/>
      <c r="MXB3" s="242"/>
      <c r="MXC3" s="242"/>
      <c r="MXD3" s="242"/>
      <c r="MXE3" s="242"/>
      <c r="MXF3" s="242"/>
      <c r="MXG3" s="242"/>
      <c r="MXH3" s="242"/>
      <c r="MXI3" s="242"/>
      <c r="MXJ3" s="242"/>
      <c r="MXK3" s="242"/>
      <c r="MXL3" s="242"/>
      <c r="MXM3" s="242"/>
      <c r="MXN3" s="242"/>
      <c r="MXO3" s="242"/>
      <c r="MXP3" s="242"/>
      <c r="MXQ3" s="242"/>
      <c r="MXR3" s="242"/>
      <c r="MXS3" s="242"/>
      <c r="MXT3" s="242"/>
      <c r="MXU3" s="242"/>
      <c r="MXV3" s="242"/>
      <c r="MXW3" s="242"/>
      <c r="MXX3" s="242"/>
      <c r="MXY3" s="242"/>
      <c r="MXZ3" s="242"/>
      <c r="MYA3" s="242"/>
      <c r="MYB3" s="242"/>
      <c r="MYC3" s="242"/>
      <c r="MYD3" s="242"/>
      <c r="MYE3" s="242"/>
      <c r="MYF3" s="242"/>
      <c r="MYG3" s="242"/>
      <c r="MYH3" s="242"/>
      <c r="MYI3" s="242"/>
      <c r="MYJ3" s="242"/>
      <c r="MYK3" s="242"/>
      <c r="MYL3" s="242"/>
      <c r="MYM3" s="242"/>
      <c r="MYN3" s="242"/>
      <c r="MYO3" s="242"/>
      <c r="MYP3" s="242"/>
      <c r="MYQ3" s="242"/>
      <c r="MYR3" s="242"/>
      <c r="MYS3" s="242"/>
      <c r="MYT3" s="242"/>
      <c r="MYU3" s="242"/>
      <c r="MYV3" s="242"/>
      <c r="MYW3" s="242"/>
      <c r="MYX3" s="242"/>
      <c r="MYY3" s="242"/>
      <c r="MYZ3" s="242"/>
      <c r="MZA3" s="242"/>
      <c r="MZB3" s="242"/>
      <c r="MZC3" s="242"/>
      <c r="MZD3" s="242"/>
      <c r="MZE3" s="242"/>
      <c r="MZF3" s="242"/>
      <c r="MZG3" s="242"/>
      <c r="MZH3" s="242"/>
      <c r="MZI3" s="242"/>
      <c r="MZJ3" s="242"/>
      <c r="MZK3" s="242"/>
      <c r="MZL3" s="242"/>
      <c r="MZM3" s="242"/>
      <c r="MZN3" s="242"/>
      <c r="MZO3" s="242"/>
      <c r="MZP3" s="242"/>
      <c r="MZQ3" s="242"/>
      <c r="MZR3" s="242"/>
      <c r="MZS3" s="242"/>
      <c r="MZT3" s="242"/>
      <c r="MZU3" s="242"/>
      <c r="MZV3" s="242"/>
      <c r="MZW3" s="242"/>
      <c r="MZX3" s="242"/>
      <c r="MZY3" s="242"/>
      <c r="MZZ3" s="242"/>
      <c r="NAA3" s="242"/>
      <c r="NAB3" s="242"/>
      <c r="NAC3" s="242"/>
      <c r="NAD3" s="242"/>
      <c r="NAE3" s="242"/>
      <c r="NAF3" s="242"/>
      <c r="NAG3" s="242"/>
      <c r="NAH3" s="242"/>
      <c r="NAI3" s="242"/>
      <c r="NAJ3" s="242"/>
      <c r="NAK3" s="242"/>
      <c r="NAL3" s="242"/>
      <c r="NAM3" s="242"/>
      <c r="NAN3" s="242"/>
      <c r="NAO3" s="242"/>
      <c r="NAP3" s="242"/>
      <c r="NAQ3" s="242"/>
      <c r="NAR3" s="242"/>
      <c r="NAS3" s="242"/>
      <c r="NAT3" s="242"/>
      <c r="NAU3" s="242"/>
      <c r="NAV3" s="242"/>
      <c r="NAW3" s="242"/>
      <c r="NAX3" s="242"/>
      <c r="NAY3" s="242"/>
      <c r="NAZ3" s="242"/>
      <c r="NBA3" s="242"/>
      <c r="NBB3" s="242"/>
      <c r="NBC3" s="242"/>
      <c r="NBD3" s="242"/>
      <c r="NBE3" s="242"/>
      <c r="NBF3" s="242"/>
      <c r="NBG3" s="242"/>
      <c r="NBH3" s="242"/>
      <c r="NBI3" s="242"/>
      <c r="NBJ3" s="242"/>
      <c r="NBK3" s="242"/>
      <c r="NBL3" s="242"/>
      <c r="NBM3" s="242"/>
      <c r="NBN3" s="242"/>
      <c r="NBO3" s="242"/>
      <c r="NBP3" s="242"/>
      <c r="NBQ3" s="242"/>
      <c r="NBR3" s="242"/>
      <c r="NBS3" s="242"/>
      <c r="NBT3" s="242"/>
      <c r="NBU3" s="242"/>
      <c r="NBV3" s="242"/>
      <c r="NBW3" s="242"/>
      <c r="NBX3" s="242"/>
      <c r="NBY3" s="242"/>
      <c r="NBZ3" s="242"/>
      <c r="NCA3" s="242"/>
      <c r="NCB3" s="242"/>
      <c r="NCC3" s="242"/>
      <c r="NCD3" s="242"/>
      <c r="NCE3" s="242"/>
      <c r="NCF3" s="242"/>
      <c r="NCG3" s="242"/>
      <c r="NCH3" s="242"/>
      <c r="NCI3" s="242"/>
      <c r="NCJ3" s="242"/>
      <c r="NCK3" s="242"/>
      <c r="NCL3" s="242"/>
      <c r="NCM3" s="242"/>
      <c r="NCN3" s="242"/>
      <c r="NCO3" s="242"/>
      <c r="NCP3" s="242"/>
      <c r="NCQ3" s="242"/>
      <c r="NCR3" s="242"/>
      <c r="NCS3" s="242"/>
      <c r="NCT3" s="242"/>
      <c r="NCU3" s="242"/>
      <c r="NCV3" s="242"/>
      <c r="NCW3" s="242"/>
      <c r="NCX3" s="242"/>
      <c r="NCY3" s="242"/>
      <c r="NCZ3" s="242"/>
      <c r="NDA3" s="242"/>
      <c r="NDB3" s="242"/>
      <c r="NDC3" s="242"/>
      <c r="NDD3" s="242"/>
      <c r="NDE3" s="242"/>
      <c r="NDF3" s="242"/>
      <c r="NDG3" s="242"/>
      <c r="NDH3" s="242"/>
      <c r="NDI3" s="242"/>
      <c r="NDJ3" s="242"/>
      <c r="NDK3" s="242"/>
      <c r="NDL3" s="242"/>
      <c r="NDM3" s="242"/>
      <c r="NDN3" s="242"/>
      <c r="NDO3" s="242"/>
      <c r="NDP3" s="242"/>
      <c r="NDQ3" s="242"/>
      <c r="NDR3" s="242"/>
      <c r="NDS3" s="242"/>
      <c r="NDT3" s="242"/>
      <c r="NDU3" s="242"/>
      <c r="NDV3" s="242"/>
      <c r="NDW3" s="242"/>
      <c r="NDX3" s="242"/>
      <c r="NDY3" s="242"/>
      <c r="NDZ3" s="242"/>
      <c r="NEA3" s="242"/>
      <c r="NEB3" s="242"/>
      <c r="NEC3" s="242"/>
      <c r="NED3" s="242"/>
      <c r="NEE3" s="242"/>
      <c r="NEF3" s="242"/>
      <c r="NEG3" s="242"/>
      <c r="NEH3" s="242"/>
      <c r="NEI3" s="242"/>
      <c r="NEJ3" s="242"/>
      <c r="NEK3" s="242"/>
      <c r="NEL3" s="242"/>
      <c r="NEM3" s="242"/>
      <c r="NEN3" s="242"/>
      <c r="NEO3" s="242"/>
      <c r="NEP3" s="242"/>
      <c r="NEQ3" s="242"/>
      <c r="NER3" s="242"/>
      <c r="NES3" s="242"/>
      <c r="NET3" s="242"/>
      <c r="NEU3" s="242"/>
      <c r="NEV3" s="242"/>
      <c r="NEW3" s="242"/>
      <c r="NEX3" s="242"/>
      <c r="NEY3" s="242"/>
      <c r="NEZ3" s="242"/>
      <c r="NFA3" s="242"/>
      <c r="NFB3" s="242"/>
      <c r="NFC3" s="242"/>
      <c r="NFD3" s="242"/>
      <c r="NFE3" s="242"/>
      <c r="NFF3" s="242"/>
      <c r="NFG3" s="242"/>
      <c r="NFH3" s="242"/>
      <c r="NFI3" s="242"/>
      <c r="NFJ3" s="242"/>
      <c r="NFK3" s="242"/>
      <c r="NFL3" s="242"/>
      <c r="NFM3" s="242"/>
      <c r="NFN3" s="242"/>
      <c r="NFO3" s="242"/>
      <c r="NFP3" s="242"/>
      <c r="NFQ3" s="242"/>
      <c r="NFR3" s="242"/>
      <c r="NFS3" s="242"/>
      <c r="NFT3" s="242"/>
      <c r="NFU3" s="242"/>
      <c r="NFV3" s="242"/>
      <c r="NFW3" s="242"/>
      <c r="NFX3" s="242"/>
      <c r="NFY3" s="242"/>
      <c r="NFZ3" s="242"/>
      <c r="NGA3" s="242"/>
      <c r="NGB3" s="242"/>
      <c r="NGC3" s="242"/>
      <c r="NGD3" s="242"/>
      <c r="NGE3" s="242"/>
      <c r="NGF3" s="242"/>
      <c r="NGG3" s="242"/>
      <c r="NGH3" s="242"/>
      <c r="NGI3" s="242"/>
      <c r="NGJ3" s="242"/>
      <c r="NGK3" s="242"/>
      <c r="NGL3" s="242"/>
      <c r="NGM3" s="242"/>
      <c r="NGN3" s="242"/>
      <c r="NGO3" s="242"/>
      <c r="NGP3" s="242"/>
      <c r="NGQ3" s="242"/>
      <c r="NGR3" s="242"/>
      <c r="NGS3" s="242"/>
      <c r="NGT3" s="242"/>
      <c r="NGU3" s="242"/>
      <c r="NGV3" s="242"/>
      <c r="NGW3" s="242"/>
      <c r="NGX3" s="242"/>
      <c r="NGY3" s="242"/>
      <c r="NGZ3" s="242"/>
      <c r="NHA3" s="242"/>
      <c r="NHB3" s="242"/>
      <c r="NHC3" s="242"/>
      <c r="NHD3" s="242"/>
      <c r="NHE3" s="242"/>
      <c r="NHF3" s="242"/>
      <c r="NHG3" s="242"/>
      <c r="NHH3" s="242"/>
      <c r="NHI3" s="242"/>
      <c r="NHJ3" s="242"/>
      <c r="NHK3" s="242"/>
      <c r="NHL3" s="242"/>
      <c r="NHM3" s="242"/>
      <c r="NHN3" s="242"/>
      <c r="NHO3" s="242"/>
      <c r="NHP3" s="242"/>
      <c r="NHQ3" s="242"/>
      <c r="NHR3" s="242"/>
      <c r="NHS3" s="242"/>
      <c r="NHT3" s="242"/>
      <c r="NHU3" s="242"/>
      <c r="NHV3" s="242"/>
      <c r="NHW3" s="242"/>
      <c r="NHX3" s="242"/>
      <c r="NHY3" s="242"/>
      <c r="NHZ3" s="242"/>
      <c r="NIA3" s="242"/>
      <c r="NIB3" s="242"/>
      <c r="NIC3" s="242"/>
      <c r="NID3" s="242"/>
      <c r="NIE3" s="242"/>
      <c r="NIF3" s="242"/>
      <c r="NIG3" s="242"/>
      <c r="NIH3" s="242"/>
      <c r="NII3" s="242"/>
      <c r="NIJ3" s="242"/>
      <c r="NIK3" s="242"/>
      <c r="NIL3" s="242"/>
      <c r="NIM3" s="242"/>
      <c r="NIN3" s="242"/>
      <c r="NIO3" s="242"/>
      <c r="NIP3" s="242"/>
      <c r="NIQ3" s="242"/>
      <c r="NIR3" s="242"/>
      <c r="NIS3" s="242"/>
      <c r="NIT3" s="242"/>
      <c r="NIU3" s="242"/>
      <c r="NIV3" s="242"/>
      <c r="NIW3" s="242"/>
      <c r="NIX3" s="242"/>
      <c r="NIY3" s="242"/>
      <c r="NIZ3" s="242"/>
      <c r="NJA3" s="242"/>
      <c r="NJB3" s="242"/>
      <c r="NJC3" s="242"/>
      <c r="NJD3" s="242"/>
      <c r="NJE3" s="242"/>
      <c r="NJF3" s="242"/>
      <c r="NJG3" s="242"/>
      <c r="NJH3" s="242"/>
      <c r="NJI3" s="242"/>
      <c r="NJJ3" s="242"/>
      <c r="NJK3" s="242"/>
      <c r="NJL3" s="242"/>
      <c r="NJM3" s="242"/>
      <c r="NJN3" s="242"/>
      <c r="NJO3" s="242"/>
      <c r="NJP3" s="242"/>
      <c r="NJQ3" s="242"/>
      <c r="NJR3" s="242"/>
      <c r="NJS3" s="242"/>
      <c r="NJT3" s="242"/>
      <c r="NJU3" s="242"/>
      <c r="NJV3" s="242"/>
      <c r="NJW3" s="242"/>
      <c r="NJX3" s="242"/>
      <c r="NJY3" s="242"/>
      <c r="NJZ3" s="242"/>
      <c r="NKA3" s="242"/>
      <c r="NKB3" s="242"/>
      <c r="NKC3" s="242"/>
      <c r="NKD3" s="242"/>
      <c r="NKE3" s="242"/>
      <c r="NKF3" s="242"/>
      <c r="NKG3" s="242"/>
      <c r="NKH3" s="242"/>
      <c r="NKI3" s="242"/>
      <c r="NKJ3" s="242"/>
      <c r="NKK3" s="242"/>
      <c r="NKL3" s="242"/>
      <c r="NKM3" s="242"/>
      <c r="NKN3" s="242"/>
      <c r="NKO3" s="242"/>
      <c r="NKP3" s="242"/>
      <c r="NKQ3" s="242"/>
      <c r="NKR3" s="242"/>
      <c r="NKS3" s="242"/>
      <c r="NKT3" s="242"/>
      <c r="NKU3" s="242"/>
      <c r="NKV3" s="242"/>
      <c r="NKW3" s="242"/>
      <c r="NKX3" s="242"/>
      <c r="NKY3" s="242"/>
      <c r="NKZ3" s="242"/>
      <c r="NLA3" s="242"/>
      <c r="NLB3" s="242"/>
      <c r="NLC3" s="242"/>
      <c r="NLD3" s="242"/>
      <c r="NLE3" s="242"/>
      <c r="NLF3" s="242"/>
      <c r="NLG3" s="242"/>
      <c r="NLH3" s="242"/>
      <c r="NLI3" s="242"/>
      <c r="NLJ3" s="242"/>
      <c r="NLK3" s="242"/>
      <c r="NLL3" s="242"/>
      <c r="NLM3" s="242"/>
      <c r="NLN3" s="242"/>
      <c r="NLO3" s="242"/>
      <c r="NLP3" s="242"/>
      <c r="NLQ3" s="242"/>
      <c r="NLR3" s="242"/>
      <c r="NLS3" s="242"/>
      <c r="NLT3" s="242"/>
      <c r="NLU3" s="242"/>
      <c r="NLV3" s="242"/>
      <c r="NLW3" s="242"/>
      <c r="NLX3" s="242"/>
      <c r="NLY3" s="242"/>
      <c r="NLZ3" s="242"/>
      <c r="NMA3" s="242"/>
      <c r="NMB3" s="242"/>
      <c r="NMC3" s="242"/>
      <c r="NMD3" s="242"/>
      <c r="NME3" s="242"/>
      <c r="NMF3" s="242"/>
      <c r="NMG3" s="242"/>
      <c r="NMH3" s="242"/>
      <c r="NMI3" s="242"/>
      <c r="NMJ3" s="242"/>
      <c r="NMK3" s="242"/>
      <c r="NML3" s="242"/>
      <c r="NMM3" s="242"/>
      <c r="NMN3" s="242"/>
      <c r="NMO3" s="242"/>
      <c r="NMP3" s="242"/>
      <c r="NMQ3" s="242"/>
      <c r="NMR3" s="242"/>
      <c r="NMS3" s="242"/>
      <c r="NMT3" s="242"/>
      <c r="NMU3" s="242"/>
      <c r="NMV3" s="242"/>
      <c r="NMW3" s="242"/>
      <c r="NMX3" s="242"/>
      <c r="NMY3" s="242"/>
      <c r="NMZ3" s="242"/>
      <c r="NNA3" s="242"/>
      <c r="NNB3" s="242"/>
      <c r="NNC3" s="242"/>
      <c r="NND3" s="242"/>
      <c r="NNE3" s="242"/>
      <c r="NNF3" s="242"/>
      <c r="NNG3" s="242"/>
      <c r="NNH3" s="242"/>
      <c r="NNI3" s="242"/>
      <c r="NNJ3" s="242"/>
      <c r="NNK3" s="242"/>
      <c r="NNL3" s="242"/>
      <c r="NNM3" s="242"/>
      <c r="NNN3" s="242"/>
      <c r="NNO3" s="242"/>
      <c r="NNP3" s="242"/>
      <c r="NNQ3" s="242"/>
      <c r="NNR3" s="242"/>
      <c r="NNS3" s="242"/>
      <c r="NNT3" s="242"/>
      <c r="NNU3" s="242"/>
      <c r="NNV3" s="242"/>
      <c r="NNW3" s="242"/>
      <c r="NNX3" s="242"/>
      <c r="NNY3" s="242"/>
      <c r="NNZ3" s="242"/>
      <c r="NOA3" s="242"/>
      <c r="NOB3" s="242"/>
      <c r="NOC3" s="242"/>
      <c r="NOD3" s="242"/>
      <c r="NOE3" s="242"/>
      <c r="NOF3" s="242"/>
      <c r="NOG3" s="242"/>
      <c r="NOH3" s="242"/>
      <c r="NOI3" s="242"/>
      <c r="NOJ3" s="242"/>
      <c r="NOK3" s="242"/>
      <c r="NOL3" s="242"/>
      <c r="NOM3" s="242"/>
      <c r="NON3" s="242"/>
      <c r="NOO3" s="242"/>
      <c r="NOP3" s="242"/>
      <c r="NOQ3" s="242"/>
      <c r="NOR3" s="242"/>
      <c r="NOS3" s="242"/>
      <c r="NOT3" s="242"/>
      <c r="NOU3" s="242"/>
      <c r="NOV3" s="242"/>
      <c r="NOW3" s="242"/>
      <c r="NOX3" s="242"/>
      <c r="NOY3" s="242"/>
      <c r="NOZ3" s="242"/>
      <c r="NPA3" s="242"/>
      <c r="NPB3" s="242"/>
      <c r="NPC3" s="242"/>
      <c r="NPD3" s="242"/>
      <c r="NPE3" s="242"/>
      <c r="NPF3" s="242"/>
      <c r="NPG3" s="242"/>
      <c r="NPH3" s="242"/>
      <c r="NPI3" s="242"/>
      <c r="NPJ3" s="242"/>
      <c r="NPK3" s="242"/>
      <c r="NPL3" s="242"/>
      <c r="NPM3" s="242"/>
      <c r="NPN3" s="242"/>
      <c r="NPO3" s="242"/>
      <c r="NPP3" s="242"/>
      <c r="NPQ3" s="242"/>
      <c r="NPR3" s="242"/>
      <c r="NPS3" s="242"/>
      <c r="NPT3" s="242"/>
      <c r="NPU3" s="242"/>
      <c r="NPV3" s="242"/>
      <c r="NPW3" s="242"/>
      <c r="NPX3" s="242"/>
      <c r="NPY3" s="242"/>
      <c r="NPZ3" s="242"/>
      <c r="NQA3" s="242"/>
      <c r="NQB3" s="242"/>
      <c r="NQC3" s="242"/>
      <c r="NQD3" s="242"/>
      <c r="NQE3" s="242"/>
      <c r="NQF3" s="242"/>
      <c r="NQG3" s="242"/>
      <c r="NQH3" s="242"/>
      <c r="NQI3" s="242"/>
      <c r="NQJ3" s="242"/>
      <c r="NQK3" s="242"/>
      <c r="NQL3" s="242"/>
      <c r="NQM3" s="242"/>
      <c r="NQN3" s="242"/>
      <c r="NQO3" s="242"/>
      <c r="NQP3" s="242"/>
      <c r="NQQ3" s="242"/>
      <c r="NQR3" s="242"/>
      <c r="NQS3" s="242"/>
      <c r="NQT3" s="242"/>
      <c r="NQU3" s="242"/>
      <c r="NQV3" s="242"/>
      <c r="NQW3" s="242"/>
      <c r="NQX3" s="242"/>
      <c r="NQY3" s="242"/>
      <c r="NQZ3" s="242"/>
      <c r="NRA3" s="242"/>
      <c r="NRB3" s="242"/>
      <c r="NRC3" s="242"/>
      <c r="NRD3" s="242"/>
      <c r="NRE3" s="242"/>
      <c r="NRF3" s="242"/>
      <c r="NRG3" s="242"/>
      <c r="NRH3" s="242"/>
      <c r="NRI3" s="242"/>
      <c r="NRJ3" s="242"/>
      <c r="NRK3" s="242"/>
      <c r="NRL3" s="242"/>
      <c r="NRM3" s="242"/>
      <c r="NRN3" s="242"/>
      <c r="NRO3" s="242"/>
      <c r="NRP3" s="242"/>
      <c r="NRQ3" s="242"/>
      <c r="NRR3" s="242"/>
      <c r="NRS3" s="242"/>
      <c r="NRT3" s="242"/>
      <c r="NRU3" s="242"/>
      <c r="NRV3" s="242"/>
      <c r="NRW3" s="242"/>
      <c r="NRX3" s="242"/>
      <c r="NRY3" s="242"/>
      <c r="NRZ3" s="242"/>
      <c r="NSA3" s="242"/>
      <c r="NSB3" s="242"/>
      <c r="NSC3" s="242"/>
      <c r="NSD3" s="242"/>
      <c r="NSE3" s="242"/>
      <c r="NSF3" s="242"/>
      <c r="NSG3" s="242"/>
      <c r="NSH3" s="242"/>
      <c r="NSI3" s="242"/>
      <c r="NSJ3" s="242"/>
      <c r="NSK3" s="242"/>
      <c r="NSL3" s="242"/>
      <c r="NSM3" s="242"/>
      <c r="NSN3" s="242"/>
      <c r="NSO3" s="242"/>
      <c r="NSP3" s="242"/>
      <c r="NSQ3" s="242"/>
      <c r="NSR3" s="242"/>
      <c r="NSS3" s="242"/>
      <c r="NST3" s="242"/>
      <c r="NSU3" s="242"/>
      <c r="NSV3" s="242"/>
      <c r="NSW3" s="242"/>
      <c r="NSX3" s="242"/>
      <c r="NSY3" s="242"/>
      <c r="NSZ3" s="242"/>
      <c r="NTA3" s="242"/>
      <c r="NTB3" s="242"/>
      <c r="NTC3" s="242"/>
      <c r="NTD3" s="242"/>
      <c r="NTE3" s="242"/>
      <c r="NTF3" s="242"/>
      <c r="NTG3" s="242"/>
      <c r="NTH3" s="242"/>
      <c r="NTI3" s="242"/>
      <c r="NTJ3" s="242"/>
      <c r="NTK3" s="242"/>
      <c r="NTL3" s="242"/>
      <c r="NTM3" s="242"/>
      <c r="NTN3" s="242"/>
      <c r="NTO3" s="242"/>
      <c r="NTP3" s="242"/>
      <c r="NTQ3" s="242"/>
      <c r="NTR3" s="242"/>
      <c r="NTS3" s="242"/>
      <c r="NTT3" s="242"/>
      <c r="NTU3" s="242"/>
      <c r="NTV3" s="242"/>
      <c r="NTW3" s="242"/>
      <c r="NTX3" s="242"/>
      <c r="NTY3" s="242"/>
      <c r="NTZ3" s="242"/>
      <c r="NUA3" s="242"/>
      <c r="NUB3" s="242"/>
      <c r="NUC3" s="242"/>
      <c r="NUD3" s="242"/>
      <c r="NUE3" s="242"/>
      <c r="NUF3" s="242"/>
      <c r="NUG3" s="242"/>
      <c r="NUH3" s="242"/>
      <c r="NUI3" s="242"/>
      <c r="NUJ3" s="242"/>
      <c r="NUK3" s="242"/>
      <c r="NUL3" s="242"/>
      <c r="NUM3" s="242"/>
      <c r="NUN3" s="242"/>
      <c r="NUO3" s="242"/>
      <c r="NUP3" s="242"/>
      <c r="NUQ3" s="242"/>
      <c r="NUR3" s="242"/>
      <c r="NUS3" s="242"/>
      <c r="NUT3" s="242"/>
      <c r="NUU3" s="242"/>
      <c r="NUV3" s="242"/>
      <c r="NUW3" s="242"/>
      <c r="NUX3" s="242"/>
      <c r="NUY3" s="242"/>
      <c r="NUZ3" s="242"/>
      <c r="NVA3" s="242"/>
      <c r="NVB3" s="242"/>
      <c r="NVC3" s="242"/>
      <c r="NVD3" s="242"/>
      <c r="NVE3" s="242"/>
      <c r="NVF3" s="242"/>
      <c r="NVG3" s="242"/>
      <c r="NVH3" s="242"/>
      <c r="NVI3" s="242"/>
      <c r="NVJ3" s="242"/>
      <c r="NVK3" s="242"/>
      <c r="NVL3" s="242"/>
      <c r="NVM3" s="242"/>
      <c r="NVN3" s="242"/>
      <c r="NVO3" s="242"/>
      <c r="NVP3" s="242"/>
      <c r="NVQ3" s="242"/>
      <c r="NVR3" s="242"/>
      <c r="NVS3" s="242"/>
      <c r="NVT3" s="242"/>
      <c r="NVU3" s="242"/>
      <c r="NVV3" s="242"/>
      <c r="NVW3" s="242"/>
      <c r="NVX3" s="242"/>
      <c r="NVY3" s="242"/>
      <c r="NVZ3" s="242"/>
      <c r="NWA3" s="242"/>
      <c r="NWB3" s="242"/>
      <c r="NWC3" s="242"/>
      <c r="NWD3" s="242"/>
      <c r="NWE3" s="242"/>
      <c r="NWF3" s="242"/>
      <c r="NWG3" s="242"/>
      <c r="NWH3" s="242"/>
      <c r="NWI3" s="242"/>
      <c r="NWJ3" s="242"/>
      <c r="NWK3" s="242"/>
      <c r="NWL3" s="242"/>
      <c r="NWM3" s="242"/>
      <c r="NWN3" s="242"/>
      <c r="NWO3" s="242"/>
      <c r="NWP3" s="242"/>
      <c r="NWQ3" s="242"/>
      <c r="NWR3" s="242"/>
      <c r="NWS3" s="242"/>
      <c r="NWT3" s="242"/>
      <c r="NWU3" s="242"/>
      <c r="NWV3" s="242"/>
      <c r="NWW3" s="242"/>
      <c r="NWX3" s="242"/>
      <c r="NWY3" s="242"/>
      <c r="NWZ3" s="242"/>
      <c r="NXA3" s="242"/>
      <c r="NXB3" s="242"/>
      <c r="NXC3" s="242"/>
      <c r="NXD3" s="242"/>
      <c r="NXE3" s="242"/>
      <c r="NXF3" s="242"/>
      <c r="NXG3" s="242"/>
      <c r="NXH3" s="242"/>
      <c r="NXI3" s="242"/>
      <c r="NXJ3" s="242"/>
      <c r="NXK3" s="242"/>
      <c r="NXL3" s="242"/>
      <c r="NXM3" s="242"/>
      <c r="NXN3" s="242"/>
      <c r="NXO3" s="242"/>
      <c r="NXP3" s="242"/>
      <c r="NXQ3" s="242"/>
      <c r="NXR3" s="242"/>
      <c r="NXS3" s="242"/>
      <c r="NXT3" s="242"/>
      <c r="NXU3" s="242"/>
      <c r="NXV3" s="242"/>
      <c r="NXW3" s="242"/>
      <c r="NXX3" s="242"/>
      <c r="NXY3" s="242"/>
      <c r="NXZ3" s="242"/>
      <c r="NYA3" s="242"/>
      <c r="NYB3" s="242"/>
      <c r="NYC3" s="242"/>
      <c r="NYD3" s="242"/>
      <c r="NYE3" s="242"/>
      <c r="NYF3" s="242"/>
      <c r="NYG3" s="242"/>
      <c r="NYH3" s="242"/>
      <c r="NYI3" s="242"/>
      <c r="NYJ3" s="242"/>
      <c r="NYK3" s="242"/>
      <c r="NYL3" s="242"/>
      <c r="NYM3" s="242"/>
      <c r="NYN3" s="242"/>
      <c r="NYO3" s="242"/>
      <c r="NYP3" s="242"/>
      <c r="NYQ3" s="242"/>
      <c r="NYR3" s="242"/>
      <c r="NYS3" s="242"/>
      <c r="NYT3" s="242"/>
      <c r="NYU3" s="242"/>
      <c r="NYV3" s="242"/>
      <c r="NYW3" s="242"/>
      <c r="NYX3" s="242"/>
      <c r="NYY3" s="242"/>
      <c r="NYZ3" s="242"/>
      <c r="NZA3" s="242"/>
      <c r="NZB3" s="242"/>
      <c r="NZC3" s="242"/>
      <c r="NZD3" s="242"/>
      <c r="NZE3" s="242"/>
      <c r="NZF3" s="242"/>
      <c r="NZG3" s="242"/>
      <c r="NZH3" s="242"/>
      <c r="NZI3" s="242"/>
      <c r="NZJ3" s="242"/>
      <c r="NZK3" s="242"/>
      <c r="NZL3" s="242"/>
      <c r="NZM3" s="242"/>
      <c r="NZN3" s="242"/>
      <c r="NZO3" s="242"/>
      <c r="NZP3" s="242"/>
      <c r="NZQ3" s="242"/>
      <c r="NZR3" s="242"/>
      <c r="NZS3" s="242"/>
      <c r="NZT3" s="242"/>
      <c r="NZU3" s="242"/>
      <c r="NZV3" s="242"/>
      <c r="NZW3" s="242"/>
      <c r="NZX3" s="242"/>
      <c r="NZY3" s="242"/>
      <c r="NZZ3" s="242"/>
      <c r="OAA3" s="242"/>
      <c r="OAB3" s="242"/>
      <c r="OAC3" s="242"/>
      <c r="OAD3" s="242"/>
      <c r="OAE3" s="242"/>
      <c r="OAF3" s="242"/>
      <c r="OAG3" s="242"/>
      <c r="OAH3" s="242"/>
      <c r="OAI3" s="242"/>
      <c r="OAJ3" s="242"/>
      <c r="OAK3" s="242"/>
      <c r="OAL3" s="242"/>
      <c r="OAM3" s="242"/>
      <c r="OAN3" s="242"/>
      <c r="OAO3" s="242"/>
      <c r="OAP3" s="242"/>
      <c r="OAQ3" s="242"/>
      <c r="OAR3" s="242"/>
      <c r="OAS3" s="242"/>
      <c r="OAT3" s="242"/>
      <c r="OAU3" s="242"/>
      <c r="OAV3" s="242"/>
      <c r="OAW3" s="242"/>
      <c r="OAX3" s="242"/>
      <c r="OAY3" s="242"/>
      <c r="OAZ3" s="242"/>
      <c r="OBA3" s="242"/>
      <c r="OBB3" s="242"/>
      <c r="OBC3" s="242"/>
      <c r="OBD3" s="242"/>
      <c r="OBE3" s="242"/>
      <c r="OBF3" s="242"/>
      <c r="OBG3" s="242"/>
      <c r="OBH3" s="242"/>
      <c r="OBI3" s="242"/>
      <c r="OBJ3" s="242"/>
      <c r="OBK3" s="242"/>
      <c r="OBL3" s="242"/>
      <c r="OBM3" s="242"/>
      <c r="OBN3" s="242"/>
      <c r="OBO3" s="242"/>
      <c r="OBP3" s="242"/>
      <c r="OBQ3" s="242"/>
      <c r="OBR3" s="242"/>
      <c r="OBS3" s="242"/>
      <c r="OBT3" s="242"/>
      <c r="OBU3" s="242"/>
      <c r="OBV3" s="242"/>
      <c r="OBW3" s="242"/>
      <c r="OBX3" s="242"/>
      <c r="OBY3" s="242"/>
      <c r="OBZ3" s="242"/>
      <c r="OCA3" s="242"/>
      <c r="OCB3" s="242"/>
      <c r="OCC3" s="242"/>
      <c r="OCD3" s="242"/>
      <c r="OCE3" s="242"/>
      <c r="OCF3" s="242"/>
      <c r="OCG3" s="242"/>
      <c r="OCH3" s="242"/>
      <c r="OCI3" s="242"/>
      <c r="OCJ3" s="242"/>
      <c r="OCK3" s="242"/>
      <c r="OCL3" s="242"/>
      <c r="OCM3" s="242"/>
      <c r="OCN3" s="242"/>
      <c r="OCO3" s="242"/>
      <c r="OCP3" s="242"/>
      <c r="OCQ3" s="242"/>
      <c r="OCR3" s="242"/>
      <c r="OCS3" s="242"/>
      <c r="OCT3" s="242"/>
      <c r="OCU3" s="242"/>
      <c r="OCV3" s="242"/>
      <c r="OCW3" s="242"/>
      <c r="OCX3" s="242"/>
      <c r="OCY3" s="242"/>
      <c r="OCZ3" s="242"/>
      <c r="ODA3" s="242"/>
      <c r="ODB3" s="242"/>
      <c r="ODC3" s="242"/>
      <c r="ODD3" s="242"/>
      <c r="ODE3" s="242"/>
      <c r="ODF3" s="242"/>
      <c r="ODG3" s="242"/>
      <c r="ODH3" s="242"/>
      <c r="ODI3" s="242"/>
      <c r="ODJ3" s="242"/>
      <c r="ODK3" s="242"/>
      <c r="ODL3" s="242"/>
      <c r="ODM3" s="242"/>
      <c r="ODN3" s="242"/>
      <c r="ODO3" s="242"/>
      <c r="ODP3" s="242"/>
      <c r="ODQ3" s="242"/>
      <c r="ODR3" s="242"/>
      <c r="ODS3" s="242"/>
      <c r="ODT3" s="242"/>
      <c r="ODU3" s="242"/>
      <c r="ODV3" s="242"/>
      <c r="ODW3" s="242"/>
      <c r="ODX3" s="242"/>
      <c r="ODY3" s="242"/>
      <c r="ODZ3" s="242"/>
      <c r="OEA3" s="242"/>
      <c r="OEB3" s="242"/>
      <c r="OEC3" s="242"/>
      <c r="OED3" s="242"/>
      <c r="OEE3" s="242"/>
      <c r="OEF3" s="242"/>
      <c r="OEG3" s="242"/>
      <c r="OEH3" s="242"/>
      <c r="OEI3" s="242"/>
      <c r="OEJ3" s="242"/>
      <c r="OEK3" s="242"/>
      <c r="OEL3" s="242"/>
      <c r="OEM3" s="242"/>
      <c r="OEN3" s="242"/>
      <c r="OEO3" s="242"/>
      <c r="OEP3" s="242"/>
      <c r="OEQ3" s="242"/>
      <c r="OER3" s="242"/>
      <c r="OES3" s="242"/>
      <c r="OET3" s="242"/>
      <c r="OEU3" s="242"/>
      <c r="OEV3" s="242"/>
      <c r="OEW3" s="242"/>
      <c r="OEX3" s="242"/>
      <c r="OEY3" s="242"/>
      <c r="OEZ3" s="242"/>
      <c r="OFA3" s="242"/>
      <c r="OFB3" s="242"/>
      <c r="OFC3" s="242"/>
      <c r="OFD3" s="242"/>
      <c r="OFE3" s="242"/>
      <c r="OFF3" s="242"/>
      <c r="OFG3" s="242"/>
      <c r="OFH3" s="242"/>
      <c r="OFI3" s="242"/>
      <c r="OFJ3" s="242"/>
      <c r="OFK3" s="242"/>
      <c r="OFL3" s="242"/>
      <c r="OFM3" s="242"/>
      <c r="OFN3" s="242"/>
      <c r="OFO3" s="242"/>
      <c r="OFP3" s="242"/>
      <c r="OFQ3" s="242"/>
      <c r="OFR3" s="242"/>
      <c r="OFS3" s="242"/>
      <c r="OFT3" s="242"/>
      <c r="OFU3" s="242"/>
      <c r="OFV3" s="242"/>
      <c r="OFW3" s="242"/>
      <c r="OFX3" s="242"/>
      <c r="OFY3" s="242"/>
      <c r="OFZ3" s="242"/>
      <c r="OGA3" s="242"/>
      <c r="OGB3" s="242"/>
      <c r="OGC3" s="242"/>
      <c r="OGD3" s="242"/>
      <c r="OGE3" s="242"/>
      <c r="OGF3" s="242"/>
      <c r="OGG3" s="242"/>
      <c r="OGH3" s="242"/>
      <c r="OGI3" s="242"/>
      <c r="OGJ3" s="242"/>
      <c r="OGK3" s="242"/>
      <c r="OGL3" s="242"/>
      <c r="OGM3" s="242"/>
      <c r="OGN3" s="242"/>
      <c r="OGO3" s="242"/>
      <c r="OGP3" s="242"/>
      <c r="OGQ3" s="242"/>
      <c r="OGR3" s="242"/>
      <c r="OGS3" s="242"/>
      <c r="OGT3" s="242"/>
      <c r="OGU3" s="242"/>
      <c r="OGV3" s="242"/>
      <c r="OGW3" s="242"/>
      <c r="OGX3" s="242"/>
      <c r="OGY3" s="242"/>
      <c r="OGZ3" s="242"/>
      <c r="OHA3" s="242"/>
      <c r="OHB3" s="242"/>
      <c r="OHC3" s="242"/>
      <c r="OHD3" s="242"/>
      <c r="OHE3" s="242"/>
      <c r="OHF3" s="242"/>
      <c r="OHG3" s="242"/>
      <c r="OHH3" s="242"/>
      <c r="OHI3" s="242"/>
      <c r="OHJ3" s="242"/>
      <c r="OHK3" s="242"/>
      <c r="OHL3" s="242"/>
      <c r="OHM3" s="242"/>
      <c r="OHN3" s="242"/>
      <c r="OHO3" s="242"/>
      <c r="OHP3" s="242"/>
      <c r="OHQ3" s="242"/>
      <c r="OHR3" s="242"/>
      <c r="OHS3" s="242"/>
      <c r="OHT3" s="242"/>
      <c r="OHU3" s="242"/>
      <c r="OHV3" s="242"/>
      <c r="OHW3" s="242"/>
      <c r="OHX3" s="242"/>
      <c r="OHY3" s="242"/>
      <c r="OHZ3" s="242"/>
      <c r="OIA3" s="242"/>
      <c r="OIB3" s="242"/>
      <c r="OIC3" s="242"/>
      <c r="OID3" s="242"/>
      <c r="OIE3" s="242"/>
      <c r="OIF3" s="242"/>
      <c r="OIG3" s="242"/>
      <c r="OIH3" s="242"/>
      <c r="OII3" s="242"/>
      <c r="OIJ3" s="242"/>
      <c r="OIK3" s="242"/>
      <c r="OIL3" s="242"/>
      <c r="OIM3" s="242"/>
      <c r="OIN3" s="242"/>
      <c r="OIO3" s="242"/>
      <c r="OIP3" s="242"/>
      <c r="OIQ3" s="242"/>
      <c r="OIR3" s="242"/>
      <c r="OIS3" s="242"/>
      <c r="OIT3" s="242"/>
      <c r="OIU3" s="242"/>
      <c r="OIV3" s="242"/>
      <c r="OIW3" s="242"/>
      <c r="OIX3" s="242"/>
      <c r="OIY3" s="242"/>
      <c r="OIZ3" s="242"/>
      <c r="OJA3" s="242"/>
      <c r="OJB3" s="242"/>
      <c r="OJC3" s="242"/>
      <c r="OJD3" s="242"/>
      <c r="OJE3" s="242"/>
      <c r="OJF3" s="242"/>
      <c r="OJG3" s="242"/>
      <c r="OJH3" s="242"/>
      <c r="OJI3" s="242"/>
      <c r="OJJ3" s="242"/>
      <c r="OJK3" s="242"/>
      <c r="OJL3" s="242"/>
      <c r="OJM3" s="242"/>
      <c r="OJN3" s="242"/>
      <c r="OJO3" s="242"/>
      <c r="OJP3" s="242"/>
      <c r="OJQ3" s="242"/>
      <c r="OJR3" s="242"/>
      <c r="OJS3" s="242"/>
      <c r="OJT3" s="242"/>
      <c r="OJU3" s="242"/>
      <c r="OJV3" s="242"/>
      <c r="OJW3" s="242"/>
      <c r="OJX3" s="242"/>
      <c r="OJY3" s="242"/>
      <c r="OJZ3" s="242"/>
      <c r="OKA3" s="242"/>
      <c r="OKB3" s="242"/>
      <c r="OKC3" s="242"/>
      <c r="OKD3" s="242"/>
      <c r="OKE3" s="242"/>
      <c r="OKF3" s="242"/>
      <c r="OKG3" s="242"/>
      <c r="OKH3" s="242"/>
      <c r="OKI3" s="242"/>
      <c r="OKJ3" s="242"/>
      <c r="OKK3" s="242"/>
      <c r="OKL3" s="242"/>
      <c r="OKM3" s="242"/>
      <c r="OKN3" s="242"/>
      <c r="OKO3" s="242"/>
      <c r="OKP3" s="242"/>
      <c r="OKQ3" s="242"/>
      <c r="OKR3" s="242"/>
      <c r="OKS3" s="242"/>
      <c r="OKT3" s="242"/>
      <c r="OKU3" s="242"/>
      <c r="OKV3" s="242"/>
      <c r="OKW3" s="242"/>
      <c r="OKX3" s="242"/>
      <c r="OKY3" s="242"/>
      <c r="OKZ3" s="242"/>
      <c r="OLA3" s="242"/>
      <c r="OLB3" s="242"/>
      <c r="OLC3" s="242"/>
      <c r="OLD3" s="242"/>
      <c r="OLE3" s="242"/>
      <c r="OLF3" s="242"/>
      <c r="OLG3" s="242"/>
      <c r="OLH3" s="242"/>
      <c r="OLI3" s="242"/>
      <c r="OLJ3" s="242"/>
      <c r="OLK3" s="242"/>
      <c r="OLL3" s="242"/>
      <c r="OLM3" s="242"/>
      <c r="OLN3" s="242"/>
      <c r="OLO3" s="242"/>
      <c r="OLP3" s="242"/>
      <c r="OLQ3" s="242"/>
      <c r="OLR3" s="242"/>
      <c r="OLS3" s="242"/>
      <c r="OLT3" s="242"/>
      <c r="OLU3" s="242"/>
      <c r="OLV3" s="242"/>
      <c r="OLW3" s="242"/>
      <c r="OLX3" s="242"/>
      <c r="OLY3" s="242"/>
      <c r="OLZ3" s="242"/>
      <c r="OMA3" s="242"/>
      <c r="OMB3" s="242"/>
      <c r="OMC3" s="242"/>
      <c r="OMD3" s="242"/>
      <c r="OME3" s="242"/>
      <c r="OMF3" s="242"/>
      <c r="OMG3" s="242"/>
      <c r="OMH3" s="242"/>
      <c r="OMI3" s="242"/>
      <c r="OMJ3" s="242"/>
      <c r="OMK3" s="242"/>
      <c r="OML3" s="242"/>
      <c r="OMM3" s="242"/>
      <c r="OMN3" s="242"/>
      <c r="OMO3" s="242"/>
      <c r="OMP3" s="242"/>
      <c r="OMQ3" s="242"/>
      <c r="OMR3" s="242"/>
      <c r="OMS3" s="242"/>
      <c r="OMT3" s="242"/>
      <c r="OMU3" s="242"/>
      <c r="OMV3" s="242"/>
      <c r="OMW3" s="242"/>
      <c r="OMX3" s="242"/>
      <c r="OMY3" s="242"/>
      <c r="OMZ3" s="242"/>
      <c r="ONA3" s="242"/>
      <c r="ONB3" s="242"/>
      <c r="ONC3" s="242"/>
      <c r="OND3" s="242"/>
      <c r="ONE3" s="242"/>
      <c r="ONF3" s="242"/>
      <c r="ONG3" s="242"/>
      <c r="ONH3" s="242"/>
      <c r="ONI3" s="242"/>
      <c r="ONJ3" s="242"/>
      <c r="ONK3" s="242"/>
      <c r="ONL3" s="242"/>
      <c r="ONM3" s="242"/>
      <c r="ONN3" s="242"/>
      <c r="ONO3" s="242"/>
      <c r="ONP3" s="242"/>
      <c r="ONQ3" s="242"/>
      <c r="ONR3" s="242"/>
      <c r="ONS3" s="242"/>
      <c r="ONT3" s="242"/>
      <c r="ONU3" s="242"/>
      <c r="ONV3" s="242"/>
      <c r="ONW3" s="242"/>
      <c r="ONX3" s="242"/>
      <c r="ONY3" s="242"/>
      <c r="ONZ3" s="242"/>
      <c r="OOA3" s="242"/>
      <c r="OOB3" s="242"/>
      <c r="OOC3" s="242"/>
      <c r="OOD3" s="242"/>
      <c r="OOE3" s="242"/>
      <c r="OOF3" s="242"/>
      <c r="OOG3" s="242"/>
      <c r="OOH3" s="242"/>
      <c r="OOI3" s="242"/>
      <c r="OOJ3" s="242"/>
      <c r="OOK3" s="242"/>
      <c r="OOL3" s="242"/>
      <c r="OOM3" s="242"/>
      <c r="OON3" s="242"/>
      <c r="OOO3" s="242"/>
      <c r="OOP3" s="242"/>
      <c r="OOQ3" s="242"/>
      <c r="OOR3" s="242"/>
      <c r="OOS3" s="242"/>
      <c r="OOT3" s="242"/>
      <c r="OOU3" s="242"/>
      <c r="OOV3" s="242"/>
      <c r="OOW3" s="242"/>
      <c r="OOX3" s="242"/>
      <c r="OOY3" s="242"/>
      <c r="OOZ3" s="242"/>
      <c r="OPA3" s="242"/>
      <c r="OPB3" s="242"/>
      <c r="OPC3" s="242"/>
      <c r="OPD3" s="242"/>
      <c r="OPE3" s="242"/>
      <c r="OPF3" s="242"/>
      <c r="OPG3" s="242"/>
      <c r="OPH3" s="242"/>
      <c r="OPI3" s="242"/>
      <c r="OPJ3" s="242"/>
      <c r="OPK3" s="242"/>
      <c r="OPL3" s="242"/>
      <c r="OPM3" s="242"/>
      <c r="OPN3" s="242"/>
      <c r="OPO3" s="242"/>
      <c r="OPP3" s="242"/>
      <c r="OPQ3" s="242"/>
      <c r="OPR3" s="242"/>
      <c r="OPS3" s="242"/>
      <c r="OPT3" s="242"/>
      <c r="OPU3" s="242"/>
      <c r="OPV3" s="242"/>
      <c r="OPW3" s="242"/>
      <c r="OPX3" s="242"/>
      <c r="OPY3" s="242"/>
      <c r="OPZ3" s="242"/>
      <c r="OQA3" s="242"/>
      <c r="OQB3" s="242"/>
      <c r="OQC3" s="242"/>
      <c r="OQD3" s="242"/>
      <c r="OQE3" s="242"/>
      <c r="OQF3" s="242"/>
      <c r="OQG3" s="242"/>
      <c r="OQH3" s="242"/>
      <c r="OQI3" s="242"/>
      <c r="OQJ3" s="242"/>
      <c r="OQK3" s="242"/>
      <c r="OQL3" s="242"/>
      <c r="OQM3" s="242"/>
      <c r="OQN3" s="242"/>
      <c r="OQO3" s="242"/>
      <c r="OQP3" s="242"/>
      <c r="OQQ3" s="242"/>
      <c r="OQR3" s="242"/>
      <c r="OQS3" s="242"/>
      <c r="OQT3" s="242"/>
      <c r="OQU3" s="242"/>
      <c r="OQV3" s="242"/>
      <c r="OQW3" s="242"/>
      <c r="OQX3" s="242"/>
      <c r="OQY3" s="242"/>
      <c r="OQZ3" s="242"/>
      <c r="ORA3" s="242"/>
      <c r="ORB3" s="242"/>
      <c r="ORC3" s="242"/>
      <c r="ORD3" s="242"/>
      <c r="ORE3" s="242"/>
      <c r="ORF3" s="242"/>
      <c r="ORG3" s="242"/>
      <c r="ORH3" s="242"/>
      <c r="ORI3" s="242"/>
      <c r="ORJ3" s="242"/>
      <c r="ORK3" s="242"/>
      <c r="ORL3" s="242"/>
      <c r="ORM3" s="242"/>
      <c r="ORN3" s="242"/>
      <c r="ORO3" s="242"/>
      <c r="ORP3" s="242"/>
      <c r="ORQ3" s="242"/>
      <c r="ORR3" s="242"/>
      <c r="ORS3" s="242"/>
      <c r="ORT3" s="242"/>
      <c r="ORU3" s="242"/>
      <c r="ORV3" s="242"/>
      <c r="ORW3" s="242"/>
      <c r="ORX3" s="242"/>
      <c r="ORY3" s="242"/>
      <c r="ORZ3" s="242"/>
      <c r="OSA3" s="242"/>
      <c r="OSB3" s="242"/>
      <c r="OSC3" s="242"/>
      <c r="OSD3" s="242"/>
      <c r="OSE3" s="242"/>
      <c r="OSF3" s="242"/>
      <c r="OSG3" s="242"/>
      <c r="OSH3" s="242"/>
      <c r="OSI3" s="242"/>
      <c r="OSJ3" s="242"/>
      <c r="OSK3" s="242"/>
      <c r="OSL3" s="242"/>
      <c r="OSM3" s="242"/>
      <c r="OSN3" s="242"/>
      <c r="OSO3" s="242"/>
      <c r="OSP3" s="242"/>
      <c r="OSQ3" s="242"/>
      <c r="OSR3" s="242"/>
      <c r="OSS3" s="242"/>
      <c r="OST3" s="242"/>
      <c r="OSU3" s="242"/>
      <c r="OSV3" s="242"/>
      <c r="OSW3" s="242"/>
      <c r="OSX3" s="242"/>
      <c r="OSY3" s="242"/>
      <c r="OSZ3" s="242"/>
      <c r="OTA3" s="242"/>
      <c r="OTB3" s="242"/>
      <c r="OTC3" s="242"/>
      <c r="OTD3" s="242"/>
      <c r="OTE3" s="242"/>
      <c r="OTF3" s="242"/>
      <c r="OTG3" s="242"/>
      <c r="OTH3" s="242"/>
      <c r="OTI3" s="242"/>
      <c r="OTJ3" s="242"/>
      <c r="OTK3" s="242"/>
      <c r="OTL3" s="242"/>
      <c r="OTM3" s="242"/>
      <c r="OTN3" s="242"/>
      <c r="OTO3" s="242"/>
      <c r="OTP3" s="242"/>
      <c r="OTQ3" s="242"/>
      <c r="OTR3" s="242"/>
      <c r="OTS3" s="242"/>
      <c r="OTT3" s="242"/>
      <c r="OTU3" s="242"/>
      <c r="OTV3" s="242"/>
      <c r="OTW3" s="242"/>
      <c r="OTX3" s="242"/>
      <c r="OTY3" s="242"/>
      <c r="OTZ3" s="242"/>
      <c r="OUA3" s="242"/>
      <c r="OUB3" s="242"/>
      <c r="OUC3" s="242"/>
      <c r="OUD3" s="242"/>
      <c r="OUE3" s="242"/>
      <c r="OUF3" s="242"/>
      <c r="OUG3" s="242"/>
      <c r="OUH3" s="242"/>
      <c r="OUI3" s="242"/>
      <c r="OUJ3" s="242"/>
      <c r="OUK3" s="242"/>
      <c r="OUL3" s="242"/>
      <c r="OUM3" s="242"/>
      <c r="OUN3" s="242"/>
      <c r="OUO3" s="242"/>
      <c r="OUP3" s="242"/>
      <c r="OUQ3" s="242"/>
      <c r="OUR3" s="242"/>
      <c r="OUS3" s="242"/>
      <c r="OUT3" s="242"/>
      <c r="OUU3" s="242"/>
      <c r="OUV3" s="242"/>
      <c r="OUW3" s="242"/>
      <c r="OUX3" s="242"/>
      <c r="OUY3" s="242"/>
      <c r="OUZ3" s="242"/>
      <c r="OVA3" s="242"/>
      <c r="OVB3" s="242"/>
      <c r="OVC3" s="242"/>
      <c r="OVD3" s="242"/>
      <c r="OVE3" s="242"/>
      <c r="OVF3" s="242"/>
      <c r="OVG3" s="242"/>
      <c r="OVH3" s="242"/>
      <c r="OVI3" s="242"/>
      <c r="OVJ3" s="242"/>
      <c r="OVK3" s="242"/>
      <c r="OVL3" s="242"/>
      <c r="OVM3" s="242"/>
      <c r="OVN3" s="242"/>
      <c r="OVO3" s="242"/>
      <c r="OVP3" s="242"/>
      <c r="OVQ3" s="242"/>
      <c r="OVR3" s="242"/>
      <c r="OVS3" s="242"/>
      <c r="OVT3" s="242"/>
      <c r="OVU3" s="242"/>
      <c r="OVV3" s="242"/>
      <c r="OVW3" s="242"/>
      <c r="OVX3" s="242"/>
      <c r="OVY3" s="242"/>
      <c r="OVZ3" s="242"/>
      <c r="OWA3" s="242"/>
      <c r="OWB3" s="242"/>
      <c r="OWC3" s="242"/>
      <c r="OWD3" s="242"/>
      <c r="OWE3" s="242"/>
      <c r="OWF3" s="242"/>
      <c r="OWG3" s="242"/>
      <c r="OWH3" s="242"/>
      <c r="OWI3" s="242"/>
      <c r="OWJ3" s="242"/>
      <c r="OWK3" s="242"/>
      <c r="OWL3" s="242"/>
      <c r="OWM3" s="242"/>
      <c r="OWN3" s="242"/>
      <c r="OWO3" s="242"/>
      <c r="OWP3" s="242"/>
      <c r="OWQ3" s="242"/>
      <c r="OWR3" s="242"/>
      <c r="OWS3" s="242"/>
      <c r="OWT3" s="242"/>
      <c r="OWU3" s="242"/>
      <c r="OWV3" s="242"/>
      <c r="OWW3" s="242"/>
      <c r="OWX3" s="242"/>
      <c r="OWY3" s="242"/>
      <c r="OWZ3" s="242"/>
      <c r="OXA3" s="242"/>
      <c r="OXB3" s="242"/>
      <c r="OXC3" s="242"/>
      <c r="OXD3" s="242"/>
      <c r="OXE3" s="242"/>
      <c r="OXF3" s="242"/>
      <c r="OXG3" s="242"/>
      <c r="OXH3" s="242"/>
      <c r="OXI3" s="242"/>
      <c r="OXJ3" s="242"/>
      <c r="OXK3" s="242"/>
      <c r="OXL3" s="242"/>
      <c r="OXM3" s="242"/>
      <c r="OXN3" s="242"/>
      <c r="OXO3" s="242"/>
      <c r="OXP3" s="242"/>
      <c r="OXQ3" s="242"/>
      <c r="OXR3" s="242"/>
      <c r="OXS3" s="242"/>
      <c r="OXT3" s="242"/>
      <c r="OXU3" s="242"/>
      <c r="OXV3" s="242"/>
      <c r="OXW3" s="242"/>
      <c r="OXX3" s="242"/>
      <c r="OXY3" s="242"/>
      <c r="OXZ3" s="242"/>
      <c r="OYA3" s="242"/>
      <c r="OYB3" s="242"/>
      <c r="OYC3" s="242"/>
      <c r="OYD3" s="242"/>
      <c r="OYE3" s="242"/>
      <c r="OYF3" s="242"/>
      <c r="OYG3" s="242"/>
      <c r="OYH3" s="242"/>
      <c r="OYI3" s="242"/>
      <c r="OYJ3" s="242"/>
      <c r="OYK3" s="242"/>
      <c r="OYL3" s="242"/>
      <c r="OYM3" s="242"/>
      <c r="OYN3" s="242"/>
      <c r="OYO3" s="242"/>
      <c r="OYP3" s="242"/>
      <c r="OYQ3" s="242"/>
      <c r="OYR3" s="242"/>
      <c r="OYS3" s="242"/>
      <c r="OYT3" s="242"/>
      <c r="OYU3" s="242"/>
      <c r="OYV3" s="242"/>
      <c r="OYW3" s="242"/>
      <c r="OYX3" s="242"/>
      <c r="OYY3" s="242"/>
      <c r="OYZ3" s="242"/>
      <c r="OZA3" s="242"/>
      <c r="OZB3" s="242"/>
      <c r="OZC3" s="242"/>
      <c r="OZD3" s="242"/>
      <c r="OZE3" s="242"/>
      <c r="OZF3" s="242"/>
      <c r="OZG3" s="242"/>
      <c r="OZH3" s="242"/>
      <c r="OZI3" s="242"/>
      <c r="OZJ3" s="242"/>
      <c r="OZK3" s="242"/>
      <c r="OZL3" s="242"/>
      <c r="OZM3" s="242"/>
      <c r="OZN3" s="242"/>
      <c r="OZO3" s="242"/>
      <c r="OZP3" s="242"/>
      <c r="OZQ3" s="242"/>
      <c r="OZR3" s="242"/>
      <c r="OZS3" s="242"/>
      <c r="OZT3" s="242"/>
      <c r="OZU3" s="242"/>
      <c r="OZV3" s="242"/>
      <c r="OZW3" s="242"/>
      <c r="OZX3" s="242"/>
      <c r="OZY3" s="242"/>
      <c r="OZZ3" s="242"/>
      <c r="PAA3" s="242"/>
      <c r="PAB3" s="242"/>
      <c r="PAC3" s="242"/>
      <c r="PAD3" s="242"/>
      <c r="PAE3" s="242"/>
      <c r="PAF3" s="242"/>
      <c r="PAG3" s="242"/>
      <c r="PAH3" s="242"/>
      <c r="PAI3" s="242"/>
      <c r="PAJ3" s="242"/>
      <c r="PAK3" s="242"/>
      <c r="PAL3" s="242"/>
      <c r="PAM3" s="242"/>
      <c r="PAN3" s="242"/>
      <c r="PAO3" s="242"/>
      <c r="PAP3" s="242"/>
      <c r="PAQ3" s="242"/>
      <c r="PAR3" s="242"/>
      <c r="PAS3" s="242"/>
      <c r="PAT3" s="242"/>
      <c r="PAU3" s="242"/>
      <c r="PAV3" s="242"/>
      <c r="PAW3" s="242"/>
      <c r="PAX3" s="242"/>
      <c r="PAY3" s="242"/>
      <c r="PAZ3" s="242"/>
      <c r="PBA3" s="242"/>
      <c r="PBB3" s="242"/>
      <c r="PBC3" s="242"/>
      <c r="PBD3" s="242"/>
      <c r="PBE3" s="242"/>
      <c r="PBF3" s="242"/>
      <c r="PBG3" s="242"/>
      <c r="PBH3" s="242"/>
      <c r="PBI3" s="242"/>
      <c r="PBJ3" s="242"/>
      <c r="PBK3" s="242"/>
      <c r="PBL3" s="242"/>
      <c r="PBM3" s="242"/>
      <c r="PBN3" s="242"/>
      <c r="PBO3" s="242"/>
      <c r="PBP3" s="242"/>
      <c r="PBQ3" s="242"/>
      <c r="PBR3" s="242"/>
      <c r="PBS3" s="242"/>
      <c r="PBT3" s="242"/>
      <c r="PBU3" s="242"/>
      <c r="PBV3" s="242"/>
      <c r="PBW3" s="242"/>
      <c r="PBX3" s="242"/>
      <c r="PBY3" s="242"/>
      <c r="PBZ3" s="242"/>
      <c r="PCA3" s="242"/>
      <c r="PCB3" s="242"/>
      <c r="PCC3" s="242"/>
      <c r="PCD3" s="242"/>
      <c r="PCE3" s="242"/>
      <c r="PCF3" s="242"/>
      <c r="PCG3" s="242"/>
      <c r="PCH3" s="242"/>
      <c r="PCI3" s="242"/>
      <c r="PCJ3" s="242"/>
      <c r="PCK3" s="242"/>
      <c r="PCL3" s="242"/>
      <c r="PCM3" s="242"/>
      <c r="PCN3" s="242"/>
      <c r="PCO3" s="242"/>
      <c r="PCP3" s="242"/>
      <c r="PCQ3" s="242"/>
      <c r="PCR3" s="242"/>
      <c r="PCS3" s="242"/>
      <c r="PCT3" s="242"/>
      <c r="PCU3" s="242"/>
      <c r="PCV3" s="242"/>
      <c r="PCW3" s="242"/>
      <c r="PCX3" s="242"/>
      <c r="PCY3" s="242"/>
      <c r="PCZ3" s="242"/>
      <c r="PDA3" s="242"/>
      <c r="PDB3" s="242"/>
      <c r="PDC3" s="242"/>
      <c r="PDD3" s="242"/>
      <c r="PDE3" s="242"/>
      <c r="PDF3" s="242"/>
      <c r="PDG3" s="242"/>
      <c r="PDH3" s="242"/>
      <c r="PDI3" s="242"/>
      <c r="PDJ3" s="242"/>
      <c r="PDK3" s="242"/>
      <c r="PDL3" s="242"/>
      <c r="PDM3" s="242"/>
      <c r="PDN3" s="242"/>
      <c r="PDO3" s="242"/>
      <c r="PDP3" s="242"/>
      <c r="PDQ3" s="242"/>
      <c r="PDR3" s="242"/>
      <c r="PDS3" s="242"/>
      <c r="PDT3" s="242"/>
      <c r="PDU3" s="242"/>
      <c r="PDV3" s="242"/>
      <c r="PDW3" s="242"/>
      <c r="PDX3" s="242"/>
      <c r="PDY3" s="242"/>
      <c r="PDZ3" s="242"/>
      <c r="PEA3" s="242"/>
      <c r="PEB3" s="242"/>
      <c r="PEC3" s="242"/>
      <c r="PED3" s="242"/>
      <c r="PEE3" s="242"/>
      <c r="PEF3" s="242"/>
      <c r="PEG3" s="242"/>
      <c r="PEH3" s="242"/>
      <c r="PEI3" s="242"/>
      <c r="PEJ3" s="242"/>
      <c r="PEK3" s="242"/>
      <c r="PEL3" s="242"/>
      <c r="PEM3" s="242"/>
      <c r="PEN3" s="242"/>
      <c r="PEO3" s="242"/>
      <c r="PEP3" s="242"/>
      <c r="PEQ3" s="242"/>
      <c r="PER3" s="242"/>
      <c r="PES3" s="242"/>
      <c r="PET3" s="242"/>
      <c r="PEU3" s="242"/>
      <c r="PEV3" s="242"/>
      <c r="PEW3" s="242"/>
      <c r="PEX3" s="242"/>
      <c r="PEY3" s="242"/>
      <c r="PEZ3" s="242"/>
      <c r="PFA3" s="242"/>
      <c r="PFB3" s="242"/>
      <c r="PFC3" s="242"/>
      <c r="PFD3" s="242"/>
      <c r="PFE3" s="242"/>
      <c r="PFF3" s="242"/>
      <c r="PFG3" s="242"/>
      <c r="PFH3" s="242"/>
      <c r="PFI3" s="242"/>
      <c r="PFJ3" s="242"/>
      <c r="PFK3" s="242"/>
      <c r="PFL3" s="242"/>
      <c r="PFM3" s="242"/>
      <c r="PFN3" s="242"/>
      <c r="PFO3" s="242"/>
      <c r="PFP3" s="242"/>
      <c r="PFQ3" s="242"/>
      <c r="PFR3" s="242"/>
      <c r="PFS3" s="242"/>
      <c r="PFT3" s="242"/>
      <c r="PFU3" s="242"/>
      <c r="PFV3" s="242"/>
      <c r="PFW3" s="242"/>
      <c r="PFX3" s="242"/>
      <c r="PFY3" s="242"/>
      <c r="PFZ3" s="242"/>
      <c r="PGA3" s="242"/>
      <c r="PGB3" s="242"/>
      <c r="PGC3" s="242"/>
      <c r="PGD3" s="242"/>
      <c r="PGE3" s="242"/>
      <c r="PGF3" s="242"/>
      <c r="PGG3" s="242"/>
      <c r="PGH3" s="242"/>
      <c r="PGI3" s="242"/>
      <c r="PGJ3" s="242"/>
      <c r="PGK3" s="242"/>
      <c r="PGL3" s="242"/>
      <c r="PGM3" s="242"/>
      <c r="PGN3" s="242"/>
      <c r="PGO3" s="242"/>
      <c r="PGP3" s="242"/>
      <c r="PGQ3" s="242"/>
      <c r="PGR3" s="242"/>
      <c r="PGS3" s="242"/>
      <c r="PGT3" s="242"/>
      <c r="PGU3" s="242"/>
      <c r="PGV3" s="242"/>
      <c r="PGW3" s="242"/>
      <c r="PGX3" s="242"/>
      <c r="PGY3" s="242"/>
      <c r="PGZ3" s="242"/>
      <c r="PHA3" s="242"/>
      <c r="PHB3" s="242"/>
      <c r="PHC3" s="242"/>
      <c r="PHD3" s="242"/>
      <c r="PHE3" s="242"/>
      <c r="PHF3" s="242"/>
      <c r="PHG3" s="242"/>
      <c r="PHH3" s="242"/>
      <c r="PHI3" s="242"/>
      <c r="PHJ3" s="242"/>
      <c r="PHK3" s="242"/>
      <c r="PHL3" s="242"/>
      <c r="PHM3" s="242"/>
      <c r="PHN3" s="242"/>
      <c r="PHO3" s="242"/>
      <c r="PHP3" s="242"/>
      <c r="PHQ3" s="242"/>
      <c r="PHR3" s="242"/>
      <c r="PHS3" s="242"/>
      <c r="PHT3" s="242"/>
      <c r="PHU3" s="242"/>
      <c r="PHV3" s="242"/>
      <c r="PHW3" s="242"/>
      <c r="PHX3" s="242"/>
      <c r="PHY3" s="242"/>
      <c r="PHZ3" s="242"/>
      <c r="PIA3" s="242"/>
      <c r="PIB3" s="242"/>
      <c r="PIC3" s="242"/>
      <c r="PID3" s="242"/>
      <c r="PIE3" s="242"/>
      <c r="PIF3" s="242"/>
      <c r="PIG3" s="242"/>
      <c r="PIH3" s="242"/>
      <c r="PII3" s="242"/>
      <c r="PIJ3" s="242"/>
      <c r="PIK3" s="242"/>
      <c r="PIL3" s="242"/>
      <c r="PIM3" s="242"/>
      <c r="PIN3" s="242"/>
      <c r="PIO3" s="242"/>
      <c r="PIP3" s="242"/>
      <c r="PIQ3" s="242"/>
      <c r="PIR3" s="242"/>
      <c r="PIS3" s="242"/>
      <c r="PIT3" s="242"/>
      <c r="PIU3" s="242"/>
      <c r="PIV3" s="242"/>
      <c r="PIW3" s="242"/>
      <c r="PIX3" s="242"/>
      <c r="PIY3" s="242"/>
      <c r="PIZ3" s="242"/>
      <c r="PJA3" s="242"/>
      <c r="PJB3" s="242"/>
      <c r="PJC3" s="242"/>
      <c r="PJD3" s="242"/>
      <c r="PJE3" s="242"/>
      <c r="PJF3" s="242"/>
      <c r="PJG3" s="242"/>
      <c r="PJH3" s="242"/>
      <c r="PJI3" s="242"/>
      <c r="PJJ3" s="242"/>
      <c r="PJK3" s="242"/>
      <c r="PJL3" s="242"/>
      <c r="PJM3" s="242"/>
      <c r="PJN3" s="242"/>
      <c r="PJO3" s="242"/>
      <c r="PJP3" s="242"/>
      <c r="PJQ3" s="242"/>
      <c r="PJR3" s="242"/>
      <c r="PJS3" s="242"/>
      <c r="PJT3" s="242"/>
      <c r="PJU3" s="242"/>
      <c r="PJV3" s="242"/>
      <c r="PJW3" s="242"/>
      <c r="PJX3" s="242"/>
      <c r="PJY3" s="242"/>
      <c r="PJZ3" s="242"/>
      <c r="PKA3" s="242"/>
      <c r="PKB3" s="242"/>
      <c r="PKC3" s="242"/>
      <c r="PKD3" s="242"/>
      <c r="PKE3" s="242"/>
      <c r="PKF3" s="242"/>
      <c r="PKG3" s="242"/>
      <c r="PKH3" s="242"/>
      <c r="PKI3" s="242"/>
      <c r="PKJ3" s="242"/>
      <c r="PKK3" s="242"/>
      <c r="PKL3" s="242"/>
      <c r="PKM3" s="242"/>
      <c r="PKN3" s="242"/>
      <c r="PKO3" s="242"/>
      <c r="PKP3" s="242"/>
      <c r="PKQ3" s="242"/>
      <c r="PKR3" s="242"/>
      <c r="PKS3" s="242"/>
      <c r="PKT3" s="242"/>
      <c r="PKU3" s="242"/>
      <c r="PKV3" s="242"/>
      <c r="PKW3" s="242"/>
      <c r="PKX3" s="242"/>
      <c r="PKY3" s="242"/>
      <c r="PKZ3" s="242"/>
      <c r="PLA3" s="242"/>
      <c r="PLB3" s="242"/>
      <c r="PLC3" s="242"/>
      <c r="PLD3" s="242"/>
      <c r="PLE3" s="242"/>
      <c r="PLF3" s="242"/>
      <c r="PLG3" s="242"/>
      <c r="PLH3" s="242"/>
      <c r="PLI3" s="242"/>
      <c r="PLJ3" s="242"/>
      <c r="PLK3" s="242"/>
      <c r="PLL3" s="242"/>
      <c r="PLM3" s="242"/>
      <c r="PLN3" s="242"/>
      <c r="PLO3" s="242"/>
      <c r="PLP3" s="242"/>
      <c r="PLQ3" s="242"/>
      <c r="PLR3" s="242"/>
      <c r="PLS3" s="242"/>
      <c r="PLT3" s="242"/>
      <c r="PLU3" s="242"/>
      <c r="PLV3" s="242"/>
      <c r="PLW3" s="242"/>
      <c r="PLX3" s="242"/>
      <c r="PLY3" s="242"/>
      <c r="PLZ3" s="242"/>
      <c r="PMA3" s="242"/>
      <c r="PMB3" s="242"/>
      <c r="PMC3" s="242"/>
      <c r="PMD3" s="242"/>
      <c r="PME3" s="242"/>
      <c r="PMF3" s="242"/>
      <c r="PMG3" s="242"/>
      <c r="PMH3" s="242"/>
      <c r="PMI3" s="242"/>
      <c r="PMJ3" s="242"/>
      <c r="PMK3" s="242"/>
      <c r="PML3" s="242"/>
      <c r="PMM3" s="242"/>
      <c r="PMN3" s="242"/>
      <c r="PMO3" s="242"/>
      <c r="PMP3" s="242"/>
      <c r="PMQ3" s="242"/>
      <c r="PMR3" s="242"/>
      <c r="PMS3" s="242"/>
      <c r="PMT3" s="242"/>
      <c r="PMU3" s="242"/>
      <c r="PMV3" s="242"/>
      <c r="PMW3" s="242"/>
      <c r="PMX3" s="242"/>
      <c r="PMY3" s="242"/>
      <c r="PMZ3" s="242"/>
      <c r="PNA3" s="242"/>
      <c r="PNB3" s="242"/>
      <c r="PNC3" s="242"/>
      <c r="PND3" s="242"/>
      <c r="PNE3" s="242"/>
      <c r="PNF3" s="242"/>
      <c r="PNG3" s="242"/>
      <c r="PNH3" s="242"/>
      <c r="PNI3" s="242"/>
      <c r="PNJ3" s="242"/>
      <c r="PNK3" s="242"/>
      <c r="PNL3" s="242"/>
      <c r="PNM3" s="242"/>
      <c r="PNN3" s="242"/>
      <c r="PNO3" s="242"/>
      <c r="PNP3" s="242"/>
      <c r="PNQ3" s="242"/>
      <c r="PNR3" s="242"/>
      <c r="PNS3" s="242"/>
      <c r="PNT3" s="242"/>
      <c r="PNU3" s="242"/>
      <c r="PNV3" s="242"/>
      <c r="PNW3" s="242"/>
      <c r="PNX3" s="242"/>
      <c r="PNY3" s="242"/>
      <c r="PNZ3" s="242"/>
      <c r="POA3" s="242"/>
      <c r="POB3" s="242"/>
      <c r="POC3" s="242"/>
      <c r="POD3" s="242"/>
      <c r="POE3" s="242"/>
      <c r="POF3" s="242"/>
      <c r="POG3" s="242"/>
      <c r="POH3" s="242"/>
      <c r="POI3" s="242"/>
      <c r="POJ3" s="242"/>
      <c r="POK3" s="242"/>
      <c r="POL3" s="242"/>
      <c r="POM3" s="242"/>
      <c r="PON3" s="242"/>
      <c r="POO3" s="242"/>
      <c r="POP3" s="242"/>
      <c r="POQ3" s="242"/>
      <c r="POR3" s="242"/>
      <c r="POS3" s="242"/>
      <c r="POT3" s="242"/>
      <c r="POU3" s="242"/>
      <c r="POV3" s="242"/>
      <c r="POW3" s="242"/>
      <c r="POX3" s="242"/>
      <c r="POY3" s="242"/>
      <c r="POZ3" s="242"/>
      <c r="PPA3" s="242"/>
      <c r="PPB3" s="242"/>
      <c r="PPC3" s="242"/>
      <c r="PPD3" s="242"/>
      <c r="PPE3" s="242"/>
      <c r="PPF3" s="242"/>
      <c r="PPG3" s="242"/>
      <c r="PPH3" s="242"/>
      <c r="PPI3" s="242"/>
      <c r="PPJ3" s="242"/>
      <c r="PPK3" s="242"/>
      <c r="PPL3" s="242"/>
      <c r="PPM3" s="242"/>
      <c r="PPN3" s="242"/>
      <c r="PPO3" s="242"/>
      <c r="PPP3" s="242"/>
      <c r="PPQ3" s="242"/>
      <c r="PPR3" s="242"/>
      <c r="PPS3" s="242"/>
      <c r="PPT3" s="242"/>
      <c r="PPU3" s="242"/>
      <c r="PPV3" s="242"/>
      <c r="PPW3" s="242"/>
      <c r="PPX3" s="242"/>
      <c r="PPY3" s="242"/>
      <c r="PPZ3" s="242"/>
      <c r="PQA3" s="242"/>
      <c r="PQB3" s="242"/>
      <c r="PQC3" s="242"/>
      <c r="PQD3" s="242"/>
      <c r="PQE3" s="242"/>
      <c r="PQF3" s="242"/>
      <c r="PQG3" s="242"/>
      <c r="PQH3" s="242"/>
      <c r="PQI3" s="242"/>
      <c r="PQJ3" s="242"/>
      <c r="PQK3" s="242"/>
      <c r="PQL3" s="242"/>
      <c r="PQM3" s="242"/>
      <c r="PQN3" s="242"/>
      <c r="PQO3" s="242"/>
      <c r="PQP3" s="242"/>
      <c r="PQQ3" s="242"/>
      <c r="PQR3" s="242"/>
      <c r="PQS3" s="242"/>
      <c r="PQT3" s="242"/>
      <c r="PQU3" s="242"/>
      <c r="PQV3" s="242"/>
      <c r="PQW3" s="242"/>
      <c r="PQX3" s="242"/>
      <c r="PQY3" s="242"/>
      <c r="PQZ3" s="242"/>
      <c r="PRA3" s="242"/>
      <c r="PRB3" s="242"/>
      <c r="PRC3" s="242"/>
      <c r="PRD3" s="242"/>
      <c r="PRE3" s="242"/>
      <c r="PRF3" s="242"/>
      <c r="PRG3" s="242"/>
      <c r="PRH3" s="242"/>
      <c r="PRI3" s="242"/>
      <c r="PRJ3" s="242"/>
      <c r="PRK3" s="242"/>
      <c r="PRL3" s="242"/>
      <c r="PRM3" s="242"/>
      <c r="PRN3" s="242"/>
      <c r="PRO3" s="242"/>
      <c r="PRP3" s="242"/>
      <c r="PRQ3" s="242"/>
      <c r="PRR3" s="242"/>
      <c r="PRS3" s="242"/>
      <c r="PRT3" s="242"/>
      <c r="PRU3" s="242"/>
      <c r="PRV3" s="242"/>
      <c r="PRW3" s="242"/>
      <c r="PRX3" s="242"/>
      <c r="PRY3" s="242"/>
      <c r="PRZ3" s="242"/>
      <c r="PSA3" s="242"/>
      <c r="PSB3" s="242"/>
      <c r="PSC3" s="242"/>
      <c r="PSD3" s="242"/>
      <c r="PSE3" s="242"/>
      <c r="PSF3" s="242"/>
      <c r="PSG3" s="242"/>
      <c r="PSH3" s="242"/>
      <c r="PSI3" s="242"/>
      <c r="PSJ3" s="242"/>
      <c r="PSK3" s="242"/>
      <c r="PSL3" s="242"/>
      <c r="PSM3" s="242"/>
      <c r="PSN3" s="242"/>
      <c r="PSO3" s="242"/>
      <c r="PSP3" s="242"/>
      <c r="PSQ3" s="242"/>
      <c r="PSR3" s="242"/>
      <c r="PSS3" s="242"/>
      <c r="PST3" s="242"/>
      <c r="PSU3" s="242"/>
      <c r="PSV3" s="242"/>
      <c r="PSW3" s="242"/>
      <c r="PSX3" s="242"/>
      <c r="PSY3" s="242"/>
      <c r="PSZ3" s="242"/>
      <c r="PTA3" s="242"/>
      <c r="PTB3" s="242"/>
      <c r="PTC3" s="242"/>
      <c r="PTD3" s="242"/>
      <c r="PTE3" s="242"/>
      <c r="PTF3" s="242"/>
      <c r="PTG3" s="242"/>
      <c r="PTH3" s="242"/>
      <c r="PTI3" s="242"/>
      <c r="PTJ3" s="242"/>
      <c r="PTK3" s="242"/>
      <c r="PTL3" s="242"/>
      <c r="PTM3" s="242"/>
      <c r="PTN3" s="242"/>
      <c r="PTO3" s="242"/>
      <c r="PTP3" s="242"/>
      <c r="PTQ3" s="242"/>
      <c r="PTR3" s="242"/>
      <c r="PTS3" s="242"/>
      <c r="PTT3" s="242"/>
      <c r="PTU3" s="242"/>
      <c r="PTV3" s="242"/>
      <c r="PTW3" s="242"/>
      <c r="PTX3" s="242"/>
      <c r="PTY3" s="242"/>
      <c r="PTZ3" s="242"/>
      <c r="PUA3" s="242"/>
      <c r="PUB3" s="242"/>
      <c r="PUC3" s="242"/>
      <c r="PUD3" s="242"/>
      <c r="PUE3" s="242"/>
      <c r="PUF3" s="242"/>
      <c r="PUG3" s="242"/>
      <c r="PUH3" s="242"/>
      <c r="PUI3" s="242"/>
      <c r="PUJ3" s="242"/>
      <c r="PUK3" s="242"/>
      <c r="PUL3" s="242"/>
      <c r="PUM3" s="242"/>
      <c r="PUN3" s="242"/>
      <c r="PUO3" s="242"/>
      <c r="PUP3" s="242"/>
      <c r="PUQ3" s="242"/>
      <c r="PUR3" s="242"/>
      <c r="PUS3" s="242"/>
      <c r="PUT3" s="242"/>
      <c r="PUU3" s="242"/>
      <c r="PUV3" s="242"/>
      <c r="PUW3" s="242"/>
      <c r="PUX3" s="242"/>
      <c r="PUY3" s="242"/>
      <c r="PUZ3" s="242"/>
      <c r="PVA3" s="242"/>
      <c r="PVB3" s="242"/>
      <c r="PVC3" s="242"/>
      <c r="PVD3" s="242"/>
      <c r="PVE3" s="242"/>
      <c r="PVF3" s="242"/>
      <c r="PVG3" s="242"/>
      <c r="PVH3" s="242"/>
      <c r="PVI3" s="242"/>
      <c r="PVJ3" s="242"/>
      <c r="PVK3" s="242"/>
      <c r="PVL3" s="242"/>
      <c r="PVM3" s="242"/>
      <c r="PVN3" s="242"/>
      <c r="PVO3" s="242"/>
      <c r="PVP3" s="242"/>
      <c r="PVQ3" s="242"/>
      <c r="PVR3" s="242"/>
      <c r="PVS3" s="242"/>
      <c r="PVT3" s="242"/>
      <c r="PVU3" s="242"/>
      <c r="PVV3" s="242"/>
      <c r="PVW3" s="242"/>
      <c r="PVX3" s="242"/>
      <c r="PVY3" s="242"/>
      <c r="PVZ3" s="242"/>
      <c r="PWA3" s="242"/>
      <c r="PWB3" s="242"/>
      <c r="PWC3" s="242"/>
      <c r="PWD3" s="242"/>
      <c r="PWE3" s="242"/>
      <c r="PWF3" s="242"/>
      <c r="PWG3" s="242"/>
      <c r="PWH3" s="242"/>
      <c r="PWI3" s="242"/>
      <c r="PWJ3" s="242"/>
      <c r="PWK3" s="242"/>
      <c r="PWL3" s="242"/>
      <c r="PWM3" s="242"/>
      <c r="PWN3" s="242"/>
      <c r="PWO3" s="242"/>
      <c r="PWP3" s="242"/>
      <c r="PWQ3" s="242"/>
      <c r="PWR3" s="242"/>
      <c r="PWS3" s="242"/>
      <c r="PWT3" s="242"/>
      <c r="PWU3" s="242"/>
      <c r="PWV3" s="242"/>
      <c r="PWW3" s="242"/>
      <c r="PWX3" s="242"/>
      <c r="PWY3" s="242"/>
      <c r="PWZ3" s="242"/>
      <c r="PXA3" s="242"/>
      <c r="PXB3" s="242"/>
      <c r="PXC3" s="242"/>
      <c r="PXD3" s="242"/>
      <c r="PXE3" s="242"/>
      <c r="PXF3" s="242"/>
      <c r="PXG3" s="242"/>
      <c r="PXH3" s="242"/>
      <c r="PXI3" s="242"/>
      <c r="PXJ3" s="242"/>
      <c r="PXK3" s="242"/>
      <c r="PXL3" s="242"/>
      <c r="PXM3" s="242"/>
      <c r="PXN3" s="242"/>
      <c r="PXO3" s="242"/>
      <c r="PXP3" s="242"/>
      <c r="PXQ3" s="242"/>
      <c r="PXR3" s="242"/>
      <c r="PXS3" s="242"/>
      <c r="PXT3" s="242"/>
      <c r="PXU3" s="242"/>
      <c r="PXV3" s="242"/>
      <c r="PXW3" s="242"/>
      <c r="PXX3" s="242"/>
      <c r="PXY3" s="242"/>
      <c r="PXZ3" s="242"/>
      <c r="PYA3" s="242"/>
      <c r="PYB3" s="242"/>
      <c r="PYC3" s="242"/>
      <c r="PYD3" s="242"/>
      <c r="PYE3" s="242"/>
      <c r="PYF3" s="242"/>
      <c r="PYG3" s="242"/>
      <c r="PYH3" s="242"/>
      <c r="PYI3" s="242"/>
      <c r="PYJ3" s="242"/>
      <c r="PYK3" s="242"/>
      <c r="PYL3" s="242"/>
      <c r="PYM3" s="242"/>
      <c r="PYN3" s="242"/>
      <c r="PYO3" s="242"/>
      <c r="PYP3" s="242"/>
      <c r="PYQ3" s="242"/>
      <c r="PYR3" s="242"/>
      <c r="PYS3" s="242"/>
      <c r="PYT3" s="242"/>
      <c r="PYU3" s="242"/>
      <c r="PYV3" s="242"/>
      <c r="PYW3" s="242"/>
      <c r="PYX3" s="242"/>
      <c r="PYY3" s="242"/>
      <c r="PYZ3" s="242"/>
      <c r="PZA3" s="242"/>
      <c r="PZB3" s="242"/>
      <c r="PZC3" s="242"/>
      <c r="PZD3" s="242"/>
      <c r="PZE3" s="242"/>
      <c r="PZF3" s="242"/>
      <c r="PZG3" s="242"/>
      <c r="PZH3" s="242"/>
      <c r="PZI3" s="242"/>
      <c r="PZJ3" s="242"/>
      <c r="PZK3" s="242"/>
      <c r="PZL3" s="242"/>
      <c r="PZM3" s="242"/>
      <c r="PZN3" s="242"/>
      <c r="PZO3" s="242"/>
      <c r="PZP3" s="242"/>
      <c r="PZQ3" s="242"/>
      <c r="PZR3" s="242"/>
      <c r="PZS3" s="242"/>
      <c r="PZT3" s="242"/>
      <c r="PZU3" s="242"/>
      <c r="PZV3" s="242"/>
      <c r="PZW3" s="242"/>
      <c r="PZX3" s="242"/>
      <c r="PZY3" s="242"/>
      <c r="PZZ3" s="242"/>
      <c r="QAA3" s="242"/>
      <c r="QAB3" s="242"/>
      <c r="QAC3" s="242"/>
      <c r="QAD3" s="242"/>
      <c r="QAE3" s="242"/>
      <c r="QAF3" s="242"/>
      <c r="QAG3" s="242"/>
      <c r="QAH3" s="242"/>
      <c r="QAI3" s="242"/>
      <c r="QAJ3" s="242"/>
      <c r="QAK3" s="242"/>
      <c r="QAL3" s="242"/>
      <c r="QAM3" s="242"/>
      <c r="QAN3" s="242"/>
      <c r="QAO3" s="242"/>
      <c r="QAP3" s="242"/>
      <c r="QAQ3" s="242"/>
      <c r="QAR3" s="242"/>
      <c r="QAS3" s="242"/>
      <c r="QAT3" s="242"/>
      <c r="QAU3" s="242"/>
      <c r="QAV3" s="242"/>
      <c r="QAW3" s="242"/>
      <c r="QAX3" s="242"/>
      <c r="QAY3" s="242"/>
      <c r="QAZ3" s="242"/>
      <c r="QBA3" s="242"/>
      <c r="QBB3" s="242"/>
      <c r="QBC3" s="242"/>
      <c r="QBD3" s="242"/>
      <c r="QBE3" s="242"/>
      <c r="QBF3" s="242"/>
      <c r="QBG3" s="242"/>
      <c r="QBH3" s="242"/>
      <c r="QBI3" s="242"/>
      <c r="QBJ3" s="242"/>
      <c r="QBK3" s="242"/>
      <c r="QBL3" s="242"/>
      <c r="QBM3" s="242"/>
      <c r="QBN3" s="242"/>
      <c r="QBO3" s="242"/>
      <c r="QBP3" s="242"/>
      <c r="QBQ3" s="242"/>
      <c r="QBR3" s="242"/>
      <c r="QBS3" s="242"/>
      <c r="QBT3" s="242"/>
      <c r="QBU3" s="242"/>
      <c r="QBV3" s="242"/>
      <c r="QBW3" s="242"/>
      <c r="QBX3" s="242"/>
      <c r="QBY3" s="242"/>
      <c r="QBZ3" s="242"/>
      <c r="QCA3" s="242"/>
      <c r="QCB3" s="242"/>
      <c r="QCC3" s="242"/>
      <c r="QCD3" s="242"/>
      <c r="QCE3" s="242"/>
      <c r="QCF3" s="242"/>
      <c r="QCG3" s="242"/>
      <c r="QCH3" s="242"/>
      <c r="QCI3" s="242"/>
      <c r="QCJ3" s="242"/>
      <c r="QCK3" s="242"/>
      <c r="QCL3" s="242"/>
      <c r="QCM3" s="242"/>
      <c r="QCN3" s="242"/>
      <c r="QCO3" s="242"/>
      <c r="QCP3" s="242"/>
      <c r="QCQ3" s="242"/>
      <c r="QCR3" s="242"/>
      <c r="QCS3" s="242"/>
      <c r="QCT3" s="242"/>
      <c r="QCU3" s="242"/>
      <c r="QCV3" s="242"/>
      <c r="QCW3" s="242"/>
      <c r="QCX3" s="242"/>
      <c r="QCY3" s="242"/>
      <c r="QCZ3" s="242"/>
      <c r="QDA3" s="242"/>
      <c r="QDB3" s="242"/>
      <c r="QDC3" s="242"/>
      <c r="QDD3" s="242"/>
      <c r="QDE3" s="242"/>
      <c r="QDF3" s="242"/>
      <c r="QDG3" s="242"/>
      <c r="QDH3" s="242"/>
      <c r="QDI3" s="242"/>
      <c r="QDJ3" s="242"/>
      <c r="QDK3" s="242"/>
      <c r="QDL3" s="242"/>
      <c r="QDM3" s="242"/>
      <c r="QDN3" s="242"/>
      <c r="QDO3" s="242"/>
      <c r="QDP3" s="242"/>
      <c r="QDQ3" s="242"/>
      <c r="QDR3" s="242"/>
      <c r="QDS3" s="242"/>
      <c r="QDT3" s="242"/>
      <c r="QDU3" s="242"/>
      <c r="QDV3" s="242"/>
      <c r="QDW3" s="242"/>
      <c r="QDX3" s="242"/>
      <c r="QDY3" s="242"/>
      <c r="QDZ3" s="242"/>
      <c r="QEA3" s="242"/>
      <c r="QEB3" s="242"/>
      <c r="QEC3" s="242"/>
      <c r="QED3" s="242"/>
      <c r="QEE3" s="242"/>
      <c r="QEF3" s="242"/>
      <c r="QEG3" s="242"/>
      <c r="QEH3" s="242"/>
      <c r="QEI3" s="242"/>
      <c r="QEJ3" s="242"/>
      <c r="QEK3" s="242"/>
      <c r="QEL3" s="242"/>
      <c r="QEM3" s="242"/>
      <c r="QEN3" s="242"/>
      <c r="QEO3" s="242"/>
      <c r="QEP3" s="242"/>
      <c r="QEQ3" s="242"/>
      <c r="QER3" s="242"/>
      <c r="QES3" s="242"/>
      <c r="QET3" s="242"/>
      <c r="QEU3" s="242"/>
      <c r="QEV3" s="242"/>
      <c r="QEW3" s="242"/>
      <c r="QEX3" s="242"/>
      <c r="QEY3" s="242"/>
      <c r="QEZ3" s="242"/>
      <c r="QFA3" s="242"/>
      <c r="QFB3" s="242"/>
      <c r="QFC3" s="242"/>
      <c r="QFD3" s="242"/>
      <c r="QFE3" s="242"/>
      <c r="QFF3" s="242"/>
      <c r="QFG3" s="242"/>
      <c r="QFH3" s="242"/>
      <c r="QFI3" s="242"/>
      <c r="QFJ3" s="242"/>
      <c r="QFK3" s="242"/>
      <c r="QFL3" s="242"/>
      <c r="QFM3" s="242"/>
      <c r="QFN3" s="242"/>
      <c r="QFO3" s="242"/>
      <c r="QFP3" s="242"/>
      <c r="QFQ3" s="242"/>
      <c r="QFR3" s="242"/>
      <c r="QFS3" s="242"/>
      <c r="QFT3" s="242"/>
      <c r="QFU3" s="242"/>
      <c r="QFV3" s="242"/>
      <c r="QFW3" s="242"/>
      <c r="QFX3" s="242"/>
      <c r="QFY3" s="242"/>
      <c r="QFZ3" s="242"/>
      <c r="QGA3" s="242"/>
      <c r="QGB3" s="242"/>
      <c r="QGC3" s="242"/>
      <c r="QGD3" s="242"/>
      <c r="QGE3" s="242"/>
      <c r="QGF3" s="242"/>
      <c r="QGG3" s="242"/>
      <c r="QGH3" s="242"/>
      <c r="QGI3" s="242"/>
      <c r="QGJ3" s="242"/>
      <c r="QGK3" s="242"/>
      <c r="QGL3" s="242"/>
      <c r="QGM3" s="242"/>
      <c r="QGN3" s="242"/>
      <c r="QGO3" s="242"/>
      <c r="QGP3" s="242"/>
      <c r="QGQ3" s="242"/>
      <c r="QGR3" s="242"/>
      <c r="QGS3" s="242"/>
      <c r="QGT3" s="242"/>
      <c r="QGU3" s="242"/>
      <c r="QGV3" s="242"/>
      <c r="QGW3" s="242"/>
      <c r="QGX3" s="242"/>
      <c r="QGY3" s="242"/>
      <c r="QGZ3" s="242"/>
      <c r="QHA3" s="242"/>
      <c r="QHB3" s="242"/>
      <c r="QHC3" s="242"/>
      <c r="QHD3" s="242"/>
      <c r="QHE3" s="242"/>
      <c r="QHF3" s="242"/>
      <c r="QHG3" s="242"/>
      <c r="QHH3" s="242"/>
      <c r="QHI3" s="242"/>
      <c r="QHJ3" s="242"/>
      <c r="QHK3" s="242"/>
      <c r="QHL3" s="242"/>
      <c r="QHM3" s="242"/>
      <c r="QHN3" s="242"/>
      <c r="QHO3" s="242"/>
      <c r="QHP3" s="242"/>
      <c r="QHQ3" s="242"/>
      <c r="QHR3" s="242"/>
      <c r="QHS3" s="242"/>
      <c r="QHT3" s="242"/>
      <c r="QHU3" s="242"/>
      <c r="QHV3" s="242"/>
      <c r="QHW3" s="242"/>
      <c r="QHX3" s="242"/>
      <c r="QHY3" s="242"/>
      <c r="QHZ3" s="242"/>
      <c r="QIA3" s="242"/>
      <c r="QIB3" s="242"/>
      <c r="QIC3" s="242"/>
      <c r="QID3" s="242"/>
      <c r="QIE3" s="242"/>
      <c r="QIF3" s="242"/>
      <c r="QIG3" s="242"/>
      <c r="QIH3" s="242"/>
      <c r="QII3" s="242"/>
      <c r="QIJ3" s="242"/>
      <c r="QIK3" s="242"/>
      <c r="QIL3" s="242"/>
      <c r="QIM3" s="242"/>
      <c r="QIN3" s="242"/>
      <c r="QIO3" s="242"/>
      <c r="QIP3" s="242"/>
      <c r="QIQ3" s="242"/>
      <c r="QIR3" s="242"/>
      <c r="QIS3" s="242"/>
      <c r="QIT3" s="242"/>
      <c r="QIU3" s="242"/>
      <c r="QIV3" s="242"/>
      <c r="QIW3" s="242"/>
      <c r="QIX3" s="242"/>
      <c r="QIY3" s="242"/>
      <c r="QIZ3" s="242"/>
      <c r="QJA3" s="242"/>
      <c r="QJB3" s="242"/>
      <c r="QJC3" s="242"/>
      <c r="QJD3" s="242"/>
      <c r="QJE3" s="242"/>
      <c r="QJF3" s="242"/>
      <c r="QJG3" s="242"/>
      <c r="QJH3" s="242"/>
      <c r="QJI3" s="242"/>
      <c r="QJJ3" s="242"/>
      <c r="QJK3" s="242"/>
      <c r="QJL3" s="242"/>
      <c r="QJM3" s="242"/>
      <c r="QJN3" s="242"/>
      <c r="QJO3" s="242"/>
      <c r="QJP3" s="242"/>
      <c r="QJQ3" s="242"/>
      <c r="QJR3" s="242"/>
      <c r="QJS3" s="242"/>
      <c r="QJT3" s="242"/>
      <c r="QJU3" s="242"/>
      <c r="QJV3" s="242"/>
      <c r="QJW3" s="242"/>
      <c r="QJX3" s="242"/>
      <c r="QJY3" s="242"/>
      <c r="QJZ3" s="242"/>
      <c r="QKA3" s="242"/>
      <c r="QKB3" s="242"/>
      <c r="QKC3" s="242"/>
      <c r="QKD3" s="242"/>
      <c r="QKE3" s="242"/>
      <c r="QKF3" s="242"/>
      <c r="QKG3" s="242"/>
      <c r="QKH3" s="242"/>
      <c r="QKI3" s="242"/>
      <c r="QKJ3" s="242"/>
      <c r="QKK3" s="242"/>
      <c r="QKL3" s="242"/>
      <c r="QKM3" s="242"/>
      <c r="QKN3" s="242"/>
      <c r="QKO3" s="242"/>
      <c r="QKP3" s="242"/>
      <c r="QKQ3" s="242"/>
      <c r="QKR3" s="242"/>
      <c r="QKS3" s="242"/>
      <c r="QKT3" s="242"/>
      <c r="QKU3" s="242"/>
      <c r="QKV3" s="242"/>
      <c r="QKW3" s="242"/>
      <c r="QKX3" s="242"/>
      <c r="QKY3" s="242"/>
      <c r="QKZ3" s="242"/>
      <c r="QLA3" s="242"/>
      <c r="QLB3" s="242"/>
      <c r="QLC3" s="242"/>
      <c r="QLD3" s="242"/>
      <c r="QLE3" s="242"/>
      <c r="QLF3" s="242"/>
      <c r="QLG3" s="242"/>
      <c r="QLH3" s="242"/>
      <c r="QLI3" s="242"/>
      <c r="QLJ3" s="242"/>
      <c r="QLK3" s="242"/>
      <c r="QLL3" s="242"/>
      <c r="QLM3" s="242"/>
      <c r="QLN3" s="242"/>
      <c r="QLO3" s="242"/>
      <c r="QLP3" s="242"/>
      <c r="QLQ3" s="242"/>
      <c r="QLR3" s="242"/>
      <c r="QLS3" s="242"/>
      <c r="QLT3" s="242"/>
      <c r="QLU3" s="242"/>
      <c r="QLV3" s="242"/>
      <c r="QLW3" s="242"/>
      <c r="QLX3" s="242"/>
      <c r="QLY3" s="242"/>
      <c r="QLZ3" s="242"/>
      <c r="QMA3" s="242"/>
      <c r="QMB3" s="242"/>
      <c r="QMC3" s="242"/>
      <c r="QMD3" s="242"/>
      <c r="QME3" s="242"/>
      <c r="QMF3" s="242"/>
      <c r="QMG3" s="242"/>
      <c r="QMH3" s="242"/>
      <c r="QMI3" s="242"/>
      <c r="QMJ3" s="242"/>
      <c r="QMK3" s="242"/>
      <c r="QML3" s="242"/>
      <c r="QMM3" s="242"/>
      <c r="QMN3" s="242"/>
      <c r="QMO3" s="242"/>
      <c r="QMP3" s="242"/>
      <c r="QMQ3" s="242"/>
      <c r="QMR3" s="242"/>
      <c r="QMS3" s="242"/>
      <c r="QMT3" s="242"/>
      <c r="QMU3" s="242"/>
      <c r="QMV3" s="242"/>
      <c r="QMW3" s="242"/>
      <c r="QMX3" s="242"/>
      <c r="QMY3" s="242"/>
      <c r="QMZ3" s="242"/>
      <c r="QNA3" s="242"/>
      <c r="QNB3" s="242"/>
      <c r="QNC3" s="242"/>
      <c r="QND3" s="242"/>
      <c r="QNE3" s="242"/>
      <c r="QNF3" s="242"/>
      <c r="QNG3" s="242"/>
      <c r="QNH3" s="242"/>
      <c r="QNI3" s="242"/>
      <c r="QNJ3" s="242"/>
      <c r="QNK3" s="242"/>
      <c r="QNL3" s="242"/>
      <c r="QNM3" s="242"/>
      <c r="QNN3" s="242"/>
      <c r="QNO3" s="242"/>
      <c r="QNP3" s="242"/>
      <c r="QNQ3" s="242"/>
      <c r="QNR3" s="242"/>
      <c r="QNS3" s="242"/>
      <c r="QNT3" s="242"/>
      <c r="QNU3" s="242"/>
      <c r="QNV3" s="242"/>
      <c r="QNW3" s="242"/>
      <c r="QNX3" s="242"/>
      <c r="QNY3" s="242"/>
      <c r="QNZ3" s="242"/>
      <c r="QOA3" s="242"/>
      <c r="QOB3" s="242"/>
      <c r="QOC3" s="242"/>
      <c r="QOD3" s="242"/>
      <c r="QOE3" s="242"/>
      <c r="QOF3" s="242"/>
      <c r="QOG3" s="242"/>
      <c r="QOH3" s="242"/>
      <c r="QOI3" s="242"/>
      <c r="QOJ3" s="242"/>
      <c r="QOK3" s="242"/>
      <c r="QOL3" s="242"/>
      <c r="QOM3" s="242"/>
      <c r="QON3" s="242"/>
      <c r="QOO3" s="242"/>
      <c r="QOP3" s="242"/>
      <c r="QOQ3" s="242"/>
      <c r="QOR3" s="242"/>
      <c r="QOS3" s="242"/>
      <c r="QOT3" s="242"/>
      <c r="QOU3" s="242"/>
      <c r="QOV3" s="242"/>
      <c r="QOW3" s="242"/>
      <c r="QOX3" s="242"/>
      <c r="QOY3" s="242"/>
      <c r="QOZ3" s="242"/>
      <c r="QPA3" s="242"/>
      <c r="QPB3" s="242"/>
      <c r="QPC3" s="242"/>
      <c r="QPD3" s="242"/>
      <c r="QPE3" s="242"/>
      <c r="QPF3" s="242"/>
      <c r="QPG3" s="242"/>
      <c r="QPH3" s="242"/>
      <c r="QPI3" s="242"/>
      <c r="QPJ3" s="242"/>
      <c r="QPK3" s="242"/>
      <c r="QPL3" s="242"/>
      <c r="QPM3" s="242"/>
      <c r="QPN3" s="242"/>
      <c r="QPO3" s="242"/>
      <c r="QPP3" s="242"/>
      <c r="QPQ3" s="242"/>
      <c r="QPR3" s="242"/>
      <c r="QPS3" s="242"/>
      <c r="QPT3" s="242"/>
      <c r="QPU3" s="242"/>
      <c r="QPV3" s="242"/>
      <c r="QPW3" s="242"/>
      <c r="QPX3" s="242"/>
      <c r="QPY3" s="242"/>
      <c r="QPZ3" s="242"/>
      <c r="QQA3" s="242"/>
      <c r="QQB3" s="242"/>
      <c r="QQC3" s="242"/>
      <c r="QQD3" s="242"/>
      <c r="QQE3" s="242"/>
      <c r="QQF3" s="242"/>
      <c r="QQG3" s="242"/>
      <c r="QQH3" s="242"/>
      <c r="QQI3" s="242"/>
      <c r="QQJ3" s="242"/>
      <c r="QQK3" s="242"/>
      <c r="QQL3" s="242"/>
      <c r="QQM3" s="242"/>
      <c r="QQN3" s="242"/>
      <c r="QQO3" s="242"/>
      <c r="QQP3" s="242"/>
      <c r="QQQ3" s="242"/>
      <c r="QQR3" s="242"/>
      <c r="QQS3" s="242"/>
      <c r="QQT3" s="242"/>
      <c r="QQU3" s="242"/>
      <c r="QQV3" s="242"/>
      <c r="QQW3" s="242"/>
      <c r="QQX3" s="242"/>
      <c r="QQY3" s="242"/>
      <c r="QQZ3" s="242"/>
      <c r="QRA3" s="242"/>
      <c r="QRB3" s="242"/>
      <c r="QRC3" s="242"/>
      <c r="QRD3" s="242"/>
      <c r="QRE3" s="242"/>
      <c r="QRF3" s="242"/>
      <c r="QRG3" s="242"/>
      <c r="QRH3" s="242"/>
      <c r="QRI3" s="242"/>
      <c r="QRJ3" s="242"/>
      <c r="QRK3" s="242"/>
      <c r="QRL3" s="242"/>
      <c r="QRM3" s="242"/>
      <c r="QRN3" s="242"/>
      <c r="QRO3" s="242"/>
      <c r="QRP3" s="242"/>
      <c r="QRQ3" s="242"/>
      <c r="QRR3" s="242"/>
      <c r="QRS3" s="242"/>
      <c r="QRT3" s="242"/>
      <c r="QRU3" s="242"/>
      <c r="QRV3" s="242"/>
      <c r="QRW3" s="242"/>
      <c r="QRX3" s="242"/>
      <c r="QRY3" s="242"/>
      <c r="QRZ3" s="242"/>
      <c r="QSA3" s="242"/>
      <c r="QSB3" s="242"/>
      <c r="QSC3" s="242"/>
      <c r="QSD3" s="242"/>
      <c r="QSE3" s="242"/>
      <c r="QSF3" s="242"/>
      <c r="QSG3" s="242"/>
      <c r="QSH3" s="242"/>
      <c r="QSI3" s="242"/>
      <c r="QSJ3" s="242"/>
      <c r="QSK3" s="242"/>
      <c r="QSL3" s="242"/>
      <c r="QSM3" s="242"/>
      <c r="QSN3" s="242"/>
      <c r="QSO3" s="242"/>
      <c r="QSP3" s="242"/>
      <c r="QSQ3" s="242"/>
      <c r="QSR3" s="242"/>
      <c r="QSS3" s="242"/>
      <c r="QST3" s="242"/>
      <c r="QSU3" s="242"/>
      <c r="QSV3" s="242"/>
      <c r="QSW3" s="242"/>
      <c r="QSX3" s="242"/>
      <c r="QSY3" s="242"/>
      <c r="QSZ3" s="242"/>
      <c r="QTA3" s="242"/>
      <c r="QTB3" s="242"/>
      <c r="QTC3" s="242"/>
      <c r="QTD3" s="242"/>
      <c r="QTE3" s="242"/>
      <c r="QTF3" s="242"/>
      <c r="QTG3" s="242"/>
      <c r="QTH3" s="242"/>
      <c r="QTI3" s="242"/>
      <c r="QTJ3" s="242"/>
      <c r="QTK3" s="242"/>
      <c r="QTL3" s="242"/>
      <c r="QTM3" s="242"/>
      <c r="QTN3" s="242"/>
      <c r="QTO3" s="242"/>
      <c r="QTP3" s="242"/>
      <c r="QTQ3" s="242"/>
      <c r="QTR3" s="242"/>
      <c r="QTS3" s="242"/>
      <c r="QTT3" s="242"/>
      <c r="QTU3" s="242"/>
      <c r="QTV3" s="242"/>
      <c r="QTW3" s="242"/>
      <c r="QTX3" s="242"/>
      <c r="QTY3" s="242"/>
      <c r="QTZ3" s="242"/>
      <c r="QUA3" s="242"/>
      <c r="QUB3" s="242"/>
      <c r="QUC3" s="242"/>
      <c r="QUD3" s="242"/>
      <c r="QUE3" s="242"/>
      <c r="QUF3" s="242"/>
      <c r="QUG3" s="242"/>
      <c r="QUH3" s="242"/>
      <c r="QUI3" s="242"/>
      <c r="QUJ3" s="242"/>
      <c r="QUK3" s="242"/>
      <c r="QUL3" s="242"/>
      <c r="QUM3" s="242"/>
      <c r="QUN3" s="242"/>
      <c r="QUO3" s="242"/>
      <c r="QUP3" s="242"/>
      <c r="QUQ3" s="242"/>
      <c r="QUR3" s="242"/>
      <c r="QUS3" s="242"/>
      <c r="QUT3" s="242"/>
      <c r="QUU3" s="242"/>
      <c r="QUV3" s="242"/>
      <c r="QUW3" s="242"/>
      <c r="QUX3" s="242"/>
      <c r="QUY3" s="242"/>
      <c r="QUZ3" s="242"/>
      <c r="QVA3" s="242"/>
      <c r="QVB3" s="242"/>
      <c r="QVC3" s="242"/>
      <c r="QVD3" s="242"/>
      <c r="QVE3" s="242"/>
      <c r="QVF3" s="242"/>
      <c r="QVG3" s="242"/>
      <c r="QVH3" s="242"/>
      <c r="QVI3" s="242"/>
      <c r="QVJ3" s="242"/>
      <c r="QVK3" s="242"/>
      <c r="QVL3" s="242"/>
      <c r="QVM3" s="242"/>
      <c r="QVN3" s="242"/>
      <c r="QVO3" s="242"/>
      <c r="QVP3" s="242"/>
      <c r="QVQ3" s="242"/>
      <c r="QVR3" s="242"/>
      <c r="QVS3" s="242"/>
      <c r="QVT3" s="242"/>
      <c r="QVU3" s="242"/>
      <c r="QVV3" s="242"/>
      <c r="QVW3" s="242"/>
      <c r="QVX3" s="242"/>
      <c r="QVY3" s="242"/>
      <c r="QVZ3" s="242"/>
      <c r="QWA3" s="242"/>
      <c r="QWB3" s="242"/>
      <c r="QWC3" s="242"/>
      <c r="QWD3" s="242"/>
      <c r="QWE3" s="242"/>
      <c r="QWF3" s="242"/>
      <c r="QWG3" s="242"/>
      <c r="QWH3" s="242"/>
      <c r="QWI3" s="242"/>
      <c r="QWJ3" s="242"/>
      <c r="QWK3" s="242"/>
      <c r="QWL3" s="242"/>
      <c r="QWM3" s="242"/>
      <c r="QWN3" s="242"/>
      <c r="QWO3" s="242"/>
      <c r="QWP3" s="242"/>
      <c r="QWQ3" s="242"/>
      <c r="QWR3" s="242"/>
      <c r="QWS3" s="242"/>
      <c r="QWT3" s="242"/>
      <c r="QWU3" s="242"/>
      <c r="QWV3" s="242"/>
      <c r="QWW3" s="242"/>
      <c r="QWX3" s="242"/>
      <c r="QWY3" s="242"/>
      <c r="QWZ3" s="242"/>
      <c r="QXA3" s="242"/>
      <c r="QXB3" s="242"/>
      <c r="QXC3" s="242"/>
      <c r="QXD3" s="242"/>
      <c r="QXE3" s="242"/>
      <c r="QXF3" s="242"/>
      <c r="QXG3" s="242"/>
      <c r="QXH3" s="242"/>
      <c r="QXI3" s="242"/>
      <c r="QXJ3" s="242"/>
      <c r="QXK3" s="242"/>
      <c r="QXL3" s="242"/>
      <c r="QXM3" s="242"/>
      <c r="QXN3" s="242"/>
      <c r="QXO3" s="242"/>
      <c r="QXP3" s="242"/>
      <c r="QXQ3" s="242"/>
      <c r="QXR3" s="242"/>
      <c r="QXS3" s="242"/>
      <c r="QXT3" s="242"/>
      <c r="QXU3" s="242"/>
      <c r="QXV3" s="242"/>
      <c r="QXW3" s="242"/>
      <c r="QXX3" s="242"/>
      <c r="QXY3" s="242"/>
      <c r="QXZ3" s="242"/>
      <c r="QYA3" s="242"/>
      <c r="QYB3" s="242"/>
      <c r="QYC3" s="242"/>
      <c r="QYD3" s="242"/>
      <c r="QYE3" s="242"/>
      <c r="QYF3" s="242"/>
      <c r="QYG3" s="242"/>
      <c r="QYH3" s="242"/>
      <c r="QYI3" s="242"/>
      <c r="QYJ3" s="242"/>
      <c r="QYK3" s="242"/>
      <c r="QYL3" s="242"/>
      <c r="QYM3" s="242"/>
      <c r="QYN3" s="242"/>
      <c r="QYO3" s="242"/>
      <c r="QYP3" s="242"/>
      <c r="QYQ3" s="242"/>
      <c r="QYR3" s="242"/>
      <c r="QYS3" s="242"/>
      <c r="QYT3" s="242"/>
      <c r="QYU3" s="242"/>
      <c r="QYV3" s="242"/>
      <c r="QYW3" s="242"/>
      <c r="QYX3" s="242"/>
      <c r="QYY3" s="242"/>
      <c r="QYZ3" s="242"/>
      <c r="QZA3" s="242"/>
      <c r="QZB3" s="242"/>
      <c r="QZC3" s="242"/>
      <c r="QZD3" s="242"/>
      <c r="QZE3" s="242"/>
      <c r="QZF3" s="242"/>
      <c r="QZG3" s="242"/>
      <c r="QZH3" s="242"/>
      <c r="QZI3" s="242"/>
      <c r="QZJ3" s="242"/>
      <c r="QZK3" s="242"/>
      <c r="QZL3" s="242"/>
      <c r="QZM3" s="242"/>
      <c r="QZN3" s="242"/>
      <c r="QZO3" s="242"/>
      <c r="QZP3" s="242"/>
      <c r="QZQ3" s="242"/>
      <c r="QZR3" s="242"/>
      <c r="QZS3" s="242"/>
      <c r="QZT3" s="242"/>
      <c r="QZU3" s="242"/>
      <c r="QZV3" s="242"/>
      <c r="QZW3" s="242"/>
      <c r="QZX3" s="242"/>
      <c r="QZY3" s="242"/>
      <c r="QZZ3" s="242"/>
      <c r="RAA3" s="242"/>
      <c r="RAB3" s="242"/>
      <c r="RAC3" s="242"/>
      <c r="RAD3" s="242"/>
      <c r="RAE3" s="242"/>
      <c r="RAF3" s="242"/>
      <c r="RAG3" s="242"/>
      <c r="RAH3" s="242"/>
      <c r="RAI3" s="242"/>
      <c r="RAJ3" s="242"/>
      <c r="RAK3" s="242"/>
      <c r="RAL3" s="242"/>
      <c r="RAM3" s="242"/>
      <c r="RAN3" s="242"/>
      <c r="RAO3" s="242"/>
      <c r="RAP3" s="242"/>
      <c r="RAQ3" s="242"/>
      <c r="RAR3" s="242"/>
      <c r="RAS3" s="242"/>
      <c r="RAT3" s="242"/>
      <c r="RAU3" s="242"/>
      <c r="RAV3" s="242"/>
      <c r="RAW3" s="242"/>
      <c r="RAX3" s="242"/>
      <c r="RAY3" s="242"/>
      <c r="RAZ3" s="242"/>
      <c r="RBA3" s="242"/>
      <c r="RBB3" s="242"/>
      <c r="RBC3" s="242"/>
      <c r="RBD3" s="242"/>
      <c r="RBE3" s="242"/>
      <c r="RBF3" s="242"/>
      <c r="RBG3" s="242"/>
      <c r="RBH3" s="242"/>
      <c r="RBI3" s="242"/>
      <c r="RBJ3" s="242"/>
      <c r="RBK3" s="242"/>
      <c r="RBL3" s="242"/>
      <c r="RBM3" s="242"/>
      <c r="RBN3" s="242"/>
      <c r="RBO3" s="242"/>
      <c r="RBP3" s="242"/>
      <c r="RBQ3" s="242"/>
      <c r="RBR3" s="242"/>
      <c r="RBS3" s="242"/>
      <c r="RBT3" s="242"/>
      <c r="RBU3" s="242"/>
      <c r="RBV3" s="242"/>
      <c r="RBW3" s="242"/>
      <c r="RBX3" s="242"/>
      <c r="RBY3" s="242"/>
      <c r="RBZ3" s="242"/>
      <c r="RCA3" s="242"/>
      <c r="RCB3" s="242"/>
      <c r="RCC3" s="242"/>
      <c r="RCD3" s="242"/>
      <c r="RCE3" s="242"/>
      <c r="RCF3" s="242"/>
      <c r="RCG3" s="242"/>
      <c r="RCH3" s="242"/>
      <c r="RCI3" s="242"/>
      <c r="RCJ3" s="242"/>
      <c r="RCK3" s="242"/>
      <c r="RCL3" s="242"/>
      <c r="RCM3" s="242"/>
      <c r="RCN3" s="242"/>
      <c r="RCO3" s="242"/>
      <c r="RCP3" s="242"/>
      <c r="RCQ3" s="242"/>
      <c r="RCR3" s="242"/>
      <c r="RCS3" s="242"/>
      <c r="RCT3" s="242"/>
      <c r="RCU3" s="242"/>
      <c r="RCV3" s="242"/>
      <c r="RCW3" s="242"/>
      <c r="RCX3" s="242"/>
      <c r="RCY3" s="242"/>
      <c r="RCZ3" s="242"/>
      <c r="RDA3" s="242"/>
      <c r="RDB3" s="242"/>
      <c r="RDC3" s="242"/>
      <c r="RDD3" s="242"/>
      <c r="RDE3" s="242"/>
      <c r="RDF3" s="242"/>
      <c r="RDG3" s="242"/>
      <c r="RDH3" s="242"/>
      <c r="RDI3" s="242"/>
      <c r="RDJ3" s="242"/>
      <c r="RDK3" s="242"/>
      <c r="RDL3" s="242"/>
      <c r="RDM3" s="242"/>
      <c r="RDN3" s="242"/>
      <c r="RDO3" s="242"/>
      <c r="RDP3" s="242"/>
      <c r="RDQ3" s="242"/>
      <c r="RDR3" s="242"/>
      <c r="RDS3" s="242"/>
      <c r="RDT3" s="242"/>
      <c r="RDU3" s="242"/>
      <c r="RDV3" s="242"/>
      <c r="RDW3" s="242"/>
      <c r="RDX3" s="242"/>
      <c r="RDY3" s="242"/>
      <c r="RDZ3" s="242"/>
      <c r="REA3" s="242"/>
      <c r="REB3" s="242"/>
      <c r="REC3" s="242"/>
      <c r="RED3" s="242"/>
      <c r="REE3" s="242"/>
      <c r="REF3" s="242"/>
      <c r="REG3" s="242"/>
      <c r="REH3" s="242"/>
      <c r="REI3" s="242"/>
      <c r="REJ3" s="242"/>
      <c r="REK3" s="242"/>
      <c r="REL3" s="242"/>
      <c r="REM3" s="242"/>
      <c r="REN3" s="242"/>
      <c r="REO3" s="242"/>
      <c r="REP3" s="242"/>
      <c r="REQ3" s="242"/>
      <c r="RER3" s="242"/>
      <c r="RES3" s="242"/>
      <c r="RET3" s="242"/>
      <c r="REU3" s="242"/>
      <c r="REV3" s="242"/>
      <c r="REW3" s="242"/>
      <c r="REX3" s="242"/>
      <c r="REY3" s="242"/>
      <c r="REZ3" s="242"/>
      <c r="RFA3" s="242"/>
      <c r="RFB3" s="242"/>
      <c r="RFC3" s="242"/>
      <c r="RFD3" s="242"/>
      <c r="RFE3" s="242"/>
      <c r="RFF3" s="242"/>
      <c r="RFG3" s="242"/>
      <c r="RFH3" s="242"/>
      <c r="RFI3" s="242"/>
      <c r="RFJ3" s="242"/>
      <c r="RFK3" s="242"/>
      <c r="RFL3" s="242"/>
      <c r="RFM3" s="242"/>
      <c r="RFN3" s="242"/>
      <c r="RFO3" s="242"/>
      <c r="RFP3" s="242"/>
      <c r="RFQ3" s="242"/>
      <c r="RFR3" s="242"/>
      <c r="RFS3" s="242"/>
      <c r="RFT3" s="242"/>
      <c r="RFU3" s="242"/>
      <c r="RFV3" s="242"/>
      <c r="RFW3" s="242"/>
      <c r="RFX3" s="242"/>
      <c r="RFY3" s="242"/>
      <c r="RFZ3" s="242"/>
      <c r="RGA3" s="242"/>
      <c r="RGB3" s="242"/>
      <c r="RGC3" s="242"/>
      <c r="RGD3" s="242"/>
      <c r="RGE3" s="242"/>
      <c r="RGF3" s="242"/>
      <c r="RGG3" s="242"/>
      <c r="RGH3" s="242"/>
      <c r="RGI3" s="242"/>
      <c r="RGJ3" s="242"/>
      <c r="RGK3" s="242"/>
      <c r="RGL3" s="242"/>
      <c r="RGM3" s="242"/>
      <c r="RGN3" s="242"/>
      <c r="RGO3" s="242"/>
      <c r="RGP3" s="242"/>
      <c r="RGQ3" s="242"/>
      <c r="RGR3" s="242"/>
      <c r="RGS3" s="242"/>
      <c r="RGT3" s="242"/>
      <c r="RGU3" s="242"/>
      <c r="RGV3" s="242"/>
      <c r="RGW3" s="242"/>
      <c r="RGX3" s="242"/>
      <c r="RGY3" s="242"/>
      <c r="RGZ3" s="242"/>
      <c r="RHA3" s="242"/>
      <c r="RHB3" s="242"/>
      <c r="RHC3" s="242"/>
      <c r="RHD3" s="242"/>
      <c r="RHE3" s="242"/>
      <c r="RHF3" s="242"/>
      <c r="RHG3" s="242"/>
      <c r="RHH3" s="242"/>
      <c r="RHI3" s="242"/>
      <c r="RHJ3" s="242"/>
      <c r="RHK3" s="242"/>
      <c r="RHL3" s="242"/>
      <c r="RHM3" s="242"/>
      <c r="RHN3" s="242"/>
      <c r="RHO3" s="242"/>
      <c r="RHP3" s="242"/>
      <c r="RHQ3" s="242"/>
      <c r="RHR3" s="242"/>
      <c r="RHS3" s="242"/>
      <c r="RHT3" s="242"/>
      <c r="RHU3" s="242"/>
      <c r="RHV3" s="242"/>
      <c r="RHW3" s="242"/>
      <c r="RHX3" s="242"/>
      <c r="RHY3" s="242"/>
      <c r="RHZ3" s="242"/>
      <c r="RIA3" s="242"/>
      <c r="RIB3" s="242"/>
      <c r="RIC3" s="242"/>
      <c r="RID3" s="242"/>
      <c r="RIE3" s="242"/>
      <c r="RIF3" s="242"/>
      <c r="RIG3" s="242"/>
      <c r="RIH3" s="242"/>
      <c r="RII3" s="242"/>
      <c r="RIJ3" s="242"/>
      <c r="RIK3" s="242"/>
      <c r="RIL3" s="242"/>
      <c r="RIM3" s="242"/>
      <c r="RIN3" s="242"/>
      <c r="RIO3" s="242"/>
      <c r="RIP3" s="242"/>
      <c r="RIQ3" s="242"/>
      <c r="RIR3" s="242"/>
      <c r="RIS3" s="242"/>
      <c r="RIT3" s="242"/>
      <c r="RIU3" s="242"/>
      <c r="RIV3" s="242"/>
      <c r="RIW3" s="242"/>
      <c r="RIX3" s="242"/>
      <c r="RIY3" s="242"/>
      <c r="RIZ3" s="242"/>
      <c r="RJA3" s="242"/>
      <c r="RJB3" s="242"/>
      <c r="RJC3" s="242"/>
      <c r="RJD3" s="242"/>
      <c r="RJE3" s="242"/>
      <c r="RJF3" s="242"/>
      <c r="RJG3" s="242"/>
      <c r="RJH3" s="242"/>
      <c r="RJI3" s="242"/>
      <c r="RJJ3" s="242"/>
      <c r="RJK3" s="242"/>
      <c r="RJL3" s="242"/>
      <c r="RJM3" s="242"/>
      <c r="RJN3" s="242"/>
      <c r="RJO3" s="242"/>
      <c r="RJP3" s="242"/>
      <c r="RJQ3" s="242"/>
      <c r="RJR3" s="242"/>
      <c r="RJS3" s="242"/>
      <c r="RJT3" s="242"/>
      <c r="RJU3" s="242"/>
      <c r="RJV3" s="242"/>
      <c r="RJW3" s="242"/>
      <c r="RJX3" s="242"/>
      <c r="RJY3" s="242"/>
      <c r="RJZ3" s="242"/>
      <c r="RKA3" s="242"/>
      <c r="RKB3" s="242"/>
      <c r="RKC3" s="242"/>
      <c r="RKD3" s="242"/>
      <c r="RKE3" s="242"/>
      <c r="RKF3" s="242"/>
      <c r="RKG3" s="242"/>
      <c r="RKH3" s="242"/>
      <c r="RKI3" s="242"/>
      <c r="RKJ3" s="242"/>
      <c r="RKK3" s="242"/>
      <c r="RKL3" s="242"/>
      <c r="RKM3" s="242"/>
      <c r="RKN3" s="242"/>
      <c r="RKO3" s="242"/>
      <c r="RKP3" s="242"/>
      <c r="RKQ3" s="242"/>
      <c r="RKR3" s="242"/>
      <c r="RKS3" s="242"/>
      <c r="RKT3" s="242"/>
      <c r="RKU3" s="242"/>
      <c r="RKV3" s="242"/>
      <c r="RKW3" s="242"/>
      <c r="RKX3" s="242"/>
      <c r="RKY3" s="242"/>
      <c r="RKZ3" s="242"/>
      <c r="RLA3" s="242"/>
      <c r="RLB3" s="242"/>
      <c r="RLC3" s="242"/>
      <c r="RLD3" s="242"/>
      <c r="RLE3" s="242"/>
      <c r="RLF3" s="242"/>
      <c r="RLG3" s="242"/>
      <c r="RLH3" s="242"/>
      <c r="RLI3" s="242"/>
      <c r="RLJ3" s="242"/>
      <c r="RLK3" s="242"/>
      <c r="RLL3" s="242"/>
      <c r="RLM3" s="242"/>
      <c r="RLN3" s="242"/>
      <c r="RLO3" s="242"/>
      <c r="RLP3" s="242"/>
      <c r="RLQ3" s="242"/>
      <c r="RLR3" s="242"/>
      <c r="RLS3" s="242"/>
      <c r="RLT3" s="242"/>
      <c r="RLU3" s="242"/>
      <c r="RLV3" s="242"/>
      <c r="RLW3" s="242"/>
      <c r="RLX3" s="242"/>
      <c r="RLY3" s="242"/>
      <c r="RLZ3" s="242"/>
      <c r="RMA3" s="242"/>
      <c r="RMB3" s="242"/>
      <c r="RMC3" s="242"/>
      <c r="RMD3" s="242"/>
      <c r="RME3" s="242"/>
      <c r="RMF3" s="242"/>
      <c r="RMG3" s="242"/>
      <c r="RMH3" s="242"/>
      <c r="RMI3" s="242"/>
      <c r="RMJ3" s="242"/>
      <c r="RMK3" s="242"/>
      <c r="RML3" s="242"/>
      <c r="RMM3" s="242"/>
      <c r="RMN3" s="242"/>
      <c r="RMO3" s="242"/>
      <c r="RMP3" s="242"/>
      <c r="RMQ3" s="242"/>
      <c r="RMR3" s="242"/>
      <c r="RMS3" s="242"/>
      <c r="RMT3" s="242"/>
      <c r="RMU3" s="242"/>
      <c r="RMV3" s="242"/>
      <c r="RMW3" s="242"/>
      <c r="RMX3" s="242"/>
      <c r="RMY3" s="242"/>
      <c r="RMZ3" s="242"/>
      <c r="RNA3" s="242"/>
      <c r="RNB3" s="242"/>
      <c r="RNC3" s="242"/>
      <c r="RND3" s="242"/>
      <c r="RNE3" s="242"/>
      <c r="RNF3" s="242"/>
      <c r="RNG3" s="242"/>
      <c r="RNH3" s="242"/>
      <c r="RNI3" s="242"/>
      <c r="RNJ3" s="242"/>
      <c r="RNK3" s="242"/>
      <c r="RNL3" s="242"/>
      <c r="RNM3" s="242"/>
      <c r="RNN3" s="242"/>
      <c r="RNO3" s="242"/>
      <c r="RNP3" s="242"/>
      <c r="RNQ3" s="242"/>
      <c r="RNR3" s="242"/>
      <c r="RNS3" s="242"/>
      <c r="RNT3" s="242"/>
      <c r="RNU3" s="242"/>
      <c r="RNV3" s="242"/>
      <c r="RNW3" s="242"/>
      <c r="RNX3" s="242"/>
      <c r="RNY3" s="242"/>
      <c r="RNZ3" s="242"/>
      <c r="ROA3" s="242"/>
      <c r="ROB3" s="242"/>
      <c r="ROC3" s="242"/>
      <c r="ROD3" s="242"/>
      <c r="ROE3" s="242"/>
      <c r="ROF3" s="242"/>
      <c r="ROG3" s="242"/>
      <c r="ROH3" s="242"/>
      <c r="ROI3" s="242"/>
      <c r="ROJ3" s="242"/>
      <c r="ROK3" s="242"/>
      <c r="ROL3" s="242"/>
      <c r="ROM3" s="242"/>
      <c r="RON3" s="242"/>
      <c r="ROO3" s="242"/>
      <c r="ROP3" s="242"/>
      <c r="ROQ3" s="242"/>
      <c r="ROR3" s="242"/>
      <c r="ROS3" s="242"/>
      <c r="ROT3" s="242"/>
      <c r="ROU3" s="242"/>
      <c r="ROV3" s="242"/>
      <c r="ROW3" s="242"/>
      <c r="ROX3" s="242"/>
      <c r="ROY3" s="242"/>
      <c r="ROZ3" s="242"/>
      <c r="RPA3" s="242"/>
      <c r="RPB3" s="242"/>
      <c r="RPC3" s="242"/>
      <c r="RPD3" s="242"/>
      <c r="RPE3" s="242"/>
      <c r="RPF3" s="242"/>
      <c r="RPG3" s="242"/>
      <c r="RPH3" s="242"/>
      <c r="RPI3" s="242"/>
      <c r="RPJ3" s="242"/>
      <c r="RPK3" s="242"/>
      <c r="RPL3" s="242"/>
      <c r="RPM3" s="242"/>
      <c r="RPN3" s="242"/>
      <c r="RPO3" s="242"/>
      <c r="RPP3" s="242"/>
      <c r="RPQ3" s="242"/>
      <c r="RPR3" s="242"/>
      <c r="RPS3" s="242"/>
      <c r="RPT3" s="242"/>
      <c r="RPU3" s="242"/>
      <c r="RPV3" s="242"/>
      <c r="RPW3" s="242"/>
      <c r="RPX3" s="242"/>
      <c r="RPY3" s="242"/>
      <c r="RPZ3" s="242"/>
      <c r="RQA3" s="242"/>
      <c r="RQB3" s="242"/>
      <c r="RQC3" s="242"/>
      <c r="RQD3" s="242"/>
      <c r="RQE3" s="242"/>
      <c r="RQF3" s="242"/>
      <c r="RQG3" s="242"/>
      <c r="RQH3" s="242"/>
      <c r="RQI3" s="242"/>
      <c r="RQJ3" s="242"/>
      <c r="RQK3" s="242"/>
      <c r="RQL3" s="242"/>
      <c r="RQM3" s="242"/>
      <c r="RQN3" s="242"/>
      <c r="RQO3" s="242"/>
      <c r="RQP3" s="242"/>
      <c r="RQQ3" s="242"/>
      <c r="RQR3" s="242"/>
      <c r="RQS3" s="242"/>
      <c r="RQT3" s="242"/>
      <c r="RQU3" s="242"/>
      <c r="RQV3" s="242"/>
      <c r="RQW3" s="242"/>
      <c r="RQX3" s="242"/>
      <c r="RQY3" s="242"/>
      <c r="RQZ3" s="242"/>
      <c r="RRA3" s="242"/>
      <c r="RRB3" s="242"/>
      <c r="RRC3" s="242"/>
      <c r="RRD3" s="242"/>
      <c r="RRE3" s="242"/>
      <c r="RRF3" s="242"/>
      <c r="RRG3" s="242"/>
      <c r="RRH3" s="242"/>
      <c r="RRI3" s="242"/>
      <c r="RRJ3" s="242"/>
      <c r="RRK3" s="242"/>
      <c r="RRL3" s="242"/>
      <c r="RRM3" s="242"/>
      <c r="RRN3" s="242"/>
      <c r="RRO3" s="242"/>
      <c r="RRP3" s="242"/>
      <c r="RRQ3" s="242"/>
      <c r="RRR3" s="242"/>
      <c r="RRS3" s="242"/>
      <c r="RRT3" s="242"/>
      <c r="RRU3" s="242"/>
      <c r="RRV3" s="242"/>
      <c r="RRW3" s="242"/>
      <c r="RRX3" s="242"/>
      <c r="RRY3" s="242"/>
      <c r="RRZ3" s="242"/>
      <c r="RSA3" s="242"/>
      <c r="RSB3" s="242"/>
      <c r="RSC3" s="242"/>
      <c r="RSD3" s="242"/>
      <c r="RSE3" s="242"/>
      <c r="RSF3" s="242"/>
      <c r="RSG3" s="242"/>
      <c r="RSH3" s="242"/>
      <c r="RSI3" s="242"/>
      <c r="RSJ3" s="242"/>
      <c r="RSK3" s="242"/>
      <c r="RSL3" s="242"/>
      <c r="RSM3" s="242"/>
      <c r="RSN3" s="242"/>
      <c r="RSO3" s="242"/>
      <c r="RSP3" s="242"/>
      <c r="RSQ3" s="242"/>
      <c r="RSR3" s="242"/>
      <c r="RSS3" s="242"/>
      <c r="RST3" s="242"/>
      <c r="RSU3" s="242"/>
      <c r="RSV3" s="242"/>
      <c r="RSW3" s="242"/>
      <c r="RSX3" s="242"/>
      <c r="RSY3" s="242"/>
      <c r="RSZ3" s="242"/>
      <c r="RTA3" s="242"/>
      <c r="RTB3" s="242"/>
      <c r="RTC3" s="242"/>
      <c r="RTD3" s="242"/>
      <c r="RTE3" s="242"/>
      <c r="RTF3" s="242"/>
      <c r="RTG3" s="242"/>
      <c r="RTH3" s="242"/>
      <c r="RTI3" s="242"/>
      <c r="RTJ3" s="242"/>
      <c r="RTK3" s="242"/>
      <c r="RTL3" s="242"/>
      <c r="RTM3" s="242"/>
      <c r="RTN3" s="242"/>
      <c r="RTO3" s="242"/>
      <c r="RTP3" s="242"/>
      <c r="RTQ3" s="242"/>
      <c r="RTR3" s="242"/>
      <c r="RTS3" s="242"/>
      <c r="RTT3" s="242"/>
      <c r="RTU3" s="242"/>
      <c r="RTV3" s="242"/>
      <c r="RTW3" s="242"/>
      <c r="RTX3" s="242"/>
      <c r="RTY3" s="242"/>
      <c r="RTZ3" s="242"/>
      <c r="RUA3" s="242"/>
      <c r="RUB3" s="242"/>
      <c r="RUC3" s="242"/>
      <c r="RUD3" s="242"/>
      <c r="RUE3" s="242"/>
      <c r="RUF3" s="242"/>
      <c r="RUG3" s="242"/>
      <c r="RUH3" s="242"/>
      <c r="RUI3" s="242"/>
      <c r="RUJ3" s="242"/>
      <c r="RUK3" s="242"/>
      <c r="RUL3" s="242"/>
      <c r="RUM3" s="242"/>
      <c r="RUN3" s="242"/>
      <c r="RUO3" s="242"/>
      <c r="RUP3" s="242"/>
      <c r="RUQ3" s="242"/>
      <c r="RUR3" s="242"/>
      <c r="RUS3" s="242"/>
      <c r="RUT3" s="242"/>
      <c r="RUU3" s="242"/>
      <c r="RUV3" s="242"/>
      <c r="RUW3" s="242"/>
      <c r="RUX3" s="242"/>
      <c r="RUY3" s="242"/>
      <c r="RUZ3" s="242"/>
      <c r="RVA3" s="242"/>
      <c r="RVB3" s="242"/>
      <c r="RVC3" s="242"/>
      <c r="RVD3" s="242"/>
      <c r="RVE3" s="242"/>
      <c r="RVF3" s="242"/>
      <c r="RVG3" s="242"/>
      <c r="RVH3" s="242"/>
      <c r="RVI3" s="242"/>
      <c r="RVJ3" s="242"/>
      <c r="RVK3" s="242"/>
      <c r="RVL3" s="242"/>
      <c r="RVM3" s="242"/>
      <c r="RVN3" s="242"/>
      <c r="RVO3" s="242"/>
      <c r="RVP3" s="242"/>
      <c r="RVQ3" s="242"/>
      <c r="RVR3" s="242"/>
      <c r="RVS3" s="242"/>
      <c r="RVT3" s="242"/>
      <c r="RVU3" s="242"/>
      <c r="RVV3" s="242"/>
      <c r="RVW3" s="242"/>
      <c r="RVX3" s="242"/>
      <c r="RVY3" s="242"/>
      <c r="RVZ3" s="242"/>
      <c r="RWA3" s="242"/>
      <c r="RWB3" s="242"/>
      <c r="RWC3" s="242"/>
      <c r="RWD3" s="242"/>
      <c r="RWE3" s="242"/>
      <c r="RWF3" s="242"/>
      <c r="RWG3" s="242"/>
      <c r="RWH3" s="242"/>
      <c r="RWI3" s="242"/>
      <c r="RWJ3" s="242"/>
      <c r="RWK3" s="242"/>
      <c r="RWL3" s="242"/>
      <c r="RWM3" s="242"/>
      <c r="RWN3" s="242"/>
      <c r="RWO3" s="242"/>
      <c r="RWP3" s="242"/>
      <c r="RWQ3" s="242"/>
      <c r="RWR3" s="242"/>
      <c r="RWS3" s="242"/>
      <c r="RWT3" s="242"/>
      <c r="RWU3" s="242"/>
      <c r="RWV3" s="242"/>
      <c r="RWW3" s="242"/>
      <c r="RWX3" s="242"/>
      <c r="RWY3" s="242"/>
      <c r="RWZ3" s="242"/>
      <c r="RXA3" s="242"/>
      <c r="RXB3" s="242"/>
      <c r="RXC3" s="242"/>
      <c r="RXD3" s="242"/>
      <c r="RXE3" s="242"/>
      <c r="RXF3" s="242"/>
      <c r="RXG3" s="242"/>
      <c r="RXH3" s="242"/>
      <c r="RXI3" s="242"/>
      <c r="RXJ3" s="242"/>
      <c r="RXK3" s="242"/>
      <c r="RXL3" s="242"/>
      <c r="RXM3" s="242"/>
      <c r="RXN3" s="242"/>
      <c r="RXO3" s="242"/>
      <c r="RXP3" s="242"/>
      <c r="RXQ3" s="242"/>
      <c r="RXR3" s="242"/>
      <c r="RXS3" s="242"/>
      <c r="RXT3" s="242"/>
      <c r="RXU3" s="242"/>
      <c r="RXV3" s="242"/>
      <c r="RXW3" s="242"/>
      <c r="RXX3" s="242"/>
      <c r="RXY3" s="242"/>
      <c r="RXZ3" s="242"/>
      <c r="RYA3" s="242"/>
      <c r="RYB3" s="242"/>
      <c r="RYC3" s="242"/>
      <c r="RYD3" s="242"/>
      <c r="RYE3" s="242"/>
      <c r="RYF3" s="242"/>
      <c r="RYG3" s="242"/>
      <c r="RYH3" s="242"/>
      <c r="RYI3" s="242"/>
      <c r="RYJ3" s="242"/>
      <c r="RYK3" s="242"/>
      <c r="RYL3" s="242"/>
      <c r="RYM3" s="242"/>
      <c r="RYN3" s="242"/>
      <c r="RYO3" s="242"/>
      <c r="RYP3" s="242"/>
      <c r="RYQ3" s="242"/>
      <c r="RYR3" s="242"/>
      <c r="RYS3" s="242"/>
      <c r="RYT3" s="242"/>
      <c r="RYU3" s="242"/>
      <c r="RYV3" s="242"/>
      <c r="RYW3" s="242"/>
      <c r="RYX3" s="242"/>
      <c r="RYY3" s="242"/>
      <c r="RYZ3" s="242"/>
      <c r="RZA3" s="242"/>
      <c r="RZB3" s="242"/>
      <c r="RZC3" s="242"/>
      <c r="RZD3" s="242"/>
      <c r="RZE3" s="242"/>
      <c r="RZF3" s="242"/>
      <c r="RZG3" s="242"/>
      <c r="RZH3" s="242"/>
      <c r="RZI3" s="242"/>
      <c r="RZJ3" s="242"/>
      <c r="RZK3" s="242"/>
      <c r="RZL3" s="242"/>
      <c r="RZM3" s="242"/>
      <c r="RZN3" s="242"/>
      <c r="RZO3" s="242"/>
      <c r="RZP3" s="242"/>
      <c r="RZQ3" s="242"/>
      <c r="RZR3" s="242"/>
      <c r="RZS3" s="242"/>
      <c r="RZT3" s="242"/>
      <c r="RZU3" s="242"/>
      <c r="RZV3" s="242"/>
      <c r="RZW3" s="242"/>
      <c r="RZX3" s="242"/>
      <c r="RZY3" s="242"/>
      <c r="RZZ3" s="242"/>
      <c r="SAA3" s="242"/>
      <c r="SAB3" s="242"/>
      <c r="SAC3" s="242"/>
      <c r="SAD3" s="242"/>
      <c r="SAE3" s="242"/>
      <c r="SAF3" s="242"/>
      <c r="SAG3" s="242"/>
      <c r="SAH3" s="242"/>
      <c r="SAI3" s="242"/>
      <c r="SAJ3" s="242"/>
      <c r="SAK3" s="242"/>
      <c r="SAL3" s="242"/>
      <c r="SAM3" s="242"/>
      <c r="SAN3" s="242"/>
      <c r="SAO3" s="242"/>
      <c r="SAP3" s="242"/>
      <c r="SAQ3" s="242"/>
      <c r="SAR3" s="242"/>
      <c r="SAS3" s="242"/>
      <c r="SAT3" s="242"/>
      <c r="SAU3" s="242"/>
      <c r="SAV3" s="242"/>
      <c r="SAW3" s="242"/>
      <c r="SAX3" s="242"/>
      <c r="SAY3" s="242"/>
      <c r="SAZ3" s="242"/>
      <c r="SBA3" s="242"/>
      <c r="SBB3" s="242"/>
      <c r="SBC3" s="242"/>
      <c r="SBD3" s="242"/>
      <c r="SBE3" s="242"/>
      <c r="SBF3" s="242"/>
      <c r="SBG3" s="242"/>
      <c r="SBH3" s="242"/>
      <c r="SBI3" s="242"/>
      <c r="SBJ3" s="242"/>
      <c r="SBK3" s="242"/>
      <c r="SBL3" s="242"/>
      <c r="SBM3" s="242"/>
      <c r="SBN3" s="242"/>
      <c r="SBO3" s="242"/>
      <c r="SBP3" s="242"/>
      <c r="SBQ3" s="242"/>
      <c r="SBR3" s="242"/>
      <c r="SBS3" s="242"/>
      <c r="SBT3" s="242"/>
      <c r="SBU3" s="242"/>
      <c r="SBV3" s="242"/>
      <c r="SBW3" s="242"/>
      <c r="SBX3" s="242"/>
      <c r="SBY3" s="242"/>
      <c r="SBZ3" s="242"/>
      <c r="SCA3" s="242"/>
      <c r="SCB3" s="242"/>
      <c r="SCC3" s="242"/>
      <c r="SCD3" s="242"/>
      <c r="SCE3" s="242"/>
      <c r="SCF3" s="242"/>
      <c r="SCG3" s="242"/>
      <c r="SCH3" s="242"/>
      <c r="SCI3" s="242"/>
      <c r="SCJ3" s="242"/>
      <c r="SCK3" s="242"/>
      <c r="SCL3" s="242"/>
      <c r="SCM3" s="242"/>
      <c r="SCN3" s="242"/>
      <c r="SCO3" s="242"/>
      <c r="SCP3" s="242"/>
      <c r="SCQ3" s="242"/>
      <c r="SCR3" s="242"/>
      <c r="SCS3" s="242"/>
      <c r="SCT3" s="242"/>
      <c r="SCU3" s="242"/>
      <c r="SCV3" s="242"/>
      <c r="SCW3" s="242"/>
      <c r="SCX3" s="242"/>
      <c r="SCY3" s="242"/>
      <c r="SCZ3" s="242"/>
      <c r="SDA3" s="242"/>
      <c r="SDB3" s="242"/>
      <c r="SDC3" s="242"/>
      <c r="SDD3" s="242"/>
      <c r="SDE3" s="242"/>
      <c r="SDF3" s="242"/>
      <c r="SDG3" s="242"/>
      <c r="SDH3" s="242"/>
      <c r="SDI3" s="242"/>
      <c r="SDJ3" s="242"/>
      <c r="SDK3" s="242"/>
      <c r="SDL3" s="242"/>
      <c r="SDM3" s="242"/>
      <c r="SDN3" s="242"/>
      <c r="SDO3" s="242"/>
      <c r="SDP3" s="242"/>
      <c r="SDQ3" s="242"/>
      <c r="SDR3" s="242"/>
      <c r="SDS3" s="242"/>
      <c r="SDT3" s="242"/>
      <c r="SDU3" s="242"/>
      <c r="SDV3" s="242"/>
      <c r="SDW3" s="242"/>
      <c r="SDX3" s="242"/>
      <c r="SDY3" s="242"/>
      <c r="SDZ3" s="242"/>
      <c r="SEA3" s="242"/>
      <c r="SEB3" s="242"/>
      <c r="SEC3" s="242"/>
      <c r="SED3" s="242"/>
      <c r="SEE3" s="242"/>
      <c r="SEF3" s="242"/>
      <c r="SEG3" s="242"/>
      <c r="SEH3" s="242"/>
      <c r="SEI3" s="242"/>
      <c r="SEJ3" s="242"/>
      <c r="SEK3" s="242"/>
      <c r="SEL3" s="242"/>
      <c r="SEM3" s="242"/>
      <c r="SEN3" s="242"/>
      <c r="SEO3" s="242"/>
      <c r="SEP3" s="242"/>
      <c r="SEQ3" s="242"/>
      <c r="SER3" s="242"/>
      <c r="SES3" s="242"/>
      <c r="SET3" s="242"/>
      <c r="SEU3" s="242"/>
      <c r="SEV3" s="242"/>
      <c r="SEW3" s="242"/>
      <c r="SEX3" s="242"/>
      <c r="SEY3" s="242"/>
      <c r="SEZ3" s="242"/>
      <c r="SFA3" s="242"/>
      <c r="SFB3" s="242"/>
      <c r="SFC3" s="242"/>
      <c r="SFD3" s="242"/>
      <c r="SFE3" s="242"/>
      <c r="SFF3" s="242"/>
      <c r="SFG3" s="242"/>
      <c r="SFH3" s="242"/>
      <c r="SFI3" s="242"/>
      <c r="SFJ3" s="242"/>
      <c r="SFK3" s="242"/>
      <c r="SFL3" s="242"/>
      <c r="SFM3" s="242"/>
      <c r="SFN3" s="242"/>
      <c r="SFO3" s="242"/>
      <c r="SFP3" s="242"/>
      <c r="SFQ3" s="242"/>
      <c r="SFR3" s="242"/>
      <c r="SFS3" s="242"/>
      <c r="SFT3" s="242"/>
      <c r="SFU3" s="242"/>
      <c r="SFV3" s="242"/>
      <c r="SFW3" s="242"/>
      <c r="SFX3" s="242"/>
      <c r="SFY3" s="242"/>
      <c r="SFZ3" s="242"/>
      <c r="SGA3" s="242"/>
      <c r="SGB3" s="242"/>
      <c r="SGC3" s="242"/>
      <c r="SGD3" s="242"/>
      <c r="SGE3" s="242"/>
      <c r="SGF3" s="242"/>
      <c r="SGG3" s="242"/>
      <c r="SGH3" s="242"/>
      <c r="SGI3" s="242"/>
      <c r="SGJ3" s="242"/>
      <c r="SGK3" s="242"/>
      <c r="SGL3" s="242"/>
      <c r="SGM3" s="242"/>
      <c r="SGN3" s="242"/>
      <c r="SGO3" s="242"/>
      <c r="SGP3" s="242"/>
      <c r="SGQ3" s="242"/>
      <c r="SGR3" s="242"/>
      <c r="SGS3" s="242"/>
      <c r="SGT3" s="242"/>
      <c r="SGU3" s="242"/>
      <c r="SGV3" s="242"/>
      <c r="SGW3" s="242"/>
      <c r="SGX3" s="242"/>
      <c r="SGY3" s="242"/>
      <c r="SGZ3" s="242"/>
      <c r="SHA3" s="242"/>
      <c r="SHB3" s="242"/>
      <c r="SHC3" s="242"/>
      <c r="SHD3" s="242"/>
      <c r="SHE3" s="242"/>
      <c r="SHF3" s="242"/>
      <c r="SHG3" s="242"/>
      <c r="SHH3" s="242"/>
      <c r="SHI3" s="242"/>
      <c r="SHJ3" s="242"/>
      <c r="SHK3" s="242"/>
      <c r="SHL3" s="242"/>
      <c r="SHM3" s="242"/>
      <c r="SHN3" s="242"/>
      <c r="SHO3" s="242"/>
      <c r="SHP3" s="242"/>
      <c r="SHQ3" s="242"/>
      <c r="SHR3" s="242"/>
      <c r="SHS3" s="242"/>
      <c r="SHT3" s="242"/>
      <c r="SHU3" s="242"/>
      <c r="SHV3" s="242"/>
      <c r="SHW3" s="242"/>
      <c r="SHX3" s="242"/>
      <c r="SHY3" s="242"/>
      <c r="SHZ3" s="242"/>
      <c r="SIA3" s="242"/>
      <c r="SIB3" s="242"/>
      <c r="SIC3" s="242"/>
      <c r="SID3" s="242"/>
      <c r="SIE3" s="242"/>
      <c r="SIF3" s="242"/>
      <c r="SIG3" s="242"/>
      <c r="SIH3" s="242"/>
      <c r="SII3" s="242"/>
      <c r="SIJ3" s="242"/>
      <c r="SIK3" s="242"/>
      <c r="SIL3" s="242"/>
      <c r="SIM3" s="242"/>
      <c r="SIN3" s="242"/>
      <c r="SIO3" s="242"/>
      <c r="SIP3" s="242"/>
      <c r="SIQ3" s="242"/>
      <c r="SIR3" s="242"/>
      <c r="SIS3" s="242"/>
      <c r="SIT3" s="242"/>
      <c r="SIU3" s="242"/>
      <c r="SIV3" s="242"/>
      <c r="SIW3" s="242"/>
      <c r="SIX3" s="242"/>
      <c r="SIY3" s="242"/>
      <c r="SIZ3" s="242"/>
      <c r="SJA3" s="242"/>
      <c r="SJB3" s="242"/>
      <c r="SJC3" s="242"/>
      <c r="SJD3" s="242"/>
      <c r="SJE3" s="242"/>
      <c r="SJF3" s="242"/>
      <c r="SJG3" s="242"/>
      <c r="SJH3" s="242"/>
      <c r="SJI3" s="242"/>
      <c r="SJJ3" s="242"/>
      <c r="SJK3" s="242"/>
      <c r="SJL3" s="242"/>
      <c r="SJM3" s="242"/>
      <c r="SJN3" s="242"/>
      <c r="SJO3" s="242"/>
      <c r="SJP3" s="242"/>
      <c r="SJQ3" s="242"/>
      <c r="SJR3" s="242"/>
      <c r="SJS3" s="242"/>
      <c r="SJT3" s="242"/>
      <c r="SJU3" s="242"/>
      <c r="SJV3" s="242"/>
      <c r="SJW3" s="242"/>
      <c r="SJX3" s="242"/>
      <c r="SJY3" s="242"/>
      <c r="SJZ3" s="242"/>
      <c r="SKA3" s="242"/>
      <c r="SKB3" s="242"/>
      <c r="SKC3" s="242"/>
      <c r="SKD3" s="242"/>
      <c r="SKE3" s="242"/>
      <c r="SKF3" s="242"/>
      <c r="SKG3" s="242"/>
      <c r="SKH3" s="242"/>
      <c r="SKI3" s="242"/>
      <c r="SKJ3" s="242"/>
      <c r="SKK3" s="242"/>
      <c r="SKL3" s="242"/>
      <c r="SKM3" s="242"/>
      <c r="SKN3" s="242"/>
      <c r="SKO3" s="242"/>
      <c r="SKP3" s="242"/>
      <c r="SKQ3" s="242"/>
      <c r="SKR3" s="242"/>
      <c r="SKS3" s="242"/>
      <c r="SKT3" s="242"/>
      <c r="SKU3" s="242"/>
      <c r="SKV3" s="242"/>
      <c r="SKW3" s="242"/>
      <c r="SKX3" s="242"/>
      <c r="SKY3" s="242"/>
      <c r="SKZ3" s="242"/>
      <c r="SLA3" s="242"/>
      <c r="SLB3" s="242"/>
      <c r="SLC3" s="242"/>
      <c r="SLD3" s="242"/>
      <c r="SLE3" s="242"/>
      <c r="SLF3" s="242"/>
      <c r="SLG3" s="242"/>
      <c r="SLH3" s="242"/>
      <c r="SLI3" s="242"/>
      <c r="SLJ3" s="242"/>
      <c r="SLK3" s="242"/>
      <c r="SLL3" s="242"/>
      <c r="SLM3" s="242"/>
      <c r="SLN3" s="242"/>
      <c r="SLO3" s="242"/>
      <c r="SLP3" s="242"/>
      <c r="SLQ3" s="242"/>
      <c r="SLR3" s="242"/>
      <c r="SLS3" s="242"/>
      <c r="SLT3" s="242"/>
      <c r="SLU3" s="242"/>
      <c r="SLV3" s="242"/>
      <c r="SLW3" s="242"/>
      <c r="SLX3" s="242"/>
      <c r="SLY3" s="242"/>
      <c r="SLZ3" s="242"/>
      <c r="SMA3" s="242"/>
      <c r="SMB3" s="242"/>
      <c r="SMC3" s="242"/>
      <c r="SMD3" s="242"/>
      <c r="SME3" s="242"/>
      <c r="SMF3" s="242"/>
      <c r="SMG3" s="242"/>
      <c r="SMH3" s="242"/>
      <c r="SMI3" s="242"/>
      <c r="SMJ3" s="242"/>
      <c r="SMK3" s="242"/>
      <c r="SML3" s="242"/>
      <c r="SMM3" s="242"/>
      <c r="SMN3" s="242"/>
      <c r="SMO3" s="242"/>
      <c r="SMP3" s="242"/>
      <c r="SMQ3" s="242"/>
      <c r="SMR3" s="242"/>
      <c r="SMS3" s="242"/>
      <c r="SMT3" s="242"/>
      <c r="SMU3" s="242"/>
      <c r="SMV3" s="242"/>
      <c r="SMW3" s="242"/>
      <c r="SMX3" s="242"/>
      <c r="SMY3" s="242"/>
      <c r="SMZ3" s="242"/>
      <c r="SNA3" s="242"/>
      <c r="SNB3" s="242"/>
      <c r="SNC3" s="242"/>
      <c r="SND3" s="242"/>
      <c r="SNE3" s="242"/>
      <c r="SNF3" s="242"/>
      <c r="SNG3" s="242"/>
      <c r="SNH3" s="242"/>
      <c r="SNI3" s="242"/>
      <c r="SNJ3" s="242"/>
      <c r="SNK3" s="242"/>
      <c r="SNL3" s="242"/>
      <c r="SNM3" s="242"/>
      <c r="SNN3" s="242"/>
      <c r="SNO3" s="242"/>
      <c r="SNP3" s="242"/>
      <c r="SNQ3" s="242"/>
      <c r="SNR3" s="242"/>
      <c r="SNS3" s="242"/>
      <c r="SNT3" s="242"/>
      <c r="SNU3" s="242"/>
      <c r="SNV3" s="242"/>
      <c r="SNW3" s="242"/>
      <c r="SNX3" s="242"/>
      <c r="SNY3" s="242"/>
      <c r="SNZ3" s="242"/>
      <c r="SOA3" s="242"/>
      <c r="SOB3" s="242"/>
      <c r="SOC3" s="242"/>
      <c r="SOD3" s="242"/>
      <c r="SOE3" s="242"/>
      <c r="SOF3" s="242"/>
      <c r="SOG3" s="242"/>
      <c r="SOH3" s="242"/>
      <c r="SOI3" s="242"/>
      <c r="SOJ3" s="242"/>
      <c r="SOK3" s="242"/>
      <c r="SOL3" s="242"/>
      <c r="SOM3" s="242"/>
      <c r="SON3" s="242"/>
      <c r="SOO3" s="242"/>
      <c r="SOP3" s="242"/>
      <c r="SOQ3" s="242"/>
      <c r="SOR3" s="242"/>
      <c r="SOS3" s="242"/>
      <c r="SOT3" s="242"/>
      <c r="SOU3" s="242"/>
      <c r="SOV3" s="242"/>
      <c r="SOW3" s="242"/>
      <c r="SOX3" s="242"/>
      <c r="SOY3" s="242"/>
      <c r="SOZ3" s="242"/>
      <c r="SPA3" s="242"/>
      <c r="SPB3" s="242"/>
      <c r="SPC3" s="242"/>
      <c r="SPD3" s="242"/>
      <c r="SPE3" s="242"/>
      <c r="SPF3" s="242"/>
      <c r="SPG3" s="242"/>
      <c r="SPH3" s="242"/>
      <c r="SPI3" s="242"/>
      <c r="SPJ3" s="242"/>
      <c r="SPK3" s="242"/>
      <c r="SPL3" s="242"/>
      <c r="SPM3" s="242"/>
      <c r="SPN3" s="242"/>
      <c r="SPO3" s="242"/>
      <c r="SPP3" s="242"/>
      <c r="SPQ3" s="242"/>
      <c r="SPR3" s="242"/>
      <c r="SPS3" s="242"/>
      <c r="SPT3" s="242"/>
      <c r="SPU3" s="242"/>
      <c r="SPV3" s="242"/>
      <c r="SPW3" s="242"/>
      <c r="SPX3" s="242"/>
      <c r="SPY3" s="242"/>
      <c r="SPZ3" s="242"/>
      <c r="SQA3" s="242"/>
      <c r="SQB3" s="242"/>
      <c r="SQC3" s="242"/>
      <c r="SQD3" s="242"/>
      <c r="SQE3" s="242"/>
      <c r="SQF3" s="242"/>
      <c r="SQG3" s="242"/>
      <c r="SQH3" s="242"/>
      <c r="SQI3" s="242"/>
      <c r="SQJ3" s="242"/>
      <c r="SQK3" s="242"/>
      <c r="SQL3" s="242"/>
      <c r="SQM3" s="242"/>
      <c r="SQN3" s="242"/>
      <c r="SQO3" s="242"/>
      <c r="SQP3" s="242"/>
      <c r="SQQ3" s="242"/>
      <c r="SQR3" s="242"/>
      <c r="SQS3" s="242"/>
      <c r="SQT3" s="242"/>
      <c r="SQU3" s="242"/>
      <c r="SQV3" s="242"/>
      <c r="SQW3" s="242"/>
      <c r="SQX3" s="242"/>
      <c r="SQY3" s="242"/>
      <c r="SQZ3" s="242"/>
      <c r="SRA3" s="242"/>
      <c r="SRB3" s="242"/>
      <c r="SRC3" s="242"/>
      <c r="SRD3" s="242"/>
      <c r="SRE3" s="242"/>
      <c r="SRF3" s="242"/>
      <c r="SRG3" s="242"/>
      <c r="SRH3" s="242"/>
      <c r="SRI3" s="242"/>
      <c r="SRJ3" s="242"/>
      <c r="SRK3" s="242"/>
      <c r="SRL3" s="242"/>
      <c r="SRM3" s="242"/>
      <c r="SRN3" s="242"/>
      <c r="SRO3" s="242"/>
      <c r="SRP3" s="242"/>
      <c r="SRQ3" s="242"/>
      <c r="SRR3" s="242"/>
      <c r="SRS3" s="242"/>
      <c r="SRT3" s="242"/>
      <c r="SRU3" s="242"/>
      <c r="SRV3" s="242"/>
      <c r="SRW3" s="242"/>
      <c r="SRX3" s="242"/>
      <c r="SRY3" s="242"/>
      <c r="SRZ3" s="242"/>
      <c r="SSA3" s="242"/>
      <c r="SSB3" s="242"/>
      <c r="SSC3" s="242"/>
      <c r="SSD3" s="242"/>
      <c r="SSE3" s="242"/>
      <c r="SSF3" s="242"/>
      <c r="SSG3" s="242"/>
      <c r="SSH3" s="242"/>
      <c r="SSI3" s="242"/>
      <c r="SSJ3" s="242"/>
      <c r="SSK3" s="242"/>
      <c r="SSL3" s="242"/>
      <c r="SSM3" s="242"/>
      <c r="SSN3" s="242"/>
      <c r="SSO3" s="242"/>
      <c r="SSP3" s="242"/>
      <c r="SSQ3" s="242"/>
      <c r="SSR3" s="242"/>
      <c r="SSS3" s="242"/>
      <c r="SST3" s="242"/>
      <c r="SSU3" s="242"/>
      <c r="SSV3" s="242"/>
      <c r="SSW3" s="242"/>
      <c r="SSX3" s="242"/>
      <c r="SSY3" s="242"/>
      <c r="SSZ3" s="242"/>
      <c r="STA3" s="242"/>
      <c r="STB3" s="242"/>
      <c r="STC3" s="242"/>
      <c r="STD3" s="242"/>
      <c r="STE3" s="242"/>
      <c r="STF3" s="242"/>
      <c r="STG3" s="242"/>
      <c r="STH3" s="242"/>
      <c r="STI3" s="242"/>
      <c r="STJ3" s="242"/>
      <c r="STK3" s="242"/>
      <c r="STL3" s="242"/>
      <c r="STM3" s="242"/>
      <c r="STN3" s="242"/>
      <c r="STO3" s="242"/>
      <c r="STP3" s="242"/>
      <c r="STQ3" s="242"/>
      <c r="STR3" s="242"/>
      <c r="STS3" s="242"/>
      <c r="STT3" s="242"/>
      <c r="STU3" s="242"/>
      <c r="STV3" s="242"/>
      <c r="STW3" s="242"/>
      <c r="STX3" s="242"/>
      <c r="STY3" s="242"/>
      <c r="STZ3" s="242"/>
      <c r="SUA3" s="242"/>
      <c r="SUB3" s="242"/>
      <c r="SUC3" s="242"/>
      <c r="SUD3" s="242"/>
      <c r="SUE3" s="242"/>
      <c r="SUF3" s="242"/>
      <c r="SUG3" s="242"/>
      <c r="SUH3" s="242"/>
      <c r="SUI3" s="242"/>
      <c r="SUJ3" s="242"/>
      <c r="SUK3" s="242"/>
      <c r="SUL3" s="242"/>
      <c r="SUM3" s="242"/>
      <c r="SUN3" s="242"/>
      <c r="SUO3" s="242"/>
      <c r="SUP3" s="242"/>
      <c r="SUQ3" s="242"/>
      <c r="SUR3" s="242"/>
      <c r="SUS3" s="242"/>
      <c r="SUT3" s="242"/>
      <c r="SUU3" s="242"/>
      <c r="SUV3" s="242"/>
      <c r="SUW3" s="242"/>
      <c r="SUX3" s="242"/>
      <c r="SUY3" s="242"/>
      <c r="SUZ3" s="242"/>
      <c r="SVA3" s="242"/>
      <c r="SVB3" s="242"/>
      <c r="SVC3" s="242"/>
      <c r="SVD3" s="242"/>
      <c r="SVE3" s="242"/>
      <c r="SVF3" s="242"/>
      <c r="SVG3" s="242"/>
      <c r="SVH3" s="242"/>
      <c r="SVI3" s="242"/>
      <c r="SVJ3" s="242"/>
      <c r="SVK3" s="242"/>
      <c r="SVL3" s="242"/>
      <c r="SVM3" s="242"/>
      <c r="SVN3" s="242"/>
      <c r="SVO3" s="242"/>
      <c r="SVP3" s="242"/>
      <c r="SVQ3" s="242"/>
      <c r="SVR3" s="242"/>
      <c r="SVS3" s="242"/>
      <c r="SVT3" s="242"/>
      <c r="SVU3" s="242"/>
      <c r="SVV3" s="242"/>
      <c r="SVW3" s="242"/>
      <c r="SVX3" s="242"/>
      <c r="SVY3" s="242"/>
      <c r="SVZ3" s="242"/>
      <c r="SWA3" s="242"/>
      <c r="SWB3" s="242"/>
      <c r="SWC3" s="242"/>
      <c r="SWD3" s="242"/>
      <c r="SWE3" s="242"/>
      <c r="SWF3" s="242"/>
      <c r="SWG3" s="242"/>
      <c r="SWH3" s="242"/>
      <c r="SWI3" s="242"/>
      <c r="SWJ3" s="242"/>
      <c r="SWK3" s="242"/>
      <c r="SWL3" s="242"/>
      <c r="SWM3" s="242"/>
      <c r="SWN3" s="242"/>
      <c r="SWO3" s="242"/>
      <c r="SWP3" s="242"/>
      <c r="SWQ3" s="242"/>
      <c r="SWR3" s="242"/>
      <c r="SWS3" s="242"/>
      <c r="SWT3" s="242"/>
      <c r="SWU3" s="242"/>
      <c r="SWV3" s="242"/>
      <c r="SWW3" s="242"/>
      <c r="SWX3" s="242"/>
      <c r="SWY3" s="242"/>
      <c r="SWZ3" s="242"/>
      <c r="SXA3" s="242"/>
      <c r="SXB3" s="242"/>
      <c r="SXC3" s="242"/>
      <c r="SXD3" s="242"/>
      <c r="SXE3" s="242"/>
      <c r="SXF3" s="242"/>
      <c r="SXG3" s="242"/>
      <c r="SXH3" s="242"/>
      <c r="SXI3" s="242"/>
      <c r="SXJ3" s="242"/>
      <c r="SXK3" s="242"/>
      <c r="SXL3" s="242"/>
      <c r="SXM3" s="242"/>
      <c r="SXN3" s="242"/>
      <c r="SXO3" s="242"/>
      <c r="SXP3" s="242"/>
      <c r="SXQ3" s="242"/>
      <c r="SXR3" s="242"/>
      <c r="SXS3" s="242"/>
      <c r="SXT3" s="242"/>
      <c r="SXU3" s="242"/>
      <c r="SXV3" s="242"/>
      <c r="SXW3" s="242"/>
      <c r="SXX3" s="242"/>
      <c r="SXY3" s="242"/>
      <c r="SXZ3" s="242"/>
      <c r="SYA3" s="242"/>
      <c r="SYB3" s="242"/>
      <c r="SYC3" s="242"/>
      <c r="SYD3" s="242"/>
      <c r="SYE3" s="242"/>
      <c r="SYF3" s="242"/>
      <c r="SYG3" s="242"/>
      <c r="SYH3" s="242"/>
      <c r="SYI3" s="242"/>
      <c r="SYJ3" s="242"/>
      <c r="SYK3" s="242"/>
      <c r="SYL3" s="242"/>
      <c r="SYM3" s="242"/>
      <c r="SYN3" s="242"/>
      <c r="SYO3" s="242"/>
      <c r="SYP3" s="242"/>
      <c r="SYQ3" s="242"/>
      <c r="SYR3" s="242"/>
      <c r="SYS3" s="242"/>
      <c r="SYT3" s="242"/>
      <c r="SYU3" s="242"/>
      <c r="SYV3" s="242"/>
      <c r="SYW3" s="242"/>
      <c r="SYX3" s="242"/>
      <c r="SYY3" s="242"/>
      <c r="SYZ3" s="242"/>
      <c r="SZA3" s="242"/>
      <c r="SZB3" s="242"/>
      <c r="SZC3" s="242"/>
      <c r="SZD3" s="242"/>
      <c r="SZE3" s="242"/>
      <c r="SZF3" s="242"/>
      <c r="SZG3" s="242"/>
      <c r="SZH3" s="242"/>
      <c r="SZI3" s="242"/>
      <c r="SZJ3" s="242"/>
      <c r="SZK3" s="242"/>
      <c r="SZL3" s="242"/>
      <c r="SZM3" s="242"/>
      <c r="SZN3" s="242"/>
      <c r="SZO3" s="242"/>
      <c r="SZP3" s="242"/>
      <c r="SZQ3" s="242"/>
      <c r="SZR3" s="242"/>
      <c r="SZS3" s="242"/>
      <c r="SZT3" s="242"/>
      <c r="SZU3" s="242"/>
      <c r="SZV3" s="242"/>
      <c r="SZW3" s="242"/>
      <c r="SZX3" s="242"/>
      <c r="SZY3" s="242"/>
      <c r="SZZ3" s="242"/>
      <c r="TAA3" s="242"/>
      <c r="TAB3" s="242"/>
      <c r="TAC3" s="242"/>
      <c r="TAD3" s="242"/>
      <c r="TAE3" s="242"/>
      <c r="TAF3" s="242"/>
      <c r="TAG3" s="242"/>
      <c r="TAH3" s="242"/>
      <c r="TAI3" s="242"/>
      <c r="TAJ3" s="242"/>
      <c r="TAK3" s="242"/>
      <c r="TAL3" s="242"/>
      <c r="TAM3" s="242"/>
      <c r="TAN3" s="242"/>
      <c r="TAO3" s="242"/>
      <c r="TAP3" s="242"/>
      <c r="TAQ3" s="242"/>
      <c r="TAR3" s="242"/>
      <c r="TAS3" s="242"/>
      <c r="TAT3" s="242"/>
      <c r="TAU3" s="242"/>
      <c r="TAV3" s="242"/>
      <c r="TAW3" s="242"/>
      <c r="TAX3" s="242"/>
      <c r="TAY3" s="242"/>
      <c r="TAZ3" s="242"/>
      <c r="TBA3" s="242"/>
      <c r="TBB3" s="242"/>
      <c r="TBC3" s="242"/>
      <c r="TBD3" s="242"/>
      <c r="TBE3" s="242"/>
      <c r="TBF3" s="242"/>
      <c r="TBG3" s="242"/>
      <c r="TBH3" s="242"/>
      <c r="TBI3" s="242"/>
      <c r="TBJ3" s="242"/>
      <c r="TBK3" s="242"/>
      <c r="TBL3" s="242"/>
      <c r="TBM3" s="242"/>
      <c r="TBN3" s="242"/>
      <c r="TBO3" s="242"/>
      <c r="TBP3" s="242"/>
      <c r="TBQ3" s="242"/>
      <c r="TBR3" s="242"/>
      <c r="TBS3" s="242"/>
      <c r="TBT3" s="242"/>
      <c r="TBU3" s="242"/>
      <c r="TBV3" s="242"/>
      <c r="TBW3" s="242"/>
      <c r="TBX3" s="242"/>
      <c r="TBY3" s="242"/>
      <c r="TBZ3" s="242"/>
      <c r="TCA3" s="242"/>
      <c r="TCB3" s="242"/>
      <c r="TCC3" s="242"/>
      <c r="TCD3" s="242"/>
      <c r="TCE3" s="242"/>
      <c r="TCF3" s="242"/>
      <c r="TCG3" s="242"/>
      <c r="TCH3" s="242"/>
      <c r="TCI3" s="242"/>
      <c r="TCJ3" s="242"/>
      <c r="TCK3" s="242"/>
      <c r="TCL3" s="242"/>
      <c r="TCM3" s="242"/>
      <c r="TCN3" s="242"/>
      <c r="TCO3" s="242"/>
      <c r="TCP3" s="242"/>
      <c r="TCQ3" s="242"/>
      <c r="TCR3" s="242"/>
      <c r="TCS3" s="242"/>
      <c r="TCT3" s="242"/>
      <c r="TCU3" s="242"/>
      <c r="TCV3" s="242"/>
      <c r="TCW3" s="242"/>
      <c r="TCX3" s="242"/>
      <c r="TCY3" s="242"/>
      <c r="TCZ3" s="242"/>
      <c r="TDA3" s="242"/>
      <c r="TDB3" s="242"/>
      <c r="TDC3" s="242"/>
      <c r="TDD3" s="242"/>
      <c r="TDE3" s="242"/>
      <c r="TDF3" s="242"/>
      <c r="TDG3" s="242"/>
      <c r="TDH3" s="242"/>
      <c r="TDI3" s="242"/>
      <c r="TDJ3" s="242"/>
      <c r="TDK3" s="242"/>
      <c r="TDL3" s="242"/>
      <c r="TDM3" s="242"/>
      <c r="TDN3" s="242"/>
      <c r="TDO3" s="242"/>
      <c r="TDP3" s="242"/>
      <c r="TDQ3" s="242"/>
      <c r="TDR3" s="242"/>
      <c r="TDS3" s="242"/>
      <c r="TDT3" s="242"/>
      <c r="TDU3" s="242"/>
      <c r="TDV3" s="242"/>
      <c r="TDW3" s="242"/>
      <c r="TDX3" s="242"/>
      <c r="TDY3" s="242"/>
      <c r="TDZ3" s="242"/>
      <c r="TEA3" s="242"/>
      <c r="TEB3" s="242"/>
      <c r="TEC3" s="242"/>
      <c r="TED3" s="242"/>
      <c r="TEE3" s="242"/>
      <c r="TEF3" s="242"/>
      <c r="TEG3" s="242"/>
      <c r="TEH3" s="242"/>
      <c r="TEI3" s="242"/>
      <c r="TEJ3" s="242"/>
      <c r="TEK3" s="242"/>
      <c r="TEL3" s="242"/>
      <c r="TEM3" s="242"/>
      <c r="TEN3" s="242"/>
      <c r="TEO3" s="242"/>
      <c r="TEP3" s="242"/>
      <c r="TEQ3" s="242"/>
      <c r="TER3" s="242"/>
      <c r="TES3" s="242"/>
      <c r="TET3" s="242"/>
      <c r="TEU3" s="242"/>
      <c r="TEV3" s="242"/>
      <c r="TEW3" s="242"/>
      <c r="TEX3" s="242"/>
      <c r="TEY3" s="242"/>
      <c r="TEZ3" s="242"/>
      <c r="TFA3" s="242"/>
      <c r="TFB3" s="242"/>
      <c r="TFC3" s="242"/>
      <c r="TFD3" s="242"/>
      <c r="TFE3" s="242"/>
      <c r="TFF3" s="242"/>
      <c r="TFG3" s="242"/>
      <c r="TFH3" s="242"/>
      <c r="TFI3" s="242"/>
      <c r="TFJ3" s="242"/>
      <c r="TFK3" s="242"/>
      <c r="TFL3" s="242"/>
      <c r="TFM3" s="242"/>
      <c r="TFN3" s="242"/>
      <c r="TFO3" s="242"/>
      <c r="TFP3" s="242"/>
      <c r="TFQ3" s="242"/>
      <c r="TFR3" s="242"/>
      <c r="TFS3" s="242"/>
      <c r="TFT3" s="242"/>
      <c r="TFU3" s="242"/>
      <c r="TFV3" s="242"/>
      <c r="TFW3" s="242"/>
      <c r="TFX3" s="242"/>
      <c r="TFY3" s="242"/>
      <c r="TFZ3" s="242"/>
      <c r="TGA3" s="242"/>
      <c r="TGB3" s="242"/>
      <c r="TGC3" s="242"/>
      <c r="TGD3" s="242"/>
      <c r="TGE3" s="242"/>
      <c r="TGF3" s="242"/>
      <c r="TGG3" s="242"/>
      <c r="TGH3" s="242"/>
      <c r="TGI3" s="242"/>
      <c r="TGJ3" s="242"/>
      <c r="TGK3" s="242"/>
      <c r="TGL3" s="242"/>
      <c r="TGM3" s="242"/>
      <c r="TGN3" s="242"/>
      <c r="TGO3" s="242"/>
      <c r="TGP3" s="242"/>
      <c r="TGQ3" s="242"/>
      <c r="TGR3" s="242"/>
      <c r="TGS3" s="242"/>
      <c r="TGT3" s="242"/>
      <c r="TGU3" s="242"/>
      <c r="TGV3" s="242"/>
      <c r="TGW3" s="242"/>
      <c r="TGX3" s="242"/>
      <c r="TGY3" s="242"/>
      <c r="TGZ3" s="242"/>
      <c r="THA3" s="242"/>
      <c r="THB3" s="242"/>
      <c r="THC3" s="242"/>
      <c r="THD3" s="242"/>
      <c r="THE3" s="242"/>
      <c r="THF3" s="242"/>
      <c r="THG3" s="242"/>
      <c r="THH3" s="242"/>
      <c r="THI3" s="242"/>
      <c r="THJ3" s="242"/>
      <c r="THK3" s="242"/>
      <c r="THL3" s="242"/>
      <c r="THM3" s="242"/>
      <c r="THN3" s="242"/>
      <c r="THO3" s="242"/>
      <c r="THP3" s="242"/>
      <c r="THQ3" s="242"/>
      <c r="THR3" s="242"/>
      <c r="THS3" s="242"/>
      <c r="THT3" s="242"/>
      <c r="THU3" s="242"/>
      <c r="THV3" s="242"/>
      <c r="THW3" s="242"/>
      <c r="THX3" s="242"/>
      <c r="THY3" s="242"/>
      <c r="THZ3" s="242"/>
      <c r="TIA3" s="242"/>
      <c r="TIB3" s="242"/>
      <c r="TIC3" s="242"/>
      <c r="TID3" s="242"/>
      <c r="TIE3" s="242"/>
      <c r="TIF3" s="242"/>
      <c r="TIG3" s="242"/>
      <c r="TIH3" s="242"/>
      <c r="TII3" s="242"/>
      <c r="TIJ3" s="242"/>
      <c r="TIK3" s="242"/>
      <c r="TIL3" s="242"/>
      <c r="TIM3" s="242"/>
      <c r="TIN3" s="242"/>
      <c r="TIO3" s="242"/>
      <c r="TIP3" s="242"/>
      <c r="TIQ3" s="242"/>
      <c r="TIR3" s="242"/>
      <c r="TIS3" s="242"/>
      <c r="TIT3" s="242"/>
      <c r="TIU3" s="242"/>
      <c r="TIV3" s="242"/>
      <c r="TIW3" s="242"/>
      <c r="TIX3" s="242"/>
      <c r="TIY3" s="242"/>
      <c r="TIZ3" s="242"/>
      <c r="TJA3" s="242"/>
      <c r="TJB3" s="242"/>
      <c r="TJC3" s="242"/>
      <c r="TJD3" s="242"/>
      <c r="TJE3" s="242"/>
      <c r="TJF3" s="242"/>
      <c r="TJG3" s="242"/>
      <c r="TJH3" s="242"/>
      <c r="TJI3" s="242"/>
      <c r="TJJ3" s="242"/>
      <c r="TJK3" s="242"/>
      <c r="TJL3" s="242"/>
      <c r="TJM3" s="242"/>
      <c r="TJN3" s="242"/>
      <c r="TJO3" s="242"/>
      <c r="TJP3" s="242"/>
      <c r="TJQ3" s="242"/>
      <c r="TJR3" s="242"/>
      <c r="TJS3" s="242"/>
      <c r="TJT3" s="242"/>
      <c r="TJU3" s="242"/>
      <c r="TJV3" s="242"/>
      <c r="TJW3" s="242"/>
      <c r="TJX3" s="242"/>
      <c r="TJY3" s="242"/>
      <c r="TJZ3" s="242"/>
      <c r="TKA3" s="242"/>
      <c r="TKB3" s="242"/>
      <c r="TKC3" s="242"/>
      <c r="TKD3" s="242"/>
      <c r="TKE3" s="242"/>
      <c r="TKF3" s="242"/>
      <c r="TKG3" s="242"/>
      <c r="TKH3" s="242"/>
      <c r="TKI3" s="242"/>
      <c r="TKJ3" s="242"/>
      <c r="TKK3" s="242"/>
      <c r="TKL3" s="242"/>
      <c r="TKM3" s="242"/>
      <c r="TKN3" s="242"/>
      <c r="TKO3" s="242"/>
      <c r="TKP3" s="242"/>
      <c r="TKQ3" s="242"/>
      <c r="TKR3" s="242"/>
      <c r="TKS3" s="242"/>
      <c r="TKT3" s="242"/>
      <c r="TKU3" s="242"/>
      <c r="TKV3" s="242"/>
      <c r="TKW3" s="242"/>
      <c r="TKX3" s="242"/>
      <c r="TKY3" s="242"/>
      <c r="TKZ3" s="242"/>
      <c r="TLA3" s="242"/>
      <c r="TLB3" s="242"/>
      <c r="TLC3" s="242"/>
      <c r="TLD3" s="242"/>
      <c r="TLE3" s="242"/>
      <c r="TLF3" s="242"/>
      <c r="TLG3" s="242"/>
      <c r="TLH3" s="242"/>
      <c r="TLI3" s="242"/>
      <c r="TLJ3" s="242"/>
      <c r="TLK3" s="242"/>
      <c r="TLL3" s="242"/>
      <c r="TLM3" s="242"/>
      <c r="TLN3" s="242"/>
      <c r="TLO3" s="242"/>
      <c r="TLP3" s="242"/>
      <c r="TLQ3" s="242"/>
      <c r="TLR3" s="242"/>
      <c r="TLS3" s="242"/>
      <c r="TLT3" s="242"/>
      <c r="TLU3" s="242"/>
      <c r="TLV3" s="242"/>
      <c r="TLW3" s="242"/>
      <c r="TLX3" s="242"/>
      <c r="TLY3" s="242"/>
      <c r="TLZ3" s="242"/>
      <c r="TMA3" s="242"/>
      <c r="TMB3" s="242"/>
      <c r="TMC3" s="242"/>
      <c r="TMD3" s="242"/>
      <c r="TME3" s="242"/>
      <c r="TMF3" s="242"/>
      <c r="TMG3" s="242"/>
      <c r="TMH3" s="242"/>
      <c r="TMI3" s="242"/>
      <c r="TMJ3" s="242"/>
      <c r="TMK3" s="242"/>
      <c r="TML3" s="242"/>
      <c r="TMM3" s="242"/>
      <c r="TMN3" s="242"/>
      <c r="TMO3" s="242"/>
      <c r="TMP3" s="242"/>
      <c r="TMQ3" s="242"/>
      <c r="TMR3" s="242"/>
      <c r="TMS3" s="242"/>
      <c r="TMT3" s="242"/>
      <c r="TMU3" s="242"/>
      <c r="TMV3" s="242"/>
      <c r="TMW3" s="242"/>
      <c r="TMX3" s="242"/>
      <c r="TMY3" s="242"/>
      <c r="TMZ3" s="242"/>
      <c r="TNA3" s="242"/>
      <c r="TNB3" s="242"/>
      <c r="TNC3" s="242"/>
      <c r="TND3" s="242"/>
      <c r="TNE3" s="242"/>
      <c r="TNF3" s="242"/>
      <c r="TNG3" s="242"/>
      <c r="TNH3" s="242"/>
      <c r="TNI3" s="242"/>
      <c r="TNJ3" s="242"/>
      <c r="TNK3" s="242"/>
      <c r="TNL3" s="242"/>
      <c r="TNM3" s="242"/>
      <c r="TNN3" s="242"/>
      <c r="TNO3" s="242"/>
      <c r="TNP3" s="242"/>
      <c r="TNQ3" s="242"/>
      <c r="TNR3" s="242"/>
      <c r="TNS3" s="242"/>
      <c r="TNT3" s="242"/>
      <c r="TNU3" s="242"/>
      <c r="TNV3" s="242"/>
      <c r="TNW3" s="242"/>
      <c r="TNX3" s="242"/>
      <c r="TNY3" s="242"/>
      <c r="TNZ3" s="242"/>
      <c r="TOA3" s="242"/>
      <c r="TOB3" s="242"/>
      <c r="TOC3" s="242"/>
      <c r="TOD3" s="242"/>
      <c r="TOE3" s="242"/>
      <c r="TOF3" s="242"/>
      <c r="TOG3" s="242"/>
      <c r="TOH3" s="242"/>
      <c r="TOI3" s="242"/>
      <c r="TOJ3" s="242"/>
      <c r="TOK3" s="242"/>
      <c r="TOL3" s="242"/>
      <c r="TOM3" s="242"/>
      <c r="TON3" s="242"/>
      <c r="TOO3" s="242"/>
      <c r="TOP3" s="242"/>
      <c r="TOQ3" s="242"/>
      <c r="TOR3" s="242"/>
      <c r="TOS3" s="242"/>
      <c r="TOT3" s="242"/>
      <c r="TOU3" s="242"/>
      <c r="TOV3" s="242"/>
      <c r="TOW3" s="242"/>
      <c r="TOX3" s="242"/>
      <c r="TOY3" s="242"/>
      <c r="TOZ3" s="242"/>
      <c r="TPA3" s="242"/>
      <c r="TPB3" s="242"/>
      <c r="TPC3" s="242"/>
      <c r="TPD3" s="242"/>
      <c r="TPE3" s="242"/>
      <c r="TPF3" s="242"/>
      <c r="TPG3" s="242"/>
      <c r="TPH3" s="242"/>
      <c r="TPI3" s="242"/>
      <c r="TPJ3" s="242"/>
      <c r="TPK3" s="242"/>
      <c r="TPL3" s="242"/>
      <c r="TPM3" s="242"/>
      <c r="TPN3" s="242"/>
      <c r="TPO3" s="242"/>
      <c r="TPP3" s="242"/>
      <c r="TPQ3" s="242"/>
      <c r="TPR3" s="242"/>
      <c r="TPS3" s="242"/>
      <c r="TPT3" s="242"/>
      <c r="TPU3" s="242"/>
      <c r="TPV3" s="242"/>
      <c r="TPW3" s="242"/>
      <c r="TPX3" s="242"/>
      <c r="TPY3" s="242"/>
      <c r="TPZ3" s="242"/>
      <c r="TQA3" s="242"/>
      <c r="TQB3" s="242"/>
      <c r="TQC3" s="242"/>
      <c r="TQD3" s="242"/>
      <c r="TQE3" s="242"/>
      <c r="TQF3" s="242"/>
      <c r="TQG3" s="242"/>
      <c r="TQH3" s="242"/>
      <c r="TQI3" s="242"/>
      <c r="TQJ3" s="242"/>
      <c r="TQK3" s="242"/>
      <c r="TQL3" s="242"/>
      <c r="TQM3" s="242"/>
      <c r="TQN3" s="242"/>
      <c r="TQO3" s="242"/>
      <c r="TQP3" s="242"/>
      <c r="TQQ3" s="242"/>
      <c r="TQR3" s="242"/>
      <c r="TQS3" s="242"/>
      <c r="TQT3" s="242"/>
      <c r="TQU3" s="242"/>
      <c r="TQV3" s="242"/>
      <c r="TQW3" s="242"/>
      <c r="TQX3" s="242"/>
      <c r="TQY3" s="242"/>
      <c r="TQZ3" s="242"/>
      <c r="TRA3" s="242"/>
      <c r="TRB3" s="242"/>
      <c r="TRC3" s="242"/>
      <c r="TRD3" s="242"/>
      <c r="TRE3" s="242"/>
      <c r="TRF3" s="242"/>
      <c r="TRG3" s="242"/>
      <c r="TRH3" s="242"/>
      <c r="TRI3" s="242"/>
      <c r="TRJ3" s="242"/>
      <c r="TRK3" s="242"/>
      <c r="TRL3" s="242"/>
      <c r="TRM3" s="242"/>
      <c r="TRN3" s="242"/>
      <c r="TRO3" s="242"/>
      <c r="TRP3" s="242"/>
      <c r="TRQ3" s="242"/>
      <c r="TRR3" s="242"/>
      <c r="TRS3" s="242"/>
      <c r="TRT3" s="242"/>
      <c r="TRU3" s="242"/>
      <c r="TRV3" s="242"/>
      <c r="TRW3" s="242"/>
      <c r="TRX3" s="242"/>
      <c r="TRY3" s="242"/>
      <c r="TRZ3" s="242"/>
      <c r="TSA3" s="242"/>
      <c r="TSB3" s="242"/>
      <c r="TSC3" s="242"/>
      <c r="TSD3" s="242"/>
      <c r="TSE3" s="242"/>
      <c r="TSF3" s="242"/>
      <c r="TSG3" s="242"/>
      <c r="TSH3" s="242"/>
      <c r="TSI3" s="242"/>
      <c r="TSJ3" s="242"/>
      <c r="TSK3" s="242"/>
      <c r="TSL3" s="242"/>
      <c r="TSM3" s="242"/>
      <c r="TSN3" s="242"/>
      <c r="TSO3" s="242"/>
      <c r="TSP3" s="242"/>
      <c r="TSQ3" s="242"/>
      <c r="TSR3" s="242"/>
      <c r="TSS3" s="242"/>
      <c r="TST3" s="242"/>
      <c r="TSU3" s="242"/>
      <c r="TSV3" s="242"/>
      <c r="TSW3" s="242"/>
      <c r="TSX3" s="242"/>
      <c r="TSY3" s="242"/>
      <c r="TSZ3" s="242"/>
      <c r="TTA3" s="242"/>
      <c r="TTB3" s="242"/>
      <c r="TTC3" s="242"/>
      <c r="TTD3" s="242"/>
      <c r="TTE3" s="242"/>
      <c r="TTF3" s="242"/>
      <c r="TTG3" s="242"/>
      <c r="TTH3" s="242"/>
      <c r="TTI3" s="242"/>
      <c r="TTJ3" s="242"/>
      <c r="TTK3" s="242"/>
      <c r="TTL3" s="242"/>
      <c r="TTM3" s="242"/>
      <c r="TTN3" s="242"/>
      <c r="TTO3" s="242"/>
      <c r="TTP3" s="242"/>
      <c r="TTQ3" s="242"/>
      <c r="TTR3" s="242"/>
      <c r="TTS3" s="242"/>
      <c r="TTT3" s="242"/>
      <c r="TTU3" s="242"/>
      <c r="TTV3" s="242"/>
      <c r="TTW3" s="242"/>
      <c r="TTX3" s="242"/>
      <c r="TTY3" s="242"/>
      <c r="TTZ3" s="242"/>
      <c r="TUA3" s="242"/>
      <c r="TUB3" s="242"/>
      <c r="TUC3" s="242"/>
      <c r="TUD3" s="242"/>
      <c r="TUE3" s="242"/>
      <c r="TUF3" s="242"/>
      <c r="TUG3" s="242"/>
      <c r="TUH3" s="242"/>
      <c r="TUI3" s="242"/>
      <c r="TUJ3" s="242"/>
      <c r="TUK3" s="242"/>
      <c r="TUL3" s="242"/>
      <c r="TUM3" s="242"/>
      <c r="TUN3" s="242"/>
      <c r="TUO3" s="242"/>
      <c r="TUP3" s="242"/>
      <c r="TUQ3" s="242"/>
      <c r="TUR3" s="242"/>
      <c r="TUS3" s="242"/>
      <c r="TUT3" s="242"/>
      <c r="TUU3" s="242"/>
      <c r="TUV3" s="242"/>
      <c r="TUW3" s="242"/>
      <c r="TUX3" s="242"/>
      <c r="TUY3" s="242"/>
      <c r="TUZ3" s="242"/>
      <c r="TVA3" s="242"/>
      <c r="TVB3" s="242"/>
      <c r="TVC3" s="242"/>
      <c r="TVD3" s="242"/>
      <c r="TVE3" s="242"/>
      <c r="TVF3" s="242"/>
      <c r="TVG3" s="242"/>
      <c r="TVH3" s="242"/>
      <c r="TVI3" s="242"/>
      <c r="TVJ3" s="242"/>
      <c r="TVK3" s="242"/>
      <c r="TVL3" s="242"/>
      <c r="TVM3" s="242"/>
      <c r="TVN3" s="242"/>
      <c r="TVO3" s="242"/>
      <c r="TVP3" s="242"/>
      <c r="TVQ3" s="242"/>
      <c r="TVR3" s="242"/>
      <c r="TVS3" s="242"/>
      <c r="TVT3" s="242"/>
      <c r="TVU3" s="242"/>
      <c r="TVV3" s="242"/>
      <c r="TVW3" s="242"/>
      <c r="TVX3" s="242"/>
      <c r="TVY3" s="242"/>
      <c r="TVZ3" s="242"/>
      <c r="TWA3" s="242"/>
      <c r="TWB3" s="242"/>
      <c r="TWC3" s="242"/>
      <c r="TWD3" s="242"/>
      <c r="TWE3" s="242"/>
      <c r="TWF3" s="242"/>
      <c r="TWG3" s="242"/>
      <c r="TWH3" s="242"/>
      <c r="TWI3" s="242"/>
      <c r="TWJ3" s="242"/>
      <c r="TWK3" s="242"/>
      <c r="TWL3" s="242"/>
      <c r="TWM3" s="242"/>
      <c r="TWN3" s="242"/>
      <c r="TWO3" s="242"/>
      <c r="TWP3" s="242"/>
      <c r="TWQ3" s="242"/>
      <c r="TWR3" s="242"/>
      <c r="TWS3" s="242"/>
      <c r="TWT3" s="242"/>
      <c r="TWU3" s="242"/>
      <c r="TWV3" s="242"/>
      <c r="TWW3" s="242"/>
      <c r="TWX3" s="242"/>
      <c r="TWY3" s="242"/>
      <c r="TWZ3" s="242"/>
      <c r="TXA3" s="242"/>
      <c r="TXB3" s="242"/>
      <c r="TXC3" s="242"/>
      <c r="TXD3" s="242"/>
      <c r="TXE3" s="242"/>
      <c r="TXF3" s="242"/>
      <c r="TXG3" s="242"/>
      <c r="TXH3" s="242"/>
      <c r="TXI3" s="242"/>
      <c r="TXJ3" s="242"/>
      <c r="TXK3" s="242"/>
      <c r="TXL3" s="242"/>
      <c r="TXM3" s="242"/>
      <c r="TXN3" s="242"/>
      <c r="TXO3" s="242"/>
      <c r="TXP3" s="242"/>
      <c r="TXQ3" s="242"/>
      <c r="TXR3" s="242"/>
      <c r="TXS3" s="242"/>
      <c r="TXT3" s="242"/>
      <c r="TXU3" s="242"/>
      <c r="TXV3" s="242"/>
      <c r="TXW3" s="242"/>
      <c r="TXX3" s="242"/>
      <c r="TXY3" s="242"/>
      <c r="TXZ3" s="242"/>
      <c r="TYA3" s="242"/>
      <c r="TYB3" s="242"/>
      <c r="TYC3" s="242"/>
      <c r="TYD3" s="242"/>
      <c r="TYE3" s="242"/>
      <c r="TYF3" s="242"/>
      <c r="TYG3" s="242"/>
      <c r="TYH3" s="242"/>
      <c r="TYI3" s="242"/>
      <c r="TYJ3" s="242"/>
      <c r="TYK3" s="242"/>
      <c r="TYL3" s="242"/>
      <c r="TYM3" s="242"/>
      <c r="TYN3" s="242"/>
      <c r="TYO3" s="242"/>
      <c r="TYP3" s="242"/>
      <c r="TYQ3" s="242"/>
      <c r="TYR3" s="242"/>
      <c r="TYS3" s="242"/>
      <c r="TYT3" s="242"/>
      <c r="TYU3" s="242"/>
      <c r="TYV3" s="242"/>
      <c r="TYW3" s="242"/>
      <c r="TYX3" s="242"/>
      <c r="TYY3" s="242"/>
      <c r="TYZ3" s="242"/>
      <c r="TZA3" s="242"/>
      <c r="TZB3" s="242"/>
      <c r="TZC3" s="242"/>
      <c r="TZD3" s="242"/>
      <c r="TZE3" s="242"/>
      <c r="TZF3" s="242"/>
      <c r="TZG3" s="242"/>
      <c r="TZH3" s="242"/>
      <c r="TZI3" s="242"/>
      <c r="TZJ3" s="242"/>
      <c r="TZK3" s="242"/>
      <c r="TZL3" s="242"/>
      <c r="TZM3" s="242"/>
      <c r="TZN3" s="242"/>
      <c r="TZO3" s="242"/>
      <c r="TZP3" s="242"/>
      <c r="TZQ3" s="242"/>
      <c r="TZR3" s="242"/>
      <c r="TZS3" s="242"/>
      <c r="TZT3" s="242"/>
      <c r="TZU3" s="242"/>
      <c r="TZV3" s="242"/>
      <c r="TZW3" s="242"/>
      <c r="TZX3" s="242"/>
      <c r="TZY3" s="242"/>
      <c r="TZZ3" s="242"/>
      <c r="UAA3" s="242"/>
      <c r="UAB3" s="242"/>
      <c r="UAC3" s="242"/>
      <c r="UAD3" s="242"/>
      <c r="UAE3" s="242"/>
      <c r="UAF3" s="242"/>
      <c r="UAG3" s="242"/>
      <c r="UAH3" s="242"/>
      <c r="UAI3" s="242"/>
      <c r="UAJ3" s="242"/>
      <c r="UAK3" s="242"/>
      <c r="UAL3" s="242"/>
      <c r="UAM3" s="242"/>
      <c r="UAN3" s="242"/>
      <c r="UAO3" s="242"/>
      <c r="UAP3" s="242"/>
      <c r="UAQ3" s="242"/>
      <c r="UAR3" s="242"/>
      <c r="UAS3" s="242"/>
      <c r="UAT3" s="242"/>
      <c r="UAU3" s="242"/>
      <c r="UAV3" s="242"/>
      <c r="UAW3" s="242"/>
      <c r="UAX3" s="242"/>
      <c r="UAY3" s="242"/>
      <c r="UAZ3" s="242"/>
      <c r="UBA3" s="242"/>
      <c r="UBB3" s="242"/>
      <c r="UBC3" s="242"/>
      <c r="UBD3" s="242"/>
      <c r="UBE3" s="242"/>
      <c r="UBF3" s="242"/>
      <c r="UBG3" s="242"/>
      <c r="UBH3" s="242"/>
      <c r="UBI3" s="242"/>
      <c r="UBJ3" s="242"/>
      <c r="UBK3" s="242"/>
      <c r="UBL3" s="242"/>
      <c r="UBM3" s="242"/>
      <c r="UBN3" s="242"/>
      <c r="UBO3" s="242"/>
      <c r="UBP3" s="242"/>
      <c r="UBQ3" s="242"/>
      <c r="UBR3" s="242"/>
      <c r="UBS3" s="242"/>
      <c r="UBT3" s="242"/>
      <c r="UBU3" s="242"/>
      <c r="UBV3" s="242"/>
      <c r="UBW3" s="242"/>
      <c r="UBX3" s="242"/>
      <c r="UBY3" s="242"/>
      <c r="UBZ3" s="242"/>
      <c r="UCA3" s="242"/>
      <c r="UCB3" s="242"/>
      <c r="UCC3" s="242"/>
      <c r="UCD3" s="242"/>
      <c r="UCE3" s="242"/>
      <c r="UCF3" s="242"/>
      <c r="UCG3" s="242"/>
      <c r="UCH3" s="242"/>
      <c r="UCI3" s="242"/>
      <c r="UCJ3" s="242"/>
      <c r="UCK3" s="242"/>
      <c r="UCL3" s="242"/>
      <c r="UCM3" s="242"/>
      <c r="UCN3" s="242"/>
      <c r="UCO3" s="242"/>
      <c r="UCP3" s="242"/>
      <c r="UCQ3" s="242"/>
      <c r="UCR3" s="242"/>
      <c r="UCS3" s="242"/>
      <c r="UCT3" s="242"/>
      <c r="UCU3" s="242"/>
      <c r="UCV3" s="242"/>
      <c r="UCW3" s="242"/>
      <c r="UCX3" s="242"/>
      <c r="UCY3" s="242"/>
      <c r="UCZ3" s="242"/>
      <c r="UDA3" s="242"/>
      <c r="UDB3" s="242"/>
      <c r="UDC3" s="242"/>
      <c r="UDD3" s="242"/>
      <c r="UDE3" s="242"/>
      <c r="UDF3" s="242"/>
      <c r="UDG3" s="242"/>
      <c r="UDH3" s="242"/>
      <c r="UDI3" s="242"/>
      <c r="UDJ3" s="242"/>
      <c r="UDK3" s="242"/>
      <c r="UDL3" s="242"/>
      <c r="UDM3" s="242"/>
      <c r="UDN3" s="242"/>
      <c r="UDO3" s="242"/>
      <c r="UDP3" s="242"/>
      <c r="UDQ3" s="242"/>
      <c r="UDR3" s="242"/>
      <c r="UDS3" s="242"/>
      <c r="UDT3" s="242"/>
      <c r="UDU3" s="242"/>
      <c r="UDV3" s="242"/>
      <c r="UDW3" s="242"/>
      <c r="UDX3" s="242"/>
      <c r="UDY3" s="242"/>
      <c r="UDZ3" s="242"/>
      <c r="UEA3" s="242"/>
      <c r="UEB3" s="242"/>
      <c r="UEC3" s="242"/>
      <c r="UED3" s="242"/>
      <c r="UEE3" s="242"/>
      <c r="UEF3" s="242"/>
      <c r="UEG3" s="242"/>
      <c r="UEH3" s="242"/>
      <c r="UEI3" s="242"/>
      <c r="UEJ3" s="242"/>
      <c r="UEK3" s="242"/>
      <c r="UEL3" s="242"/>
      <c r="UEM3" s="242"/>
      <c r="UEN3" s="242"/>
      <c r="UEO3" s="242"/>
      <c r="UEP3" s="242"/>
      <c r="UEQ3" s="242"/>
      <c r="UER3" s="242"/>
      <c r="UES3" s="242"/>
      <c r="UET3" s="242"/>
      <c r="UEU3" s="242"/>
      <c r="UEV3" s="242"/>
      <c r="UEW3" s="242"/>
      <c r="UEX3" s="242"/>
      <c r="UEY3" s="242"/>
      <c r="UEZ3" s="242"/>
      <c r="UFA3" s="242"/>
      <c r="UFB3" s="242"/>
      <c r="UFC3" s="242"/>
      <c r="UFD3" s="242"/>
      <c r="UFE3" s="242"/>
      <c r="UFF3" s="242"/>
      <c r="UFG3" s="242"/>
      <c r="UFH3" s="242"/>
      <c r="UFI3" s="242"/>
      <c r="UFJ3" s="242"/>
      <c r="UFK3" s="242"/>
      <c r="UFL3" s="242"/>
      <c r="UFM3" s="242"/>
      <c r="UFN3" s="242"/>
      <c r="UFO3" s="242"/>
      <c r="UFP3" s="242"/>
      <c r="UFQ3" s="242"/>
      <c r="UFR3" s="242"/>
      <c r="UFS3" s="242"/>
      <c r="UFT3" s="242"/>
      <c r="UFU3" s="242"/>
      <c r="UFV3" s="242"/>
      <c r="UFW3" s="242"/>
      <c r="UFX3" s="242"/>
      <c r="UFY3" s="242"/>
      <c r="UFZ3" s="242"/>
      <c r="UGA3" s="242"/>
      <c r="UGB3" s="242"/>
      <c r="UGC3" s="242"/>
      <c r="UGD3" s="242"/>
      <c r="UGE3" s="242"/>
      <c r="UGF3" s="242"/>
      <c r="UGG3" s="242"/>
      <c r="UGH3" s="242"/>
      <c r="UGI3" s="242"/>
      <c r="UGJ3" s="242"/>
      <c r="UGK3" s="242"/>
      <c r="UGL3" s="242"/>
      <c r="UGM3" s="242"/>
      <c r="UGN3" s="242"/>
      <c r="UGO3" s="242"/>
      <c r="UGP3" s="242"/>
      <c r="UGQ3" s="242"/>
      <c r="UGR3" s="242"/>
      <c r="UGS3" s="242"/>
      <c r="UGT3" s="242"/>
      <c r="UGU3" s="242"/>
      <c r="UGV3" s="242"/>
      <c r="UGW3" s="242"/>
      <c r="UGX3" s="242"/>
      <c r="UGY3" s="242"/>
      <c r="UGZ3" s="242"/>
      <c r="UHA3" s="242"/>
      <c r="UHB3" s="242"/>
      <c r="UHC3" s="242"/>
      <c r="UHD3" s="242"/>
      <c r="UHE3" s="242"/>
      <c r="UHF3" s="242"/>
      <c r="UHG3" s="242"/>
      <c r="UHH3" s="242"/>
      <c r="UHI3" s="242"/>
      <c r="UHJ3" s="242"/>
      <c r="UHK3" s="242"/>
      <c r="UHL3" s="242"/>
      <c r="UHM3" s="242"/>
      <c r="UHN3" s="242"/>
      <c r="UHO3" s="242"/>
      <c r="UHP3" s="242"/>
      <c r="UHQ3" s="242"/>
      <c r="UHR3" s="242"/>
      <c r="UHS3" s="242"/>
      <c r="UHT3" s="242"/>
      <c r="UHU3" s="242"/>
      <c r="UHV3" s="242"/>
      <c r="UHW3" s="242"/>
      <c r="UHX3" s="242"/>
      <c r="UHY3" s="242"/>
      <c r="UHZ3" s="242"/>
      <c r="UIA3" s="242"/>
      <c r="UIB3" s="242"/>
      <c r="UIC3" s="242"/>
      <c r="UID3" s="242"/>
      <c r="UIE3" s="242"/>
      <c r="UIF3" s="242"/>
      <c r="UIG3" s="242"/>
      <c r="UIH3" s="242"/>
      <c r="UII3" s="242"/>
      <c r="UIJ3" s="242"/>
      <c r="UIK3" s="242"/>
      <c r="UIL3" s="242"/>
      <c r="UIM3" s="242"/>
      <c r="UIN3" s="242"/>
      <c r="UIO3" s="242"/>
      <c r="UIP3" s="242"/>
      <c r="UIQ3" s="242"/>
      <c r="UIR3" s="242"/>
      <c r="UIS3" s="242"/>
      <c r="UIT3" s="242"/>
      <c r="UIU3" s="242"/>
      <c r="UIV3" s="242"/>
      <c r="UIW3" s="242"/>
      <c r="UIX3" s="242"/>
      <c r="UIY3" s="242"/>
      <c r="UIZ3" s="242"/>
      <c r="UJA3" s="242"/>
      <c r="UJB3" s="242"/>
      <c r="UJC3" s="242"/>
      <c r="UJD3" s="242"/>
      <c r="UJE3" s="242"/>
      <c r="UJF3" s="242"/>
      <c r="UJG3" s="242"/>
      <c r="UJH3" s="242"/>
      <c r="UJI3" s="242"/>
      <c r="UJJ3" s="242"/>
      <c r="UJK3" s="242"/>
      <c r="UJL3" s="242"/>
      <c r="UJM3" s="242"/>
      <c r="UJN3" s="242"/>
      <c r="UJO3" s="242"/>
      <c r="UJP3" s="242"/>
      <c r="UJQ3" s="242"/>
      <c r="UJR3" s="242"/>
      <c r="UJS3" s="242"/>
      <c r="UJT3" s="242"/>
      <c r="UJU3" s="242"/>
      <c r="UJV3" s="242"/>
      <c r="UJW3" s="242"/>
      <c r="UJX3" s="242"/>
      <c r="UJY3" s="242"/>
      <c r="UJZ3" s="242"/>
      <c r="UKA3" s="242"/>
      <c r="UKB3" s="242"/>
      <c r="UKC3" s="242"/>
      <c r="UKD3" s="242"/>
      <c r="UKE3" s="242"/>
      <c r="UKF3" s="242"/>
      <c r="UKG3" s="242"/>
      <c r="UKH3" s="242"/>
      <c r="UKI3" s="242"/>
      <c r="UKJ3" s="242"/>
      <c r="UKK3" s="242"/>
      <c r="UKL3" s="242"/>
      <c r="UKM3" s="242"/>
      <c r="UKN3" s="242"/>
      <c r="UKO3" s="242"/>
      <c r="UKP3" s="242"/>
      <c r="UKQ3" s="242"/>
      <c r="UKR3" s="242"/>
      <c r="UKS3" s="242"/>
      <c r="UKT3" s="242"/>
      <c r="UKU3" s="242"/>
      <c r="UKV3" s="242"/>
      <c r="UKW3" s="242"/>
      <c r="UKX3" s="242"/>
      <c r="UKY3" s="242"/>
      <c r="UKZ3" s="242"/>
      <c r="ULA3" s="242"/>
      <c r="ULB3" s="242"/>
      <c r="ULC3" s="242"/>
      <c r="ULD3" s="242"/>
      <c r="ULE3" s="242"/>
      <c r="ULF3" s="242"/>
      <c r="ULG3" s="242"/>
      <c r="ULH3" s="242"/>
      <c r="ULI3" s="242"/>
      <c r="ULJ3" s="242"/>
      <c r="ULK3" s="242"/>
      <c r="ULL3" s="242"/>
      <c r="ULM3" s="242"/>
      <c r="ULN3" s="242"/>
      <c r="ULO3" s="242"/>
      <c r="ULP3" s="242"/>
      <c r="ULQ3" s="242"/>
      <c r="ULR3" s="242"/>
      <c r="ULS3" s="242"/>
      <c r="ULT3" s="242"/>
      <c r="ULU3" s="242"/>
      <c r="ULV3" s="242"/>
      <c r="ULW3" s="242"/>
      <c r="ULX3" s="242"/>
      <c r="ULY3" s="242"/>
      <c r="ULZ3" s="242"/>
      <c r="UMA3" s="242"/>
      <c r="UMB3" s="242"/>
      <c r="UMC3" s="242"/>
      <c r="UMD3" s="242"/>
      <c r="UME3" s="242"/>
      <c r="UMF3" s="242"/>
      <c r="UMG3" s="242"/>
      <c r="UMH3" s="242"/>
      <c r="UMI3" s="242"/>
      <c r="UMJ3" s="242"/>
      <c r="UMK3" s="242"/>
      <c r="UML3" s="242"/>
      <c r="UMM3" s="242"/>
      <c r="UMN3" s="242"/>
      <c r="UMO3" s="242"/>
      <c r="UMP3" s="242"/>
      <c r="UMQ3" s="242"/>
      <c r="UMR3" s="242"/>
      <c r="UMS3" s="242"/>
      <c r="UMT3" s="242"/>
      <c r="UMU3" s="242"/>
      <c r="UMV3" s="242"/>
      <c r="UMW3" s="242"/>
      <c r="UMX3" s="242"/>
      <c r="UMY3" s="242"/>
      <c r="UMZ3" s="242"/>
      <c r="UNA3" s="242"/>
      <c r="UNB3" s="242"/>
      <c r="UNC3" s="242"/>
      <c r="UND3" s="242"/>
      <c r="UNE3" s="242"/>
      <c r="UNF3" s="242"/>
      <c r="UNG3" s="242"/>
      <c r="UNH3" s="242"/>
      <c r="UNI3" s="242"/>
      <c r="UNJ3" s="242"/>
      <c r="UNK3" s="242"/>
      <c r="UNL3" s="242"/>
      <c r="UNM3" s="242"/>
      <c r="UNN3" s="242"/>
      <c r="UNO3" s="242"/>
      <c r="UNP3" s="242"/>
      <c r="UNQ3" s="242"/>
      <c r="UNR3" s="242"/>
      <c r="UNS3" s="242"/>
      <c r="UNT3" s="242"/>
      <c r="UNU3" s="242"/>
      <c r="UNV3" s="242"/>
      <c r="UNW3" s="242"/>
      <c r="UNX3" s="242"/>
      <c r="UNY3" s="242"/>
      <c r="UNZ3" s="242"/>
      <c r="UOA3" s="242"/>
      <c r="UOB3" s="242"/>
      <c r="UOC3" s="242"/>
      <c r="UOD3" s="242"/>
      <c r="UOE3" s="242"/>
      <c r="UOF3" s="242"/>
      <c r="UOG3" s="242"/>
      <c r="UOH3" s="242"/>
      <c r="UOI3" s="242"/>
      <c r="UOJ3" s="242"/>
      <c r="UOK3" s="242"/>
      <c r="UOL3" s="242"/>
      <c r="UOM3" s="242"/>
      <c r="UON3" s="242"/>
      <c r="UOO3" s="242"/>
      <c r="UOP3" s="242"/>
      <c r="UOQ3" s="242"/>
      <c r="UOR3" s="242"/>
      <c r="UOS3" s="242"/>
      <c r="UOT3" s="242"/>
      <c r="UOU3" s="242"/>
      <c r="UOV3" s="242"/>
      <c r="UOW3" s="242"/>
      <c r="UOX3" s="242"/>
      <c r="UOY3" s="242"/>
      <c r="UOZ3" s="242"/>
      <c r="UPA3" s="242"/>
      <c r="UPB3" s="242"/>
      <c r="UPC3" s="242"/>
      <c r="UPD3" s="242"/>
      <c r="UPE3" s="242"/>
      <c r="UPF3" s="242"/>
      <c r="UPG3" s="242"/>
      <c r="UPH3" s="242"/>
      <c r="UPI3" s="242"/>
      <c r="UPJ3" s="242"/>
      <c r="UPK3" s="242"/>
      <c r="UPL3" s="242"/>
      <c r="UPM3" s="242"/>
      <c r="UPN3" s="242"/>
      <c r="UPO3" s="242"/>
      <c r="UPP3" s="242"/>
      <c r="UPQ3" s="242"/>
      <c r="UPR3" s="242"/>
      <c r="UPS3" s="242"/>
      <c r="UPT3" s="242"/>
      <c r="UPU3" s="242"/>
      <c r="UPV3" s="242"/>
      <c r="UPW3" s="242"/>
      <c r="UPX3" s="242"/>
      <c r="UPY3" s="242"/>
      <c r="UPZ3" s="242"/>
      <c r="UQA3" s="242"/>
      <c r="UQB3" s="242"/>
      <c r="UQC3" s="242"/>
      <c r="UQD3" s="242"/>
      <c r="UQE3" s="242"/>
      <c r="UQF3" s="242"/>
      <c r="UQG3" s="242"/>
      <c r="UQH3" s="242"/>
      <c r="UQI3" s="242"/>
      <c r="UQJ3" s="242"/>
      <c r="UQK3" s="242"/>
      <c r="UQL3" s="242"/>
      <c r="UQM3" s="242"/>
      <c r="UQN3" s="242"/>
      <c r="UQO3" s="242"/>
      <c r="UQP3" s="242"/>
      <c r="UQQ3" s="242"/>
      <c r="UQR3" s="242"/>
      <c r="UQS3" s="242"/>
      <c r="UQT3" s="242"/>
      <c r="UQU3" s="242"/>
      <c r="UQV3" s="242"/>
      <c r="UQW3" s="242"/>
      <c r="UQX3" s="242"/>
      <c r="UQY3" s="242"/>
      <c r="UQZ3" s="242"/>
      <c r="URA3" s="242"/>
      <c r="URB3" s="242"/>
      <c r="URC3" s="242"/>
      <c r="URD3" s="242"/>
      <c r="URE3" s="242"/>
      <c r="URF3" s="242"/>
      <c r="URG3" s="242"/>
      <c r="URH3" s="242"/>
      <c r="URI3" s="242"/>
      <c r="URJ3" s="242"/>
      <c r="URK3" s="242"/>
      <c r="URL3" s="242"/>
      <c r="URM3" s="242"/>
      <c r="URN3" s="242"/>
      <c r="URO3" s="242"/>
      <c r="URP3" s="242"/>
      <c r="URQ3" s="242"/>
      <c r="URR3" s="242"/>
      <c r="URS3" s="242"/>
      <c r="URT3" s="242"/>
      <c r="URU3" s="242"/>
      <c r="URV3" s="242"/>
      <c r="URW3" s="242"/>
      <c r="URX3" s="242"/>
      <c r="URY3" s="242"/>
      <c r="URZ3" s="242"/>
      <c r="USA3" s="242"/>
      <c r="USB3" s="242"/>
      <c r="USC3" s="242"/>
      <c r="USD3" s="242"/>
      <c r="USE3" s="242"/>
      <c r="USF3" s="242"/>
      <c r="USG3" s="242"/>
      <c r="USH3" s="242"/>
      <c r="USI3" s="242"/>
      <c r="USJ3" s="242"/>
      <c r="USK3" s="242"/>
      <c r="USL3" s="242"/>
      <c r="USM3" s="242"/>
      <c r="USN3" s="242"/>
      <c r="USO3" s="242"/>
      <c r="USP3" s="242"/>
      <c r="USQ3" s="242"/>
      <c r="USR3" s="242"/>
      <c r="USS3" s="242"/>
      <c r="UST3" s="242"/>
      <c r="USU3" s="242"/>
      <c r="USV3" s="242"/>
      <c r="USW3" s="242"/>
      <c r="USX3" s="242"/>
      <c r="USY3" s="242"/>
      <c r="USZ3" s="242"/>
      <c r="UTA3" s="242"/>
      <c r="UTB3" s="242"/>
      <c r="UTC3" s="242"/>
      <c r="UTD3" s="242"/>
      <c r="UTE3" s="242"/>
      <c r="UTF3" s="242"/>
      <c r="UTG3" s="242"/>
      <c r="UTH3" s="242"/>
      <c r="UTI3" s="242"/>
      <c r="UTJ3" s="242"/>
      <c r="UTK3" s="242"/>
      <c r="UTL3" s="242"/>
      <c r="UTM3" s="242"/>
      <c r="UTN3" s="242"/>
      <c r="UTO3" s="242"/>
      <c r="UTP3" s="242"/>
      <c r="UTQ3" s="242"/>
      <c r="UTR3" s="242"/>
      <c r="UTS3" s="242"/>
      <c r="UTT3" s="242"/>
      <c r="UTU3" s="242"/>
      <c r="UTV3" s="242"/>
      <c r="UTW3" s="242"/>
      <c r="UTX3" s="242"/>
      <c r="UTY3" s="242"/>
      <c r="UTZ3" s="242"/>
      <c r="UUA3" s="242"/>
      <c r="UUB3" s="242"/>
      <c r="UUC3" s="242"/>
      <c r="UUD3" s="242"/>
      <c r="UUE3" s="242"/>
      <c r="UUF3" s="242"/>
      <c r="UUG3" s="242"/>
      <c r="UUH3" s="242"/>
      <c r="UUI3" s="242"/>
      <c r="UUJ3" s="242"/>
      <c r="UUK3" s="242"/>
      <c r="UUL3" s="242"/>
      <c r="UUM3" s="242"/>
      <c r="UUN3" s="242"/>
      <c r="UUO3" s="242"/>
      <c r="UUP3" s="242"/>
      <c r="UUQ3" s="242"/>
      <c r="UUR3" s="242"/>
      <c r="UUS3" s="242"/>
      <c r="UUT3" s="242"/>
      <c r="UUU3" s="242"/>
      <c r="UUV3" s="242"/>
      <c r="UUW3" s="242"/>
      <c r="UUX3" s="242"/>
      <c r="UUY3" s="242"/>
      <c r="UUZ3" s="242"/>
      <c r="UVA3" s="242"/>
      <c r="UVB3" s="242"/>
      <c r="UVC3" s="242"/>
      <c r="UVD3" s="242"/>
      <c r="UVE3" s="242"/>
      <c r="UVF3" s="242"/>
      <c r="UVG3" s="242"/>
      <c r="UVH3" s="242"/>
      <c r="UVI3" s="242"/>
      <c r="UVJ3" s="242"/>
      <c r="UVK3" s="242"/>
      <c r="UVL3" s="242"/>
      <c r="UVM3" s="242"/>
      <c r="UVN3" s="242"/>
      <c r="UVO3" s="242"/>
      <c r="UVP3" s="242"/>
      <c r="UVQ3" s="242"/>
      <c r="UVR3" s="242"/>
      <c r="UVS3" s="242"/>
      <c r="UVT3" s="242"/>
      <c r="UVU3" s="242"/>
      <c r="UVV3" s="242"/>
      <c r="UVW3" s="242"/>
      <c r="UVX3" s="242"/>
      <c r="UVY3" s="242"/>
      <c r="UVZ3" s="242"/>
      <c r="UWA3" s="242"/>
      <c r="UWB3" s="242"/>
      <c r="UWC3" s="242"/>
      <c r="UWD3" s="242"/>
      <c r="UWE3" s="242"/>
      <c r="UWF3" s="242"/>
      <c r="UWG3" s="242"/>
      <c r="UWH3" s="242"/>
      <c r="UWI3" s="242"/>
      <c r="UWJ3" s="242"/>
      <c r="UWK3" s="242"/>
      <c r="UWL3" s="242"/>
      <c r="UWM3" s="242"/>
      <c r="UWN3" s="242"/>
      <c r="UWO3" s="242"/>
      <c r="UWP3" s="242"/>
      <c r="UWQ3" s="242"/>
      <c r="UWR3" s="242"/>
      <c r="UWS3" s="242"/>
      <c r="UWT3" s="242"/>
      <c r="UWU3" s="242"/>
      <c r="UWV3" s="242"/>
      <c r="UWW3" s="242"/>
      <c r="UWX3" s="242"/>
      <c r="UWY3" s="242"/>
      <c r="UWZ3" s="242"/>
      <c r="UXA3" s="242"/>
      <c r="UXB3" s="242"/>
      <c r="UXC3" s="242"/>
      <c r="UXD3" s="242"/>
      <c r="UXE3" s="242"/>
      <c r="UXF3" s="242"/>
      <c r="UXG3" s="242"/>
      <c r="UXH3" s="242"/>
      <c r="UXI3" s="242"/>
      <c r="UXJ3" s="242"/>
      <c r="UXK3" s="242"/>
      <c r="UXL3" s="242"/>
      <c r="UXM3" s="242"/>
      <c r="UXN3" s="242"/>
      <c r="UXO3" s="242"/>
      <c r="UXP3" s="242"/>
      <c r="UXQ3" s="242"/>
      <c r="UXR3" s="242"/>
      <c r="UXS3" s="242"/>
      <c r="UXT3" s="242"/>
      <c r="UXU3" s="242"/>
      <c r="UXV3" s="242"/>
      <c r="UXW3" s="242"/>
      <c r="UXX3" s="242"/>
      <c r="UXY3" s="242"/>
      <c r="UXZ3" s="242"/>
      <c r="UYA3" s="242"/>
      <c r="UYB3" s="242"/>
      <c r="UYC3" s="242"/>
      <c r="UYD3" s="242"/>
      <c r="UYE3" s="242"/>
      <c r="UYF3" s="242"/>
      <c r="UYG3" s="242"/>
      <c r="UYH3" s="242"/>
      <c r="UYI3" s="242"/>
      <c r="UYJ3" s="242"/>
      <c r="UYK3" s="242"/>
      <c r="UYL3" s="242"/>
      <c r="UYM3" s="242"/>
      <c r="UYN3" s="242"/>
      <c r="UYO3" s="242"/>
      <c r="UYP3" s="242"/>
      <c r="UYQ3" s="242"/>
      <c r="UYR3" s="242"/>
      <c r="UYS3" s="242"/>
      <c r="UYT3" s="242"/>
      <c r="UYU3" s="242"/>
      <c r="UYV3" s="242"/>
      <c r="UYW3" s="242"/>
      <c r="UYX3" s="242"/>
      <c r="UYY3" s="242"/>
      <c r="UYZ3" s="242"/>
      <c r="UZA3" s="242"/>
      <c r="UZB3" s="242"/>
      <c r="UZC3" s="242"/>
      <c r="UZD3" s="242"/>
      <c r="UZE3" s="242"/>
      <c r="UZF3" s="242"/>
      <c r="UZG3" s="242"/>
      <c r="UZH3" s="242"/>
      <c r="UZI3" s="242"/>
      <c r="UZJ3" s="242"/>
      <c r="UZK3" s="242"/>
      <c r="UZL3" s="242"/>
      <c r="UZM3" s="242"/>
      <c r="UZN3" s="242"/>
      <c r="UZO3" s="242"/>
      <c r="UZP3" s="242"/>
      <c r="UZQ3" s="242"/>
      <c r="UZR3" s="242"/>
      <c r="UZS3" s="242"/>
      <c r="UZT3" s="242"/>
      <c r="UZU3" s="242"/>
      <c r="UZV3" s="242"/>
      <c r="UZW3" s="242"/>
      <c r="UZX3" s="242"/>
      <c r="UZY3" s="242"/>
      <c r="UZZ3" s="242"/>
      <c r="VAA3" s="242"/>
      <c r="VAB3" s="242"/>
      <c r="VAC3" s="242"/>
      <c r="VAD3" s="242"/>
      <c r="VAE3" s="242"/>
      <c r="VAF3" s="242"/>
      <c r="VAG3" s="242"/>
      <c r="VAH3" s="242"/>
      <c r="VAI3" s="242"/>
      <c r="VAJ3" s="242"/>
      <c r="VAK3" s="242"/>
      <c r="VAL3" s="242"/>
      <c r="VAM3" s="242"/>
      <c r="VAN3" s="242"/>
      <c r="VAO3" s="242"/>
      <c r="VAP3" s="242"/>
      <c r="VAQ3" s="242"/>
      <c r="VAR3" s="242"/>
      <c r="VAS3" s="242"/>
      <c r="VAT3" s="242"/>
      <c r="VAU3" s="242"/>
      <c r="VAV3" s="242"/>
      <c r="VAW3" s="242"/>
      <c r="VAX3" s="242"/>
      <c r="VAY3" s="242"/>
      <c r="VAZ3" s="242"/>
      <c r="VBA3" s="242"/>
      <c r="VBB3" s="242"/>
      <c r="VBC3" s="242"/>
      <c r="VBD3" s="242"/>
      <c r="VBE3" s="242"/>
      <c r="VBF3" s="242"/>
      <c r="VBG3" s="242"/>
      <c r="VBH3" s="242"/>
      <c r="VBI3" s="242"/>
      <c r="VBJ3" s="242"/>
      <c r="VBK3" s="242"/>
      <c r="VBL3" s="242"/>
      <c r="VBM3" s="242"/>
      <c r="VBN3" s="242"/>
      <c r="VBO3" s="242"/>
      <c r="VBP3" s="242"/>
      <c r="VBQ3" s="242"/>
      <c r="VBR3" s="242"/>
      <c r="VBS3" s="242"/>
      <c r="VBT3" s="242"/>
      <c r="VBU3" s="242"/>
      <c r="VBV3" s="242"/>
      <c r="VBW3" s="242"/>
      <c r="VBX3" s="242"/>
      <c r="VBY3" s="242"/>
      <c r="VBZ3" s="242"/>
      <c r="VCA3" s="242"/>
      <c r="VCB3" s="242"/>
      <c r="VCC3" s="242"/>
      <c r="VCD3" s="242"/>
      <c r="VCE3" s="242"/>
      <c r="VCF3" s="242"/>
      <c r="VCG3" s="242"/>
      <c r="VCH3" s="242"/>
      <c r="VCI3" s="242"/>
      <c r="VCJ3" s="242"/>
      <c r="VCK3" s="242"/>
      <c r="VCL3" s="242"/>
      <c r="VCM3" s="242"/>
      <c r="VCN3" s="242"/>
      <c r="VCO3" s="242"/>
      <c r="VCP3" s="242"/>
      <c r="VCQ3" s="242"/>
      <c r="VCR3" s="242"/>
      <c r="VCS3" s="242"/>
      <c r="VCT3" s="242"/>
      <c r="VCU3" s="242"/>
      <c r="VCV3" s="242"/>
      <c r="VCW3" s="242"/>
      <c r="VCX3" s="242"/>
      <c r="VCY3" s="242"/>
      <c r="VCZ3" s="242"/>
      <c r="VDA3" s="242"/>
      <c r="VDB3" s="242"/>
      <c r="VDC3" s="242"/>
      <c r="VDD3" s="242"/>
      <c r="VDE3" s="242"/>
      <c r="VDF3" s="242"/>
      <c r="VDG3" s="242"/>
      <c r="VDH3" s="242"/>
      <c r="VDI3" s="242"/>
      <c r="VDJ3" s="242"/>
      <c r="VDK3" s="242"/>
      <c r="VDL3" s="242"/>
      <c r="VDM3" s="242"/>
      <c r="VDN3" s="242"/>
      <c r="VDO3" s="242"/>
      <c r="VDP3" s="242"/>
      <c r="VDQ3" s="242"/>
      <c r="VDR3" s="242"/>
      <c r="VDS3" s="242"/>
      <c r="VDT3" s="242"/>
      <c r="VDU3" s="242"/>
      <c r="VDV3" s="242"/>
      <c r="VDW3" s="242"/>
      <c r="VDX3" s="242"/>
      <c r="VDY3" s="242"/>
      <c r="VDZ3" s="242"/>
      <c r="VEA3" s="242"/>
      <c r="VEB3" s="242"/>
      <c r="VEC3" s="242"/>
      <c r="VED3" s="242"/>
      <c r="VEE3" s="242"/>
      <c r="VEF3" s="242"/>
      <c r="VEG3" s="242"/>
      <c r="VEH3" s="242"/>
      <c r="VEI3" s="242"/>
      <c r="VEJ3" s="242"/>
      <c r="VEK3" s="242"/>
      <c r="VEL3" s="242"/>
      <c r="VEM3" s="242"/>
      <c r="VEN3" s="242"/>
      <c r="VEO3" s="242"/>
      <c r="VEP3" s="242"/>
      <c r="VEQ3" s="242"/>
      <c r="VER3" s="242"/>
      <c r="VES3" s="242"/>
      <c r="VET3" s="242"/>
      <c r="VEU3" s="242"/>
      <c r="VEV3" s="242"/>
      <c r="VEW3" s="242"/>
      <c r="VEX3" s="242"/>
      <c r="VEY3" s="242"/>
      <c r="VEZ3" s="242"/>
      <c r="VFA3" s="242"/>
      <c r="VFB3" s="242"/>
      <c r="VFC3" s="242"/>
      <c r="VFD3" s="242"/>
      <c r="VFE3" s="242"/>
      <c r="VFF3" s="242"/>
      <c r="VFG3" s="242"/>
      <c r="VFH3" s="242"/>
      <c r="VFI3" s="242"/>
      <c r="VFJ3" s="242"/>
      <c r="VFK3" s="242"/>
      <c r="VFL3" s="242"/>
      <c r="VFM3" s="242"/>
      <c r="VFN3" s="242"/>
      <c r="VFO3" s="242"/>
      <c r="VFP3" s="242"/>
      <c r="VFQ3" s="242"/>
      <c r="VFR3" s="242"/>
      <c r="VFS3" s="242"/>
      <c r="VFT3" s="242"/>
      <c r="VFU3" s="242"/>
      <c r="VFV3" s="242"/>
      <c r="VFW3" s="242"/>
      <c r="VFX3" s="242"/>
      <c r="VFY3" s="242"/>
      <c r="VFZ3" s="242"/>
      <c r="VGA3" s="242"/>
      <c r="VGB3" s="242"/>
      <c r="VGC3" s="242"/>
      <c r="VGD3" s="242"/>
      <c r="VGE3" s="242"/>
      <c r="VGF3" s="242"/>
      <c r="VGG3" s="242"/>
      <c r="VGH3" s="242"/>
      <c r="VGI3" s="242"/>
      <c r="VGJ3" s="242"/>
      <c r="VGK3" s="242"/>
      <c r="VGL3" s="242"/>
      <c r="VGM3" s="242"/>
      <c r="VGN3" s="242"/>
      <c r="VGO3" s="242"/>
      <c r="VGP3" s="242"/>
      <c r="VGQ3" s="242"/>
      <c r="VGR3" s="242"/>
      <c r="VGS3" s="242"/>
      <c r="VGT3" s="242"/>
      <c r="VGU3" s="242"/>
      <c r="VGV3" s="242"/>
      <c r="VGW3" s="242"/>
      <c r="VGX3" s="242"/>
      <c r="VGY3" s="242"/>
      <c r="VGZ3" s="242"/>
      <c r="VHA3" s="242"/>
      <c r="VHB3" s="242"/>
      <c r="VHC3" s="242"/>
      <c r="VHD3" s="242"/>
      <c r="VHE3" s="242"/>
      <c r="VHF3" s="242"/>
      <c r="VHG3" s="242"/>
      <c r="VHH3" s="242"/>
      <c r="VHI3" s="242"/>
      <c r="VHJ3" s="242"/>
      <c r="VHK3" s="242"/>
      <c r="VHL3" s="242"/>
      <c r="VHM3" s="242"/>
      <c r="VHN3" s="242"/>
      <c r="VHO3" s="242"/>
      <c r="VHP3" s="242"/>
      <c r="VHQ3" s="242"/>
      <c r="VHR3" s="242"/>
      <c r="VHS3" s="242"/>
      <c r="VHT3" s="242"/>
      <c r="VHU3" s="242"/>
      <c r="VHV3" s="242"/>
      <c r="VHW3" s="242"/>
      <c r="VHX3" s="242"/>
      <c r="VHY3" s="242"/>
      <c r="VHZ3" s="242"/>
      <c r="VIA3" s="242"/>
      <c r="VIB3" s="242"/>
      <c r="VIC3" s="242"/>
      <c r="VID3" s="242"/>
      <c r="VIE3" s="242"/>
      <c r="VIF3" s="242"/>
      <c r="VIG3" s="242"/>
      <c r="VIH3" s="242"/>
      <c r="VII3" s="242"/>
      <c r="VIJ3" s="242"/>
      <c r="VIK3" s="242"/>
      <c r="VIL3" s="242"/>
      <c r="VIM3" s="242"/>
      <c r="VIN3" s="242"/>
      <c r="VIO3" s="242"/>
      <c r="VIP3" s="242"/>
      <c r="VIQ3" s="242"/>
      <c r="VIR3" s="242"/>
      <c r="VIS3" s="242"/>
      <c r="VIT3" s="242"/>
      <c r="VIU3" s="242"/>
      <c r="VIV3" s="242"/>
      <c r="VIW3" s="242"/>
      <c r="VIX3" s="242"/>
      <c r="VIY3" s="242"/>
      <c r="VIZ3" s="242"/>
      <c r="VJA3" s="242"/>
      <c r="VJB3" s="242"/>
      <c r="VJC3" s="242"/>
      <c r="VJD3" s="242"/>
      <c r="VJE3" s="242"/>
      <c r="VJF3" s="242"/>
      <c r="VJG3" s="242"/>
      <c r="VJH3" s="242"/>
      <c r="VJI3" s="242"/>
      <c r="VJJ3" s="242"/>
      <c r="VJK3" s="242"/>
      <c r="VJL3" s="242"/>
      <c r="VJM3" s="242"/>
      <c r="VJN3" s="242"/>
      <c r="VJO3" s="242"/>
      <c r="VJP3" s="242"/>
      <c r="VJQ3" s="242"/>
      <c r="VJR3" s="242"/>
      <c r="VJS3" s="242"/>
      <c r="VJT3" s="242"/>
      <c r="VJU3" s="242"/>
      <c r="VJV3" s="242"/>
      <c r="VJW3" s="242"/>
      <c r="VJX3" s="242"/>
      <c r="VJY3" s="242"/>
      <c r="VJZ3" s="242"/>
      <c r="VKA3" s="242"/>
      <c r="VKB3" s="242"/>
      <c r="VKC3" s="242"/>
      <c r="VKD3" s="242"/>
      <c r="VKE3" s="242"/>
      <c r="VKF3" s="242"/>
      <c r="VKG3" s="242"/>
      <c r="VKH3" s="242"/>
      <c r="VKI3" s="242"/>
      <c r="VKJ3" s="242"/>
      <c r="VKK3" s="242"/>
      <c r="VKL3" s="242"/>
      <c r="VKM3" s="242"/>
      <c r="VKN3" s="242"/>
      <c r="VKO3" s="242"/>
      <c r="VKP3" s="242"/>
      <c r="VKQ3" s="242"/>
      <c r="VKR3" s="242"/>
      <c r="VKS3" s="242"/>
      <c r="VKT3" s="242"/>
      <c r="VKU3" s="242"/>
      <c r="VKV3" s="242"/>
      <c r="VKW3" s="242"/>
      <c r="VKX3" s="242"/>
      <c r="VKY3" s="242"/>
      <c r="VKZ3" s="242"/>
      <c r="VLA3" s="242"/>
      <c r="VLB3" s="242"/>
      <c r="VLC3" s="242"/>
      <c r="VLD3" s="242"/>
      <c r="VLE3" s="242"/>
      <c r="VLF3" s="242"/>
      <c r="VLG3" s="242"/>
      <c r="VLH3" s="242"/>
      <c r="VLI3" s="242"/>
      <c r="VLJ3" s="242"/>
      <c r="VLK3" s="242"/>
      <c r="VLL3" s="242"/>
      <c r="VLM3" s="242"/>
      <c r="VLN3" s="242"/>
      <c r="VLO3" s="242"/>
      <c r="VLP3" s="242"/>
      <c r="VLQ3" s="242"/>
      <c r="VLR3" s="242"/>
      <c r="VLS3" s="242"/>
      <c r="VLT3" s="242"/>
      <c r="VLU3" s="242"/>
      <c r="VLV3" s="242"/>
      <c r="VLW3" s="242"/>
      <c r="VLX3" s="242"/>
      <c r="VLY3" s="242"/>
      <c r="VLZ3" s="242"/>
      <c r="VMA3" s="242"/>
      <c r="VMB3" s="242"/>
      <c r="VMC3" s="242"/>
      <c r="VMD3" s="242"/>
      <c r="VME3" s="242"/>
      <c r="VMF3" s="242"/>
      <c r="VMG3" s="242"/>
      <c r="VMH3" s="242"/>
      <c r="VMI3" s="242"/>
      <c r="VMJ3" s="242"/>
      <c r="VMK3" s="242"/>
      <c r="VML3" s="242"/>
      <c r="VMM3" s="242"/>
      <c r="VMN3" s="242"/>
      <c r="VMO3" s="242"/>
      <c r="VMP3" s="242"/>
      <c r="VMQ3" s="242"/>
      <c r="VMR3" s="242"/>
      <c r="VMS3" s="242"/>
      <c r="VMT3" s="242"/>
      <c r="VMU3" s="242"/>
      <c r="VMV3" s="242"/>
      <c r="VMW3" s="242"/>
      <c r="VMX3" s="242"/>
      <c r="VMY3" s="242"/>
      <c r="VMZ3" s="242"/>
      <c r="VNA3" s="242"/>
      <c r="VNB3" s="242"/>
      <c r="VNC3" s="242"/>
      <c r="VND3" s="242"/>
      <c r="VNE3" s="242"/>
      <c r="VNF3" s="242"/>
      <c r="VNG3" s="242"/>
      <c r="VNH3" s="242"/>
      <c r="VNI3" s="242"/>
      <c r="VNJ3" s="242"/>
      <c r="VNK3" s="242"/>
      <c r="VNL3" s="242"/>
      <c r="VNM3" s="242"/>
      <c r="VNN3" s="242"/>
      <c r="VNO3" s="242"/>
      <c r="VNP3" s="242"/>
      <c r="VNQ3" s="242"/>
      <c r="VNR3" s="242"/>
      <c r="VNS3" s="242"/>
      <c r="VNT3" s="242"/>
      <c r="VNU3" s="242"/>
      <c r="VNV3" s="242"/>
      <c r="VNW3" s="242"/>
      <c r="VNX3" s="242"/>
      <c r="VNY3" s="242"/>
      <c r="VNZ3" s="242"/>
      <c r="VOA3" s="242"/>
      <c r="VOB3" s="242"/>
      <c r="VOC3" s="242"/>
      <c r="VOD3" s="242"/>
      <c r="VOE3" s="242"/>
      <c r="VOF3" s="242"/>
      <c r="VOG3" s="242"/>
      <c r="VOH3" s="242"/>
      <c r="VOI3" s="242"/>
      <c r="VOJ3" s="242"/>
      <c r="VOK3" s="242"/>
      <c r="VOL3" s="242"/>
      <c r="VOM3" s="242"/>
      <c r="VON3" s="242"/>
      <c r="VOO3" s="242"/>
      <c r="VOP3" s="242"/>
      <c r="VOQ3" s="242"/>
      <c r="VOR3" s="242"/>
      <c r="VOS3" s="242"/>
      <c r="VOT3" s="242"/>
      <c r="VOU3" s="242"/>
      <c r="VOV3" s="242"/>
      <c r="VOW3" s="242"/>
      <c r="VOX3" s="242"/>
      <c r="VOY3" s="242"/>
      <c r="VOZ3" s="242"/>
      <c r="VPA3" s="242"/>
      <c r="VPB3" s="242"/>
      <c r="VPC3" s="242"/>
      <c r="VPD3" s="242"/>
      <c r="VPE3" s="242"/>
      <c r="VPF3" s="242"/>
      <c r="VPG3" s="242"/>
      <c r="VPH3" s="242"/>
      <c r="VPI3" s="242"/>
      <c r="VPJ3" s="242"/>
      <c r="VPK3" s="242"/>
      <c r="VPL3" s="242"/>
      <c r="VPM3" s="242"/>
      <c r="VPN3" s="242"/>
      <c r="VPO3" s="242"/>
      <c r="VPP3" s="242"/>
      <c r="VPQ3" s="242"/>
      <c r="VPR3" s="242"/>
      <c r="VPS3" s="242"/>
      <c r="VPT3" s="242"/>
      <c r="VPU3" s="242"/>
      <c r="VPV3" s="242"/>
      <c r="VPW3" s="242"/>
      <c r="VPX3" s="242"/>
      <c r="VPY3" s="242"/>
      <c r="VPZ3" s="242"/>
      <c r="VQA3" s="242"/>
      <c r="VQB3" s="242"/>
      <c r="VQC3" s="242"/>
      <c r="VQD3" s="242"/>
      <c r="VQE3" s="242"/>
      <c r="VQF3" s="242"/>
      <c r="VQG3" s="242"/>
      <c r="VQH3" s="242"/>
      <c r="VQI3" s="242"/>
      <c r="VQJ3" s="242"/>
      <c r="VQK3" s="242"/>
      <c r="VQL3" s="242"/>
      <c r="VQM3" s="242"/>
      <c r="VQN3" s="242"/>
      <c r="VQO3" s="242"/>
      <c r="VQP3" s="242"/>
      <c r="VQQ3" s="242"/>
      <c r="VQR3" s="242"/>
      <c r="VQS3" s="242"/>
      <c r="VQT3" s="242"/>
      <c r="VQU3" s="242"/>
      <c r="VQV3" s="242"/>
      <c r="VQW3" s="242"/>
      <c r="VQX3" s="242"/>
      <c r="VQY3" s="242"/>
      <c r="VQZ3" s="242"/>
      <c r="VRA3" s="242"/>
      <c r="VRB3" s="242"/>
      <c r="VRC3" s="242"/>
      <c r="VRD3" s="242"/>
      <c r="VRE3" s="242"/>
      <c r="VRF3" s="242"/>
      <c r="VRG3" s="242"/>
      <c r="VRH3" s="242"/>
      <c r="VRI3" s="242"/>
      <c r="VRJ3" s="242"/>
      <c r="VRK3" s="242"/>
      <c r="VRL3" s="242"/>
      <c r="VRM3" s="242"/>
      <c r="VRN3" s="242"/>
      <c r="VRO3" s="242"/>
      <c r="VRP3" s="242"/>
      <c r="VRQ3" s="242"/>
      <c r="VRR3" s="242"/>
      <c r="VRS3" s="242"/>
      <c r="VRT3" s="242"/>
      <c r="VRU3" s="242"/>
      <c r="VRV3" s="242"/>
      <c r="VRW3" s="242"/>
      <c r="VRX3" s="242"/>
      <c r="VRY3" s="242"/>
      <c r="VRZ3" s="242"/>
      <c r="VSA3" s="242"/>
      <c r="VSB3" s="242"/>
      <c r="VSC3" s="242"/>
      <c r="VSD3" s="242"/>
      <c r="VSE3" s="242"/>
      <c r="VSF3" s="242"/>
      <c r="VSG3" s="242"/>
      <c r="VSH3" s="242"/>
      <c r="VSI3" s="242"/>
      <c r="VSJ3" s="242"/>
      <c r="VSK3" s="242"/>
      <c r="VSL3" s="242"/>
      <c r="VSM3" s="242"/>
      <c r="VSN3" s="242"/>
      <c r="VSO3" s="242"/>
      <c r="VSP3" s="242"/>
      <c r="VSQ3" s="242"/>
      <c r="VSR3" s="242"/>
      <c r="VSS3" s="242"/>
      <c r="VST3" s="242"/>
      <c r="VSU3" s="242"/>
      <c r="VSV3" s="242"/>
      <c r="VSW3" s="242"/>
      <c r="VSX3" s="242"/>
      <c r="VSY3" s="242"/>
      <c r="VSZ3" s="242"/>
      <c r="VTA3" s="242"/>
      <c r="VTB3" s="242"/>
      <c r="VTC3" s="242"/>
      <c r="VTD3" s="242"/>
      <c r="VTE3" s="242"/>
      <c r="VTF3" s="242"/>
      <c r="VTG3" s="242"/>
      <c r="VTH3" s="242"/>
      <c r="VTI3" s="242"/>
      <c r="VTJ3" s="242"/>
      <c r="VTK3" s="242"/>
      <c r="VTL3" s="242"/>
      <c r="VTM3" s="242"/>
      <c r="VTN3" s="242"/>
      <c r="VTO3" s="242"/>
      <c r="VTP3" s="242"/>
      <c r="VTQ3" s="242"/>
      <c r="VTR3" s="242"/>
      <c r="VTS3" s="242"/>
      <c r="VTT3" s="242"/>
      <c r="VTU3" s="242"/>
      <c r="VTV3" s="242"/>
      <c r="VTW3" s="242"/>
      <c r="VTX3" s="242"/>
      <c r="VTY3" s="242"/>
      <c r="VTZ3" s="242"/>
      <c r="VUA3" s="242"/>
      <c r="VUB3" s="242"/>
      <c r="VUC3" s="242"/>
      <c r="VUD3" s="242"/>
      <c r="VUE3" s="242"/>
      <c r="VUF3" s="242"/>
      <c r="VUG3" s="242"/>
      <c r="VUH3" s="242"/>
      <c r="VUI3" s="242"/>
      <c r="VUJ3" s="242"/>
      <c r="VUK3" s="242"/>
      <c r="VUL3" s="242"/>
      <c r="VUM3" s="242"/>
      <c r="VUN3" s="242"/>
      <c r="VUO3" s="242"/>
      <c r="VUP3" s="242"/>
      <c r="VUQ3" s="242"/>
      <c r="VUR3" s="242"/>
      <c r="VUS3" s="242"/>
      <c r="VUT3" s="242"/>
      <c r="VUU3" s="242"/>
      <c r="VUV3" s="242"/>
      <c r="VUW3" s="242"/>
      <c r="VUX3" s="242"/>
      <c r="VUY3" s="242"/>
      <c r="VUZ3" s="242"/>
      <c r="VVA3" s="242"/>
      <c r="VVB3" s="242"/>
      <c r="VVC3" s="242"/>
      <c r="VVD3" s="242"/>
      <c r="VVE3" s="242"/>
      <c r="VVF3" s="242"/>
      <c r="VVG3" s="242"/>
      <c r="VVH3" s="242"/>
      <c r="VVI3" s="242"/>
      <c r="VVJ3" s="242"/>
      <c r="VVK3" s="242"/>
      <c r="VVL3" s="242"/>
      <c r="VVM3" s="242"/>
      <c r="VVN3" s="242"/>
      <c r="VVO3" s="242"/>
      <c r="VVP3" s="242"/>
      <c r="VVQ3" s="242"/>
      <c r="VVR3" s="242"/>
      <c r="VVS3" s="242"/>
      <c r="VVT3" s="242"/>
      <c r="VVU3" s="242"/>
      <c r="VVV3" s="242"/>
      <c r="VVW3" s="242"/>
      <c r="VVX3" s="242"/>
      <c r="VVY3" s="242"/>
      <c r="VVZ3" s="242"/>
      <c r="VWA3" s="242"/>
      <c r="VWB3" s="242"/>
      <c r="VWC3" s="242"/>
      <c r="VWD3" s="242"/>
      <c r="VWE3" s="242"/>
      <c r="VWF3" s="242"/>
      <c r="VWG3" s="242"/>
      <c r="VWH3" s="242"/>
      <c r="VWI3" s="242"/>
      <c r="VWJ3" s="242"/>
      <c r="VWK3" s="242"/>
      <c r="VWL3" s="242"/>
      <c r="VWM3" s="242"/>
      <c r="VWN3" s="242"/>
      <c r="VWO3" s="242"/>
      <c r="VWP3" s="242"/>
      <c r="VWQ3" s="242"/>
      <c r="VWR3" s="242"/>
      <c r="VWS3" s="242"/>
      <c r="VWT3" s="242"/>
      <c r="VWU3" s="242"/>
      <c r="VWV3" s="242"/>
      <c r="VWW3" s="242"/>
      <c r="VWX3" s="242"/>
      <c r="VWY3" s="242"/>
      <c r="VWZ3" s="242"/>
      <c r="VXA3" s="242"/>
      <c r="VXB3" s="242"/>
      <c r="VXC3" s="242"/>
      <c r="VXD3" s="242"/>
      <c r="VXE3" s="242"/>
      <c r="VXF3" s="242"/>
      <c r="VXG3" s="242"/>
      <c r="VXH3" s="242"/>
      <c r="VXI3" s="242"/>
      <c r="VXJ3" s="242"/>
      <c r="VXK3" s="242"/>
      <c r="VXL3" s="242"/>
      <c r="VXM3" s="242"/>
      <c r="VXN3" s="242"/>
      <c r="VXO3" s="242"/>
      <c r="VXP3" s="242"/>
      <c r="VXQ3" s="242"/>
      <c r="VXR3" s="242"/>
      <c r="VXS3" s="242"/>
      <c r="VXT3" s="242"/>
      <c r="VXU3" s="242"/>
      <c r="VXV3" s="242"/>
      <c r="VXW3" s="242"/>
      <c r="VXX3" s="242"/>
      <c r="VXY3" s="242"/>
      <c r="VXZ3" s="242"/>
      <c r="VYA3" s="242"/>
      <c r="VYB3" s="242"/>
      <c r="VYC3" s="242"/>
      <c r="VYD3" s="242"/>
      <c r="VYE3" s="242"/>
      <c r="VYF3" s="242"/>
      <c r="VYG3" s="242"/>
      <c r="VYH3" s="242"/>
      <c r="VYI3" s="242"/>
      <c r="VYJ3" s="242"/>
      <c r="VYK3" s="242"/>
      <c r="VYL3" s="242"/>
      <c r="VYM3" s="242"/>
      <c r="VYN3" s="242"/>
      <c r="VYO3" s="242"/>
      <c r="VYP3" s="242"/>
      <c r="VYQ3" s="242"/>
      <c r="VYR3" s="242"/>
      <c r="VYS3" s="242"/>
      <c r="VYT3" s="242"/>
      <c r="VYU3" s="242"/>
      <c r="VYV3" s="242"/>
      <c r="VYW3" s="242"/>
      <c r="VYX3" s="242"/>
      <c r="VYY3" s="242"/>
      <c r="VYZ3" s="242"/>
      <c r="VZA3" s="242"/>
      <c r="VZB3" s="242"/>
      <c r="VZC3" s="242"/>
      <c r="VZD3" s="242"/>
      <c r="VZE3" s="242"/>
      <c r="VZF3" s="242"/>
      <c r="VZG3" s="242"/>
      <c r="VZH3" s="242"/>
      <c r="VZI3" s="242"/>
      <c r="VZJ3" s="242"/>
      <c r="VZK3" s="242"/>
      <c r="VZL3" s="242"/>
      <c r="VZM3" s="242"/>
      <c r="VZN3" s="242"/>
      <c r="VZO3" s="242"/>
      <c r="VZP3" s="242"/>
      <c r="VZQ3" s="242"/>
      <c r="VZR3" s="242"/>
      <c r="VZS3" s="242"/>
      <c r="VZT3" s="242"/>
      <c r="VZU3" s="242"/>
      <c r="VZV3" s="242"/>
      <c r="VZW3" s="242"/>
      <c r="VZX3" s="242"/>
      <c r="VZY3" s="242"/>
      <c r="VZZ3" s="242"/>
      <c r="WAA3" s="242"/>
      <c r="WAB3" s="242"/>
      <c r="WAC3" s="242"/>
      <c r="WAD3" s="242"/>
      <c r="WAE3" s="242"/>
      <c r="WAF3" s="242"/>
      <c r="WAG3" s="242"/>
      <c r="WAH3" s="242"/>
      <c r="WAI3" s="242"/>
      <c r="WAJ3" s="242"/>
      <c r="WAK3" s="242"/>
      <c r="WAL3" s="242"/>
      <c r="WAM3" s="242"/>
      <c r="WAN3" s="242"/>
      <c r="WAO3" s="242"/>
      <c r="WAP3" s="242"/>
      <c r="WAQ3" s="242"/>
      <c r="WAR3" s="242"/>
      <c r="WAS3" s="242"/>
      <c r="WAT3" s="242"/>
      <c r="WAU3" s="242"/>
      <c r="WAV3" s="242"/>
      <c r="WAW3" s="242"/>
      <c r="WAX3" s="242"/>
      <c r="WAY3" s="242"/>
      <c r="WAZ3" s="242"/>
      <c r="WBA3" s="242"/>
      <c r="WBB3" s="242"/>
      <c r="WBC3" s="242"/>
      <c r="WBD3" s="242"/>
      <c r="WBE3" s="242"/>
      <c r="WBF3" s="242"/>
      <c r="WBG3" s="242"/>
      <c r="WBH3" s="242"/>
      <c r="WBI3" s="242"/>
      <c r="WBJ3" s="242"/>
      <c r="WBK3" s="242"/>
      <c r="WBL3" s="242"/>
      <c r="WBM3" s="242"/>
      <c r="WBN3" s="242"/>
      <c r="WBO3" s="242"/>
      <c r="WBP3" s="242"/>
      <c r="WBQ3" s="242"/>
      <c r="WBR3" s="242"/>
      <c r="WBS3" s="242"/>
      <c r="WBT3" s="242"/>
      <c r="WBU3" s="242"/>
      <c r="WBV3" s="242"/>
      <c r="WBW3" s="242"/>
      <c r="WBX3" s="242"/>
      <c r="WBY3" s="242"/>
      <c r="WBZ3" s="242"/>
      <c r="WCA3" s="242"/>
      <c r="WCB3" s="242"/>
      <c r="WCC3" s="242"/>
      <c r="WCD3" s="242"/>
      <c r="WCE3" s="242"/>
      <c r="WCF3" s="242"/>
      <c r="WCG3" s="242"/>
      <c r="WCH3" s="242"/>
      <c r="WCI3" s="242"/>
      <c r="WCJ3" s="242"/>
      <c r="WCK3" s="242"/>
      <c r="WCL3" s="242"/>
      <c r="WCM3" s="242"/>
      <c r="WCN3" s="242"/>
      <c r="WCO3" s="242"/>
      <c r="WCP3" s="242"/>
      <c r="WCQ3" s="242"/>
      <c r="WCR3" s="242"/>
      <c r="WCS3" s="242"/>
      <c r="WCT3" s="242"/>
      <c r="WCU3" s="242"/>
      <c r="WCV3" s="242"/>
      <c r="WCW3" s="242"/>
      <c r="WCX3" s="242"/>
      <c r="WCY3" s="242"/>
      <c r="WCZ3" s="242"/>
      <c r="WDA3" s="242"/>
      <c r="WDB3" s="242"/>
      <c r="WDC3" s="242"/>
      <c r="WDD3" s="242"/>
      <c r="WDE3" s="242"/>
      <c r="WDF3" s="242"/>
      <c r="WDG3" s="242"/>
      <c r="WDH3" s="242"/>
      <c r="WDI3" s="242"/>
      <c r="WDJ3" s="242"/>
      <c r="WDK3" s="242"/>
      <c r="WDL3" s="242"/>
      <c r="WDM3" s="242"/>
      <c r="WDN3" s="242"/>
      <c r="WDO3" s="242"/>
      <c r="WDP3" s="242"/>
      <c r="WDQ3" s="242"/>
      <c r="WDR3" s="242"/>
      <c r="WDS3" s="242"/>
      <c r="WDT3" s="242"/>
      <c r="WDU3" s="242"/>
      <c r="WDV3" s="242"/>
      <c r="WDW3" s="242"/>
      <c r="WDX3" s="242"/>
      <c r="WDY3" s="242"/>
      <c r="WDZ3" s="242"/>
      <c r="WEA3" s="242"/>
      <c r="WEB3" s="242"/>
      <c r="WEC3" s="242"/>
      <c r="WED3" s="242"/>
      <c r="WEE3" s="242"/>
      <c r="WEF3" s="242"/>
      <c r="WEG3" s="242"/>
      <c r="WEH3" s="242"/>
      <c r="WEI3" s="242"/>
      <c r="WEJ3" s="242"/>
      <c r="WEK3" s="242"/>
      <c r="WEL3" s="242"/>
      <c r="WEM3" s="242"/>
      <c r="WEN3" s="242"/>
      <c r="WEO3" s="242"/>
      <c r="WEP3" s="242"/>
      <c r="WEQ3" s="242"/>
      <c r="WER3" s="242"/>
      <c r="WES3" s="242"/>
      <c r="WET3" s="242"/>
      <c r="WEU3" s="242"/>
      <c r="WEV3" s="242"/>
      <c r="WEW3" s="242"/>
      <c r="WEX3" s="242"/>
      <c r="WEY3" s="242"/>
      <c r="WEZ3" s="242"/>
      <c r="WFA3" s="242"/>
      <c r="WFB3" s="242"/>
      <c r="WFC3" s="242"/>
      <c r="WFD3" s="242"/>
      <c r="WFE3" s="242"/>
      <c r="WFF3" s="242"/>
      <c r="WFG3" s="242"/>
      <c r="WFH3" s="242"/>
      <c r="WFI3" s="242"/>
      <c r="WFJ3" s="242"/>
      <c r="WFK3" s="242"/>
      <c r="WFL3" s="242"/>
      <c r="WFM3" s="242"/>
      <c r="WFN3" s="242"/>
      <c r="WFO3" s="242"/>
      <c r="WFP3" s="242"/>
      <c r="WFQ3" s="242"/>
      <c r="WFR3" s="242"/>
      <c r="WFS3" s="242"/>
      <c r="WFT3" s="242"/>
      <c r="WFU3" s="242"/>
      <c r="WFV3" s="242"/>
      <c r="WFW3" s="242"/>
      <c r="WFX3" s="242"/>
      <c r="WFY3" s="242"/>
      <c r="WFZ3" s="242"/>
      <c r="WGA3" s="242"/>
      <c r="WGB3" s="242"/>
      <c r="WGC3" s="242"/>
      <c r="WGD3" s="242"/>
      <c r="WGE3" s="242"/>
      <c r="WGF3" s="242"/>
      <c r="WGG3" s="242"/>
      <c r="WGH3" s="242"/>
      <c r="WGI3" s="242"/>
      <c r="WGJ3" s="242"/>
      <c r="WGK3" s="242"/>
      <c r="WGL3" s="242"/>
      <c r="WGM3" s="242"/>
      <c r="WGN3" s="242"/>
      <c r="WGO3" s="242"/>
      <c r="WGP3" s="242"/>
      <c r="WGQ3" s="242"/>
      <c r="WGR3" s="242"/>
      <c r="WGS3" s="242"/>
      <c r="WGT3" s="242"/>
      <c r="WGU3" s="242"/>
      <c r="WGV3" s="242"/>
      <c r="WGW3" s="242"/>
      <c r="WGX3" s="242"/>
      <c r="WGY3" s="242"/>
      <c r="WGZ3" s="242"/>
      <c r="WHA3" s="242"/>
      <c r="WHB3" s="242"/>
      <c r="WHC3" s="242"/>
      <c r="WHD3" s="242"/>
      <c r="WHE3" s="242"/>
      <c r="WHF3" s="242"/>
      <c r="WHG3" s="242"/>
      <c r="WHH3" s="242"/>
      <c r="WHI3" s="242"/>
      <c r="WHJ3" s="242"/>
      <c r="WHK3" s="242"/>
      <c r="WHL3" s="242"/>
      <c r="WHM3" s="242"/>
      <c r="WHN3" s="242"/>
      <c r="WHO3" s="242"/>
      <c r="WHP3" s="242"/>
      <c r="WHQ3" s="242"/>
      <c r="WHR3" s="242"/>
      <c r="WHS3" s="242"/>
      <c r="WHT3" s="242"/>
      <c r="WHU3" s="242"/>
      <c r="WHV3" s="242"/>
      <c r="WHW3" s="242"/>
      <c r="WHX3" s="242"/>
      <c r="WHY3" s="242"/>
      <c r="WHZ3" s="242"/>
      <c r="WIA3" s="242"/>
      <c r="WIB3" s="242"/>
      <c r="WIC3" s="242"/>
      <c r="WID3" s="242"/>
      <c r="WIE3" s="242"/>
      <c r="WIF3" s="242"/>
      <c r="WIG3" s="242"/>
      <c r="WIH3" s="242"/>
      <c r="WII3" s="242"/>
      <c r="WIJ3" s="242"/>
      <c r="WIK3" s="242"/>
      <c r="WIL3" s="242"/>
      <c r="WIM3" s="242"/>
      <c r="WIN3" s="242"/>
      <c r="WIO3" s="242"/>
      <c r="WIP3" s="242"/>
      <c r="WIQ3" s="242"/>
      <c r="WIR3" s="242"/>
      <c r="WIS3" s="242"/>
      <c r="WIT3" s="242"/>
      <c r="WIU3" s="242"/>
      <c r="WIV3" s="242"/>
      <c r="WIW3" s="242"/>
      <c r="WIX3" s="242"/>
      <c r="WIY3" s="242"/>
      <c r="WIZ3" s="242"/>
      <c r="WJA3" s="242"/>
      <c r="WJB3" s="242"/>
      <c r="WJC3" s="242"/>
      <c r="WJD3" s="242"/>
      <c r="WJE3" s="242"/>
      <c r="WJF3" s="242"/>
      <c r="WJG3" s="242"/>
      <c r="WJH3" s="242"/>
      <c r="WJI3" s="242"/>
      <c r="WJJ3" s="242"/>
      <c r="WJK3" s="242"/>
      <c r="WJL3" s="242"/>
      <c r="WJM3" s="242"/>
      <c r="WJN3" s="242"/>
      <c r="WJO3" s="242"/>
      <c r="WJP3" s="242"/>
      <c r="WJQ3" s="242"/>
      <c r="WJR3" s="242"/>
      <c r="WJS3" s="242"/>
      <c r="WJT3" s="242"/>
      <c r="WJU3" s="242"/>
      <c r="WJV3" s="242"/>
      <c r="WJW3" s="242"/>
      <c r="WJX3" s="242"/>
      <c r="WJY3" s="242"/>
      <c r="WJZ3" s="242"/>
      <c r="WKA3" s="242"/>
      <c r="WKB3" s="242"/>
      <c r="WKC3" s="242"/>
      <c r="WKD3" s="242"/>
      <c r="WKE3" s="242"/>
      <c r="WKF3" s="242"/>
      <c r="WKG3" s="242"/>
      <c r="WKH3" s="242"/>
      <c r="WKI3" s="242"/>
      <c r="WKJ3" s="242"/>
      <c r="WKK3" s="242"/>
      <c r="WKL3" s="242"/>
      <c r="WKM3" s="242"/>
      <c r="WKN3" s="242"/>
      <c r="WKO3" s="242"/>
      <c r="WKP3" s="242"/>
      <c r="WKQ3" s="242"/>
      <c r="WKR3" s="242"/>
      <c r="WKS3" s="242"/>
      <c r="WKT3" s="242"/>
      <c r="WKU3" s="242"/>
      <c r="WKV3" s="242"/>
      <c r="WKW3" s="242"/>
      <c r="WKX3" s="242"/>
      <c r="WKY3" s="242"/>
      <c r="WKZ3" s="242"/>
      <c r="WLA3" s="242"/>
      <c r="WLB3" s="242"/>
      <c r="WLC3" s="242"/>
      <c r="WLD3" s="242"/>
      <c r="WLE3" s="242"/>
      <c r="WLF3" s="242"/>
      <c r="WLG3" s="242"/>
      <c r="WLH3" s="242"/>
      <c r="WLI3" s="242"/>
      <c r="WLJ3" s="242"/>
      <c r="WLK3" s="242"/>
      <c r="WLL3" s="242"/>
      <c r="WLM3" s="242"/>
      <c r="WLN3" s="242"/>
      <c r="WLO3" s="242"/>
      <c r="WLP3" s="242"/>
      <c r="WLQ3" s="242"/>
      <c r="WLR3" s="242"/>
      <c r="WLS3" s="242"/>
      <c r="WLT3" s="242"/>
      <c r="WLU3" s="242"/>
      <c r="WLV3" s="242"/>
      <c r="WLW3" s="242"/>
      <c r="WLX3" s="242"/>
      <c r="WLY3" s="242"/>
      <c r="WLZ3" s="242"/>
      <c r="WMA3" s="242"/>
      <c r="WMB3" s="242"/>
      <c r="WMC3" s="242"/>
      <c r="WMD3" s="242"/>
      <c r="WME3" s="242"/>
      <c r="WMF3" s="242"/>
      <c r="WMG3" s="242"/>
      <c r="WMH3" s="242"/>
      <c r="WMI3" s="242"/>
      <c r="WMJ3" s="242"/>
      <c r="WMK3" s="242"/>
      <c r="WML3" s="242"/>
      <c r="WMM3" s="242"/>
      <c r="WMN3" s="242"/>
      <c r="WMO3" s="242"/>
      <c r="WMP3" s="242"/>
      <c r="WMQ3" s="242"/>
      <c r="WMR3" s="242"/>
      <c r="WMS3" s="242"/>
      <c r="WMT3" s="242"/>
      <c r="WMU3" s="242"/>
      <c r="WMV3" s="242"/>
      <c r="WMW3" s="242"/>
      <c r="WMX3" s="242"/>
      <c r="WMY3" s="242"/>
      <c r="WMZ3" s="242"/>
      <c r="WNA3" s="242"/>
      <c r="WNB3" s="242"/>
      <c r="WNC3" s="242"/>
      <c r="WND3" s="242"/>
      <c r="WNE3" s="242"/>
      <c r="WNF3" s="242"/>
      <c r="WNG3" s="242"/>
      <c r="WNH3" s="242"/>
      <c r="WNI3" s="242"/>
      <c r="WNJ3" s="242"/>
      <c r="WNK3" s="242"/>
      <c r="WNL3" s="242"/>
      <c r="WNM3" s="242"/>
      <c r="WNN3" s="242"/>
      <c r="WNO3" s="242"/>
      <c r="WNP3" s="242"/>
      <c r="WNQ3" s="242"/>
      <c r="WNR3" s="242"/>
      <c r="WNS3" s="242"/>
      <c r="WNT3" s="242"/>
      <c r="WNU3" s="242"/>
      <c r="WNV3" s="242"/>
      <c r="WNW3" s="242"/>
      <c r="WNX3" s="242"/>
      <c r="WNY3" s="242"/>
      <c r="WNZ3" s="242"/>
      <c r="WOA3" s="242"/>
      <c r="WOB3" s="242"/>
      <c r="WOC3" s="242"/>
      <c r="WOD3" s="242"/>
      <c r="WOE3" s="242"/>
      <c r="WOF3" s="242"/>
      <c r="WOG3" s="242"/>
      <c r="WOH3" s="242"/>
      <c r="WOI3" s="242"/>
      <c r="WOJ3" s="242"/>
      <c r="WOK3" s="242"/>
      <c r="WOL3" s="242"/>
      <c r="WOM3" s="242"/>
      <c r="WON3" s="242"/>
      <c r="WOO3" s="242"/>
      <c r="WOP3" s="242"/>
      <c r="WOQ3" s="242"/>
      <c r="WOR3" s="242"/>
      <c r="WOS3" s="242"/>
      <c r="WOT3" s="242"/>
      <c r="WOU3" s="242"/>
      <c r="WOV3" s="242"/>
      <c r="WOW3" s="242"/>
      <c r="WOX3" s="242"/>
      <c r="WOY3" s="242"/>
      <c r="WOZ3" s="242"/>
      <c r="WPA3" s="242"/>
      <c r="WPB3" s="242"/>
      <c r="WPC3" s="242"/>
      <c r="WPD3" s="242"/>
      <c r="WPE3" s="242"/>
      <c r="WPF3" s="242"/>
      <c r="WPG3" s="242"/>
      <c r="WPH3" s="242"/>
      <c r="WPI3" s="242"/>
      <c r="WPJ3" s="242"/>
      <c r="WPK3" s="242"/>
      <c r="WPL3" s="242"/>
      <c r="WPM3" s="242"/>
      <c r="WPN3" s="242"/>
      <c r="WPO3" s="242"/>
      <c r="WPP3" s="242"/>
      <c r="WPQ3" s="242"/>
      <c r="WPR3" s="242"/>
      <c r="WPS3" s="242"/>
      <c r="WPT3" s="242"/>
      <c r="WPU3" s="242"/>
      <c r="WPV3" s="242"/>
      <c r="WPW3" s="242"/>
      <c r="WPX3" s="242"/>
      <c r="WPY3" s="242"/>
      <c r="WPZ3" s="242"/>
      <c r="WQA3" s="242"/>
      <c r="WQB3" s="242"/>
      <c r="WQC3" s="242"/>
      <c r="WQD3" s="242"/>
      <c r="WQE3" s="242"/>
      <c r="WQF3" s="242"/>
      <c r="WQG3" s="242"/>
      <c r="WQH3" s="242"/>
      <c r="WQI3" s="242"/>
      <c r="WQJ3" s="242"/>
      <c r="WQK3" s="242"/>
      <c r="WQL3" s="242"/>
      <c r="WQM3" s="242"/>
      <c r="WQN3" s="242"/>
      <c r="WQO3" s="242"/>
      <c r="WQP3" s="242"/>
      <c r="WQQ3" s="242"/>
      <c r="WQR3" s="242"/>
      <c r="WQS3" s="242"/>
      <c r="WQT3" s="242"/>
      <c r="WQU3" s="242"/>
      <c r="WQV3" s="242"/>
      <c r="WQW3" s="242"/>
      <c r="WQX3" s="242"/>
      <c r="WQY3" s="242"/>
      <c r="WQZ3" s="242"/>
      <c r="WRA3" s="242"/>
      <c r="WRB3" s="242"/>
      <c r="WRC3" s="242"/>
      <c r="WRD3" s="242"/>
      <c r="WRE3" s="242"/>
      <c r="WRF3" s="242"/>
      <c r="WRG3" s="242"/>
      <c r="WRH3" s="242"/>
      <c r="WRI3" s="242"/>
      <c r="WRJ3" s="242"/>
      <c r="WRK3" s="242"/>
      <c r="WRL3" s="242"/>
      <c r="WRM3" s="242"/>
      <c r="WRN3" s="242"/>
      <c r="WRO3" s="242"/>
      <c r="WRP3" s="242"/>
      <c r="WRQ3" s="242"/>
      <c r="WRR3" s="242"/>
      <c r="WRS3" s="242"/>
      <c r="WRT3" s="242"/>
      <c r="WRU3" s="242"/>
      <c r="WRV3" s="242"/>
      <c r="WRW3" s="242"/>
      <c r="WRX3" s="242"/>
      <c r="WRY3" s="242"/>
      <c r="WRZ3" s="242"/>
      <c r="WSA3" s="242"/>
      <c r="WSB3" s="242"/>
      <c r="WSC3" s="242"/>
      <c r="WSD3" s="242"/>
      <c r="WSE3" s="242"/>
      <c r="WSF3" s="242"/>
      <c r="WSG3" s="242"/>
      <c r="WSH3" s="242"/>
      <c r="WSI3" s="242"/>
      <c r="WSJ3" s="242"/>
      <c r="WSK3" s="242"/>
      <c r="WSL3" s="242"/>
      <c r="WSM3" s="242"/>
      <c r="WSN3" s="242"/>
      <c r="WSO3" s="242"/>
      <c r="WSP3" s="242"/>
      <c r="WSQ3" s="242"/>
      <c r="WSR3" s="242"/>
      <c r="WSS3" s="242"/>
      <c r="WST3" s="242"/>
      <c r="WSU3" s="242"/>
      <c r="WSV3" s="242"/>
      <c r="WSW3" s="242"/>
      <c r="WSX3" s="242"/>
      <c r="WSY3" s="242"/>
      <c r="WSZ3" s="242"/>
      <c r="WTA3" s="242"/>
      <c r="WTB3" s="242"/>
      <c r="WTC3" s="242"/>
      <c r="WTD3" s="242"/>
      <c r="WTE3" s="242"/>
      <c r="WTF3" s="242"/>
      <c r="WTG3" s="242"/>
      <c r="WTH3" s="242"/>
      <c r="WTI3" s="242"/>
      <c r="WTJ3" s="242"/>
      <c r="WTK3" s="242"/>
      <c r="WTL3" s="242"/>
      <c r="WTM3" s="242"/>
      <c r="WTN3" s="242"/>
      <c r="WTO3" s="242"/>
      <c r="WTP3" s="242"/>
      <c r="WTQ3" s="242"/>
      <c r="WTR3" s="242"/>
      <c r="WTS3" s="242"/>
      <c r="WTT3" s="242"/>
      <c r="WTU3" s="242"/>
      <c r="WTV3" s="242"/>
      <c r="WTW3" s="242"/>
      <c r="WTX3" s="242"/>
      <c r="WTY3" s="242"/>
      <c r="WTZ3" s="242"/>
      <c r="WUA3" s="242"/>
      <c r="WUB3" s="242"/>
      <c r="WUC3" s="242"/>
      <c r="WUD3" s="242"/>
      <c r="WUE3" s="242"/>
      <c r="WUF3" s="242"/>
      <c r="WUG3" s="242"/>
      <c r="WUH3" s="242"/>
      <c r="WUI3" s="242"/>
      <c r="WUJ3" s="242"/>
      <c r="WUK3" s="242"/>
      <c r="WUL3" s="242"/>
      <c r="WUM3" s="242"/>
      <c r="WUN3" s="242"/>
      <c r="WUO3" s="242"/>
      <c r="WUP3" s="242"/>
      <c r="WUQ3" s="242"/>
      <c r="WUR3" s="242"/>
      <c r="WUS3" s="242"/>
      <c r="WUT3" s="242"/>
      <c r="WUU3" s="242"/>
      <c r="WUV3" s="242"/>
      <c r="WUW3" s="242"/>
      <c r="WUX3" s="242"/>
      <c r="WUY3" s="242"/>
      <c r="WUZ3" s="242"/>
      <c r="WVA3" s="242"/>
      <c r="WVB3" s="242"/>
      <c r="WVC3" s="242"/>
      <c r="WVD3" s="242"/>
      <c r="WVE3" s="242"/>
      <c r="WVF3" s="242"/>
      <c r="WVG3" s="242"/>
      <c r="WVH3" s="242"/>
      <c r="WVI3" s="242"/>
      <c r="WVJ3" s="242"/>
      <c r="WVK3" s="242"/>
      <c r="WVL3" s="242"/>
      <c r="WVM3" s="242"/>
      <c r="WVN3" s="242"/>
      <c r="WVO3" s="242"/>
      <c r="WVP3" s="242"/>
      <c r="WVQ3" s="242"/>
      <c r="WVR3" s="242"/>
      <c r="WVS3" s="242"/>
      <c r="WVT3" s="242"/>
      <c r="WVU3" s="242"/>
      <c r="WVV3" s="242"/>
      <c r="WVW3" s="242"/>
      <c r="WVX3" s="242"/>
      <c r="WVY3" s="242"/>
      <c r="WVZ3" s="242"/>
      <c r="WWA3" s="242"/>
      <c r="WWB3" s="242"/>
      <c r="WWC3" s="242"/>
      <c r="WWD3" s="242"/>
      <c r="WWE3" s="242"/>
      <c r="WWF3" s="242"/>
    </row>
    <row r="4" spans="1:16152" s="249" customFormat="1" x14ac:dyDescent="0.2">
      <c r="A4" s="236"/>
      <c r="B4" s="244"/>
      <c r="C4" s="244"/>
      <c r="D4" s="244"/>
      <c r="E4" s="244"/>
      <c r="F4" s="244"/>
      <c r="G4" s="244"/>
      <c r="H4" s="244"/>
      <c r="I4" s="252"/>
      <c r="J4" s="252"/>
      <c r="K4" s="252"/>
      <c r="L4" s="252"/>
      <c r="M4" s="245"/>
      <c r="N4" s="246"/>
      <c r="O4" s="246"/>
      <c r="P4" s="245"/>
      <c r="Q4" s="244"/>
      <c r="R4" s="245"/>
      <c r="S4" s="245"/>
      <c r="T4" s="245"/>
      <c r="U4" s="228"/>
      <c r="V4" s="228"/>
      <c r="W4" s="228" t="s">
        <v>340</v>
      </c>
      <c r="X4" s="228"/>
      <c r="Y4" s="228">
        <v>150</v>
      </c>
      <c r="Z4" s="228">
        <v>160</v>
      </c>
      <c r="AA4" s="247"/>
      <c r="AB4" s="247"/>
      <c r="AC4" s="228">
        <v>210</v>
      </c>
      <c r="AD4" s="228">
        <v>220</v>
      </c>
      <c r="AE4" s="228">
        <v>230</v>
      </c>
      <c r="AF4" s="228">
        <v>240</v>
      </c>
      <c r="AG4" s="228">
        <v>250</v>
      </c>
      <c r="AH4" s="228">
        <v>260</v>
      </c>
      <c r="AI4" s="228">
        <v>270</v>
      </c>
      <c r="AJ4" s="228">
        <v>280</v>
      </c>
      <c r="AK4" s="228">
        <v>290</v>
      </c>
      <c r="AL4" s="228"/>
      <c r="AM4" s="228"/>
      <c r="AN4" s="22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  <c r="YK4" s="248"/>
      <c r="YL4" s="248"/>
      <c r="YM4" s="248"/>
      <c r="YN4" s="248"/>
      <c r="YO4" s="248"/>
      <c r="YP4" s="248"/>
      <c r="YQ4" s="248"/>
      <c r="YR4" s="248"/>
      <c r="YS4" s="248"/>
      <c r="YT4" s="248"/>
      <c r="YU4" s="248"/>
      <c r="YV4" s="248"/>
      <c r="YW4" s="248"/>
      <c r="YX4" s="248"/>
      <c r="YY4" s="248"/>
      <c r="YZ4" s="248"/>
      <c r="ZA4" s="248"/>
      <c r="ZB4" s="248"/>
      <c r="ZC4" s="248"/>
      <c r="ZD4" s="248"/>
      <c r="ZE4" s="248"/>
      <c r="ZF4" s="248"/>
      <c r="ZG4" s="248"/>
      <c r="ZH4" s="248"/>
      <c r="ZI4" s="248"/>
      <c r="ZJ4" s="248"/>
      <c r="ZK4" s="248"/>
      <c r="ZL4" s="248"/>
      <c r="ZM4" s="248"/>
      <c r="ZN4" s="248"/>
      <c r="ZO4" s="248"/>
      <c r="ZP4" s="248"/>
      <c r="ZQ4" s="248"/>
      <c r="ZR4" s="248"/>
      <c r="ZS4" s="248"/>
      <c r="ZT4" s="248"/>
      <c r="ZU4" s="248"/>
      <c r="ZV4" s="248"/>
      <c r="ZW4" s="248"/>
      <c r="ZX4" s="248"/>
      <c r="ZY4" s="248"/>
      <c r="ZZ4" s="248"/>
      <c r="AAA4" s="248"/>
      <c r="AAB4" s="248"/>
      <c r="AAC4" s="248"/>
      <c r="AAD4" s="248"/>
      <c r="AAE4" s="248"/>
      <c r="AAF4" s="248"/>
      <c r="AAG4" s="248"/>
      <c r="AAH4" s="248"/>
      <c r="AAI4" s="248"/>
      <c r="AAJ4" s="248"/>
      <c r="AAK4" s="248"/>
      <c r="AAL4" s="248"/>
      <c r="AAM4" s="248"/>
      <c r="AAN4" s="248"/>
      <c r="AAO4" s="248"/>
      <c r="AAP4" s="248"/>
      <c r="AAQ4" s="248"/>
      <c r="AAR4" s="248"/>
      <c r="AAS4" s="248"/>
      <c r="AAT4" s="248"/>
      <c r="AAU4" s="248"/>
      <c r="AAV4" s="248"/>
      <c r="AAW4" s="248"/>
      <c r="AAX4" s="248"/>
      <c r="AAY4" s="248"/>
      <c r="AAZ4" s="248"/>
      <c r="ABA4" s="248"/>
      <c r="ABB4" s="248"/>
      <c r="ABC4" s="248"/>
      <c r="ABD4" s="248"/>
      <c r="ABE4" s="248"/>
      <c r="ABF4" s="248"/>
      <c r="ABG4" s="248"/>
      <c r="ABH4" s="248"/>
      <c r="ABI4" s="248"/>
      <c r="ABJ4" s="248"/>
      <c r="ABK4" s="248"/>
      <c r="ABL4" s="248"/>
      <c r="ABM4" s="248"/>
      <c r="ABN4" s="248"/>
      <c r="ABO4" s="248"/>
      <c r="ABP4" s="248"/>
      <c r="ABQ4" s="248"/>
      <c r="ABR4" s="248"/>
      <c r="ABS4" s="248"/>
      <c r="ABT4" s="248"/>
      <c r="ABU4" s="248"/>
      <c r="ABV4" s="248"/>
      <c r="ABW4" s="248"/>
      <c r="ABX4" s="248"/>
      <c r="ABY4" s="248"/>
      <c r="ABZ4" s="248"/>
      <c r="ACA4" s="248"/>
      <c r="ACB4" s="248"/>
      <c r="ACC4" s="248"/>
      <c r="ACD4" s="248"/>
      <c r="ACE4" s="248"/>
      <c r="ACF4" s="248"/>
      <c r="ACG4" s="248"/>
      <c r="ACH4" s="248"/>
      <c r="ACI4" s="248"/>
      <c r="ACJ4" s="248"/>
      <c r="ACK4" s="248"/>
      <c r="ACL4" s="248"/>
      <c r="ACM4" s="248"/>
      <c r="ACN4" s="248"/>
      <c r="ACO4" s="248"/>
      <c r="ACP4" s="248"/>
      <c r="ACQ4" s="248"/>
      <c r="ACR4" s="248"/>
      <c r="ACS4" s="248"/>
      <c r="ACT4" s="248"/>
      <c r="ACU4" s="248"/>
      <c r="ACV4" s="248"/>
      <c r="ACW4" s="248"/>
      <c r="ACX4" s="248"/>
      <c r="ACY4" s="248"/>
      <c r="ACZ4" s="248"/>
      <c r="ADA4" s="248"/>
      <c r="ADB4" s="248"/>
      <c r="ADC4" s="248"/>
      <c r="ADD4" s="248"/>
      <c r="ADE4" s="248"/>
      <c r="ADF4" s="248"/>
      <c r="ADG4" s="248"/>
      <c r="ADH4" s="248"/>
      <c r="ADI4" s="248"/>
      <c r="ADJ4" s="248"/>
      <c r="ADK4" s="248"/>
      <c r="ADL4" s="248"/>
      <c r="ADM4" s="248"/>
      <c r="ADN4" s="248"/>
      <c r="ADO4" s="248"/>
      <c r="ADP4" s="248"/>
      <c r="ADQ4" s="248"/>
      <c r="ADR4" s="248"/>
      <c r="ADS4" s="248"/>
      <c r="ADT4" s="248"/>
      <c r="ADU4" s="248"/>
      <c r="ADV4" s="248"/>
      <c r="ADW4" s="248"/>
      <c r="ADX4" s="248"/>
      <c r="ADY4" s="248"/>
      <c r="ADZ4" s="248"/>
      <c r="AEA4" s="248"/>
      <c r="AEB4" s="248"/>
      <c r="AEC4" s="248"/>
      <c r="AED4" s="248"/>
      <c r="AEE4" s="248"/>
      <c r="AEF4" s="248"/>
      <c r="AEG4" s="248"/>
      <c r="AEH4" s="248"/>
      <c r="AEI4" s="248"/>
      <c r="AEJ4" s="248"/>
      <c r="AEK4" s="248"/>
      <c r="AEL4" s="248"/>
      <c r="AEM4" s="248"/>
      <c r="AEN4" s="248"/>
      <c r="AEO4" s="248"/>
      <c r="AEP4" s="248"/>
      <c r="AEQ4" s="248"/>
      <c r="AER4" s="248"/>
      <c r="AES4" s="248"/>
      <c r="AET4" s="248"/>
      <c r="AEU4" s="248"/>
      <c r="AEV4" s="248"/>
      <c r="AEW4" s="248"/>
      <c r="AEX4" s="248"/>
      <c r="AEY4" s="248"/>
      <c r="AEZ4" s="248"/>
      <c r="AFA4" s="248"/>
      <c r="AFB4" s="248"/>
      <c r="AFC4" s="248"/>
      <c r="AFD4" s="248"/>
      <c r="AFE4" s="248"/>
      <c r="AFF4" s="248"/>
      <c r="AFG4" s="248"/>
      <c r="AFH4" s="248"/>
      <c r="AFI4" s="248"/>
      <c r="AFJ4" s="248"/>
      <c r="AFK4" s="248"/>
      <c r="AFL4" s="248"/>
      <c r="AFM4" s="248"/>
      <c r="AFN4" s="248"/>
      <c r="AFO4" s="248"/>
      <c r="AFP4" s="248"/>
      <c r="AFQ4" s="248"/>
      <c r="AFR4" s="248"/>
      <c r="AFS4" s="248"/>
      <c r="AFT4" s="248"/>
      <c r="AFU4" s="248"/>
      <c r="AFV4" s="248"/>
      <c r="AFW4" s="248"/>
      <c r="AFX4" s="248"/>
      <c r="AFY4" s="248"/>
      <c r="AFZ4" s="248"/>
      <c r="AGA4" s="248"/>
      <c r="AGB4" s="248"/>
      <c r="AGC4" s="248"/>
      <c r="AGD4" s="248"/>
      <c r="AGE4" s="248"/>
      <c r="AGF4" s="248"/>
      <c r="AGG4" s="248"/>
      <c r="AGH4" s="248"/>
      <c r="AGI4" s="248"/>
      <c r="AGJ4" s="248"/>
      <c r="AGK4" s="248"/>
      <c r="AGL4" s="248"/>
      <c r="AGM4" s="248"/>
      <c r="AGN4" s="248"/>
      <c r="AGO4" s="248"/>
      <c r="AGP4" s="248"/>
      <c r="AGQ4" s="248"/>
      <c r="AGR4" s="248"/>
      <c r="AGS4" s="248"/>
      <c r="AGT4" s="248"/>
      <c r="AGU4" s="248"/>
      <c r="AGV4" s="248"/>
      <c r="AGW4" s="248"/>
      <c r="AGX4" s="248"/>
      <c r="AGY4" s="248"/>
      <c r="AGZ4" s="248"/>
      <c r="AHA4" s="248"/>
      <c r="AHB4" s="248"/>
      <c r="AHC4" s="248"/>
      <c r="AHD4" s="248"/>
      <c r="AHE4" s="248"/>
      <c r="AHF4" s="248"/>
      <c r="AHG4" s="248"/>
      <c r="AHH4" s="248"/>
      <c r="AHI4" s="248"/>
      <c r="AHJ4" s="248"/>
      <c r="AHK4" s="248"/>
      <c r="AHL4" s="248"/>
      <c r="AHM4" s="248"/>
      <c r="AHN4" s="248"/>
      <c r="AHO4" s="248"/>
      <c r="AHP4" s="248"/>
      <c r="AHQ4" s="248"/>
      <c r="AHR4" s="248"/>
      <c r="AHS4" s="248"/>
      <c r="AHT4" s="248"/>
      <c r="AHU4" s="248"/>
      <c r="AHV4" s="248"/>
      <c r="AHW4" s="248"/>
      <c r="AHX4" s="248"/>
      <c r="AHY4" s="248"/>
      <c r="AHZ4" s="248"/>
      <c r="AIA4" s="248"/>
      <c r="AIB4" s="248"/>
      <c r="AIC4" s="248"/>
      <c r="AID4" s="248"/>
      <c r="AIE4" s="248"/>
      <c r="AIF4" s="248"/>
      <c r="AIG4" s="248"/>
      <c r="AIH4" s="248"/>
      <c r="AII4" s="248"/>
      <c r="AIJ4" s="248"/>
      <c r="AIK4" s="248"/>
      <c r="AIL4" s="248"/>
      <c r="AIM4" s="248"/>
      <c r="AIN4" s="248"/>
      <c r="AIO4" s="248"/>
      <c r="AIP4" s="248"/>
      <c r="AIQ4" s="248"/>
      <c r="AIR4" s="248"/>
      <c r="AIS4" s="248"/>
      <c r="AIT4" s="248"/>
      <c r="AIU4" s="248"/>
      <c r="AIV4" s="248"/>
      <c r="AIW4" s="248"/>
      <c r="AIX4" s="248"/>
      <c r="AIY4" s="248"/>
      <c r="AIZ4" s="248"/>
      <c r="AJA4" s="248"/>
      <c r="AJB4" s="248"/>
      <c r="AJC4" s="248"/>
      <c r="AJD4" s="248"/>
      <c r="AJE4" s="248"/>
      <c r="AJF4" s="248"/>
      <c r="AJG4" s="248"/>
      <c r="AJH4" s="248"/>
      <c r="AJI4" s="248"/>
      <c r="AJJ4" s="248"/>
      <c r="AJK4" s="248"/>
      <c r="AJL4" s="248"/>
      <c r="AJM4" s="248"/>
      <c r="AJN4" s="248"/>
      <c r="AJO4" s="248"/>
      <c r="AJP4" s="248"/>
      <c r="AJQ4" s="248"/>
      <c r="AJR4" s="248"/>
      <c r="AJS4" s="248"/>
      <c r="AJT4" s="248"/>
      <c r="AJU4" s="248"/>
      <c r="AJV4" s="248"/>
      <c r="AJW4" s="248"/>
      <c r="AJX4" s="248"/>
      <c r="AJY4" s="248"/>
      <c r="AJZ4" s="248"/>
      <c r="AKA4" s="248"/>
      <c r="AKB4" s="248"/>
      <c r="AKC4" s="248"/>
      <c r="AKD4" s="248"/>
      <c r="AKE4" s="248"/>
      <c r="AKF4" s="248"/>
      <c r="AKG4" s="248"/>
      <c r="AKH4" s="248"/>
      <c r="AKI4" s="248"/>
      <c r="AKJ4" s="248"/>
      <c r="AKK4" s="248"/>
      <c r="AKL4" s="248"/>
      <c r="AKM4" s="248"/>
      <c r="AKN4" s="248"/>
      <c r="AKO4" s="248"/>
      <c r="AKP4" s="248"/>
      <c r="AKQ4" s="248"/>
      <c r="AKR4" s="248"/>
      <c r="AKS4" s="248"/>
      <c r="AKT4" s="248"/>
      <c r="AKU4" s="248"/>
      <c r="AKV4" s="248"/>
      <c r="AKW4" s="248"/>
      <c r="AKX4" s="248"/>
      <c r="AKY4" s="248"/>
      <c r="AKZ4" s="248"/>
      <c r="ALA4" s="248"/>
      <c r="ALB4" s="248"/>
      <c r="ALC4" s="248"/>
      <c r="ALD4" s="248"/>
      <c r="ALE4" s="248"/>
      <c r="ALF4" s="248"/>
      <c r="ALG4" s="248"/>
      <c r="ALH4" s="248"/>
      <c r="ALI4" s="248"/>
      <c r="ALJ4" s="248"/>
      <c r="ALK4" s="248"/>
      <c r="ALL4" s="248"/>
      <c r="ALM4" s="248"/>
      <c r="ALN4" s="248"/>
      <c r="ALO4" s="248"/>
      <c r="ALP4" s="248"/>
      <c r="ALQ4" s="248"/>
      <c r="ALR4" s="248"/>
      <c r="ALS4" s="248"/>
      <c r="ALT4" s="248"/>
      <c r="ALU4" s="248"/>
      <c r="ALV4" s="248"/>
      <c r="ALW4" s="248"/>
      <c r="ALX4" s="248"/>
      <c r="ALY4" s="248"/>
      <c r="ALZ4" s="248"/>
      <c r="AMA4" s="248"/>
      <c r="AMB4" s="248"/>
      <c r="AMC4" s="248"/>
      <c r="AMD4" s="248"/>
      <c r="AME4" s="248"/>
      <c r="AMF4" s="248"/>
      <c r="AMG4" s="248"/>
      <c r="AMH4" s="248"/>
      <c r="AMI4" s="248"/>
      <c r="AMJ4" s="248"/>
      <c r="AMK4" s="248"/>
      <c r="AML4" s="248"/>
      <c r="AMM4" s="248"/>
      <c r="AMN4" s="248"/>
      <c r="AMO4" s="248"/>
      <c r="AMP4" s="248"/>
      <c r="AMQ4" s="248"/>
      <c r="AMR4" s="248"/>
      <c r="AMS4" s="248"/>
      <c r="AMT4" s="248"/>
      <c r="AMU4" s="248"/>
      <c r="AMV4" s="248"/>
      <c r="AMW4" s="248"/>
      <c r="AMX4" s="248"/>
      <c r="AMY4" s="248"/>
      <c r="AMZ4" s="248"/>
      <c r="ANA4" s="248"/>
      <c r="ANB4" s="248"/>
      <c r="ANC4" s="248"/>
      <c r="AND4" s="248"/>
      <c r="ANE4" s="248"/>
      <c r="ANF4" s="248"/>
      <c r="ANG4" s="248"/>
      <c r="ANH4" s="248"/>
      <c r="ANI4" s="248"/>
      <c r="ANJ4" s="248"/>
      <c r="ANK4" s="248"/>
      <c r="ANL4" s="248"/>
      <c r="ANM4" s="248"/>
      <c r="ANN4" s="248"/>
      <c r="ANO4" s="248"/>
      <c r="ANP4" s="248"/>
      <c r="ANQ4" s="248"/>
      <c r="ANR4" s="248"/>
      <c r="ANS4" s="248"/>
      <c r="ANT4" s="248"/>
      <c r="ANU4" s="248"/>
      <c r="ANV4" s="248"/>
      <c r="ANW4" s="248"/>
      <c r="ANX4" s="248"/>
      <c r="ANY4" s="248"/>
      <c r="ANZ4" s="248"/>
      <c r="AOA4" s="248"/>
      <c r="AOB4" s="248"/>
      <c r="AOC4" s="248"/>
      <c r="AOD4" s="248"/>
      <c r="AOE4" s="248"/>
      <c r="AOF4" s="248"/>
      <c r="AOG4" s="248"/>
      <c r="AOH4" s="248"/>
      <c r="AOI4" s="248"/>
      <c r="AOJ4" s="248"/>
      <c r="AOK4" s="248"/>
      <c r="AOL4" s="248"/>
      <c r="AOM4" s="248"/>
      <c r="AON4" s="248"/>
      <c r="AOO4" s="248"/>
      <c r="AOP4" s="248"/>
      <c r="AOQ4" s="248"/>
      <c r="AOR4" s="248"/>
      <c r="AOS4" s="248"/>
      <c r="AOT4" s="248"/>
      <c r="AOU4" s="248"/>
      <c r="AOV4" s="248"/>
      <c r="AOW4" s="248"/>
      <c r="AOX4" s="248"/>
      <c r="AOY4" s="248"/>
      <c r="AOZ4" s="248"/>
      <c r="APA4" s="248"/>
      <c r="APB4" s="248"/>
      <c r="APC4" s="248"/>
      <c r="APD4" s="248"/>
      <c r="APE4" s="248"/>
      <c r="APF4" s="248"/>
      <c r="APG4" s="248"/>
      <c r="APH4" s="248"/>
      <c r="API4" s="248"/>
      <c r="APJ4" s="248"/>
      <c r="APK4" s="248"/>
      <c r="APL4" s="248"/>
      <c r="APM4" s="248"/>
      <c r="APN4" s="248"/>
      <c r="APO4" s="248"/>
      <c r="APP4" s="248"/>
      <c r="APQ4" s="248"/>
      <c r="APR4" s="248"/>
      <c r="APS4" s="248"/>
      <c r="APT4" s="248"/>
      <c r="APU4" s="248"/>
      <c r="APV4" s="248"/>
      <c r="APW4" s="248"/>
      <c r="APX4" s="248"/>
      <c r="APY4" s="248"/>
      <c r="APZ4" s="248"/>
      <c r="AQA4" s="248"/>
      <c r="AQB4" s="248"/>
      <c r="AQC4" s="248"/>
      <c r="AQD4" s="248"/>
      <c r="AQE4" s="248"/>
      <c r="AQF4" s="248"/>
      <c r="AQG4" s="248"/>
      <c r="AQH4" s="248"/>
      <c r="AQI4" s="248"/>
      <c r="AQJ4" s="248"/>
      <c r="AQK4" s="248"/>
      <c r="AQL4" s="248"/>
      <c r="AQM4" s="248"/>
      <c r="AQN4" s="248"/>
      <c r="AQO4" s="248"/>
      <c r="AQP4" s="248"/>
      <c r="AQQ4" s="248"/>
      <c r="AQR4" s="248"/>
      <c r="AQS4" s="248"/>
      <c r="AQT4" s="248"/>
      <c r="AQU4" s="248"/>
      <c r="AQV4" s="248"/>
      <c r="AQW4" s="248"/>
      <c r="AQX4" s="248"/>
      <c r="AQY4" s="248"/>
      <c r="AQZ4" s="248"/>
      <c r="ARA4" s="248"/>
      <c r="ARB4" s="248"/>
      <c r="ARC4" s="248"/>
      <c r="ARD4" s="248"/>
      <c r="ARE4" s="248"/>
      <c r="ARF4" s="248"/>
      <c r="ARG4" s="248"/>
      <c r="ARH4" s="248"/>
      <c r="ARI4" s="248"/>
      <c r="ARJ4" s="248"/>
      <c r="ARK4" s="248"/>
      <c r="ARL4" s="248"/>
      <c r="ARM4" s="248"/>
      <c r="ARN4" s="248"/>
      <c r="ARO4" s="248"/>
      <c r="ARP4" s="248"/>
      <c r="ARQ4" s="248"/>
      <c r="ARR4" s="248"/>
      <c r="ARS4" s="248"/>
      <c r="ART4" s="248"/>
      <c r="ARU4" s="248"/>
      <c r="ARV4" s="248"/>
      <c r="ARW4" s="248"/>
      <c r="ARX4" s="248"/>
      <c r="ARY4" s="248"/>
      <c r="ARZ4" s="248"/>
      <c r="ASA4" s="248"/>
      <c r="ASB4" s="248"/>
      <c r="ASC4" s="248"/>
      <c r="ASD4" s="248"/>
      <c r="ASE4" s="248"/>
      <c r="ASF4" s="248"/>
      <c r="ASG4" s="248"/>
      <c r="ASH4" s="248"/>
      <c r="ASI4" s="248"/>
      <c r="ASJ4" s="248"/>
      <c r="ASK4" s="248"/>
      <c r="ASL4" s="248"/>
      <c r="ASM4" s="248"/>
      <c r="ASN4" s="248"/>
      <c r="ASO4" s="248"/>
      <c r="ASP4" s="248"/>
      <c r="ASQ4" s="248"/>
      <c r="ASR4" s="248"/>
      <c r="ASS4" s="248"/>
      <c r="AST4" s="248"/>
      <c r="ASU4" s="248"/>
      <c r="ASV4" s="248"/>
      <c r="ASW4" s="248"/>
      <c r="ASX4" s="248"/>
      <c r="ASY4" s="248"/>
      <c r="ASZ4" s="248"/>
      <c r="ATA4" s="248"/>
      <c r="ATB4" s="248"/>
      <c r="ATC4" s="248"/>
      <c r="ATD4" s="248"/>
      <c r="ATE4" s="248"/>
      <c r="ATF4" s="248"/>
      <c r="ATG4" s="248"/>
      <c r="ATH4" s="248"/>
      <c r="ATI4" s="248"/>
      <c r="ATJ4" s="248"/>
      <c r="ATK4" s="248"/>
      <c r="ATL4" s="248"/>
      <c r="ATM4" s="248"/>
      <c r="ATN4" s="248"/>
      <c r="ATO4" s="248"/>
      <c r="ATP4" s="248"/>
      <c r="ATQ4" s="248"/>
      <c r="ATR4" s="248"/>
      <c r="ATS4" s="248"/>
      <c r="ATT4" s="248"/>
      <c r="ATU4" s="248"/>
      <c r="ATV4" s="248"/>
      <c r="ATW4" s="248"/>
      <c r="ATX4" s="248"/>
      <c r="ATY4" s="248"/>
      <c r="ATZ4" s="248"/>
      <c r="AUA4" s="248"/>
      <c r="AUB4" s="248"/>
      <c r="AUC4" s="248"/>
      <c r="AUD4" s="248"/>
      <c r="AUE4" s="248"/>
      <c r="AUF4" s="248"/>
      <c r="AUG4" s="248"/>
      <c r="AUH4" s="248"/>
      <c r="AUI4" s="248"/>
      <c r="AUJ4" s="248"/>
      <c r="AUK4" s="248"/>
      <c r="AUL4" s="248"/>
      <c r="AUM4" s="248"/>
      <c r="AUN4" s="248"/>
      <c r="AUO4" s="248"/>
      <c r="AUP4" s="248"/>
      <c r="AUQ4" s="248"/>
      <c r="AUR4" s="248"/>
      <c r="AUS4" s="248"/>
      <c r="AUT4" s="248"/>
      <c r="AUU4" s="248"/>
      <c r="AUV4" s="248"/>
      <c r="AUW4" s="248"/>
      <c r="AUX4" s="248"/>
      <c r="AUY4" s="248"/>
      <c r="AUZ4" s="248"/>
      <c r="AVA4" s="248"/>
      <c r="AVB4" s="248"/>
      <c r="AVC4" s="248"/>
      <c r="AVD4" s="248"/>
      <c r="AVE4" s="248"/>
      <c r="AVF4" s="248"/>
      <c r="AVG4" s="248"/>
      <c r="AVH4" s="248"/>
      <c r="AVI4" s="248"/>
      <c r="AVJ4" s="248"/>
      <c r="AVK4" s="248"/>
      <c r="AVL4" s="248"/>
      <c r="AVM4" s="248"/>
      <c r="AVN4" s="248"/>
      <c r="AVO4" s="248"/>
      <c r="AVP4" s="248"/>
      <c r="AVQ4" s="248"/>
      <c r="AVR4" s="248"/>
      <c r="AVS4" s="248"/>
      <c r="AVT4" s="248"/>
      <c r="AVU4" s="248"/>
      <c r="AVV4" s="248"/>
      <c r="AVW4" s="248"/>
      <c r="AVX4" s="248"/>
      <c r="AVY4" s="248"/>
      <c r="AVZ4" s="248"/>
      <c r="AWA4" s="248"/>
      <c r="AWB4" s="248"/>
      <c r="AWC4" s="248"/>
      <c r="AWD4" s="248"/>
      <c r="AWE4" s="248"/>
      <c r="AWF4" s="248"/>
      <c r="AWG4" s="248"/>
      <c r="AWH4" s="248"/>
      <c r="AWI4" s="248"/>
      <c r="AWJ4" s="248"/>
      <c r="AWK4" s="248"/>
      <c r="AWL4" s="248"/>
      <c r="AWM4" s="248"/>
      <c r="AWN4" s="248"/>
      <c r="AWO4" s="248"/>
      <c r="AWP4" s="248"/>
      <c r="AWQ4" s="248"/>
      <c r="AWR4" s="248"/>
      <c r="AWS4" s="248"/>
      <c r="AWT4" s="248"/>
      <c r="AWU4" s="248"/>
      <c r="AWV4" s="248"/>
      <c r="AWW4" s="248"/>
      <c r="AWX4" s="248"/>
      <c r="AWY4" s="248"/>
      <c r="AWZ4" s="248"/>
      <c r="AXA4" s="248"/>
      <c r="AXB4" s="248"/>
      <c r="AXC4" s="248"/>
      <c r="AXD4" s="248"/>
      <c r="AXE4" s="248"/>
      <c r="AXF4" s="248"/>
      <c r="AXG4" s="248"/>
      <c r="AXH4" s="248"/>
      <c r="AXI4" s="248"/>
      <c r="AXJ4" s="248"/>
      <c r="AXK4" s="248"/>
      <c r="AXL4" s="248"/>
      <c r="AXM4" s="248"/>
      <c r="AXN4" s="248"/>
      <c r="AXO4" s="248"/>
      <c r="AXP4" s="248"/>
      <c r="AXQ4" s="248"/>
      <c r="AXR4" s="248"/>
      <c r="AXS4" s="248"/>
      <c r="AXT4" s="248"/>
      <c r="AXU4" s="248"/>
      <c r="AXV4" s="248"/>
      <c r="AXW4" s="248"/>
      <c r="AXX4" s="248"/>
      <c r="AXY4" s="248"/>
      <c r="AXZ4" s="248"/>
      <c r="AYA4" s="248"/>
      <c r="AYB4" s="248"/>
      <c r="AYC4" s="248"/>
      <c r="AYD4" s="248"/>
      <c r="AYE4" s="248"/>
      <c r="AYF4" s="248"/>
      <c r="AYG4" s="248"/>
      <c r="AYH4" s="248"/>
      <c r="AYI4" s="248"/>
      <c r="AYJ4" s="248"/>
      <c r="AYK4" s="248"/>
      <c r="AYL4" s="248"/>
      <c r="AYM4" s="248"/>
      <c r="AYN4" s="248"/>
      <c r="AYO4" s="248"/>
      <c r="AYP4" s="248"/>
      <c r="AYQ4" s="248"/>
      <c r="AYR4" s="248"/>
      <c r="AYS4" s="248"/>
      <c r="AYT4" s="248"/>
      <c r="AYU4" s="248"/>
      <c r="AYV4" s="248"/>
      <c r="AYW4" s="248"/>
      <c r="AYX4" s="248"/>
      <c r="AYY4" s="248"/>
      <c r="AYZ4" s="248"/>
      <c r="AZA4" s="248"/>
      <c r="AZB4" s="248"/>
      <c r="AZC4" s="248"/>
      <c r="AZD4" s="248"/>
      <c r="AZE4" s="248"/>
      <c r="AZF4" s="248"/>
      <c r="AZG4" s="248"/>
      <c r="AZH4" s="248"/>
      <c r="AZI4" s="248"/>
      <c r="AZJ4" s="248"/>
      <c r="AZK4" s="248"/>
      <c r="AZL4" s="248"/>
      <c r="AZM4" s="248"/>
      <c r="AZN4" s="248"/>
      <c r="AZO4" s="248"/>
      <c r="AZP4" s="248"/>
      <c r="AZQ4" s="248"/>
      <c r="AZR4" s="248"/>
      <c r="AZS4" s="248"/>
      <c r="AZT4" s="248"/>
      <c r="AZU4" s="248"/>
      <c r="AZV4" s="248"/>
      <c r="AZW4" s="248"/>
      <c r="AZX4" s="248"/>
      <c r="AZY4" s="248"/>
      <c r="AZZ4" s="248"/>
      <c r="BAA4" s="248"/>
      <c r="BAB4" s="248"/>
      <c r="BAC4" s="248"/>
      <c r="BAD4" s="248"/>
      <c r="BAE4" s="248"/>
      <c r="BAF4" s="248"/>
      <c r="BAG4" s="248"/>
      <c r="BAH4" s="248"/>
      <c r="BAI4" s="248"/>
      <c r="BAJ4" s="248"/>
      <c r="BAK4" s="248"/>
      <c r="BAL4" s="248"/>
      <c r="BAM4" s="248"/>
      <c r="BAN4" s="248"/>
      <c r="BAO4" s="248"/>
      <c r="BAP4" s="248"/>
      <c r="BAQ4" s="248"/>
      <c r="BAR4" s="248"/>
      <c r="BAS4" s="248"/>
      <c r="BAT4" s="248"/>
      <c r="BAU4" s="248"/>
      <c r="BAV4" s="248"/>
      <c r="BAW4" s="248"/>
      <c r="BAX4" s="248"/>
      <c r="BAY4" s="248"/>
      <c r="BAZ4" s="248"/>
      <c r="BBA4" s="248"/>
      <c r="BBB4" s="248"/>
      <c r="BBC4" s="248"/>
      <c r="BBD4" s="248"/>
      <c r="BBE4" s="248"/>
      <c r="BBF4" s="248"/>
      <c r="BBG4" s="248"/>
      <c r="BBH4" s="248"/>
      <c r="BBI4" s="248"/>
      <c r="BBJ4" s="248"/>
      <c r="BBK4" s="248"/>
      <c r="BBL4" s="248"/>
      <c r="BBM4" s="248"/>
      <c r="BBN4" s="248"/>
      <c r="BBO4" s="248"/>
      <c r="BBP4" s="248"/>
      <c r="BBQ4" s="248"/>
      <c r="BBR4" s="248"/>
      <c r="BBS4" s="248"/>
      <c r="BBT4" s="248"/>
      <c r="BBU4" s="248"/>
      <c r="BBV4" s="248"/>
      <c r="BBW4" s="248"/>
      <c r="BBX4" s="248"/>
      <c r="BBY4" s="248"/>
      <c r="BBZ4" s="248"/>
      <c r="BCA4" s="248"/>
      <c r="BCB4" s="248"/>
      <c r="BCC4" s="248"/>
      <c r="BCD4" s="248"/>
      <c r="BCE4" s="248"/>
      <c r="BCF4" s="248"/>
      <c r="BCG4" s="248"/>
      <c r="BCH4" s="248"/>
      <c r="BCI4" s="248"/>
      <c r="BCJ4" s="248"/>
      <c r="BCK4" s="248"/>
      <c r="BCL4" s="248"/>
      <c r="BCM4" s="248"/>
      <c r="BCN4" s="248"/>
      <c r="BCO4" s="248"/>
      <c r="BCP4" s="248"/>
      <c r="BCQ4" s="248"/>
      <c r="BCR4" s="248"/>
      <c r="BCS4" s="248"/>
      <c r="BCT4" s="248"/>
      <c r="BCU4" s="248"/>
      <c r="BCV4" s="248"/>
      <c r="BCW4" s="248"/>
      <c r="BCX4" s="248"/>
      <c r="BCY4" s="248"/>
      <c r="BCZ4" s="248"/>
      <c r="BDA4" s="248"/>
      <c r="BDB4" s="248"/>
      <c r="BDC4" s="248"/>
      <c r="BDD4" s="248"/>
      <c r="BDE4" s="248"/>
      <c r="BDF4" s="248"/>
      <c r="BDG4" s="248"/>
      <c r="BDH4" s="248"/>
      <c r="BDI4" s="248"/>
      <c r="BDJ4" s="248"/>
      <c r="BDK4" s="248"/>
      <c r="BDL4" s="248"/>
      <c r="BDM4" s="248"/>
      <c r="BDN4" s="248"/>
      <c r="BDO4" s="248"/>
      <c r="BDP4" s="248"/>
      <c r="BDQ4" s="248"/>
      <c r="BDR4" s="248"/>
      <c r="BDS4" s="248"/>
      <c r="BDT4" s="248"/>
      <c r="BDU4" s="248"/>
      <c r="BDV4" s="248"/>
      <c r="BDW4" s="248"/>
      <c r="BDX4" s="248"/>
      <c r="BDY4" s="248"/>
      <c r="BDZ4" s="248"/>
      <c r="BEA4" s="248"/>
      <c r="BEB4" s="248"/>
      <c r="BEC4" s="248"/>
      <c r="BED4" s="248"/>
      <c r="BEE4" s="248"/>
      <c r="BEF4" s="248"/>
      <c r="BEG4" s="248"/>
      <c r="BEH4" s="248"/>
      <c r="BEI4" s="248"/>
      <c r="BEJ4" s="248"/>
      <c r="BEK4" s="248"/>
      <c r="BEL4" s="248"/>
      <c r="BEM4" s="248"/>
      <c r="BEN4" s="248"/>
      <c r="BEO4" s="248"/>
      <c r="BEP4" s="248"/>
      <c r="BEQ4" s="248"/>
      <c r="BER4" s="248"/>
      <c r="BES4" s="248"/>
      <c r="BET4" s="248"/>
      <c r="BEU4" s="248"/>
      <c r="BEV4" s="248"/>
      <c r="BEW4" s="248"/>
      <c r="BEX4" s="248"/>
      <c r="BEY4" s="248"/>
      <c r="BEZ4" s="248"/>
      <c r="BFA4" s="248"/>
      <c r="BFB4" s="248"/>
      <c r="BFC4" s="248"/>
      <c r="BFD4" s="248"/>
      <c r="BFE4" s="248"/>
      <c r="BFF4" s="248"/>
      <c r="BFG4" s="248"/>
      <c r="BFH4" s="248"/>
      <c r="BFI4" s="248"/>
      <c r="BFJ4" s="248"/>
      <c r="BFK4" s="248"/>
      <c r="BFL4" s="248"/>
      <c r="BFM4" s="248"/>
      <c r="BFN4" s="248"/>
      <c r="BFO4" s="248"/>
      <c r="BFP4" s="248"/>
      <c r="BFQ4" s="248"/>
      <c r="BFR4" s="248"/>
      <c r="BFS4" s="248"/>
      <c r="BFT4" s="248"/>
      <c r="BFU4" s="248"/>
      <c r="BFV4" s="248"/>
      <c r="BFW4" s="248"/>
      <c r="BFX4" s="248"/>
      <c r="BFY4" s="248"/>
      <c r="BFZ4" s="248"/>
      <c r="BGA4" s="248"/>
      <c r="BGB4" s="248"/>
      <c r="BGC4" s="248"/>
      <c r="BGD4" s="248"/>
      <c r="BGE4" s="248"/>
      <c r="BGF4" s="248"/>
      <c r="BGG4" s="248"/>
      <c r="BGH4" s="248"/>
      <c r="BGI4" s="248"/>
      <c r="BGJ4" s="248"/>
      <c r="BGK4" s="248"/>
      <c r="BGL4" s="248"/>
      <c r="BGM4" s="248"/>
      <c r="BGN4" s="248"/>
      <c r="BGO4" s="248"/>
      <c r="BGP4" s="248"/>
      <c r="BGQ4" s="248"/>
      <c r="BGR4" s="248"/>
      <c r="BGS4" s="248"/>
      <c r="BGT4" s="248"/>
      <c r="BGU4" s="248"/>
      <c r="BGV4" s="248"/>
      <c r="BGW4" s="248"/>
      <c r="BGX4" s="248"/>
      <c r="BGY4" s="248"/>
      <c r="BGZ4" s="248"/>
      <c r="BHA4" s="248"/>
      <c r="BHB4" s="248"/>
      <c r="BHC4" s="248"/>
      <c r="BHD4" s="248"/>
      <c r="BHE4" s="248"/>
      <c r="BHF4" s="248"/>
      <c r="BHG4" s="248"/>
      <c r="BHH4" s="248"/>
      <c r="BHI4" s="248"/>
      <c r="BHJ4" s="248"/>
      <c r="BHK4" s="248"/>
      <c r="BHL4" s="248"/>
      <c r="BHM4" s="248"/>
      <c r="BHN4" s="248"/>
      <c r="BHO4" s="248"/>
      <c r="BHP4" s="248"/>
      <c r="BHQ4" s="248"/>
      <c r="BHR4" s="248"/>
      <c r="BHS4" s="248"/>
      <c r="BHT4" s="248"/>
      <c r="BHU4" s="248"/>
      <c r="BHV4" s="248"/>
      <c r="BHW4" s="248"/>
      <c r="BHX4" s="248"/>
      <c r="BHY4" s="248"/>
      <c r="BHZ4" s="248"/>
      <c r="BIA4" s="248"/>
      <c r="BIB4" s="248"/>
      <c r="BIC4" s="248"/>
      <c r="BID4" s="248"/>
      <c r="BIE4" s="248"/>
      <c r="BIF4" s="248"/>
      <c r="BIG4" s="248"/>
      <c r="BIH4" s="248"/>
      <c r="BII4" s="248"/>
      <c r="BIJ4" s="248"/>
      <c r="BIK4" s="248"/>
      <c r="BIL4" s="248"/>
      <c r="BIM4" s="248"/>
      <c r="BIN4" s="248"/>
      <c r="BIO4" s="248"/>
      <c r="BIP4" s="248"/>
      <c r="BIQ4" s="248"/>
      <c r="BIR4" s="248"/>
      <c r="BIS4" s="248"/>
      <c r="BIT4" s="248"/>
      <c r="BIU4" s="248"/>
      <c r="BIV4" s="248"/>
      <c r="BIW4" s="248"/>
      <c r="BIX4" s="248"/>
      <c r="BIY4" s="248"/>
      <c r="BIZ4" s="248"/>
      <c r="BJA4" s="248"/>
      <c r="BJB4" s="248"/>
      <c r="BJC4" s="248"/>
      <c r="BJD4" s="248"/>
      <c r="BJE4" s="248"/>
      <c r="BJF4" s="248"/>
      <c r="BJG4" s="248"/>
      <c r="BJH4" s="248"/>
      <c r="BJI4" s="248"/>
      <c r="BJJ4" s="248"/>
      <c r="BJK4" s="248"/>
      <c r="BJL4" s="248"/>
      <c r="BJM4" s="248"/>
      <c r="BJN4" s="248"/>
      <c r="BJO4" s="248"/>
      <c r="BJP4" s="248"/>
      <c r="BJQ4" s="248"/>
      <c r="BJR4" s="248"/>
      <c r="BJS4" s="248"/>
      <c r="BJT4" s="248"/>
      <c r="BJU4" s="248"/>
      <c r="BJV4" s="248"/>
      <c r="BJW4" s="248"/>
      <c r="BJX4" s="248"/>
      <c r="BJY4" s="248"/>
      <c r="BJZ4" s="248"/>
      <c r="BKA4" s="248"/>
      <c r="BKB4" s="248"/>
      <c r="BKC4" s="248"/>
      <c r="BKD4" s="248"/>
      <c r="BKE4" s="248"/>
      <c r="BKF4" s="248"/>
      <c r="BKG4" s="248"/>
      <c r="BKH4" s="248"/>
      <c r="BKI4" s="248"/>
      <c r="BKJ4" s="248"/>
      <c r="BKK4" s="248"/>
      <c r="BKL4" s="248"/>
      <c r="BKM4" s="248"/>
      <c r="BKN4" s="248"/>
      <c r="BKO4" s="248"/>
      <c r="BKP4" s="248"/>
      <c r="BKQ4" s="248"/>
      <c r="BKR4" s="248"/>
      <c r="BKS4" s="248"/>
      <c r="BKT4" s="248"/>
      <c r="BKU4" s="248"/>
      <c r="BKV4" s="248"/>
      <c r="BKW4" s="248"/>
      <c r="BKX4" s="248"/>
      <c r="BKY4" s="248"/>
      <c r="BKZ4" s="248"/>
      <c r="BLA4" s="248"/>
      <c r="BLB4" s="248"/>
      <c r="BLC4" s="248"/>
      <c r="BLD4" s="248"/>
      <c r="BLE4" s="248"/>
      <c r="BLF4" s="248"/>
      <c r="BLG4" s="248"/>
      <c r="BLH4" s="248"/>
      <c r="BLI4" s="248"/>
      <c r="BLJ4" s="248"/>
      <c r="BLK4" s="248"/>
      <c r="BLL4" s="248"/>
      <c r="BLM4" s="248"/>
      <c r="BLN4" s="248"/>
      <c r="BLO4" s="248"/>
      <c r="BLP4" s="248"/>
      <c r="BLQ4" s="248"/>
      <c r="BLR4" s="248"/>
      <c r="BLS4" s="248"/>
      <c r="BLT4" s="248"/>
      <c r="BLU4" s="248"/>
      <c r="BLV4" s="248"/>
      <c r="BLW4" s="248"/>
      <c r="BLX4" s="248"/>
      <c r="BLY4" s="248"/>
      <c r="BLZ4" s="248"/>
      <c r="BMA4" s="248"/>
      <c r="BMB4" s="248"/>
      <c r="BMC4" s="248"/>
      <c r="BMD4" s="248"/>
      <c r="BME4" s="248"/>
      <c r="BMF4" s="248"/>
      <c r="BMG4" s="248"/>
      <c r="BMH4" s="248"/>
      <c r="BMI4" s="248"/>
      <c r="BMJ4" s="248"/>
      <c r="BMK4" s="248"/>
      <c r="BML4" s="248"/>
      <c r="BMM4" s="248"/>
      <c r="BMN4" s="248"/>
      <c r="BMO4" s="248"/>
      <c r="BMP4" s="248"/>
      <c r="BMQ4" s="248"/>
      <c r="BMR4" s="248"/>
      <c r="BMS4" s="248"/>
      <c r="BMT4" s="248"/>
      <c r="BMU4" s="248"/>
      <c r="BMV4" s="248"/>
      <c r="BMW4" s="248"/>
      <c r="BMX4" s="248"/>
      <c r="BMY4" s="248"/>
      <c r="BMZ4" s="248"/>
      <c r="BNA4" s="248"/>
      <c r="BNB4" s="248"/>
      <c r="BNC4" s="248"/>
      <c r="BND4" s="248"/>
      <c r="BNE4" s="248"/>
      <c r="BNF4" s="248"/>
      <c r="BNG4" s="248"/>
      <c r="BNH4" s="248"/>
      <c r="BNI4" s="248"/>
      <c r="BNJ4" s="248"/>
      <c r="BNK4" s="248"/>
      <c r="BNL4" s="248"/>
      <c r="BNM4" s="248"/>
      <c r="BNN4" s="248"/>
      <c r="BNO4" s="248"/>
      <c r="BNP4" s="248"/>
      <c r="BNQ4" s="248"/>
      <c r="BNR4" s="248"/>
      <c r="BNS4" s="248"/>
      <c r="BNT4" s="248"/>
      <c r="BNU4" s="248"/>
      <c r="BNV4" s="248"/>
      <c r="BNW4" s="248"/>
      <c r="BNX4" s="248"/>
      <c r="BNY4" s="248"/>
      <c r="BNZ4" s="248"/>
      <c r="BOA4" s="248"/>
      <c r="BOB4" s="248"/>
      <c r="BOC4" s="248"/>
      <c r="BOD4" s="248"/>
      <c r="BOE4" s="248"/>
      <c r="BOF4" s="248"/>
      <c r="BOG4" s="248"/>
      <c r="BOH4" s="248"/>
      <c r="BOI4" s="248"/>
      <c r="BOJ4" s="248"/>
      <c r="BOK4" s="248"/>
      <c r="BOL4" s="248"/>
      <c r="BOM4" s="248"/>
      <c r="BON4" s="248"/>
      <c r="BOO4" s="248"/>
      <c r="BOP4" s="248"/>
      <c r="BOQ4" s="248"/>
      <c r="BOR4" s="248"/>
      <c r="BOS4" s="248"/>
      <c r="BOT4" s="248"/>
      <c r="BOU4" s="248"/>
      <c r="BOV4" s="248"/>
      <c r="BOW4" s="248"/>
      <c r="BOX4" s="248"/>
      <c r="BOY4" s="248"/>
      <c r="BOZ4" s="248"/>
      <c r="BPA4" s="248"/>
      <c r="BPB4" s="248"/>
      <c r="BPC4" s="248"/>
      <c r="BPD4" s="248"/>
      <c r="BPE4" s="248"/>
      <c r="BPF4" s="248"/>
      <c r="BPG4" s="248"/>
      <c r="BPH4" s="248"/>
      <c r="BPI4" s="248"/>
      <c r="BPJ4" s="248"/>
      <c r="BPK4" s="248"/>
      <c r="BPL4" s="248"/>
      <c r="BPM4" s="248"/>
      <c r="BPN4" s="248"/>
      <c r="BPO4" s="248"/>
      <c r="BPP4" s="248"/>
      <c r="BPQ4" s="248"/>
      <c r="BPR4" s="248"/>
      <c r="BPS4" s="248"/>
      <c r="BPT4" s="248"/>
      <c r="BPU4" s="248"/>
      <c r="BPV4" s="248"/>
      <c r="BPW4" s="248"/>
      <c r="BPX4" s="248"/>
      <c r="BPY4" s="248"/>
      <c r="BPZ4" s="248"/>
      <c r="BQA4" s="248"/>
      <c r="BQB4" s="248"/>
      <c r="BQC4" s="248"/>
      <c r="BQD4" s="248"/>
      <c r="BQE4" s="248"/>
      <c r="BQF4" s="248"/>
      <c r="BQG4" s="248"/>
      <c r="BQH4" s="248"/>
      <c r="BQI4" s="248"/>
      <c r="BQJ4" s="248"/>
      <c r="BQK4" s="248"/>
      <c r="BQL4" s="248"/>
      <c r="BQM4" s="248"/>
      <c r="BQN4" s="248"/>
      <c r="BQO4" s="248"/>
      <c r="BQP4" s="248"/>
      <c r="BQQ4" s="248"/>
      <c r="BQR4" s="248"/>
      <c r="BQS4" s="248"/>
      <c r="BQT4" s="248"/>
      <c r="BQU4" s="248"/>
      <c r="BQV4" s="248"/>
      <c r="BQW4" s="248"/>
      <c r="BQX4" s="248"/>
      <c r="BQY4" s="248"/>
      <c r="BQZ4" s="248"/>
      <c r="BRA4" s="248"/>
      <c r="BRB4" s="248"/>
      <c r="BRC4" s="248"/>
      <c r="BRD4" s="248"/>
      <c r="BRE4" s="248"/>
      <c r="BRF4" s="248"/>
      <c r="BRG4" s="248"/>
      <c r="BRH4" s="248"/>
      <c r="BRI4" s="248"/>
      <c r="BRJ4" s="248"/>
      <c r="BRK4" s="248"/>
      <c r="BRL4" s="248"/>
      <c r="BRM4" s="248"/>
      <c r="BRN4" s="248"/>
      <c r="BRO4" s="248"/>
      <c r="BRP4" s="248"/>
      <c r="BRQ4" s="248"/>
      <c r="BRR4" s="248"/>
      <c r="BRS4" s="248"/>
      <c r="BRT4" s="248"/>
      <c r="BRU4" s="248"/>
      <c r="BRV4" s="248"/>
      <c r="BRW4" s="248"/>
      <c r="BRX4" s="248"/>
      <c r="BRY4" s="248"/>
      <c r="BRZ4" s="248"/>
      <c r="BSA4" s="248"/>
      <c r="BSB4" s="248"/>
      <c r="BSC4" s="248"/>
      <c r="BSD4" s="248"/>
      <c r="BSE4" s="248"/>
      <c r="BSF4" s="248"/>
      <c r="BSG4" s="248"/>
      <c r="BSH4" s="248"/>
      <c r="BSI4" s="248"/>
      <c r="BSJ4" s="248"/>
      <c r="BSK4" s="248"/>
      <c r="BSL4" s="248"/>
      <c r="BSM4" s="248"/>
      <c r="BSN4" s="248"/>
      <c r="BSO4" s="248"/>
      <c r="BSP4" s="248"/>
      <c r="BSQ4" s="248"/>
      <c r="BSR4" s="248"/>
      <c r="BSS4" s="248"/>
      <c r="BST4" s="248"/>
      <c r="BSU4" s="248"/>
      <c r="BSV4" s="248"/>
      <c r="BSW4" s="248"/>
      <c r="BSX4" s="248"/>
      <c r="BSY4" s="248"/>
      <c r="BSZ4" s="248"/>
      <c r="BTA4" s="248"/>
      <c r="BTB4" s="248"/>
      <c r="BTC4" s="248"/>
      <c r="BTD4" s="248"/>
      <c r="BTE4" s="248"/>
      <c r="BTF4" s="248"/>
      <c r="BTG4" s="248"/>
      <c r="BTH4" s="248"/>
      <c r="BTI4" s="248"/>
      <c r="BTJ4" s="248"/>
      <c r="BTK4" s="248"/>
      <c r="BTL4" s="248"/>
      <c r="BTM4" s="248"/>
      <c r="BTN4" s="248"/>
      <c r="BTO4" s="248"/>
      <c r="BTP4" s="248"/>
      <c r="BTQ4" s="248"/>
      <c r="BTR4" s="248"/>
      <c r="BTS4" s="248"/>
      <c r="BTT4" s="248"/>
      <c r="BTU4" s="248"/>
      <c r="BTV4" s="248"/>
      <c r="BTW4" s="248"/>
      <c r="BTX4" s="248"/>
      <c r="BTY4" s="248"/>
      <c r="BTZ4" s="248"/>
      <c r="BUA4" s="248"/>
      <c r="BUB4" s="248"/>
      <c r="BUC4" s="248"/>
      <c r="BUD4" s="248"/>
      <c r="BUE4" s="248"/>
      <c r="BUF4" s="248"/>
      <c r="BUG4" s="248"/>
      <c r="BUH4" s="248"/>
      <c r="BUI4" s="248"/>
      <c r="BUJ4" s="248"/>
      <c r="BUK4" s="248"/>
      <c r="BUL4" s="248"/>
      <c r="BUM4" s="248"/>
      <c r="BUN4" s="248"/>
      <c r="BUO4" s="248"/>
      <c r="BUP4" s="248"/>
      <c r="BUQ4" s="248"/>
      <c r="BUR4" s="248"/>
      <c r="BUS4" s="248"/>
      <c r="BUT4" s="248"/>
      <c r="BUU4" s="248"/>
      <c r="BUV4" s="248"/>
      <c r="BUW4" s="248"/>
      <c r="BUX4" s="248"/>
      <c r="BUY4" s="248"/>
      <c r="BUZ4" s="248"/>
      <c r="BVA4" s="248"/>
      <c r="BVB4" s="248"/>
      <c r="BVC4" s="248"/>
      <c r="BVD4" s="248"/>
      <c r="BVE4" s="248"/>
      <c r="BVF4" s="248"/>
      <c r="BVG4" s="248"/>
      <c r="BVH4" s="248"/>
      <c r="BVI4" s="248"/>
      <c r="BVJ4" s="248"/>
      <c r="BVK4" s="248"/>
      <c r="BVL4" s="248"/>
      <c r="BVM4" s="248"/>
      <c r="BVN4" s="248"/>
      <c r="BVO4" s="248"/>
      <c r="BVP4" s="248"/>
      <c r="BVQ4" s="248"/>
      <c r="BVR4" s="248"/>
      <c r="BVS4" s="248"/>
      <c r="BVT4" s="248"/>
      <c r="BVU4" s="248"/>
      <c r="BVV4" s="248"/>
      <c r="BVW4" s="248"/>
      <c r="BVX4" s="248"/>
      <c r="BVY4" s="248"/>
      <c r="BVZ4" s="248"/>
      <c r="BWA4" s="248"/>
      <c r="BWB4" s="248"/>
      <c r="BWC4" s="248"/>
      <c r="BWD4" s="248"/>
      <c r="BWE4" s="248"/>
      <c r="BWF4" s="248"/>
      <c r="BWG4" s="248"/>
      <c r="BWH4" s="248"/>
      <c r="BWI4" s="248"/>
      <c r="BWJ4" s="248"/>
      <c r="BWK4" s="248"/>
      <c r="BWL4" s="248"/>
      <c r="BWM4" s="248"/>
      <c r="BWN4" s="248"/>
      <c r="BWO4" s="248"/>
      <c r="BWP4" s="248"/>
      <c r="BWQ4" s="248"/>
      <c r="BWR4" s="248"/>
      <c r="BWS4" s="248"/>
      <c r="BWT4" s="248"/>
      <c r="BWU4" s="248"/>
      <c r="BWV4" s="248"/>
      <c r="BWW4" s="248"/>
      <c r="BWX4" s="248"/>
      <c r="BWY4" s="248"/>
      <c r="BWZ4" s="248"/>
      <c r="BXA4" s="248"/>
      <c r="BXB4" s="248"/>
      <c r="BXC4" s="248"/>
      <c r="BXD4" s="248"/>
      <c r="BXE4" s="248"/>
      <c r="BXF4" s="248"/>
      <c r="BXG4" s="248"/>
      <c r="BXH4" s="248"/>
      <c r="BXI4" s="248"/>
      <c r="BXJ4" s="248"/>
      <c r="BXK4" s="248"/>
      <c r="BXL4" s="248"/>
      <c r="BXM4" s="248"/>
      <c r="BXN4" s="248"/>
      <c r="BXO4" s="248"/>
      <c r="BXP4" s="248"/>
      <c r="BXQ4" s="248"/>
      <c r="BXR4" s="248"/>
      <c r="BXS4" s="248"/>
      <c r="BXT4" s="248"/>
      <c r="BXU4" s="248"/>
      <c r="BXV4" s="248"/>
      <c r="BXW4" s="248"/>
      <c r="BXX4" s="248"/>
      <c r="BXY4" s="248"/>
      <c r="BXZ4" s="248"/>
      <c r="BYA4" s="248"/>
      <c r="BYB4" s="248"/>
      <c r="BYC4" s="248"/>
      <c r="BYD4" s="248"/>
      <c r="BYE4" s="248"/>
      <c r="BYF4" s="248"/>
      <c r="BYG4" s="248"/>
      <c r="BYH4" s="248"/>
      <c r="BYI4" s="248"/>
      <c r="BYJ4" s="248"/>
      <c r="BYK4" s="248"/>
      <c r="BYL4" s="248"/>
      <c r="BYM4" s="248"/>
      <c r="BYN4" s="248"/>
      <c r="BYO4" s="248"/>
      <c r="BYP4" s="248"/>
      <c r="BYQ4" s="248"/>
      <c r="BYR4" s="248"/>
      <c r="BYS4" s="248"/>
      <c r="BYT4" s="248"/>
      <c r="BYU4" s="248"/>
      <c r="BYV4" s="248"/>
      <c r="BYW4" s="248"/>
      <c r="BYX4" s="248"/>
      <c r="BYY4" s="248"/>
      <c r="BYZ4" s="248"/>
      <c r="BZA4" s="248"/>
      <c r="BZB4" s="248"/>
      <c r="BZC4" s="248"/>
      <c r="BZD4" s="248"/>
      <c r="BZE4" s="248"/>
      <c r="BZF4" s="248"/>
      <c r="BZG4" s="248"/>
      <c r="BZH4" s="248"/>
      <c r="BZI4" s="248"/>
      <c r="BZJ4" s="248"/>
      <c r="BZK4" s="248"/>
      <c r="BZL4" s="248"/>
      <c r="BZM4" s="248"/>
      <c r="BZN4" s="248"/>
      <c r="BZO4" s="248"/>
      <c r="BZP4" s="248"/>
      <c r="BZQ4" s="248"/>
      <c r="BZR4" s="248"/>
      <c r="BZS4" s="248"/>
      <c r="BZT4" s="248"/>
      <c r="BZU4" s="248"/>
      <c r="BZV4" s="248"/>
      <c r="BZW4" s="248"/>
      <c r="BZX4" s="248"/>
      <c r="BZY4" s="248"/>
      <c r="BZZ4" s="248"/>
      <c r="CAA4" s="248"/>
      <c r="CAB4" s="248"/>
      <c r="CAC4" s="248"/>
      <c r="CAD4" s="248"/>
      <c r="CAE4" s="248"/>
      <c r="CAF4" s="248"/>
      <c r="CAG4" s="248"/>
      <c r="CAH4" s="248"/>
      <c r="CAI4" s="248"/>
      <c r="CAJ4" s="248"/>
      <c r="CAK4" s="248"/>
      <c r="CAL4" s="248"/>
      <c r="CAM4" s="248"/>
      <c r="CAN4" s="248"/>
      <c r="CAO4" s="248"/>
      <c r="CAP4" s="248"/>
      <c r="CAQ4" s="248"/>
      <c r="CAR4" s="248"/>
      <c r="CAS4" s="248"/>
      <c r="CAT4" s="248"/>
      <c r="CAU4" s="248"/>
      <c r="CAV4" s="248"/>
      <c r="CAW4" s="248"/>
      <c r="CAX4" s="248"/>
      <c r="CAY4" s="248"/>
      <c r="CAZ4" s="248"/>
      <c r="CBA4" s="248"/>
      <c r="CBB4" s="248"/>
      <c r="CBC4" s="248"/>
      <c r="CBD4" s="248"/>
      <c r="CBE4" s="248"/>
      <c r="CBF4" s="248"/>
      <c r="CBG4" s="248"/>
      <c r="CBH4" s="248"/>
      <c r="CBI4" s="248"/>
      <c r="CBJ4" s="248"/>
      <c r="CBK4" s="248"/>
      <c r="CBL4" s="248"/>
      <c r="CBM4" s="248"/>
      <c r="CBN4" s="248"/>
      <c r="CBO4" s="248"/>
      <c r="CBP4" s="248"/>
      <c r="CBQ4" s="248"/>
      <c r="CBR4" s="248"/>
      <c r="CBS4" s="248"/>
      <c r="CBT4" s="248"/>
      <c r="CBU4" s="248"/>
      <c r="CBV4" s="248"/>
      <c r="CBW4" s="248"/>
      <c r="CBX4" s="248"/>
      <c r="CBY4" s="248"/>
      <c r="CBZ4" s="248"/>
      <c r="CCA4" s="248"/>
      <c r="CCB4" s="248"/>
      <c r="CCC4" s="248"/>
      <c r="CCD4" s="248"/>
      <c r="CCE4" s="248"/>
      <c r="CCF4" s="248"/>
      <c r="CCG4" s="248"/>
      <c r="CCH4" s="248"/>
      <c r="CCI4" s="248"/>
      <c r="CCJ4" s="248"/>
      <c r="CCK4" s="248"/>
      <c r="CCL4" s="248"/>
      <c r="CCM4" s="248"/>
      <c r="CCN4" s="248"/>
      <c r="CCO4" s="248"/>
      <c r="CCP4" s="248"/>
      <c r="CCQ4" s="248"/>
      <c r="CCR4" s="248"/>
      <c r="CCS4" s="248"/>
      <c r="CCT4" s="248"/>
      <c r="CCU4" s="248"/>
      <c r="CCV4" s="248"/>
      <c r="CCW4" s="248"/>
      <c r="CCX4" s="248"/>
      <c r="CCY4" s="248"/>
      <c r="CCZ4" s="248"/>
      <c r="CDA4" s="248"/>
      <c r="CDB4" s="248"/>
      <c r="CDC4" s="248"/>
      <c r="CDD4" s="248"/>
      <c r="CDE4" s="248"/>
      <c r="CDF4" s="248"/>
      <c r="CDG4" s="248"/>
      <c r="CDH4" s="248"/>
      <c r="CDI4" s="248"/>
      <c r="CDJ4" s="248"/>
      <c r="CDK4" s="248"/>
      <c r="CDL4" s="248"/>
      <c r="CDM4" s="248"/>
      <c r="CDN4" s="248"/>
      <c r="CDO4" s="248"/>
      <c r="CDP4" s="248"/>
      <c r="CDQ4" s="248"/>
      <c r="CDR4" s="248"/>
      <c r="CDS4" s="248"/>
      <c r="CDT4" s="248"/>
      <c r="CDU4" s="248"/>
      <c r="CDV4" s="248"/>
      <c r="CDW4" s="248"/>
      <c r="CDX4" s="248"/>
      <c r="CDY4" s="248"/>
      <c r="CDZ4" s="248"/>
      <c r="CEA4" s="248"/>
      <c r="CEB4" s="248"/>
      <c r="CEC4" s="248"/>
      <c r="CED4" s="248"/>
      <c r="CEE4" s="248"/>
      <c r="CEF4" s="248"/>
      <c r="CEG4" s="248"/>
      <c r="CEH4" s="248"/>
      <c r="CEI4" s="248"/>
      <c r="CEJ4" s="248"/>
      <c r="CEK4" s="248"/>
      <c r="CEL4" s="248"/>
      <c r="CEM4" s="248"/>
      <c r="CEN4" s="248"/>
      <c r="CEO4" s="248"/>
      <c r="CEP4" s="248"/>
      <c r="CEQ4" s="248"/>
      <c r="CER4" s="248"/>
      <c r="CES4" s="248"/>
      <c r="CET4" s="248"/>
      <c r="CEU4" s="248"/>
      <c r="CEV4" s="248"/>
      <c r="CEW4" s="248"/>
      <c r="CEX4" s="248"/>
      <c r="CEY4" s="248"/>
      <c r="CEZ4" s="248"/>
      <c r="CFA4" s="248"/>
      <c r="CFB4" s="248"/>
      <c r="CFC4" s="248"/>
      <c r="CFD4" s="248"/>
      <c r="CFE4" s="248"/>
      <c r="CFF4" s="248"/>
      <c r="CFG4" s="248"/>
      <c r="CFH4" s="248"/>
      <c r="CFI4" s="248"/>
      <c r="CFJ4" s="248"/>
      <c r="CFK4" s="248"/>
      <c r="CFL4" s="248"/>
      <c r="CFM4" s="248"/>
      <c r="CFN4" s="248"/>
      <c r="CFO4" s="248"/>
      <c r="CFP4" s="248"/>
      <c r="CFQ4" s="248"/>
      <c r="CFR4" s="248"/>
      <c r="CFS4" s="248"/>
      <c r="CFT4" s="248"/>
      <c r="CFU4" s="248"/>
      <c r="CFV4" s="248"/>
      <c r="CFW4" s="248"/>
      <c r="CFX4" s="248"/>
      <c r="CFY4" s="248"/>
      <c r="CFZ4" s="248"/>
      <c r="CGA4" s="248"/>
      <c r="CGB4" s="248"/>
      <c r="CGC4" s="248"/>
      <c r="CGD4" s="248"/>
      <c r="CGE4" s="248"/>
      <c r="CGF4" s="248"/>
      <c r="CGG4" s="248"/>
      <c r="CGH4" s="248"/>
      <c r="CGI4" s="248"/>
      <c r="CGJ4" s="248"/>
      <c r="CGK4" s="248"/>
      <c r="CGL4" s="248"/>
      <c r="CGM4" s="248"/>
      <c r="CGN4" s="248"/>
      <c r="CGO4" s="248"/>
      <c r="CGP4" s="248"/>
      <c r="CGQ4" s="248"/>
      <c r="CGR4" s="248"/>
      <c r="CGS4" s="248"/>
      <c r="CGT4" s="248"/>
      <c r="CGU4" s="248"/>
      <c r="CGV4" s="248"/>
      <c r="CGW4" s="248"/>
      <c r="CGX4" s="248"/>
      <c r="CGY4" s="248"/>
      <c r="CGZ4" s="248"/>
      <c r="CHA4" s="248"/>
      <c r="CHB4" s="248"/>
      <c r="CHC4" s="248"/>
      <c r="CHD4" s="248"/>
      <c r="CHE4" s="248"/>
      <c r="CHF4" s="248"/>
      <c r="CHG4" s="248"/>
      <c r="CHH4" s="248"/>
      <c r="CHI4" s="248"/>
      <c r="CHJ4" s="248"/>
      <c r="CHK4" s="248"/>
      <c r="CHL4" s="248"/>
      <c r="CHM4" s="248"/>
      <c r="CHN4" s="248"/>
      <c r="CHO4" s="248"/>
      <c r="CHP4" s="248"/>
      <c r="CHQ4" s="248"/>
      <c r="CHR4" s="248"/>
      <c r="CHS4" s="248"/>
      <c r="CHT4" s="248"/>
      <c r="CHU4" s="248"/>
      <c r="CHV4" s="248"/>
      <c r="CHW4" s="248"/>
      <c r="CHX4" s="248"/>
      <c r="CHY4" s="248"/>
      <c r="CHZ4" s="248"/>
      <c r="CIA4" s="248"/>
      <c r="CIB4" s="248"/>
      <c r="CIC4" s="248"/>
      <c r="CID4" s="248"/>
      <c r="CIE4" s="248"/>
      <c r="CIF4" s="248"/>
      <c r="CIG4" s="248"/>
      <c r="CIH4" s="248"/>
      <c r="CII4" s="248"/>
      <c r="CIJ4" s="248"/>
      <c r="CIK4" s="248"/>
      <c r="CIL4" s="248"/>
      <c r="CIM4" s="248"/>
      <c r="CIN4" s="248"/>
      <c r="CIO4" s="248"/>
      <c r="CIP4" s="248"/>
      <c r="CIQ4" s="248"/>
      <c r="CIR4" s="248"/>
      <c r="CIS4" s="248"/>
      <c r="CIT4" s="248"/>
      <c r="CIU4" s="248"/>
      <c r="CIV4" s="248"/>
      <c r="CIW4" s="248"/>
      <c r="CIX4" s="248"/>
      <c r="CIY4" s="248"/>
      <c r="CIZ4" s="248"/>
      <c r="CJA4" s="248"/>
      <c r="CJB4" s="248"/>
      <c r="CJC4" s="248"/>
      <c r="CJD4" s="248"/>
      <c r="CJE4" s="248"/>
      <c r="CJF4" s="248"/>
      <c r="CJG4" s="248"/>
      <c r="CJH4" s="248"/>
      <c r="CJI4" s="248"/>
      <c r="CJJ4" s="248"/>
      <c r="CJK4" s="248"/>
      <c r="CJL4" s="248"/>
      <c r="CJM4" s="248"/>
      <c r="CJN4" s="248"/>
      <c r="CJO4" s="248"/>
      <c r="CJP4" s="248"/>
      <c r="CJQ4" s="248"/>
      <c r="CJR4" s="248"/>
      <c r="CJS4" s="248"/>
      <c r="CJT4" s="248"/>
      <c r="CJU4" s="248"/>
      <c r="CJV4" s="248"/>
      <c r="CJW4" s="248"/>
      <c r="CJX4" s="248"/>
      <c r="CJY4" s="248"/>
      <c r="CJZ4" s="248"/>
      <c r="CKA4" s="248"/>
      <c r="CKB4" s="248"/>
      <c r="CKC4" s="248"/>
      <c r="CKD4" s="248"/>
      <c r="CKE4" s="248"/>
      <c r="CKF4" s="248"/>
      <c r="CKG4" s="248"/>
      <c r="CKH4" s="248"/>
      <c r="CKI4" s="248"/>
      <c r="CKJ4" s="248"/>
      <c r="CKK4" s="248"/>
      <c r="CKL4" s="248"/>
      <c r="CKM4" s="248"/>
      <c r="CKN4" s="248"/>
      <c r="CKO4" s="248"/>
      <c r="CKP4" s="248"/>
      <c r="CKQ4" s="248"/>
      <c r="CKR4" s="248"/>
      <c r="CKS4" s="248"/>
      <c r="CKT4" s="248"/>
      <c r="CKU4" s="248"/>
      <c r="CKV4" s="248"/>
      <c r="CKW4" s="248"/>
      <c r="CKX4" s="248"/>
      <c r="CKY4" s="248"/>
      <c r="CKZ4" s="248"/>
      <c r="CLA4" s="248"/>
      <c r="CLB4" s="248"/>
      <c r="CLC4" s="248"/>
      <c r="CLD4" s="248"/>
      <c r="CLE4" s="248"/>
      <c r="CLF4" s="248"/>
      <c r="CLG4" s="248"/>
      <c r="CLH4" s="248"/>
      <c r="CLI4" s="248"/>
      <c r="CLJ4" s="248"/>
      <c r="CLK4" s="248"/>
      <c r="CLL4" s="248"/>
      <c r="CLM4" s="248"/>
      <c r="CLN4" s="248"/>
      <c r="CLO4" s="248"/>
      <c r="CLP4" s="248"/>
      <c r="CLQ4" s="248"/>
      <c r="CLR4" s="248"/>
      <c r="CLS4" s="248"/>
      <c r="CLT4" s="248"/>
      <c r="CLU4" s="248"/>
      <c r="CLV4" s="248"/>
      <c r="CLW4" s="248"/>
      <c r="CLX4" s="248"/>
      <c r="CLY4" s="248"/>
      <c r="CLZ4" s="248"/>
      <c r="CMA4" s="248"/>
      <c r="CMB4" s="248"/>
      <c r="CMC4" s="248"/>
      <c r="CMD4" s="248"/>
      <c r="CME4" s="248"/>
      <c r="CMF4" s="248"/>
      <c r="CMG4" s="248"/>
      <c r="CMH4" s="248"/>
      <c r="CMI4" s="248"/>
      <c r="CMJ4" s="248"/>
      <c r="CMK4" s="248"/>
      <c r="CML4" s="248"/>
      <c r="CMM4" s="248"/>
      <c r="CMN4" s="248"/>
      <c r="CMO4" s="248"/>
      <c r="CMP4" s="248"/>
      <c r="CMQ4" s="248"/>
      <c r="CMR4" s="248"/>
      <c r="CMS4" s="248"/>
      <c r="CMT4" s="248"/>
      <c r="CMU4" s="248"/>
      <c r="CMV4" s="248"/>
      <c r="CMW4" s="248"/>
      <c r="CMX4" s="248"/>
      <c r="CMY4" s="248"/>
      <c r="CMZ4" s="248"/>
      <c r="CNA4" s="248"/>
      <c r="CNB4" s="248"/>
      <c r="CNC4" s="248"/>
      <c r="CND4" s="248"/>
      <c r="CNE4" s="248"/>
      <c r="CNF4" s="248"/>
      <c r="CNG4" s="248"/>
      <c r="CNH4" s="248"/>
      <c r="CNI4" s="248"/>
      <c r="CNJ4" s="248"/>
      <c r="CNK4" s="248"/>
      <c r="CNL4" s="248"/>
      <c r="CNM4" s="248"/>
      <c r="CNN4" s="248"/>
      <c r="CNO4" s="248"/>
      <c r="CNP4" s="248"/>
      <c r="CNQ4" s="248"/>
      <c r="CNR4" s="248"/>
      <c r="CNS4" s="248"/>
      <c r="CNT4" s="248"/>
      <c r="CNU4" s="248"/>
      <c r="CNV4" s="248"/>
      <c r="CNW4" s="248"/>
      <c r="CNX4" s="248"/>
      <c r="CNY4" s="248"/>
      <c r="CNZ4" s="248"/>
      <c r="COA4" s="248"/>
      <c r="COB4" s="248"/>
      <c r="COC4" s="248"/>
      <c r="COD4" s="248"/>
      <c r="COE4" s="248"/>
      <c r="COF4" s="248"/>
      <c r="COG4" s="248"/>
      <c r="COH4" s="248"/>
      <c r="COI4" s="248"/>
      <c r="COJ4" s="248"/>
      <c r="COK4" s="248"/>
      <c r="COL4" s="248"/>
      <c r="COM4" s="248"/>
      <c r="CON4" s="248"/>
      <c r="COO4" s="248"/>
      <c r="COP4" s="248"/>
      <c r="COQ4" s="248"/>
      <c r="COR4" s="248"/>
      <c r="COS4" s="248"/>
      <c r="COT4" s="248"/>
      <c r="COU4" s="248"/>
      <c r="COV4" s="248"/>
      <c r="COW4" s="248"/>
      <c r="COX4" s="248"/>
      <c r="COY4" s="248"/>
      <c r="COZ4" s="248"/>
      <c r="CPA4" s="248"/>
      <c r="CPB4" s="248"/>
      <c r="CPC4" s="248"/>
      <c r="CPD4" s="248"/>
      <c r="CPE4" s="248"/>
      <c r="CPF4" s="248"/>
      <c r="CPG4" s="248"/>
      <c r="CPH4" s="248"/>
      <c r="CPI4" s="248"/>
      <c r="CPJ4" s="248"/>
      <c r="CPK4" s="248"/>
      <c r="CPL4" s="248"/>
      <c r="CPM4" s="248"/>
      <c r="CPN4" s="248"/>
      <c r="CPO4" s="248"/>
      <c r="CPP4" s="248"/>
      <c r="CPQ4" s="248"/>
      <c r="CPR4" s="248"/>
      <c r="CPS4" s="248"/>
      <c r="CPT4" s="248"/>
      <c r="CPU4" s="248"/>
      <c r="CPV4" s="248"/>
      <c r="CPW4" s="248"/>
      <c r="CPX4" s="248"/>
      <c r="CPY4" s="248"/>
      <c r="CPZ4" s="248"/>
      <c r="CQA4" s="248"/>
      <c r="CQB4" s="248"/>
      <c r="CQC4" s="248"/>
      <c r="CQD4" s="248"/>
      <c r="CQE4" s="248"/>
      <c r="CQF4" s="248"/>
      <c r="CQG4" s="248"/>
      <c r="CQH4" s="248"/>
      <c r="CQI4" s="248"/>
      <c r="CQJ4" s="248"/>
      <c r="CQK4" s="248"/>
      <c r="CQL4" s="248"/>
      <c r="CQM4" s="248"/>
      <c r="CQN4" s="248"/>
      <c r="CQO4" s="248"/>
      <c r="CQP4" s="248"/>
      <c r="CQQ4" s="248"/>
      <c r="CQR4" s="248"/>
      <c r="CQS4" s="248"/>
      <c r="CQT4" s="248"/>
      <c r="CQU4" s="248"/>
      <c r="CQV4" s="248"/>
      <c r="CQW4" s="248"/>
      <c r="CQX4" s="248"/>
      <c r="CQY4" s="248"/>
      <c r="CQZ4" s="248"/>
      <c r="CRA4" s="248"/>
      <c r="CRB4" s="248"/>
      <c r="CRC4" s="248"/>
      <c r="CRD4" s="248"/>
      <c r="CRE4" s="248"/>
      <c r="CRF4" s="248"/>
      <c r="CRG4" s="248"/>
      <c r="CRH4" s="248"/>
      <c r="CRI4" s="248"/>
      <c r="CRJ4" s="248"/>
      <c r="CRK4" s="248"/>
      <c r="CRL4" s="248"/>
      <c r="CRM4" s="248"/>
      <c r="CRN4" s="248"/>
      <c r="CRO4" s="248"/>
      <c r="CRP4" s="248"/>
      <c r="CRQ4" s="248"/>
      <c r="CRR4" s="248"/>
      <c r="CRS4" s="248"/>
      <c r="CRT4" s="248"/>
      <c r="CRU4" s="248"/>
      <c r="CRV4" s="248"/>
      <c r="CRW4" s="248"/>
      <c r="CRX4" s="248"/>
      <c r="CRY4" s="248"/>
      <c r="CRZ4" s="248"/>
      <c r="CSA4" s="248"/>
      <c r="CSB4" s="248"/>
      <c r="CSC4" s="248"/>
      <c r="CSD4" s="248"/>
      <c r="CSE4" s="248"/>
      <c r="CSF4" s="248"/>
      <c r="CSG4" s="248"/>
      <c r="CSH4" s="248"/>
      <c r="CSI4" s="248"/>
      <c r="CSJ4" s="248"/>
      <c r="CSK4" s="248"/>
      <c r="CSL4" s="248"/>
      <c r="CSM4" s="248"/>
      <c r="CSN4" s="248"/>
      <c r="CSO4" s="248"/>
      <c r="CSP4" s="248"/>
      <c r="CSQ4" s="248"/>
      <c r="CSR4" s="248"/>
      <c r="CSS4" s="248"/>
      <c r="CST4" s="248"/>
      <c r="CSU4" s="248"/>
      <c r="CSV4" s="248"/>
      <c r="CSW4" s="248"/>
      <c r="CSX4" s="248"/>
      <c r="CSY4" s="248"/>
      <c r="CSZ4" s="248"/>
      <c r="CTA4" s="248"/>
      <c r="CTB4" s="248"/>
      <c r="CTC4" s="248"/>
      <c r="CTD4" s="248"/>
      <c r="CTE4" s="248"/>
      <c r="CTF4" s="248"/>
      <c r="CTG4" s="248"/>
      <c r="CTH4" s="248"/>
      <c r="CTI4" s="248"/>
      <c r="CTJ4" s="248"/>
      <c r="CTK4" s="248"/>
      <c r="CTL4" s="248"/>
      <c r="CTM4" s="248"/>
      <c r="CTN4" s="248"/>
      <c r="CTO4" s="248"/>
      <c r="CTP4" s="248"/>
      <c r="CTQ4" s="248"/>
      <c r="CTR4" s="248"/>
      <c r="CTS4" s="248"/>
      <c r="CTT4" s="248"/>
      <c r="CTU4" s="248"/>
      <c r="CTV4" s="248"/>
      <c r="CTW4" s="248"/>
      <c r="CTX4" s="248"/>
      <c r="CTY4" s="248"/>
      <c r="CTZ4" s="248"/>
      <c r="CUA4" s="248"/>
      <c r="CUB4" s="248"/>
      <c r="CUC4" s="248"/>
      <c r="CUD4" s="248"/>
      <c r="CUE4" s="248"/>
      <c r="CUF4" s="248"/>
      <c r="CUG4" s="248"/>
      <c r="CUH4" s="248"/>
      <c r="CUI4" s="248"/>
      <c r="CUJ4" s="248"/>
      <c r="CUK4" s="248"/>
      <c r="CUL4" s="248"/>
      <c r="CUM4" s="248"/>
      <c r="CUN4" s="248"/>
      <c r="CUO4" s="248"/>
      <c r="CUP4" s="248"/>
      <c r="CUQ4" s="248"/>
      <c r="CUR4" s="248"/>
      <c r="CUS4" s="248"/>
      <c r="CUT4" s="248"/>
      <c r="CUU4" s="248"/>
      <c r="CUV4" s="248"/>
      <c r="CUW4" s="248"/>
      <c r="CUX4" s="248"/>
      <c r="CUY4" s="248"/>
      <c r="CUZ4" s="248"/>
      <c r="CVA4" s="248"/>
      <c r="CVB4" s="248"/>
      <c r="CVC4" s="248"/>
      <c r="CVD4" s="248"/>
      <c r="CVE4" s="248"/>
      <c r="CVF4" s="248"/>
      <c r="CVG4" s="248"/>
      <c r="CVH4" s="248"/>
      <c r="CVI4" s="248"/>
      <c r="CVJ4" s="248"/>
      <c r="CVK4" s="248"/>
      <c r="CVL4" s="248"/>
      <c r="CVM4" s="248"/>
      <c r="CVN4" s="248"/>
      <c r="CVO4" s="248"/>
      <c r="CVP4" s="248"/>
      <c r="CVQ4" s="248"/>
      <c r="CVR4" s="248"/>
      <c r="CVS4" s="248"/>
      <c r="CVT4" s="248"/>
      <c r="CVU4" s="248"/>
      <c r="CVV4" s="248"/>
      <c r="CVW4" s="248"/>
      <c r="CVX4" s="248"/>
      <c r="CVY4" s="248"/>
      <c r="CVZ4" s="248"/>
      <c r="CWA4" s="248"/>
      <c r="CWB4" s="248"/>
      <c r="CWC4" s="248"/>
      <c r="CWD4" s="248"/>
      <c r="CWE4" s="248"/>
      <c r="CWF4" s="248"/>
      <c r="CWG4" s="248"/>
      <c r="CWH4" s="248"/>
      <c r="CWI4" s="248"/>
      <c r="CWJ4" s="248"/>
      <c r="CWK4" s="248"/>
      <c r="CWL4" s="248"/>
      <c r="CWM4" s="248"/>
      <c r="CWN4" s="248"/>
      <c r="CWO4" s="248"/>
      <c r="CWP4" s="248"/>
      <c r="CWQ4" s="248"/>
      <c r="CWR4" s="248"/>
      <c r="CWS4" s="248"/>
      <c r="CWT4" s="248"/>
      <c r="CWU4" s="248"/>
      <c r="CWV4" s="248"/>
      <c r="CWW4" s="248"/>
      <c r="CWX4" s="248"/>
      <c r="CWY4" s="248"/>
      <c r="CWZ4" s="248"/>
      <c r="CXA4" s="248"/>
      <c r="CXB4" s="248"/>
      <c r="CXC4" s="248"/>
      <c r="CXD4" s="248"/>
      <c r="CXE4" s="248"/>
      <c r="CXF4" s="248"/>
      <c r="CXG4" s="248"/>
      <c r="CXH4" s="248"/>
      <c r="CXI4" s="248"/>
      <c r="CXJ4" s="248"/>
      <c r="CXK4" s="248"/>
      <c r="CXL4" s="248"/>
      <c r="CXM4" s="248"/>
      <c r="CXN4" s="248"/>
      <c r="CXO4" s="248"/>
      <c r="CXP4" s="248"/>
      <c r="CXQ4" s="248"/>
      <c r="CXR4" s="248"/>
      <c r="CXS4" s="248"/>
      <c r="CXT4" s="248"/>
      <c r="CXU4" s="248"/>
      <c r="CXV4" s="248"/>
      <c r="CXW4" s="248"/>
      <c r="CXX4" s="248"/>
      <c r="CXY4" s="248"/>
      <c r="CXZ4" s="248"/>
      <c r="CYA4" s="248"/>
      <c r="CYB4" s="248"/>
      <c r="CYC4" s="248"/>
      <c r="CYD4" s="248"/>
      <c r="CYE4" s="248"/>
      <c r="CYF4" s="248"/>
      <c r="CYG4" s="248"/>
      <c r="CYH4" s="248"/>
      <c r="CYI4" s="248"/>
      <c r="CYJ4" s="248"/>
      <c r="CYK4" s="248"/>
      <c r="CYL4" s="248"/>
      <c r="CYM4" s="248"/>
      <c r="CYN4" s="248"/>
      <c r="CYO4" s="248"/>
      <c r="CYP4" s="248"/>
      <c r="CYQ4" s="248"/>
      <c r="CYR4" s="248"/>
      <c r="CYS4" s="248"/>
      <c r="CYT4" s="248"/>
      <c r="CYU4" s="248"/>
      <c r="CYV4" s="248"/>
      <c r="CYW4" s="248"/>
      <c r="CYX4" s="248"/>
      <c r="CYY4" s="248"/>
      <c r="CYZ4" s="248"/>
      <c r="CZA4" s="248"/>
      <c r="CZB4" s="248"/>
      <c r="CZC4" s="248"/>
      <c r="CZD4" s="248"/>
      <c r="CZE4" s="248"/>
      <c r="CZF4" s="248"/>
      <c r="CZG4" s="248"/>
      <c r="CZH4" s="248"/>
      <c r="CZI4" s="248"/>
      <c r="CZJ4" s="248"/>
      <c r="CZK4" s="248"/>
      <c r="CZL4" s="248"/>
      <c r="CZM4" s="248"/>
      <c r="CZN4" s="248"/>
      <c r="CZO4" s="248"/>
      <c r="CZP4" s="248"/>
      <c r="CZQ4" s="248"/>
      <c r="CZR4" s="248"/>
      <c r="CZS4" s="248"/>
      <c r="CZT4" s="248"/>
      <c r="CZU4" s="248"/>
      <c r="CZV4" s="248"/>
      <c r="CZW4" s="248"/>
      <c r="CZX4" s="248"/>
      <c r="CZY4" s="248"/>
      <c r="CZZ4" s="248"/>
      <c r="DAA4" s="248"/>
      <c r="DAB4" s="248"/>
      <c r="DAC4" s="248"/>
      <c r="DAD4" s="248"/>
      <c r="DAE4" s="248"/>
      <c r="DAF4" s="248"/>
      <c r="DAG4" s="248"/>
      <c r="DAH4" s="248"/>
      <c r="DAI4" s="248"/>
      <c r="DAJ4" s="248"/>
      <c r="DAK4" s="248"/>
      <c r="DAL4" s="248"/>
      <c r="DAM4" s="248"/>
      <c r="DAN4" s="248"/>
      <c r="DAO4" s="248"/>
      <c r="DAP4" s="248"/>
      <c r="DAQ4" s="248"/>
      <c r="DAR4" s="248"/>
      <c r="DAS4" s="248"/>
      <c r="DAT4" s="248"/>
      <c r="DAU4" s="248"/>
      <c r="DAV4" s="248"/>
      <c r="DAW4" s="248"/>
      <c r="DAX4" s="248"/>
      <c r="DAY4" s="248"/>
      <c r="DAZ4" s="248"/>
      <c r="DBA4" s="248"/>
      <c r="DBB4" s="248"/>
      <c r="DBC4" s="248"/>
      <c r="DBD4" s="248"/>
      <c r="DBE4" s="248"/>
      <c r="DBF4" s="248"/>
      <c r="DBG4" s="248"/>
      <c r="DBH4" s="248"/>
      <c r="DBI4" s="248"/>
      <c r="DBJ4" s="248"/>
      <c r="DBK4" s="248"/>
      <c r="DBL4" s="248"/>
      <c r="DBM4" s="248"/>
      <c r="DBN4" s="248"/>
      <c r="DBO4" s="248"/>
      <c r="DBP4" s="248"/>
      <c r="DBQ4" s="248"/>
      <c r="DBR4" s="248"/>
      <c r="DBS4" s="248"/>
      <c r="DBT4" s="248"/>
      <c r="DBU4" s="248"/>
      <c r="DBV4" s="248"/>
      <c r="DBW4" s="248"/>
      <c r="DBX4" s="248"/>
      <c r="DBY4" s="248"/>
      <c r="DBZ4" s="248"/>
      <c r="DCA4" s="248"/>
      <c r="DCB4" s="248"/>
      <c r="DCC4" s="248"/>
      <c r="DCD4" s="248"/>
      <c r="DCE4" s="248"/>
      <c r="DCF4" s="248"/>
      <c r="DCG4" s="248"/>
      <c r="DCH4" s="248"/>
      <c r="DCI4" s="248"/>
      <c r="DCJ4" s="248"/>
      <c r="DCK4" s="248"/>
      <c r="DCL4" s="248"/>
      <c r="DCM4" s="248"/>
      <c r="DCN4" s="248"/>
      <c r="DCO4" s="248"/>
      <c r="DCP4" s="248"/>
      <c r="DCQ4" s="248"/>
      <c r="DCR4" s="248"/>
      <c r="DCS4" s="248"/>
      <c r="DCT4" s="248"/>
      <c r="DCU4" s="248"/>
      <c r="DCV4" s="248"/>
      <c r="DCW4" s="248"/>
      <c r="DCX4" s="248"/>
      <c r="DCY4" s="248"/>
      <c r="DCZ4" s="248"/>
      <c r="DDA4" s="248"/>
      <c r="DDB4" s="248"/>
      <c r="DDC4" s="248"/>
      <c r="DDD4" s="248"/>
      <c r="DDE4" s="248"/>
      <c r="DDF4" s="248"/>
      <c r="DDG4" s="248"/>
      <c r="DDH4" s="248"/>
      <c r="DDI4" s="248"/>
      <c r="DDJ4" s="248"/>
      <c r="DDK4" s="248"/>
      <c r="DDL4" s="248"/>
      <c r="DDM4" s="248"/>
      <c r="DDN4" s="248"/>
      <c r="DDO4" s="248"/>
      <c r="DDP4" s="248"/>
      <c r="DDQ4" s="248"/>
      <c r="DDR4" s="248"/>
      <c r="DDS4" s="248"/>
      <c r="DDT4" s="248"/>
      <c r="DDU4" s="248"/>
      <c r="DDV4" s="248"/>
      <c r="DDW4" s="248"/>
      <c r="DDX4" s="248"/>
      <c r="DDY4" s="248"/>
      <c r="DDZ4" s="248"/>
      <c r="DEA4" s="248"/>
      <c r="DEB4" s="248"/>
      <c r="DEC4" s="248"/>
      <c r="DED4" s="248"/>
      <c r="DEE4" s="248"/>
      <c r="DEF4" s="248"/>
      <c r="DEG4" s="248"/>
      <c r="DEH4" s="248"/>
      <c r="DEI4" s="248"/>
      <c r="DEJ4" s="248"/>
      <c r="DEK4" s="248"/>
      <c r="DEL4" s="248"/>
      <c r="DEM4" s="248"/>
      <c r="DEN4" s="248"/>
      <c r="DEO4" s="248"/>
      <c r="DEP4" s="248"/>
      <c r="DEQ4" s="248"/>
      <c r="DER4" s="248"/>
      <c r="DES4" s="248"/>
      <c r="DET4" s="248"/>
      <c r="DEU4" s="248"/>
      <c r="DEV4" s="248"/>
      <c r="DEW4" s="248"/>
      <c r="DEX4" s="248"/>
      <c r="DEY4" s="248"/>
      <c r="DEZ4" s="248"/>
      <c r="DFA4" s="248"/>
      <c r="DFB4" s="248"/>
      <c r="DFC4" s="248"/>
      <c r="DFD4" s="248"/>
      <c r="DFE4" s="248"/>
      <c r="DFF4" s="248"/>
      <c r="DFG4" s="248"/>
      <c r="DFH4" s="248"/>
      <c r="DFI4" s="248"/>
      <c r="DFJ4" s="248"/>
      <c r="DFK4" s="248"/>
      <c r="DFL4" s="248"/>
      <c r="DFM4" s="248"/>
      <c r="DFN4" s="248"/>
      <c r="DFO4" s="248"/>
      <c r="DFP4" s="248"/>
      <c r="DFQ4" s="248"/>
      <c r="DFR4" s="248"/>
      <c r="DFS4" s="248"/>
      <c r="DFT4" s="248"/>
      <c r="DFU4" s="248"/>
      <c r="DFV4" s="248"/>
      <c r="DFW4" s="248"/>
      <c r="DFX4" s="248"/>
      <c r="DFY4" s="248"/>
      <c r="DFZ4" s="248"/>
      <c r="DGA4" s="248"/>
      <c r="DGB4" s="248"/>
      <c r="DGC4" s="248"/>
      <c r="DGD4" s="248"/>
      <c r="DGE4" s="248"/>
      <c r="DGF4" s="248"/>
      <c r="DGG4" s="248"/>
      <c r="DGH4" s="248"/>
      <c r="DGI4" s="248"/>
      <c r="DGJ4" s="248"/>
      <c r="DGK4" s="248"/>
      <c r="DGL4" s="248"/>
      <c r="DGM4" s="248"/>
      <c r="DGN4" s="248"/>
      <c r="DGO4" s="248"/>
      <c r="DGP4" s="248"/>
      <c r="DGQ4" s="248"/>
      <c r="DGR4" s="248"/>
      <c r="DGS4" s="248"/>
      <c r="DGT4" s="248"/>
      <c r="DGU4" s="248"/>
      <c r="DGV4" s="248"/>
      <c r="DGW4" s="248"/>
      <c r="DGX4" s="248"/>
      <c r="DGY4" s="248"/>
      <c r="DGZ4" s="248"/>
      <c r="DHA4" s="248"/>
      <c r="DHB4" s="248"/>
      <c r="DHC4" s="248"/>
      <c r="DHD4" s="248"/>
      <c r="DHE4" s="248"/>
      <c r="DHF4" s="248"/>
      <c r="DHG4" s="248"/>
      <c r="DHH4" s="248"/>
      <c r="DHI4" s="248"/>
      <c r="DHJ4" s="248"/>
      <c r="DHK4" s="248"/>
      <c r="DHL4" s="248"/>
      <c r="DHM4" s="248"/>
      <c r="DHN4" s="248"/>
      <c r="DHO4" s="248"/>
      <c r="DHP4" s="248"/>
      <c r="DHQ4" s="248"/>
      <c r="DHR4" s="248"/>
      <c r="DHS4" s="248"/>
      <c r="DHT4" s="248"/>
      <c r="DHU4" s="248"/>
      <c r="DHV4" s="248"/>
      <c r="DHW4" s="248"/>
      <c r="DHX4" s="248"/>
      <c r="DHY4" s="248"/>
      <c r="DHZ4" s="248"/>
      <c r="DIA4" s="248"/>
      <c r="DIB4" s="248"/>
      <c r="DIC4" s="248"/>
      <c r="DID4" s="248"/>
      <c r="DIE4" s="248"/>
      <c r="DIF4" s="248"/>
      <c r="DIG4" s="248"/>
      <c r="DIH4" s="248"/>
      <c r="DII4" s="248"/>
      <c r="DIJ4" s="248"/>
      <c r="DIK4" s="248"/>
      <c r="DIL4" s="248"/>
      <c r="DIM4" s="248"/>
      <c r="DIN4" s="248"/>
      <c r="DIO4" s="248"/>
      <c r="DIP4" s="248"/>
      <c r="DIQ4" s="248"/>
      <c r="DIR4" s="248"/>
      <c r="DIS4" s="248"/>
      <c r="DIT4" s="248"/>
      <c r="DIU4" s="248"/>
      <c r="DIV4" s="248"/>
      <c r="DIW4" s="248"/>
      <c r="DIX4" s="248"/>
      <c r="DIY4" s="248"/>
      <c r="DIZ4" s="248"/>
      <c r="DJA4" s="248"/>
      <c r="DJB4" s="248"/>
      <c r="DJC4" s="248"/>
      <c r="DJD4" s="248"/>
      <c r="DJE4" s="248"/>
      <c r="DJF4" s="248"/>
      <c r="DJG4" s="248"/>
      <c r="DJH4" s="248"/>
      <c r="DJI4" s="248"/>
      <c r="DJJ4" s="248"/>
      <c r="DJK4" s="248"/>
      <c r="DJL4" s="248"/>
      <c r="DJM4" s="248"/>
      <c r="DJN4" s="248"/>
      <c r="DJO4" s="248"/>
      <c r="DJP4" s="248"/>
      <c r="DJQ4" s="248"/>
      <c r="DJR4" s="248"/>
      <c r="DJS4" s="248"/>
      <c r="DJT4" s="248"/>
      <c r="DJU4" s="248"/>
      <c r="DJV4" s="248"/>
      <c r="DJW4" s="248"/>
      <c r="DJX4" s="248"/>
      <c r="DJY4" s="248"/>
      <c r="DJZ4" s="248"/>
      <c r="DKA4" s="248"/>
      <c r="DKB4" s="248"/>
      <c r="DKC4" s="248"/>
      <c r="DKD4" s="248"/>
      <c r="DKE4" s="248"/>
      <c r="DKF4" s="248"/>
      <c r="DKG4" s="248"/>
      <c r="DKH4" s="248"/>
      <c r="DKI4" s="248"/>
      <c r="DKJ4" s="248"/>
      <c r="DKK4" s="248"/>
      <c r="DKL4" s="248"/>
      <c r="DKM4" s="248"/>
      <c r="DKN4" s="248"/>
      <c r="DKO4" s="248"/>
      <c r="DKP4" s="248"/>
      <c r="DKQ4" s="248"/>
      <c r="DKR4" s="248"/>
      <c r="DKS4" s="248"/>
      <c r="DKT4" s="248"/>
      <c r="DKU4" s="248"/>
      <c r="DKV4" s="248"/>
      <c r="DKW4" s="248"/>
      <c r="DKX4" s="248"/>
      <c r="DKY4" s="248"/>
      <c r="DKZ4" s="248"/>
      <c r="DLA4" s="248"/>
      <c r="DLB4" s="248"/>
      <c r="DLC4" s="248"/>
      <c r="DLD4" s="248"/>
      <c r="DLE4" s="248"/>
      <c r="DLF4" s="248"/>
      <c r="DLG4" s="248"/>
      <c r="DLH4" s="248"/>
      <c r="DLI4" s="248"/>
      <c r="DLJ4" s="248"/>
      <c r="DLK4" s="248"/>
      <c r="DLL4" s="248"/>
      <c r="DLM4" s="248"/>
      <c r="DLN4" s="248"/>
      <c r="DLO4" s="248"/>
      <c r="DLP4" s="248"/>
      <c r="DLQ4" s="248"/>
      <c r="DLR4" s="248"/>
      <c r="DLS4" s="248"/>
      <c r="DLT4" s="248"/>
      <c r="DLU4" s="248"/>
      <c r="DLV4" s="248"/>
      <c r="DLW4" s="248"/>
      <c r="DLX4" s="248"/>
      <c r="DLY4" s="248"/>
      <c r="DLZ4" s="248"/>
      <c r="DMA4" s="248"/>
      <c r="DMB4" s="248"/>
      <c r="DMC4" s="248"/>
      <c r="DMD4" s="248"/>
      <c r="DME4" s="248"/>
      <c r="DMF4" s="248"/>
      <c r="DMG4" s="248"/>
      <c r="DMH4" s="248"/>
      <c r="DMI4" s="248"/>
      <c r="DMJ4" s="248"/>
      <c r="DMK4" s="248"/>
      <c r="DML4" s="248"/>
      <c r="DMM4" s="248"/>
      <c r="DMN4" s="248"/>
      <c r="DMO4" s="248"/>
      <c r="DMP4" s="248"/>
      <c r="DMQ4" s="248"/>
      <c r="DMR4" s="248"/>
      <c r="DMS4" s="248"/>
      <c r="DMT4" s="248"/>
      <c r="DMU4" s="248"/>
      <c r="DMV4" s="248"/>
      <c r="DMW4" s="248"/>
      <c r="DMX4" s="248"/>
      <c r="DMY4" s="248"/>
      <c r="DMZ4" s="248"/>
      <c r="DNA4" s="248"/>
      <c r="DNB4" s="248"/>
      <c r="DNC4" s="248"/>
      <c r="DND4" s="248"/>
      <c r="DNE4" s="248"/>
      <c r="DNF4" s="248"/>
      <c r="DNG4" s="248"/>
      <c r="DNH4" s="248"/>
      <c r="DNI4" s="248"/>
      <c r="DNJ4" s="248"/>
      <c r="DNK4" s="248"/>
      <c r="DNL4" s="248"/>
      <c r="DNM4" s="248"/>
      <c r="DNN4" s="248"/>
      <c r="DNO4" s="248"/>
      <c r="DNP4" s="248"/>
      <c r="DNQ4" s="248"/>
      <c r="DNR4" s="248"/>
      <c r="DNS4" s="248"/>
      <c r="DNT4" s="248"/>
      <c r="DNU4" s="248"/>
      <c r="DNV4" s="248"/>
      <c r="DNW4" s="248"/>
      <c r="DNX4" s="248"/>
      <c r="DNY4" s="248"/>
      <c r="DNZ4" s="248"/>
      <c r="DOA4" s="248"/>
      <c r="DOB4" s="248"/>
      <c r="DOC4" s="248"/>
      <c r="DOD4" s="248"/>
      <c r="DOE4" s="248"/>
      <c r="DOF4" s="248"/>
      <c r="DOG4" s="248"/>
      <c r="DOH4" s="248"/>
      <c r="DOI4" s="248"/>
      <c r="DOJ4" s="248"/>
      <c r="DOK4" s="248"/>
      <c r="DOL4" s="248"/>
      <c r="DOM4" s="248"/>
      <c r="DON4" s="248"/>
      <c r="DOO4" s="248"/>
      <c r="DOP4" s="248"/>
      <c r="DOQ4" s="248"/>
      <c r="DOR4" s="248"/>
      <c r="DOS4" s="248"/>
      <c r="DOT4" s="248"/>
      <c r="DOU4" s="248"/>
      <c r="DOV4" s="248"/>
      <c r="DOW4" s="248"/>
      <c r="DOX4" s="248"/>
      <c r="DOY4" s="248"/>
      <c r="DOZ4" s="248"/>
      <c r="DPA4" s="248"/>
      <c r="DPB4" s="248"/>
      <c r="DPC4" s="248"/>
      <c r="DPD4" s="248"/>
      <c r="DPE4" s="248"/>
      <c r="DPF4" s="248"/>
      <c r="DPG4" s="248"/>
      <c r="DPH4" s="248"/>
      <c r="DPI4" s="248"/>
      <c r="DPJ4" s="248"/>
      <c r="DPK4" s="248"/>
      <c r="DPL4" s="248"/>
      <c r="DPM4" s="248"/>
      <c r="DPN4" s="248"/>
      <c r="DPO4" s="248"/>
      <c r="DPP4" s="248"/>
      <c r="DPQ4" s="248"/>
      <c r="DPR4" s="248"/>
      <c r="DPS4" s="248"/>
      <c r="DPT4" s="248"/>
      <c r="DPU4" s="248"/>
      <c r="DPV4" s="248"/>
      <c r="DPW4" s="248"/>
      <c r="DPX4" s="248"/>
      <c r="DPY4" s="248"/>
      <c r="DPZ4" s="248"/>
      <c r="DQA4" s="248"/>
      <c r="DQB4" s="248"/>
      <c r="DQC4" s="248"/>
      <c r="DQD4" s="248"/>
      <c r="DQE4" s="248"/>
      <c r="DQF4" s="248"/>
      <c r="DQG4" s="248"/>
      <c r="DQH4" s="248"/>
      <c r="DQI4" s="248"/>
      <c r="DQJ4" s="248"/>
      <c r="DQK4" s="248"/>
      <c r="DQL4" s="248"/>
      <c r="DQM4" s="248"/>
      <c r="DQN4" s="248"/>
      <c r="DQO4" s="248"/>
      <c r="DQP4" s="248"/>
      <c r="DQQ4" s="248"/>
      <c r="DQR4" s="248"/>
      <c r="DQS4" s="248"/>
      <c r="DQT4" s="248"/>
      <c r="DQU4" s="248"/>
      <c r="DQV4" s="248"/>
      <c r="DQW4" s="248"/>
      <c r="DQX4" s="248"/>
      <c r="DQY4" s="248"/>
      <c r="DQZ4" s="248"/>
      <c r="DRA4" s="248"/>
      <c r="DRB4" s="248"/>
      <c r="DRC4" s="248"/>
      <c r="DRD4" s="248"/>
      <c r="DRE4" s="248"/>
      <c r="DRF4" s="248"/>
      <c r="DRG4" s="248"/>
      <c r="DRH4" s="248"/>
      <c r="DRI4" s="248"/>
      <c r="DRJ4" s="248"/>
      <c r="DRK4" s="248"/>
      <c r="DRL4" s="248"/>
      <c r="DRM4" s="248"/>
      <c r="DRN4" s="248"/>
      <c r="DRO4" s="248"/>
      <c r="DRP4" s="248"/>
      <c r="DRQ4" s="248"/>
      <c r="DRR4" s="248"/>
      <c r="DRS4" s="248"/>
      <c r="DRT4" s="248"/>
      <c r="DRU4" s="248"/>
      <c r="DRV4" s="248"/>
      <c r="DRW4" s="248"/>
      <c r="DRX4" s="248"/>
      <c r="DRY4" s="248"/>
      <c r="DRZ4" s="248"/>
      <c r="DSA4" s="248"/>
      <c r="DSB4" s="248"/>
      <c r="DSC4" s="248"/>
      <c r="DSD4" s="248"/>
      <c r="DSE4" s="248"/>
      <c r="DSF4" s="248"/>
      <c r="DSG4" s="248"/>
      <c r="DSH4" s="248"/>
      <c r="DSI4" s="248"/>
      <c r="DSJ4" s="248"/>
      <c r="DSK4" s="248"/>
      <c r="DSL4" s="248"/>
      <c r="DSM4" s="248"/>
      <c r="DSN4" s="248"/>
      <c r="DSO4" s="248"/>
      <c r="DSP4" s="248"/>
      <c r="DSQ4" s="248"/>
      <c r="DSR4" s="248"/>
      <c r="DSS4" s="248"/>
      <c r="DST4" s="248"/>
      <c r="DSU4" s="248"/>
      <c r="DSV4" s="248"/>
      <c r="DSW4" s="248"/>
      <c r="DSX4" s="248"/>
      <c r="DSY4" s="248"/>
      <c r="DSZ4" s="248"/>
      <c r="DTA4" s="248"/>
      <c r="DTB4" s="248"/>
      <c r="DTC4" s="248"/>
      <c r="DTD4" s="248"/>
      <c r="DTE4" s="248"/>
      <c r="DTF4" s="248"/>
      <c r="DTG4" s="248"/>
      <c r="DTH4" s="248"/>
      <c r="DTI4" s="248"/>
      <c r="DTJ4" s="248"/>
      <c r="DTK4" s="248"/>
      <c r="DTL4" s="248"/>
      <c r="DTM4" s="248"/>
      <c r="DTN4" s="248"/>
      <c r="DTO4" s="248"/>
      <c r="DTP4" s="248"/>
      <c r="DTQ4" s="248"/>
      <c r="DTR4" s="248"/>
      <c r="DTS4" s="248"/>
      <c r="DTT4" s="248"/>
      <c r="DTU4" s="248"/>
      <c r="DTV4" s="248"/>
      <c r="DTW4" s="248"/>
      <c r="DTX4" s="248"/>
      <c r="DTY4" s="248"/>
      <c r="DTZ4" s="248"/>
      <c r="DUA4" s="248"/>
      <c r="DUB4" s="248"/>
      <c r="DUC4" s="248"/>
      <c r="DUD4" s="248"/>
      <c r="DUE4" s="248"/>
      <c r="DUF4" s="248"/>
      <c r="DUG4" s="248"/>
      <c r="DUH4" s="248"/>
      <c r="DUI4" s="248"/>
      <c r="DUJ4" s="248"/>
      <c r="DUK4" s="248"/>
      <c r="DUL4" s="248"/>
      <c r="DUM4" s="248"/>
      <c r="DUN4" s="248"/>
      <c r="DUO4" s="248"/>
      <c r="DUP4" s="248"/>
      <c r="DUQ4" s="248"/>
      <c r="DUR4" s="248"/>
      <c r="DUS4" s="248"/>
      <c r="DUT4" s="248"/>
      <c r="DUU4" s="248"/>
      <c r="DUV4" s="248"/>
      <c r="DUW4" s="248"/>
      <c r="DUX4" s="248"/>
      <c r="DUY4" s="248"/>
      <c r="DUZ4" s="248"/>
      <c r="DVA4" s="248"/>
      <c r="DVB4" s="248"/>
      <c r="DVC4" s="248"/>
      <c r="DVD4" s="248"/>
      <c r="DVE4" s="248"/>
      <c r="DVF4" s="248"/>
      <c r="DVG4" s="248"/>
      <c r="DVH4" s="248"/>
      <c r="DVI4" s="248"/>
      <c r="DVJ4" s="248"/>
      <c r="DVK4" s="248"/>
      <c r="DVL4" s="248"/>
      <c r="DVM4" s="248"/>
      <c r="DVN4" s="248"/>
      <c r="DVO4" s="248"/>
      <c r="DVP4" s="248"/>
      <c r="DVQ4" s="248"/>
      <c r="DVR4" s="248"/>
      <c r="DVS4" s="248"/>
      <c r="DVT4" s="248"/>
      <c r="DVU4" s="248"/>
      <c r="DVV4" s="248"/>
      <c r="DVW4" s="248"/>
      <c r="DVX4" s="248"/>
      <c r="DVY4" s="248"/>
      <c r="DVZ4" s="248"/>
      <c r="DWA4" s="248"/>
      <c r="DWB4" s="248"/>
      <c r="DWC4" s="248"/>
      <c r="DWD4" s="248"/>
      <c r="DWE4" s="248"/>
      <c r="DWF4" s="248"/>
      <c r="DWG4" s="248"/>
      <c r="DWH4" s="248"/>
      <c r="DWI4" s="248"/>
      <c r="DWJ4" s="248"/>
      <c r="DWK4" s="248"/>
      <c r="DWL4" s="248"/>
      <c r="DWM4" s="248"/>
      <c r="DWN4" s="248"/>
      <c r="DWO4" s="248"/>
      <c r="DWP4" s="248"/>
      <c r="DWQ4" s="248"/>
      <c r="DWR4" s="248"/>
      <c r="DWS4" s="248"/>
      <c r="DWT4" s="248"/>
      <c r="DWU4" s="248"/>
      <c r="DWV4" s="248"/>
      <c r="DWW4" s="248"/>
      <c r="DWX4" s="248"/>
      <c r="DWY4" s="248"/>
      <c r="DWZ4" s="248"/>
      <c r="DXA4" s="248"/>
      <c r="DXB4" s="248"/>
      <c r="DXC4" s="248"/>
      <c r="DXD4" s="248"/>
      <c r="DXE4" s="248"/>
      <c r="DXF4" s="248"/>
      <c r="DXG4" s="248"/>
      <c r="DXH4" s="248"/>
      <c r="DXI4" s="248"/>
      <c r="DXJ4" s="248"/>
      <c r="DXK4" s="248"/>
      <c r="DXL4" s="248"/>
      <c r="DXM4" s="248"/>
      <c r="DXN4" s="248"/>
      <c r="DXO4" s="248"/>
      <c r="DXP4" s="248"/>
      <c r="DXQ4" s="248"/>
      <c r="DXR4" s="248"/>
      <c r="DXS4" s="248"/>
      <c r="DXT4" s="248"/>
      <c r="DXU4" s="248"/>
      <c r="DXV4" s="248"/>
      <c r="DXW4" s="248"/>
      <c r="DXX4" s="248"/>
      <c r="DXY4" s="248"/>
      <c r="DXZ4" s="248"/>
      <c r="DYA4" s="248"/>
      <c r="DYB4" s="248"/>
      <c r="DYC4" s="248"/>
      <c r="DYD4" s="248"/>
      <c r="DYE4" s="248"/>
      <c r="DYF4" s="248"/>
      <c r="DYG4" s="248"/>
      <c r="DYH4" s="248"/>
      <c r="DYI4" s="248"/>
      <c r="DYJ4" s="248"/>
      <c r="DYK4" s="248"/>
      <c r="DYL4" s="248"/>
      <c r="DYM4" s="248"/>
      <c r="DYN4" s="248"/>
      <c r="DYO4" s="248"/>
      <c r="DYP4" s="248"/>
      <c r="DYQ4" s="248"/>
      <c r="DYR4" s="248"/>
      <c r="DYS4" s="248"/>
      <c r="DYT4" s="248"/>
      <c r="DYU4" s="248"/>
      <c r="DYV4" s="248"/>
      <c r="DYW4" s="248"/>
      <c r="DYX4" s="248"/>
      <c r="DYY4" s="248"/>
      <c r="DYZ4" s="248"/>
      <c r="DZA4" s="248"/>
      <c r="DZB4" s="248"/>
      <c r="DZC4" s="248"/>
      <c r="DZD4" s="248"/>
      <c r="DZE4" s="248"/>
      <c r="DZF4" s="248"/>
      <c r="DZG4" s="248"/>
      <c r="DZH4" s="248"/>
      <c r="DZI4" s="248"/>
      <c r="DZJ4" s="248"/>
      <c r="DZK4" s="248"/>
      <c r="DZL4" s="248"/>
      <c r="DZM4" s="248"/>
      <c r="DZN4" s="248"/>
      <c r="DZO4" s="248"/>
      <c r="DZP4" s="248"/>
      <c r="DZQ4" s="248"/>
      <c r="DZR4" s="248"/>
      <c r="DZS4" s="248"/>
      <c r="DZT4" s="248"/>
      <c r="DZU4" s="248"/>
      <c r="DZV4" s="248"/>
      <c r="DZW4" s="248"/>
      <c r="DZX4" s="248"/>
      <c r="DZY4" s="248"/>
      <c r="DZZ4" s="248"/>
      <c r="EAA4" s="248"/>
      <c r="EAB4" s="248"/>
      <c r="EAC4" s="248"/>
      <c r="EAD4" s="248"/>
      <c r="EAE4" s="248"/>
      <c r="EAF4" s="248"/>
      <c r="EAG4" s="248"/>
      <c r="EAH4" s="248"/>
      <c r="EAI4" s="248"/>
      <c r="EAJ4" s="248"/>
      <c r="EAK4" s="248"/>
      <c r="EAL4" s="248"/>
      <c r="EAM4" s="248"/>
      <c r="EAN4" s="248"/>
      <c r="EAO4" s="248"/>
      <c r="EAP4" s="248"/>
      <c r="EAQ4" s="248"/>
      <c r="EAR4" s="248"/>
      <c r="EAS4" s="248"/>
      <c r="EAT4" s="248"/>
      <c r="EAU4" s="248"/>
      <c r="EAV4" s="248"/>
      <c r="EAW4" s="248"/>
      <c r="EAX4" s="248"/>
      <c r="EAY4" s="248"/>
      <c r="EAZ4" s="248"/>
      <c r="EBA4" s="248"/>
      <c r="EBB4" s="248"/>
      <c r="EBC4" s="248"/>
      <c r="EBD4" s="248"/>
      <c r="EBE4" s="248"/>
      <c r="EBF4" s="248"/>
      <c r="EBG4" s="248"/>
      <c r="EBH4" s="248"/>
      <c r="EBI4" s="248"/>
      <c r="EBJ4" s="248"/>
      <c r="EBK4" s="248"/>
      <c r="EBL4" s="248"/>
      <c r="EBM4" s="248"/>
      <c r="EBN4" s="248"/>
      <c r="EBO4" s="248"/>
      <c r="EBP4" s="248"/>
      <c r="EBQ4" s="248"/>
      <c r="EBR4" s="248"/>
      <c r="EBS4" s="248"/>
      <c r="EBT4" s="248"/>
      <c r="EBU4" s="248"/>
      <c r="EBV4" s="248"/>
      <c r="EBW4" s="248"/>
      <c r="EBX4" s="248"/>
      <c r="EBY4" s="248"/>
      <c r="EBZ4" s="248"/>
      <c r="ECA4" s="248"/>
      <c r="ECB4" s="248"/>
      <c r="ECC4" s="248"/>
      <c r="ECD4" s="248"/>
      <c r="ECE4" s="248"/>
      <c r="ECF4" s="248"/>
      <c r="ECG4" s="248"/>
      <c r="ECH4" s="248"/>
      <c r="ECI4" s="248"/>
      <c r="ECJ4" s="248"/>
      <c r="ECK4" s="248"/>
      <c r="ECL4" s="248"/>
      <c r="ECM4" s="248"/>
      <c r="ECN4" s="248"/>
      <c r="ECO4" s="248"/>
      <c r="ECP4" s="248"/>
      <c r="ECQ4" s="248"/>
      <c r="ECR4" s="248"/>
      <c r="ECS4" s="248"/>
      <c r="ECT4" s="248"/>
      <c r="ECU4" s="248"/>
      <c r="ECV4" s="248"/>
      <c r="ECW4" s="248"/>
      <c r="ECX4" s="248"/>
      <c r="ECY4" s="248"/>
      <c r="ECZ4" s="248"/>
      <c r="EDA4" s="248"/>
      <c r="EDB4" s="248"/>
      <c r="EDC4" s="248"/>
      <c r="EDD4" s="248"/>
      <c r="EDE4" s="248"/>
      <c r="EDF4" s="248"/>
      <c r="EDG4" s="248"/>
      <c r="EDH4" s="248"/>
      <c r="EDI4" s="248"/>
      <c r="EDJ4" s="248"/>
      <c r="EDK4" s="248"/>
      <c r="EDL4" s="248"/>
      <c r="EDM4" s="248"/>
      <c r="EDN4" s="248"/>
      <c r="EDO4" s="248"/>
      <c r="EDP4" s="248"/>
      <c r="EDQ4" s="248"/>
      <c r="EDR4" s="248"/>
      <c r="EDS4" s="248"/>
      <c r="EDT4" s="248"/>
      <c r="EDU4" s="248"/>
      <c r="EDV4" s="248"/>
      <c r="EDW4" s="248"/>
      <c r="EDX4" s="248"/>
      <c r="EDY4" s="248"/>
      <c r="EDZ4" s="248"/>
      <c r="EEA4" s="248"/>
      <c r="EEB4" s="248"/>
      <c r="EEC4" s="248"/>
      <c r="EED4" s="248"/>
      <c r="EEE4" s="248"/>
      <c r="EEF4" s="248"/>
      <c r="EEG4" s="248"/>
      <c r="EEH4" s="248"/>
      <c r="EEI4" s="248"/>
      <c r="EEJ4" s="248"/>
      <c r="EEK4" s="248"/>
      <c r="EEL4" s="248"/>
      <c r="EEM4" s="248"/>
      <c r="EEN4" s="248"/>
      <c r="EEO4" s="248"/>
      <c r="EEP4" s="248"/>
      <c r="EEQ4" s="248"/>
      <c r="EER4" s="248"/>
      <c r="EES4" s="248"/>
      <c r="EET4" s="248"/>
      <c r="EEU4" s="248"/>
      <c r="EEV4" s="248"/>
      <c r="EEW4" s="248"/>
      <c r="EEX4" s="248"/>
      <c r="EEY4" s="248"/>
      <c r="EEZ4" s="248"/>
      <c r="EFA4" s="248"/>
      <c r="EFB4" s="248"/>
      <c r="EFC4" s="248"/>
      <c r="EFD4" s="248"/>
      <c r="EFE4" s="248"/>
      <c r="EFF4" s="248"/>
      <c r="EFG4" s="248"/>
      <c r="EFH4" s="248"/>
      <c r="EFI4" s="248"/>
      <c r="EFJ4" s="248"/>
      <c r="EFK4" s="248"/>
      <c r="EFL4" s="248"/>
      <c r="EFM4" s="248"/>
      <c r="EFN4" s="248"/>
      <c r="EFO4" s="248"/>
      <c r="EFP4" s="248"/>
      <c r="EFQ4" s="248"/>
      <c r="EFR4" s="248"/>
      <c r="EFS4" s="248"/>
      <c r="EFT4" s="248"/>
      <c r="EFU4" s="248"/>
      <c r="EFV4" s="248"/>
      <c r="EFW4" s="248"/>
      <c r="EFX4" s="248"/>
      <c r="EFY4" s="248"/>
      <c r="EFZ4" s="248"/>
      <c r="EGA4" s="248"/>
      <c r="EGB4" s="248"/>
      <c r="EGC4" s="248"/>
      <c r="EGD4" s="248"/>
      <c r="EGE4" s="248"/>
      <c r="EGF4" s="248"/>
      <c r="EGG4" s="248"/>
      <c r="EGH4" s="248"/>
      <c r="EGI4" s="248"/>
      <c r="EGJ4" s="248"/>
      <c r="EGK4" s="248"/>
      <c r="EGL4" s="248"/>
      <c r="EGM4" s="248"/>
      <c r="EGN4" s="248"/>
      <c r="EGO4" s="248"/>
      <c r="EGP4" s="248"/>
      <c r="EGQ4" s="248"/>
      <c r="EGR4" s="248"/>
      <c r="EGS4" s="248"/>
      <c r="EGT4" s="248"/>
      <c r="EGU4" s="248"/>
      <c r="EGV4" s="248"/>
      <c r="EGW4" s="248"/>
      <c r="EGX4" s="248"/>
      <c r="EGY4" s="248"/>
      <c r="EGZ4" s="248"/>
      <c r="EHA4" s="248"/>
      <c r="EHB4" s="248"/>
      <c r="EHC4" s="248"/>
      <c r="EHD4" s="248"/>
      <c r="EHE4" s="248"/>
      <c r="EHF4" s="248"/>
      <c r="EHG4" s="248"/>
      <c r="EHH4" s="248"/>
      <c r="EHI4" s="248"/>
      <c r="EHJ4" s="248"/>
      <c r="EHK4" s="248"/>
      <c r="EHL4" s="248"/>
      <c r="EHM4" s="248"/>
      <c r="EHN4" s="248"/>
      <c r="EHO4" s="248"/>
      <c r="EHP4" s="248"/>
      <c r="EHQ4" s="248"/>
      <c r="EHR4" s="248"/>
      <c r="EHS4" s="248"/>
      <c r="EHT4" s="248"/>
      <c r="EHU4" s="248"/>
      <c r="EHV4" s="248"/>
      <c r="EHW4" s="248"/>
      <c r="EHX4" s="248"/>
      <c r="EHY4" s="248"/>
      <c r="EHZ4" s="248"/>
      <c r="EIA4" s="248"/>
      <c r="EIB4" s="248"/>
      <c r="EIC4" s="248"/>
      <c r="EID4" s="248"/>
      <c r="EIE4" s="248"/>
      <c r="EIF4" s="248"/>
      <c r="EIG4" s="248"/>
      <c r="EIH4" s="248"/>
      <c r="EII4" s="248"/>
      <c r="EIJ4" s="248"/>
      <c r="EIK4" s="248"/>
      <c r="EIL4" s="248"/>
      <c r="EIM4" s="248"/>
      <c r="EIN4" s="248"/>
      <c r="EIO4" s="248"/>
      <c r="EIP4" s="248"/>
      <c r="EIQ4" s="248"/>
      <c r="EIR4" s="248"/>
      <c r="EIS4" s="248"/>
      <c r="EIT4" s="248"/>
      <c r="EIU4" s="248"/>
      <c r="EIV4" s="248"/>
      <c r="EIW4" s="248"/>
      <c r="EIX4" s="248"/>
      <c r="EIY4" s="248"/>
      <c r="EIZ4" s="248"/>
      <c r="EJA4" s="248"/>
      <c r="EJB4" s="248"/>
      <c r="EJC4" s="248"/>
      <c r="EJD4" s="248"/>
      <c r="EJE4" s="248"/>
      <c r="EJF4" s="248"/>
      <c r="EJG4" s="248"/>
      <c r="EJH4" s="248"/>
      <c r="EJI4" s="248"/>
      <c r="EJJ4" s="248"/>
      <c r="EJK4" s="248"/>
      <c r="EJL4" s="248"/>
      <c r="EJM4" s="248"/>
      <c r="EJN4" s="248"/>
      <c r="EJO4" s="248"/>
      <c r="EJP4" s="248"/>
      <c r="EJQ4" s="248"/>
      <c r="EJR4" s="248"/>
      <c r="EJS4" s="248"/>
      <c r="EJT4" s="248"/>
      <c r="EJU4" s="248"/>
      <c r="EJV4" s="248"/>
      <c r="EJW4" s="248"/>
      <c r="EJX4" s="248"/>
      <c r="EJY4" s="248"/>
      <c r="EJZ4" s="248"/>
      <c r="EKA4" s="248"/>
      <c r="EKB4" s="248"/>
      <c r="EKC4" s="248"/>
      <c r="EKD4" s="248"/>
      <c r="EKE4" s="248"/>
      <c r="EKF4" s="248"/>
      <c r="EKG4" s="248"/>
      <c r="EKH4" s="248"/>
      <c r="EKI4" s="248"/>
      <c r="EKJ4" s="248"/>
      <c r="EKK4" s="248"/>
      <c r="EKL4" s="248"/>
      <c r="EKM4" s="248"/>
      <c r="EKN4" s="248"/>
      <c r="EKO4" s="248"/>
      <c r="EKP4" s="248"/>
      <c r="EKQ4" s="248"/>
      <c r="EKR4" s="248"/>
      <c r="EKS4" s="248"/>
      <c r="EKT4" s="248"/>
      <c r="EKU4" s="248"/>
      <c r="EKV4" s="248"/>
      <c r="EKW4" s="248"/>
      <c r="EKX4" s="248"/>
      <c r="EKY4" s="248"/>
      <c r="EKZ4" s="248"/>
      <c r="ELA4" s="248"/>
      <c r="ELB4" s="248"/>
      <c r="ELC4" s="248"/>
      <c r="ELD4" s="248"/>
      <c r="ELE4" s="248"/>
      <c r="ELF4" s="248"/>
      <c r="ELG4" s="248"/>
      <c r="ELH4" s="248"/>
      <c r="ELI4" s="248"/>
      <c r="ELJ4" s="248"/>
      <c r="ELK4" s="248"/>
      <c r="ELL4" s="248"/>
      <c r="ELM4" s="248"/>
      <c r="ELN4" s="248"/>
      <c r="ELO4" s="248"/>
      <c r="ELP4" s="248"/>
      <c r="ELQ4" s="248"/>
      <c r="ELR4" s="248"/>
      <c r="ELS4" s="248"/>
      <c r="ELT4" s="248"/>
      <c r="ELU4" s="248"/>
      <c r="ELV4" s="248"/>
      <c r="ELW4" s="248"/>
      <c r="ELX4" s="248"/>
      <c r="ELY4" s="248"/>
      <c r="ELZ4" s="248"/>
      <c r="EMA4" s="248"/>
      <c r="EMB4" s="248"/>
      <c r="EMC4" s="248"/>
      <c r="EMD4" s="248"/>
      <c r="EME4" s="248"/>
      <c r="EMF4" s="248"/>
      <c r="EMG4" s="248"/>
      <c r="EMH4" s="248"/>
      <c r="EMI4" s="248"/>
      <c r="EMJ4" s="248"/>
      <c r="EMK4" s="248"/>
      <c r="EML4" s="248"/>
      <c r="EMM4" s="248"/>
      <c r="EMN4" s="248"/>
      <c r="EMO4" s="248"/>
      <c r="EMP4" s="248"/>
      <c r="EMQ4" s="248"/>
      <c r="EMR4" s="248"/>
      <c r="EMS4" s="248"/>
      <c r="EMT4" s="248"/>
      <c r="EMU4" s="248"/>
      <c r="EMV4" s="248"/>
      <c r="EMW4" s="248"/>
      <c r="EMX4" s="248"/>
      <c r="EMY4" s="248"/>
      <c r="EMZ4" s="248"/>
      <c r="ENA4" s="248"/>
      <c r="ENB4" s="248"/>
      <c r="ENC4" s="248"/>
      <c r="END4" s="248"/>
      <c r="ENE4" s="248"/>
      <c r="ENF4" s="248"/>
      <c r="ENG4" s="248"/>
      <c r="ENH4" s="248"/>
      <c r="ENI4" s="248"/>
      <c r="ENJ4" s="248"/>
      <c r="ENK4" s="248"/>
      <c r="ENL4" s="248"/>
      <c r="ENM4" s="248"/>
      <c r="ENN4" s="248"/>
      <c r="ENO4" s="248"/>
      <c r="ENP4" s="248"/>
      <c r="ENQ4" s="248"/>
      <c r="ENR4" s="248"/>
      <c r="ENS4" s="248"/>
      <c r="ENT4" s="248"/>
      <c r="ENU4" s="248"/>
      <c r="ENV4" s="248"/>
      <c r="ENW4" s="248"/>
      <c r="ENX4" s="248"/>
      <c r="ENY4" s="248"/>
      <c r="ENZ4" s="248"/>
      <c r="EOA4" s="248"/>
      <c r="EOB4" s="248"/>
      <c r="EOC4" s="248"/>
      <c r="EOD4" s="248"/>
      <c r="EOE4" s="248"/>
      <c r="EOF4" s="248"/>
      <c r="EOG4" s="248"/>
      <c r="EOH4" s="248"/>
      <c r="EOI4" s="248"/>
      <c r="EOJ4" s="248"/>
      <c r="EOK4" s="248"/>
      <c r="EOL4" s="248"/>
      <c r="EOM4" s="248"/>
      <c r="EON4" s="248"/>
      <c r="EOO4" s="248"/>
      <c r="EOP4" s="248"/>
      <c r="EOQ4" s="248"/>
      <c r="EOR4" s="248"/>
      <c r="EOS4" s="248"/>
      <c r="EOT4" s="248"/>
      <c r="EOU4" s="248"/>
      <c r="EOV4" s="248"/>
      <c r="EOW4" s="248"/>
      <c r="EOX4" s="248"/>
      <c r="EOY4" s="248"/>
      <c r="EOZ4" s="248"/>
      <c r="EPA4" s="248"/>
      <c r="EPB4" s="248"/>
      <c r="EPC4" s="248"/>
      <c r="EPD4" s="248"/>
      <c r="EPE4" s="248"/>
      <c r="EPF4" s="248"/>
      <c r="EPG4" s="248"/>
      <c r="EPH4" s="248"/>
      <c r="EPI4" s="248"/>
      <c r="EPJ4" s="248"/>
      <c r="EPK4" s="248"/>
      <c r="EPL4" s="248"/>
      <c r="EPM4" s="248"/>
      <c r="EPN4" s="248"/>
      <c r="EPO4" s="248"/>
      <c r="EPP4" s="248"/>
      <c r="EPQ4" s="248"/>
      <c r="EPR4" s="248"/>
      <c r="EPS4" s="248"/>
      <c r="EPT4" s="248"/>
      <c r="EPU4" s="248"/>
      <c r="EPV4" s="248"/>
      <c r="EPW4" s="248"/>
      <c r="EPX4" s="248"/>
      <c r="EPY4" s="248"/>
      <c r="EPZ4" s="248"/>
      <c r="EQA4" s="248"/>
      <c r="EQB4" s="248"/>
      <c r="EQC4" s="248"/>
      <c r="EQD4" s="248"/>
      <c r="EQE4" s="248"/>
      <c r="EQF4" s="248"/>
      <c r="EQG4" s="248"/>
      <c r="EQH4" s="248"/>
      <c r="EQI4" s="248"/>
      <c r="EQJ4" s="248"/>
      <c r="EQK4" s="248"/>
      <c r="EQL4" s="248"/>
      <c r="EQM4" s="248"/>
      <c r="EQN4" s="248"/>
      <c r="EQO4" s="248"/>
      <c r="EQP4" s="248"/>
      <c r="EQQ4" s="248"/>
      <c r="EQR4" s="248"/>
      <c r="EQS4" s="248"/>
      <c r="EQT4" s="248"/>
      <c r="EQU4" s="248"/>
      <c r="EQV4" s="248"/>
      <c r="EQW4" s="248"/>
      <c r="EQX4" s="248"/>
      <c r="EQY4" s="248"/>
      <c r="EQZ4" s="248"/>
      <c r="ERA4" s="248"/>
      <c r="ERB4" s="248"/>
      <c r="ERC4" s="248"/>
      <c r="ERD4" s="248"/>
      <c r="ERE4" s="248"/>
      <c r="ERF4" s="248"/>
      <c r="ERG4" s="248"/>
      <c r="ERH4" s="248"/>
      <c r="ERI4" s="248"/>
      <c r="ERJ4" s="248"/>
      <c r="ERK4" s="248"/>
      <c r="ERL4" s="248"/>
      <c r="ERM4" s="248"/>
      <c r="ERN4" s="248"/>
      <c r="ERO4" s="248"/>
      <c r="ERP4" s="248"/>
      <c r="ERQ4" s="248"/>
      <c r="ERR4" s="248"/>
      <c r="ERS4" s="248"/>
      <c r="ERT4" s="248"/>
      <c r="ERU4" s="248"/>
      <c r="ERV4" s="248"/>
      <c r="ERW4" s="248"/>
      <c r="ERX4" s="248"/>
      <c r="ERY4" s="248"/>
      <c r="ERZ4" s="248"/>
      <c r="ESA4" s="248"/>
      <c r="ESB4" s="248"/>
      <c r="ESC4" s="248"/>
      <c r="ESD4" s="248"/>
      <c r="ESE4" s="248"/>
      <c r="ESF4" s="248"/>
      <c r="ESG4" s="248"/>
      <c r="ESH4" s="248"/>
      <c r="ESI4" s="248"/>
      <c r="ESJ4" s="248"/>
      <c r="ESK4" s="248"/>
      <c r="ESL4" s="248"/>
      <c r="ESM4" s="248"/>
      <c r="ESN4" s="248"/>
      <c r="ESO4" s="248"/>
      <c r="ESP4" s="248"/>
      <c r="ESQ4" s="248"/>
      <c r="ESR4" s="248"/>
      <c r="ESS4" s="248"/>
      <c r="EST4" s="248"/>
      <c r="ESU4" s="248"/>
      <c r="ESV4" s="248"/>
      <c r="ESW4" s="248"/>
      <c r="ESX4" s="248"/>
      <c r="ESY4" s="248"/>
      <c r="ESZ4" s="248"/>
      <c r="ETA4" s="248"/>
      <c r="ETB4" s="248"/>
      <c r="ETC4" s="248"/>
      <c r="ETD4" s="248"/>
      <c r="ETE4" s="248"/>
      <c r="ETF4" s="248"/>
      <c r="ETG4" s="248"/>
      <c r="ETH4" s="248"/>
      <c r="ETI4" s="248"/>
      <c r="ETJ4" s="248"/>
      <c r="ETK4" s="248"/>
      <c r="ETL4" s="248"/>
      <c r="ETM4" s="248"/>
      <c r="ETN4" s="248"/>
      <c r="ETO4" s="248"/>
      <c r="ETP4" s="248"/>
      <c r="ETQ4" s="248"/>
      <c r="ETR4" s="248"/>
      <c r="ETS4" s="248"/>
      <c r="ETT4" s="248"/>
      <c r="ETU4" s="248"/>
      <c r="ETV4" s="248"/>
      <c r="ETW4" s="248"/>
      <c r="ETX4" s="248"/>
      <c r="ETY4" s="248"/>
      <c r="ETZ4" s="248"/>
      <c r="EUA4" s="248"/>
      <c r="EUB4" s="248"/>
      <c r="EUC4" s="248"/>
      <c r="EUD4" s="248"/>
      <c r="EUE4" s="248"/>
      <c r="EUF4" s="248"/>
      <c r="EUG4" s="248"/>
      <c r="EUH4" s="248"/>
      <c r="EUI4" s="248"/>
      <c r="EUJ4" s="248"/>
      <c r="EUK4" s="248"/>
      <c r="EUL4" s="248"/>
      <c r="EUM4" s="248"/>
      <c r="EUN4" s="248"/>
      <c r="EUO4" s="248"/>
      <c r="EUP4" s="248"/>
      <c r="EUQ4" s="248"/>
      <c r="EUR4" s="248"/>
      <c r="EUS4" s="248"/>
      <c r="EUT4" s="248"/>
      <c r="EUU4" s="248"/>
      <c r="EUV4" s="248"/>
      <c r="EUW4" s="248"/>
      <c r="EUX4" s="248"/>
      <c r="EUY4" s="248"/>
      <c r="EUZ4" s="248"/>
      <c r="EVA4" s="248"/>
      <c r="EVB4" s="248"/>
      <c r="EVC4" s="248"/>
      <c r="EVD4" s="248"/>
      <c r="EVE4" s="248"/>
      <c r="EVF4" s="248"/>
      <c r="EVG4" s="248"/>
      <c r="EVH4" s="248"/>
      <c r="EVI4" s="248"/>
      <c r="EVJ4" s="248"/>
      <c r="EVK4" s="248"/>
      <c r="EVL4" s="248"/>
      <c r="EVM4" s="248"/>
      <c r="EVN4" s="248"/>
      <c r="EVO4" s="248"/>
      <c r="EVP4" s="248"/>
      <c r="EVQ4" s="248"/>
      <c r="EVR4" s="248"/>
      <c r="EVS4" s="248"/>
      <c r="EVT4" s="248"/>
      <c r="EVU4" s="248"/>
      <c r="EVV4" s="248"/>
      <c r="EVW4" s="248"/>
      <c r="EVX4" s="248"/>
      <c r="EVY4" s="248"/>
      <c r="EVZ4" s="248"/>
      <c r="EWA4" s="248"/>
      <c r="EWB4" s="248"/>
      <c r="EWC4" s="248"/>
      <c r="EWD4" s="248"/>
      <c r="EWE4" s="248"/>
      <c r="EWF4" s="248"/>
      <c r="EWG4" s="248"/>
      <c r="EWH4" s="248"/>
      <c r="EWI4" s="248"/>
      <c r="EWJ4" s="248"/>
      <c r="EWK4" s="248"/>
      <c r="EWL4" s="248"/>
      <c r="EWM4" s="248"/>
      <c r="EWN4" s="248"/>
      <c r="EWO4" s="248"/>
      <c r="EWP4" s="248"/>
      <c r="EWQ4" s="248"/>
      <c r="EWR4" s="248"/>
      <c r="EWS4" s="248"/>
      <c r="EWT4" s="248"/>
      <c r="EWU4" s="248"/>
      <c r="EWV4" s="248"/>
      <c r="EWW4" s="248"/>
      <c r="EWX4" s="248"/>
      <c r="EWY4" s="248"/>
      <c r="EWZ4" s="248"/>
      <c r="EXA4" s="248"/>
      <c r="EXB4" s="248"/>
      <c r="EXC4" s="248"/>
      <c r="EXD4" s="248"/>
      <c r="EXE4" s="248"/>
      <c r="EXF4" s="248"/>
      <c r="EXG4" s="248"/>
      <c r="EXH4" s="248"/>
      <c r="EXI4" s="248"/>
      <c r="EXJ4" s="248"/>
      <c r="EXK4" s="248"/>
      <c r="EXL4" s="248"/>
      <c r="EXM4" s="248"/>
      <c r="EXN4" s="248"/>
      <c r="EXO4" s="248"/>
      <c r="EXP4" s="248"/>
      <c r="EXQ4" s="248"/>
      <c r="EXR4" s="248"/>
      <c r="EXS4" s="248"/>
      <c r="EXT4" s="248"/>
      <c r="EXU4" s="248"/>
      <c r="EXV4" s="248"/>
      <c r="EXW4" s="248"/>
      <c r="EXX4" s="248"/>
      <c r="EXY4" s="248"/>
      <c r="EXZ4" s="248"/>
      <c r="EYA4" s="248"/>
      <c r="EYB4" s="248"/>
      <c r="EYC4" s="248"/>
      <c r="EYD4" s="248"/>
      <c r="EYE4" s="248"/>
      <c r="EYF4" s="248"/>
      <c r="EYG4" s="248"/>
      <c r="EYH4" s="248"/>
      <c r="EYI4" s="248"/>
      <c r="EYJ4" s="248"/>
      <c r="EYK4" s="248"/>
      <c r="EYL4" s="248"/>
      <c r="EYM4" s="248"/>
      <c r="EYN4" s="248"/>
      <c r="EYO4" s="248"/>
      <c r="EYP4" s="248"/>
      <c r="EYQ4" s="248"/>
      <c r="EYR4" s="248"/>
      <c r="EYS4" s="248"/>
      <c r="EYT4" s="248"/>
      <c r="EYU4" s="248"/>
      <c r="EYV4" s="248"/>
      <c r="EYW4" s="248"/>
      <c r="EYX4" s="248"/>
      <c r="EYY4" s="248"/>
      <c r="EYZ4" s="248"/>
      <c r="EZA4" s="248"/>
      <c r="EZB4" s="248"/>
      <c r="EZC4" s="248"/>
      <c r="EZD4" s="248"/>
      <c r="EZE4" s="248"/>
      <c r="EZF4" s="248"/>
      <c r="EZG4" s="248"/>
      <c r="EZH4" s="248"/>
      <c r="EZI4" s="248"/>
      <c r="EZJ4" s="248"/>
      <c r="EZK4" s="248"/>
      <c r="EZL4" s="248"/>
      <c r="EZM4" s="248"/>
      <c r="EZN4" s="248"/>
      <c r="EZO4" s="248"/>
      <c r="EZP4" s="248"/>
      <c r="EZQ4" s="248"/>
      <c r="EZR4" s="248"/>
      <c r="EZS4" s="248"/>
      <c r="EZT4" s="248"/>
      <c r="EZU4" s="248"/>
      <c r="EZV4" s="248"/>
      <c r="EZW4" s="248"/>
      <c r="EZX4" s="248"/>
      <c r="EZY4" s="248"/>
      <c r="EZZ4" s="248"/>
      <c r="FAA4" s="248"/>
      <c r="FAB4" s="248"/>
      <c r="FAC4" s="248"/>
      <c r="FAD4" s="248"/>
      <c r="FAE4" s="248"/>
      <c r="FAF4" s="248"/>
      <c r="FAG4" s="248"/>
      <c r="FAH4" s="248"/>
      <c r="FAI4" s="248"/>
      <c r="FAJ4" s="248"/>
      <c r="FAK4" s="248"/>
      <c r="FAL4" s="248"/>
      <c r="FAM4" s="248"/>
      <c r="FAN4" s="248"/>
      <c r="FAO4" s="248"/>
      <c r="FAP4" s="248"/>
      <c r="FAQ4" s="248"/>
      <c r="FAR4" s="248"/>
      <c r="FAS4" s="248"/>
      <c r="FAT4" s="248"/>
      <c r="FAU4" s="248"/>
      <c r="FAV4" s="248"/>
      <c r="FAW4" s="248"/>
      <c r="FAX4" s="248"/>
      <c r="FAY4" s="248"/>
      <c r="FAZ4" s="248"/>
      <c r="FBA4" s="248"/>
      <c r="FBB4" s="248"/>
      <c r="FBC4" s="248"/>
      <c r="FBD4" s="248"/>
      <c r="FBE4" s="248"/>
      <c r="FBF4" s="248"/>
      <c r="FBG4" s="248"/>
      <c r="FBH4" s="248"/>
      <c r="FBI4" s="248"/>
      <c r="FBJ4" s="248"/>
      <c r="FBK4" s="248"/>
      <c r="FBL4" s="248"/>
      <c r="FBM4" s="248"/>
      <c r="FBN4" s="248"/>
      <c r="FBO4" s="248"/>
      <c r="FBP4" s="248"/>
      <c r="FBQ4" s="248"/>
      <c r="FBR4" s="248"/>
      <c r="FBS4" s="248"/>
      <c r="FBT4" s="248"/>
      <c r="FBU4" s="248"/>
      <c r="FBV4" s="248"/>
      <c r="FBW4" s="248"/>
      <c r="FBX4" s="248"/>
      <c r="FBY4" s="248"/>
      <c r="FBZ4" s="248"/>
      <c r="FCA4" s="248"/>
      <c r="FCB4" s="248"/>
      <c r="FCC4" s="248"/>
      <c r="FCD4" s="248"/>
      <c r="FCE4" s="248"/>
      <c r="FCF4" s="248"/>
      <c r="FCG4" s="248"/>
      <c r="FCH4" s="248"/>
      <c r="FCI4" s="248"/>
      <c r="FCJ4" s="248"/>
      <c r="FCK4" s="248"/>
      <c r="FCL4" s="248"/>
      <c r="FCM4" s="248"/>
      <c r="FCN4" s="248"/>
      <c r="FCO4" s="248"/>
      <c r="FCP4" s="248"/>
      <c r="FCQ4" s="248"/>
      <c r="FCR4" s="248"/>
      <c r="FCS4" s="248"/>
      <c r="FCT4" s="248"/>
      <c r="FCU4" s="248"/>
      <c r="FCV4" s="248"/>
      <c r="FCW4" s="248"/>
      <c r="FCX4" s="248"/>
      <c r="FCY4" s="248"/>
      <c r="FCZ4" s="248"/>
      <c r="FDA4" s="248"/>
      <c r="FDB4" s="248"/>
      <c r="FDC4" s="248"/>
      <c r="FDD4" s="248"/>
      <c r="FDE4" s="248"/>
      <c r="FDF4" s="248"/>
      <c r="FDG4" s="248"/>
      <c r="FDH4" s="248"/>
      <c r="FDI4" s="248"/>
      <c r="FDJ4" s="248"/>
      <c r="FDK4" s="248"/>
      <c r="FDL4" s="248"/>
      <c r="FDM4" s="248"/>
      <c r="FDN4" s="248"/>
      <c r="FDO4" s="248"/>
      <c r="FDP4" s="248"/>
      <c r="FDQ4" s="248"/>
      <c r="FDR4" s="248"/>
      <c r="FDS4" s="248"/>
      <c r="FDT4" s="248"/>
      <c r="FDU4" s="248"/>
      <c r="FDV4" s="248"/>
      <c r="FDW4" s="248"/>
      <c r="FDX4" s="248"/>
      <c r="FDY4" s="248"/>
      <c r="FDZ4" s="248"/>
      <c r="FEA4" s="248"/>
      <c r="FEB4" s="248"/>
      <c r="FEC4" s="248"/>
      <c r="FED4" s="248"/>
      <c r="FEE4" s="248"/>
      <c r="FEF4" s="248"/>
      <c r="FEG4" s="248"/>
      <c r="FEH4" s="248"/>
      <c r="FEI4" s="248"/>
      <c r="FEJ4" s="248"/>
      <c r="FEK4" s="248"/>
      <c r="FEL4" s="248"/>
      <c r="FEM4" s="248"/>
      <c r="FEN4" s="248"/>
      <c r="FEO4" s="248"/>
      <c r="FEP4" s="248"/>
      <c r="FEQ4" s="248"/>
      <c r="FER4" s="248"/>
      <c r="FES4" s="248"/>
      <c r="FET4" s="248"/>
      <c r="FEU4" s="248"/>
      <c r="FEV4" s="248"/>
      <c r="FEW4" s="248"/>
      <c r="FEX4" s="248"/>
      <c r="FEY4" s="248"/>
      <c r="FEZ4" s="248"/>
      <c r="FFA4" s="248"/>
      <c r="FFB4" s="248"/>
      <c r="FFC4" s="248"/>
      <c r="FFD4" s="248"/>
      <c r="FFE4" s="248"/>
      <c r="FFF4" s="248"/>
      <c r="FFG4" s="248"/>
      <c r="FFH4" s="248"/>
      <c r="FFI4" s="248"/>
      <c r="FFJ4" s="248"/>
      <c r="FFK4" s="248"/>
      <c r="FFL4" s="248"/>
      <c r="FFM4" s="248"/>
      <c r="FFN4" s="248"/>
      <c r="FFO4" s="248"/>
      <c r="FFP4" s="248"/>
      <c r="FFQ4" s="248"/>
      <c r="FFR4" s="248"/>
      <c r="FFS4" s="248"/>
      <c r="FFT4" s="248"/>
      <c r="FFU4" s="248"/>
      <c r="FFV4" s="248"/>
      <c r="FFW4" s="248"/>
      <c r="FFX4" s="248"/>
      <c r="FFY4" s="248"/>
      <c r="FFZ4" s="248"/>
      <c r="FGA4" s="248"/>
      <c r="FGB4" s="248"/>
      <c r="FGC4" s="248"/>
      <c r="FGD4" s="248"/>
      <c r="FGE4" s="248"/>
      <c r="FGF4" s="248"/>
      <c r="FGG4" s="248"/>
      <c r="FGH4" s="248"/>
      <c r="FGI4" s="248"/>
      <c r="FGJ4" s="248"/>
      <c r="FGK4" s="248"/>
      <c r="FGL4" s="248"/>
      <c r="FGM4" s="248"/>
      <c r="FGN4" s="248"/>
      <c r="FGO4" s="248"/>
      <c r="FGP4" s="248"/>
      <c r="FGQ4" s="248"/>
      <c r="FGR4" s="248"/>
      <c r="FGS4" s="248"/>
      <c r="FGT4" s="248"/>
      <c r="FGU4" s="248"/>
      <c r="FGV4" s="248"/>
      <c r="FGW4" s="248"/>
      <c r="FGX4" s="248"/>
      <c r="FGY4" s="248"/>
      <c r="FGZ4" s="248"/>
      <c r="FHA4" s="248"/>
      <c r="FHB4" s="248"/>
      <c r="FHC4" s="248"/>
      <c r="FHD4" s="248"/>
      <c r="FHE4" s="248"/>
      <c r="FHF4" s="248"/>
      <c r="FHG4" s="248"/>
      <c r="FHH4" s="248"/>
      <c r="FHI4" s="248"/>
      <c r="FHJ4" s="248"/>
      <c r="FHK4" s="248"/>
      <c r="FHL4" s="248"/>
      <c r="FHM4" s="248"/>
      <c r="FHN4" s="248"/>
      <c r="FHO4" s="248"/>
      <c r="FHP4" s="248"/>
      <c r="FHQ4" s="248"/>
      <c r="FHR4" s="248"/>
      <c r="FHS4" s="248"/>
      <c r="FHT4" s="248"/>
      <c r="FHU4" s="248"/>
      <c r="FHV4" s="248"/>
      <c r="FHW4" s="248"/>
      <c r="FHX4" s="248"/>
      <c r="FHY4" s="248"/>
      <c r="FHZ4" s="248"/>
      <c r="FIA4" s="248"/>
      <c r="FIB4" s="248"/>
      <c r="FIC4" s="248"/>
      <c r="FID4" s="248"/>
      <c r="FIE4" s="248"/>
      <c r="FIF4" s="248"/>
      <c r="FIG4" s="248"/>
      <c r="FIH4" s="248"/>
      <c r="FII4" s="248"/>
      <c r="FIJ4" s="248"/>
      <c r="FIK4" s="248"/>
      <c r="FIL4" s="248"/>
      <c r="FIM4" s="248"/>
      <c r="FIN4" s="248"/>
      <c r="FIO4" s="248"/>
      <c r="FIP4" s="248"/>
      <c r="FIQ4" s="248"/>
      <c r="FIR4" s="248"/>
      <c r="FIS4" s="248"/>
      <c r="FIT4" s="248"/>
      <c r="FIU4" s="248"/>
      <c r="FIV4" s="248"/>
      <c r="FIW4" s="248"/>
      <c r="FIX4" s="248"/>
      <c r="FIY4" s="248"/>
      <c r="FIZ4" s="248"/>
      <c r="FJA4" s="248"/>
      <c r="FJB4" s="248"/>
      <c r="FJC4" s="248"/>
      <c r="FJD4" s="248"/>
      <c r="FJE4" s="248"/>
      <c r="FJF4" s="248"/>
      <c r="FJG4" s="248"/>
      <c r="FJH4" s="248"/>
      <c r="FJI4" s="248"/>
      <c r="FJJ4" s="248"/>
      <c r="FJK4" s="248"/>
      <c r="FJL4" s="248"/>
      <c r="FJM4" s="248"/>
      <c r="FJN4" s="248"/>
      <c r="FJO4" s="248"/>
      <c r="FJP4" s="248"/>
      <c r="FJQ4" s="248"/>
      <c r="FJR4" s="248"/>
      <c r="FJS4" s="248"/>
      <c r="FJT4" s="248"/>
      <c r="FJU4" s="248"/>
      <c r="FJV4" s="248"/>
      <c r="FJW4" s="248"/>
      <c r="FJX4" s="248"/>
      <c r="FJY4" s="248"/>
      <c r="FJZ4" s="248"/>
      <c r="FKA4" s="248"/>
      <c r="FKB4" s="248"/>
      <c r="FKC4" s="248"/>
      <c r="FKD4" s="248"/>
      <c r="FKE4" s="248"/>
      <c r="FKF4" s="248"/>
      <c r="FKG4" s="248"/>
      <c r="FKH4" s="248"/>
      <c r="FKI4" s="248"/>
      <c r="FKJ4" s="248"/>
      <c r="FKK4" s="248"/>
      <c r="FKL4" s="248"/>
      <c r="FKM4" s="248"/>
      <c r="FKN4" s="248"/>
      <c r="FKO4" s="248"/>
      <c r="FKP4" s="248"/>
      <c r="FKQ4" s="248"/>
      <c r="FKR4" s="248"/>
      <c r="FKS4" s="248"/>
      <c r="FKT4" s="248"/>
      <c r="FKU4" s="248"/>
      <c r="FKV4" s="248"/>
      <c r="FKW4" s="248"/>
      <c r="FKX4" s="248"/>
      <c r="FKY4" s="248"/>
      <c r="FKZ4" s="248"/>
      <c r="FLA4" s="248"/>
      <c r="FLB4" s="248"/>
      <c r="FLC4" s="248"/>
      <c r="FLD4" s="248"/>
      <c r="FLE4" s="248"/>
      <c r="FLF4" s="248"/>
      <c r="FLG4" s="248"/>
      <c r="FLH4" s="248"/>
      <c r="FLI4" s="248"/>
      <c r="FLJ4" s="248"/>
      <c r="FLK4" s="248"/>
      <c r="FLL4" s="248"/>
      <c r="FLM4" s="248"/>
      <c r="FLN4" s="248"/>
      <c r="FLO4" s="248"/>
      <c r="FLP4" s="248"/>
      <c r="FLQ4" s="248"/>
      <c r="FLR4" s="248"/>
      <c r="FLS4" s="248"/>
      <c r="FLT4" s="248"/>
      <c r="FLU4" s="248"/>
      <c r="FLV4" s="248"/>
      <c r="FLW4" s="248"/>
      <c r="FLX4" s="248"/>
      <c r="FLY4" s="248"/>
      <c r="FLZ4" s="248"/>
      <c r="FMA4" s="248"/>
      <c r="FMB4" s="248"/>
      <c r="FMC4" s="248"/>
      <c r="FMD4" s="248"/>
      <c r="FME4" s="248"/>
      <c r="FMF4" s="248"/>
      <c r="FMG4" s="248"/>
      <c r="FMH4" s="248"/>
      <c r="FMI4" s="248"/>
      <c r="FMJ4" s="248"/>
      <c r="FMK4" s="248"/>
      <c r="FML4" s="248"/>
      <c r="FMM4" s="248"/>
      <c r="FMN4" s="248"/>
      <c r="FMO4" s="248"/>
      <c r="FMP4" s="248"/>
      <c r="FMQ4" s="248"/>
      <c r="FMR4" s="248"/>
      <c r="FMS4" s="248"/>
      <c r="FMT4" s="248"/>
      <c r="FMU4" s="248"/>
      <c r="FMV4" s="248"/>
      <c r="FMW4" s="248"/>
      <c r="FMX4" s="248"/>
      <c r="FMY4" s="248"/>
      <c r="FMZ4" s="248"/>
      <c r="FNA4" s="248"/>
      <c r="FNB4" s="248"/>
      <c r="FNC4" s="248"/>
      <c r="FND4" s="248"/>
      <c r="FNE4" s="248"/>
      <c r="FNF4" s="248"/>
      <c r="FNG4" s="248"/>
      <c r="FNH4" s="248"/>
      <c r="FNI4" s="248"/>
      <c r="FNJ4" s="248"/>
      <c r="FNK4" s="248"/>
      <c r="FNL4" s="248"/>
      <c r="FNM4" s="248"/>
      <c r="FNN4" s="248"/>
      <c r="FNO4" s="248"/>
      <c r="FNP4" s="248"/>
      <c r="FNQ4" s="248"/>
      <c r="FNR4" s="248"/>
      <c r="FNS4" s="248"/>
      <c r="FNT4" s="248"/>
      <c r="FNU4" s="248"/>
      <c r="FNV4" s="248"/>
      <c r="FNW4" s="248"/>
      <c r="FNX4" s="248"/>
      <c r="FNY4" s="248"/>
      <c r="FNZ4" s="248"/>
      <c r="FOA4" s="248"/>
      <c r="FOB4" s="248"/>
      <c r="FOC4" s="248"/>
      <c r="FOD4" s="248"/>
      <c r="FOE4" s="248"/>
      <c r="FOF4" s="248"/>
      <c r="FOG4" s="248"/>
      <c r="FOH4" s="248"/>
      <c r="FOI4" s="248"/>
      <c r="FOJ4" s="248"/>
      <c r="FOK4" s="248"/>
      <c r="FOL4" s="248"/>
      <c r="FOM4" s="248"/>
      <c r="FON4" s="248"/>
      <c r="FOO4" s="248"/>
      <c r="FOP4" s="248"/>
      <c r="FOQ4" s="248"/>
      <c r="FOR4" s="248"/>
      <c r="FOS4" s="248"/>
      <c r="FOT4" s="248"/>
      <c r="FOU4" s="248"/>
      <c r="FOV4" s="248"/>
      <c r="FOW4" s="248"/>
      <c r="FOX4" s="248"/>
      <c r="FOY4" s="248"/>
      <c r="FOZ4" s="248"/>
      <c r="FPA4" s="248"/>
      <c r="FPB4" s="248"/>
      <c r="FPC4" s="248"/>
      <c r="FPD4" s="248"/>
      <c r="FPE4" s="248"/>
      <c r="FPF4" s="248"/>
      <c r="FPG4" s="248"/>
      <c r="FPH4" s="248"/>
      <c r="FPI4" s="248"/>
      <c r="FPJ4" s="248"/>
      <c r="FPK4" s="248"/>
      <c r="FPL4" s="248"/>
      <c r="FPM4" s="248"/>
      <c r="FPN4" s="248"/>
      <c r="FPO4" s="248"/>
      <c r="FPP4" s="248"/>
      <c r="FPQ4" s="248"/>
      <c r="FPR4" s="248"/>
      <c r="FPS4" s="248"/>
      <c r="FPT4" s="248"/>
      <c r="FPU4" s="248"/>
      <c r="FPV4" s="248"/>
      <c r="FPW4" s="248"/>
      <c r="FPX4" s="248"/>
      <c r="FPY4" s="248"/>
      <c r="FPZ4" s="248"/>
      <c r="FQA4" s="248"/>
      <c r="FQB4" s="248"/>
      <c r="FQC4" s="248"/>
      <c r="FQD4" s="248"/>
      <c r="FQE4" s="248"/>
      <c r="FQF4" s="248"/>
      <c r="FQG4" s="248"/>
      <c r="FQH4" s="248"/>
      <c r="FQI4" s="248"/>
      <c r="FQJ4" s="248"/>
      <c r="FQK4" s="248"/>
      <c r="FQL4" s="248"/>
      <c r="FQM4" s="248"/>
      <c r="FQN4" s="248"/>
      <c r="FQO4" s="248"/>
      <c r="FQP4" s="248"/>
      <c r="FQQ4" s="248"/>
      <c r="FQR4" s="248"/>
      <c r="FQS4" s="248"/>
      <c r="FQT4" s="248"/>
      <c r="FQU4" s="248"/>
      <c r="FQV4" s="248"/>
      <c r="FQW4" s="248"/>
      <c r="FQX4" s="248"/>
      <c r="FQY4" s="248"/>
      <c r="FQZ4" s="248"/>
      <c r="FRA4" s="248"/>
      <c r="FRB4" s="248"/>
      <c r="FRC4" s="248"/>
      <c r="FRD4" s="248"/>
      <c r="FRE4" s="248"/>
      <c r="FRF4" s="248"/>
      <c r="FRG4" s="248"/>
      <c r="FRH4" s="248"/>
      <c r="FRI4" s="248"/>
      <c r="FRJ4" s="248"/>
      <c r="FRK4" s="248"/>
      <c r="FRL4" s="248"/>
      <c r="FRM4" s="248"/>
      <c r="FRN4" s="248"/>
      <c r="FRO4" s="248"/>
      <c r="FRP4" s="248"/>
      <c r="FRQ4" s="248"/>
      <c r="FRR4" s="248"/>
      <c r="FRS4" s="248"/>
      <c r="FRT4" s="248"/>
      <c r="FRU4" s="248"/>
      <c r="FRV4" s="248"/>
      <c r="FRW4" s="248"/>
      <c r="FRX4" s="248"/>
      <c r="FRY4" s="248"/>
      <c r="FRZ4" s="248"/>
      <c r="FSA4" s="248"/>
      <c r="FSB4" s="248"/>
      <c r="FSC4" s="248"/>
      <c r="FSD4" s="248"/>
      <c r="FSE4" s="248"/>
      <c r="FSF4" s="248"/>
      <c r="FSG4" s="248"/>
      <c r="FSH4" s="248"/>
      <c r="FSI4" s="248"/>
      <c r="FSJ4" s="248"/>
      <c r="FSK4" s="248"/>
      <c r="FSL4" s="248"/>
      <c r="FSM4" s="248"/>
      <c r="FSN4" s="248"/>
      <c r="FSO4" s="248"/>
      <c r="FSP4" s="248"/>
      <c r="FSQ4" s="248"/>
      <c r="FSR4" s="248"/>
      <c r="FSS4" s="248"/>
      <c r="FST4" s="248"/>
      <c r="FSU4" s="248"/>
      <c r="FSV4" s="248"/>
      <c r="FSW4" s="248"/>
      <c r="FSX4" s="248"/>
      <c r="FSY4" s="248"/>
      <c r="FSZ4" s="248"/>
      <c r="FTA4" s="248"/>
      <c r="FTB4" s="248"/>
      <c r="FTC4" s="248"/>
      <c r="FTD4" s="248"/>
      <c r="FTE4" s="248"/>
      <c r="FTF4" s="248"/>
      <c r="FTG4" s="248"/>
      <c r="FTH4" s="248"/>
      <c r="FTI4" s="248"/>
      <c r="FTJ4" s="248"/>
      <c r="FTK4" s="248"/>
      <c r="FTL4" s="248"/>
      <c r="FTM4" s="248"/>
      <c r="FTN4" s="248"/>
      <c r="FTO4" s="248"/>
      <c r="FTP4" s="248"/>
      <c r="FTQ4" s="248"/>
      <c r="FTR4" s="248"/>
      <c r="FTS4" s="248"/>
      <c r="FTT4" s="248"/>
      <c r="FTU4" s="248"/>
      <c r="FTV4" s="248"/>
      <c r="FTW4" s="248"/>
      <c r="FTX4" s="248"/>
      <c r="FTY4" s="248"/>
      <c r="FTZ4" s="248"/>
      <c r="FUA4" s="248"/>
      <c r="FUB4" s="248"/>
      <c r="FUC4" s="248"/>
      <c r="FUD4" s="248"/>
      <c r="FUE4" s="248"/>
      <c r="FUF4" s="248"/>
      <c r="FUG4" s="248"/>
      <c r="FUH4" s="248"/>
      <c r="FUI4" s="248"/>
      <c r="FUJ4" s="248"/>
      <c r="FUK4" s="248"/>
      <c r="FUL4" s="248"/>
      <c r="FUM4" s="248"/>
      <c r="FUN4" s="248"/>
      <c r="FUO4" s="248"/>
      <c r="FUP4" s="248"/>
      <c r="FUQ4" s="248"/>
      <c r="FUR4" s="248"/>
      <c r="FUS4" s="248"/>
      <c r="FUT4" s="248"/>
      <c r="FUU4" s="248"/>
      <c r="FUV4" s="248"/>
      <c r="FUW4" s="248"/>
      <c r="FUX4" s="248"/>
      <c r="FUY4" s="248"/>
      <c r="FUZ4" s="248"/>
      <c r="FVA4" s="248"/>
      <c r="FVB4" s="248"/>
      <c r="FVC4" s="248"/>
      <c r="FVD4" s="248"/>
      <c r="FVE4" s="248"/>
      <c r="FVF4" s="248"/>
      <c r="FVG4" s="248"/>
      <c r="FVH4" s="248"/>
      <c r="FVI4" s="248"/>
      <c r="FVJ4" s="248"/>
      <c r="FVK4" s="248"/>
      <c r="FVL4" s="248"/>
      <c r="FVM4" s="248"/>
      <c r="FVN4" s="248"/>
      <c r="FVO4" s="248"/>
      <c r="FVP4" s="248"/>
      <c r="FVQ4" s="248"/>
      <c r="FVR4" s="248"/>
      <c r="FVS4" s="248"/>
      <c r="FVT4" s="248"/>
      <c r="FVU4" s="248"/>
      <c r="FVV4" s="248"/>
      <c r="FVW4" s="248"/>
      <c r="FVX4" s="248"/>
      <c r="FVY4" s="248"/>
      <c r="FVZ4" s="248"/>
      <c r="FWA4" s="248"/>
      <c r="FWB4" s="248"/>
      <c r="FWC4" s="248"/>
      <c r="FWD4" s="248"/>
      <c r="FWE4" s="248"/>
      <c r="FWF4" s="248"/>
      <c r="FWG4" s="248"/>
      <c r="FWH4" s="248"/>
      <c r="FWI4" s="248"/>
      <c r="FWJ4" s="248"/>
      <c r="FWK4" s="248"/>
      <c r="FWL4" s="248"/>
      <c r="FWM4" s="248"/>
      <c r="FWN4" s="248"/>
      <c r="FWO4" s="248"/>
      <c r="FWP4" s="248"/>
      <c r="FWQ4" s="248"/>
      <c r="FWR4" s="248"/>
      <c r="FWS4" s="248"/>
      <c r="FWT4" s="248"/>
      <c r="FWU4" s="248"/>
      <c r="FWV4" s="248"/>
      <c r="FWW4" s="248"/>
      <c r="FWX4" s="248"/>
      <c r="FWY4" s="248"/>
      <c r="FWZ4" s="248"/>
      <c r="FXA4" s="248"/>
      <c r="FXB4" s="248"/>
      <c r="FXC4" s="248"/>
      <c r="FXD4" s="248"/>
      <c r="FXE4" s="248"/>
      <c r="FXF4" s="248"/>
      <c r="FXG4" s="248"/>
      <c r="FXH4" s="248"/>
      <c r="FXI4" s="248"/>
      <c r="FXJ4" s="248"/>
      <c r="FXK4" s="248"/>
      <c r="FXL4" s="248"/>
      <c r="FXM4" s="248"/>
      <c r="FXN4" s="248"/>
      <c r="FXO4" s="248"/>
      <c r="FXP4" s="248"/>
      <c r="FXQ4" s="248"/>
      <c r="FXR4" s="248"/>
      <c r="FXS4" s="248"/>
      <c r="FXT4" s="248"/>
      <c r="FXU4" s="248"/>
      <c r="FXV4" s="248"/>
      <c r="FXW4" s="248"/>
      <c r="FXX4" s="248"/>
      <c r="FXY4" s="248"/>
      <c r="FXZ4" s="248"/>
      <c r="FYA4" s="248"/>
      <c r="FYB4" s="248"/>
      <c r="FYC4" s="248"/>
      <c r="FYD4" s="248"/>
      <c r="FYE4" s="248"/>
      <c r="FYF4" s="248"/>
      <c r="FYG4" s="248"/>
      <c r="FYH4" s="248"/>
      <c r="FYI4" s="248"/>
      <c r="FYJ4" s="248"/>
      <c r="FYK4" s="248"/>
      <c r="FYL4" s="248"/>
      <c r="FYM4" s="248"/>
      <c r="FYN4" s="248"/>
      <c r="FYO4" s="248"/>
      <c r="FYP4" s="248"/>
      <c r="FYQ4" s="248"/>
      <c r="FYR4" s="248"/>
      <c r="FYS4" s="248"/>
      <c r="FYT4" s="248"/>
      <c r="FYU4" s="248"/>
      <c r="FYV4" s="248"/>
      <c r="FYW4" s="248"/>
      <c r="FYX4" s="248"/>
      <c r="FYY4" s="248"/>
      <c r="FYZ4" s="248"/>
      <c r="FZA4" s="248"/>
      <c r="FZB4" s="248"/>
      <c r="FZC4" s="248"/>
      <c r="FZD4" s="248"/>
      <c r="FZE4" s="248"/>
      <c r="FZF4" s="248"/>
      <c r="FZG4" s="248"/>
      <c r="FZH4" s="248"/>
      <c r="FZI4" s="248"/>
      <c r="FZJ4" s="248"/>
      <c r="FZK4" s="248"/>
      <c r="FZL4" s="248"/>
      <c r="FZM4" s="248"/>
      <c r="FZN4" s="248"/>
      <c r="FZO4" s="248"/>
      <c r="FZP4" s="248"/>
      <c r="FZQ4" s="248"/>
      <c r="FZR4" s="248"/>
      <c r="FZS4" s="248"/>
      <c r="FZT4" s="248"/>
      <c r="FZU4" s="248"/>
      <c r="FZV4" s="248"/>
      <c r="FZW4" s="248"/>
      <c r="FZX4" s="248"/>
      <c r="FZY4" s="248"/>
      <c r="FZZ4" s="248"/>
      <c r="GAA4" s="248"/>
      <c r="GAB4" s="248"/>
      <c r="GAC4" s="248"/>
      <c r="GAD4" s="248"/>
      <c r="GAE4" s="248"/>
      <c r="GAF4" s="248"/>
      <c r="GAG4" s="248"/>
      <c r="GAH4" s="248"/>
      <c r="GAI4" s="248"/>
      <c r="GAJ4" s="248"/>
      <c r="GAK4" s="248"/>
      <c r="GAL4" s="248"/>
      <c r="GAM4" s="248"/>
      <c r="GAN4" s="248"/>
      <c r="GAO4" s="248"/>
      <c r="GAP4" s="248"/>
      <c r="GAQ4" s="248"/>
      <c r="GAR4" s="248"/>
      <c r="GAS4" s="248"/>
      <c r="GAT4" s="248"/>
      <c r="GAU4" s="248"/>
      <c r="GAV4" s="248"/>
      <c r="GAW4" s="248"/>
      <c r="GAX4" s="248"/>
      <c r="GAY4" s="248"/>
      <c r="GAZ4" s="248"/>
      <c r="GBA4" s="248"/>
      <c r="GBB4" s="248"/>
      <c r="GBC4" s="248"/>
      <c r="GBD4" s="248"/>
      <c r="GBE4" s="248"/>
      <c r="GBF4" s="248"/>
      <c r="GBG4" s="248"/>
      <c r="GBH4" s="248"/>
      <c r="GBI4" s="248"/>
      <c r="GBJ4" s="248"/>
      <c r="GBK4" s="248"/>
      <c r="GBL4" s="248"/>
      <c r="GBM4" s="248"/>
      <c r="GBN4" s="248"/>
      <c r="GBO4" s="248"/>
      <c r="GBP4" s="248"/>
      <c r="GBQ4" s="248"/>
      <c r="GBR4" s="248"/>
      <c r="GBS4" s="248"/>
      <c r="GBT4" s="248"/>
      <c r="GBU4" s="248"/>
      <c r="GBV4" s="248"/>
      <c r="GBW4" s="248"/>
      <c r="GBX4" s="248"/>
      <c r="GBY4" s="248"/>
      <c r="GBZ4" s="248"/>
      <c r="GCA4" s="248"/>
      <c r="GCB4" s="248"/>
      <c r="GCC4" s="248"/>
      <c r="GCD4" s="248"/>
      <c r="GCE4" s="248"/>
      <c r="GCF4" s="248"/>
      <c r="GCG4" s="248"/>
      <c r="GCH4" s="248"/>
      <c r="GCI4" s="248"/>
      <c r="GCJ4" s="248"/>
      <c r="GCK4" s="248"/>
      <c r="GCL4" s="248"/>
      <c r="GCM4" s="248"/>
      <c r="GCN4" s="248"/>
      <c r="GCO4" s="248"/>
      <c r="GCP4" s="248"/>
      <c r="GCQ4" s="248"/>
      <c r="GCR4" s="248"/>
      <c r="GCS4" s="248"/>
      <c r="GCT4" s="248"/>
      <c r="GCU4" s="248"/>
      <c r="GCV4" s="248"/>
      <c r="GCW4" s="248"/>
      <c r="GCX4" s="248"/>
      <c r="GCY4" s="248"/>
      <c r="GCZ4" s="248"/>
      <c r="GDA4" s="248"/>
      <c r="GDB4" s="248"/>
      <c r="GDC4" s="248"/>
      <c r="GDD4" s="248"/>
      <c r="GDE4" s="248"/>
      <c r="GDF4" s="248"/>
      <c r="GDG4" s="248"/>
      <c r="GDH4" s="248"/>
      <c r="GDI4" s="248"/>
      <c r="GDJ4" s="248"/>
      <c r="GDK4" s="248"/>
      <c r="GDL4" s="248"/>
      <c r="GDM4" s="248"/>
      <c r="GDN4" s="248"/>
      <c r="GDO4" s="248"/>
      <c r="GDP4" s="248"/>
      <c r="GDQ4" s="248"/>
      <c r="GDR4" s="248"/>
      <c r="GDS4" s="248"/>
      <c r="GDT4" s="248"/>
      <c r="GDU4" s="248"/>
      <c r="GDV4" s="248"/>
      <c r="GDW4" s="248"/>
      <c r="GDX4" s="248"/>
      <c r="GDY4" s="248"/>
      <c r="GDZ4" s="248"/>
      <c r="GEA4" s="248"/>
      <c r="GEB4" s="248"/>
      <c r="GEC4" s="248"/>
      <c r="GED4" s="248"/>
      <c r="GEE4" s="248"/>
      <c r="GEF4" s="248"/>
      <c r="GEG4" s="248"/>
      <c r="GEH4" s="248"/>
      <c r="GEI4" s="248"/>
      <c r="GEJ4" s="248"/>
      <c r="GEK4" s="248"/>
      <c r="GEL4" s="248"/>
      <c r="GEM4" s="248"/>
      <c r="GEN4" s="248"/>
      <c r="GEO4" s="248"/>
      <c r="GEP4" s="248"/>
      <c r="GEQ4" s="248"/>
      <c r="GER4" s="248"/>
      <c r="GES4" s="248"/>
      <c r="GET4" s="248"/>
      <c r="GEU4" s="248"/>
      <c r="GEV4" s="248"/>
      <c r="GEW4" s="248"/>
      <c r="GEX4" s="248"/>
      <c r="GEY4" s="248"/>
      <c r="GEZ4" s="248"/>
      <c r="GFA4" s="248"/>
      <c r="GFB4" s="248"/>
      <c r="GFC4" s="248"/>
      <c r="GFD4" s="248"/>
      <c r="GFE4" s="248"/>
      <c r="GFF4" s="248"/>
      <c r="GFG4" s="248"/>
      <c r="GFH4" s="248"/>
      <c r="GFI4" s="248"/>
      <c r="GFJ4" s="248"/>
      <c r="GFK4" s="248"/>
      <c r="GFL4" s="248"/>
      <c r="GFM4" s="248"/>
      <c r="GFN4" s="248"/>
      <c r="GFO4" s="248"/>
      <c r="GFP4" s="248"/>
      <c r="GFQ4" s="248"/>
      <c r="GFR4" s="248"/>
      <c r="GFS4" s="248"/>
      <c r="GFT4" s="248"/>
      <c r="GFU4" s="248"/>
      <c r="GFV4" s="248"/>
      <c r="GFW4" s="248"/>
      <c r="GFX4" s="248"/>
      <c r="GFY4" s="248"/>
      <c r="GFZ4" s="248"/>
      <c r="GGA4" s="248"/>
      <c r="GGB4" s="248"/>
      <c r="GGC4" s="248"/>
      <c r="GGD4" s="248"/>
      <c r="GGE4" s="248"/>
      <c r="GGF4" s="248"/>
      <c r="GGG4" s="248"/>
      <c r="GGH4" s="248"/>
      <c r="GGI4" s="248"/>
      <c r="GGJ4" s="248"/>
      <c r="GGK4" s="248"/>
      <c r="GGL4" s="248"/>
      <c r="GGM4" s="248"/>
      <c r="GGN4" s="248"/>
      <c r="GGO4" s="248"/>
      <c r="GGP4" s="248"/>
      <c r="GGQ4" s="248"/>
      <c r="GGR4" s="248"/>
      <c r="GGS4" s="248"/>
      <c r="GGT4" s="248"/>
      <c r="GGU4" s="248"/>
      <c r="GGV4" s="248"/>
      <c r="GGW4" s="248"/>
      <c r="GGX4" s="248"/>
      <c r="GGY4" s="248"/>
      <c r="GGZ4" s="248"/>
      <c r="GHA4" s="248"/>
      <c r="GHB4" s="248"/>
      <c r="GHC4" s="248"/>
      <c r="GHD4" s="248"/>
      <c r="GHE4" s="248"/>
      <c r="GHF4" s="248"/>
      <c r="GHG4" s="248"/>
      <c r="GHH4" s="248"/>
      <c r="GHI4" s="248"/>
      <c r="GHJ4" s="248"/>
      <c r="GHK4" s="248"/>
      <c r="GHL4" s="248"/>
      <c r="GHM4" s="248"/>
      <c r="GHN4" s="248"/>
      <c r="GHO4" s="248"/>
      <c r="GHP4" s="248"/>
      <c r="GHQ4" s="248"/>
      <c r="GHR4" s="248"/>
      <c r="GHS4" s="248"/>
      <c r="GHT4" s="248"/>
      <c r="GHU4" s="248"/>
      <c r="GHV4" s="248"/>
      <c r="GHW4" s="248"/>
      <c r="GHX4" s="248"/>
      <c r="GHY4" s="248"/>
      <c r="GHZ4" s="248"/>
      <c r="GIA4" s="248"/>
      <c r="GIB4" s="248"/>
      <c r="GIC4" s="248"/>
      <c r="GID4" s="248"/>
      <c r="GIE4" s="248"/>
      <c r="GIF4" s="248"/>
      <c r="GIG4" s="248"/>
      <c r="GIH4" s="248"/>
      <c r="GII4" s="248"/>
      <c r="GIJ4" s="248"/>
      <c r="GIK4" s="248"/>
      <c r="GIL4" s="248"/>
      <c r="GIM4" s="248"/>
      <c r="GIN4" s="248"/>
      <c r="GIO4" s="248"/>
      <c r="GIP4" s="248"/>
      <c r="GIQ4" s="248"/>
      <c r="GIR4" s="248"/>
      <c r="GIS4" s="248"/>
      <c r="GIT4" s="248"/>
      <c r="GIU4" s="248"/>
      <c r="GIV4" s="248"/>
      <c r="GIW4" s="248"/>
      <c r="GIX4" s="248"/>
      <c r="GIY4" s="248"/>
      <c r="GIZ4" s="248"/>
      <c r="GJA4" s="248"/>
      <c r="GJB4" s="248"/>
      <c r="GJC4" s="248"/>
      <c r="GJD4" s="248"/>
      <c r="GJE4" s="248"/>
      <c r="GJF4" s="248"/>
      <c r="GJG4" s="248"/>
      <c r="GJH4" s="248"/>
      <c r="GJI4" s="248"/>
      <c r="GJJ4" s="248"/>
      <c r="GJK4" s="248"/>
      <c r="GJL4" s="248"/>
      <c r="GJM4" s="248"/>
      <c r="GJN4" s="248"/>
      <c r="GJO4" s="248"/>
      <c r="GJP4" s="248"/>
      <c r="GJQ4" s="248"/>
      <c r="GJR4" s="248"/>
      <c r="GJS4" s="248"/>
      <c r="GJT4" s="248"/>
      <c r="GJU4" s="248"/>
      <c r="GJV4" s="248"/>
      <c r="GJW4" s="248"/>
      <c r="GJX4" s="248"/>
      <c r="GJY4" s="248"/>
      <c r="GJZ4" s="248"/>
      <c r="GKA4" s="248"/>
      <c r="GKB4" s="248"/>
      <c r="GKC4" s="248"/>
      <c r="GKD4" s="248"/>
      <c r="GKE4" s="248"/>
      <c r="GKF4" s="248"/>
      <c r="GKG4" s="248"/>
      <c r="GKH4" s="248"/>
      <c r="GKI4" s="248"/>
      <c r="GKJ4" s="248"/>
      <c r="GKK4" s="248"/>
      <c r="GKL4" s="248"/>
      <c r="GKM4" s="248"/>
      <c r="GKN4" s="248"/>
      <c r="GKO4" s="248"/>
      <c r="GKP4" s="248"/>
      <c r="GKQ4" s="248"/>
      <c r="GKR4" s="248"/>
      <c r="GKS4" s="248"/>
      <c r="GKT4" s="248"/>
      <c r="GKU4" s="248"/>
      <c r="GKV4" s="248"/>
      <c r="GKW4" s="248"/>
      <c r="GKX4" s="248"/>
      <c r="GKY4" s="248"/>
      <c r="GKZ4" s="248"/>
      <c r="GLA4" s="248"/>
      <c r="GLB4" s="248"/>
      <c r="GLC4" s="248"/>
      <c r="GLD4" s="248"/>
      <c r="GLE4" s="248"/>
      <c r="GLF4" s="248"/>
      <c r="GLG4" s="248"/>
      <c r="GLH4" s="248"/>
      <c r="GLI4" s="248"/>
      <c r="GLJ4" s="248"/>
      <c r="GLK4" s="248"/>
      <c r="GLL4" s="248"/>
      <c r="GLM4" s="248"/>
      <c r="GLN4" s="248"/>
      <c r="GLO4" s="248"/>
      <c r="GLP4" s="248"/>
      <c r="GLQ4" s="248"/>
      <c r="GLR4" s="248"/>
      <c r="GLS4" s="248"/>
      <c r="GLT4" s="248"/>
      <c r="GLU4" s="248"/>
      <c r="GLV4" s="248"/>
      <c r="GLW4" s="248"/>
      <c r="GLX4" s="248"/>
      <c r="GLY4" s="248"/>
      <c r="GLZ4" s="248"/>
      <c r="GMA4" s="248"/>
      <c r="GMB4" s="248"/>
      <c r="GMC4" s="248"/>
      <c r="GMD4" s="248"/>
      <c r="GME4" s="248"/>
      <c r="GMF4" s="248"/>
      <c r="GMG4" s="248"/>
      <c r="GMH4" s="248"/>
      <c r="GMI4" s="248"/>
      <c r="GMJ4" s="248"/>
      <c r="GMK4" s="248"/>
      <c r="GML4" s="248"/>
      <c r="GMM4" s="248"/>
      <c r="GMN4" s="248"/>
      <c r="GMO4" s="248"/>
      <c r="GMP4" s="248"/>
      <c r="GMQ4" s="248"/>
      <c r="GMR4" s="248"/>
      <c r="GMS4" s="248"/>
      <c r="GMT4" s="248"/>
      <c r="GMU4" s="248"/>
      <c r="GMV4" s="248"/>
      <c r="GMW4" s="248"/>
      <c r="GMX4" s="248"/>
      <c r="GMY4" s="248"/>
      <c r="GMZ4" s="248"/>
      <c r="GNA4" s="248"/>
      <c r="GNB4" s="248"/>
      <c r="GNC4" s="248"/>
      <c r="GND4" s="248"/>
      <c r="GNE4" s="248"/>
      <c r="GNF4" s="248"/>
      <c r="GNG4" s="248"/>
      <c r="GNH4" s="248"/>
      <c r="GNI4" s="248"/>
      <c r="GNJ4" s="248"/>
      <c r="GNK4" s="248"/>
      <c r="GNL4" s="248"/>
      <c r="GNM4" s="248"/>
      <c r="GNN4" s="248"/>
      <c r="GNO4" s="248"/>
      <c r="GNP4" s="248"/>
      <c r="GNQ4" s="248"/>
      <c r="GNR4" s="248"/>
      <c r="GNS4" s="248"/>
      <c r="GNT4" s="248"/>
      <c r="GNU4" s="248"/>
      <c r="GNV4" s="248"/>
      <c r="GNW4" s="248"/>
      <c r="GNX4" s="248"/>
      <c r="GNY4" s="248"/>
      <c r="GNZ4" s="248"/>
      <c r="GOA4" s="248"/>
      <c r="GOB4" s="248"/>
      <c r="GOC4" s="248"/>
      <c r="GOD4" s="248"/>
      <c r="GOE4" s="248"/>
      <c r="GOF4" s="248"/>
      <c r="GOG4" s="248"/>
      <c r="GOH4" s="248"/>
      <c r="GOI4" s="248"/>
      <c r="GOJ4" s="248"/>
      <c r="GOK4" s="248"/>
      <c r="GOL4" s="248"/>
      <c r="GOM4" s="248"/>
      <c r="GON4" s="248"/>
      <c r="GOO4" s="248"/>
      <c r="GOP4" s="248"/>
      <c r="GOQ4" s="248"/>
      <c r="GOR4" s="248"/>
      <c r="GOS4" s="248"/>
      <c r="GOT4" s="248"/>
      <c r="GOU4" s="248"/>
      <c r="GOV4" s="248"/>
      <c r="GOW4" s="248"/>
      <c r="GOX4" s="248"/>
      <c r="GOY4" s="248"/>
      <c r="GOZ4" s="248"/>
      <c r="GPA4" s="248"/>
      <c r="GPB4" s="248"/>
      <c r="GPC4" s="248"/>
      <c r="GPD4" s="248"/>
      <c r="GPE4" s="248"/>
      <c r="GPF4" s="248"/>
      <c r="GPG4" s="248"/>
      <c r="GPH4" s="248"/>
      <c r="GPI4" s="248"/>
      <c r="GPJ4" s="248"/>
      <c r="GPK4" s="248"/>
      <c r="GPL4" s="248"/>
      <c r="GPM4" s="248"/>
      <c r="GPN4" s="248"/>
      <c r="GPO4" s="248"/>
      <c r="GPP4" s="248"/>
      <c r="GPQ4" s="248"/>
      <c r="GPR4" s="248"/>
      <c r="GPS4" s="248"/>
      <c r="GPT4" s="248"/>
      <c r="GPU4" s="248"/>
      <c r="GPV4" s="248"/>
      <c r="GPW4" s="248"/>
      <c r="GPX4" s="248"/>
      <c r="GPY4" s="248"/>
      <c r="GPZ4" s="248"/>
      <c r="GQA4" s="248"/>
      <c r="GQB4" s="248"/>
      <c r="GQC4" s="248"/>
      <c r="GQD4" s="248"/>
      <c r="GQE4" s="248"/>
      <c r="GQF4" s="248"/>
      <c r="GQG4" s="248"/>
      <c r="GQH4" s="248"/>
      <c r="GQI4" s="248"/>
      <c r="GQJ4" s="248"/>
      <c r="GQK4" s="248"/>
      <c r="GQL4" s="248"/>
      <c r="GQM4" s="248"/>
      <c r="GQN4" s="248"/>
      <c r="GQO4" s="248"/>
      <c r="GQP4" s="248"/>
      <c r="GQQ4" s="248"/>
      <c r="GQR4" s="248"/>
      <c r="GQS4" s="248"/>
      <c r="GQT4" s="248"/>
      <c r="GQU4" s="248"/>
      <c r="GQV4" s="248"/>
      <c r="GQW4" s="248"/>
      <c r="GQX4" s="248"/>
      <c r="GQY4" s="248"/>
      <c r="GQZ4" s="248"/>
      <c r="GRA4" s="248"/>
      <c r="GRB4" s="248"/>
      <c r="GRC4" s="248"/>
      <c r="GRD4" s="248"/>
      <c r="GRE4" s="248"/>
      <c r="GRF4" s="248"/>
      <c r="GRG4" s="248"/>
      <c r="GRH4" s="248"/>
      <c r="GRI4" s="248"/>
      <c r="GRJ4" s="248"/>
      <c r="GRK4" s="248"/>
      <c r="GRL4" s="248"/>
      <c r="GRM4" s="248"/>
      <c r="GRN4" s="248"/>
      <c r="GRO4" s="248"/>
      <c r="GRP4" s="248"/>
      <c r="GRQ4" s="248"/>
      <c r="GRR4" s="248"/>
      <c r="GRS4" s="248"/>
      <c r="GRT4" s="248"/>
      <c r="GRU4" s="248"/>
      <c r="GRV4" s="248"/>
      <c r="GRW4" s="248"/>
      <c r="GRX4" s="248"/>
      <c r="GRY4" s="248"/>
      <c r="GRZ4" s="248"/>
      <c r="GSA4" s="248"/>
      <c r="GSB4" s="248"/>
      <c r="GSC4" s="248"/>
      <c r="GSD4" s="248"/>
      <c r="GSE4" s="248"/>
      <c r="GSF4" s="248"/>
      <c r="GSG4" s="248"/>
      <c r="GSH4" s="248"/>
      <c r="GSI4" s="248"/>
      <c r="GSJ4" s="248"/>
      <c r="GSK4" s="248"/>
      <c r="GSL4" s="248"/>
      <c r="GSM4" s="248"/>
      <c r="GSN4" s="248"/>
      <c r="GSO4" s="248"/>
      <c r="GSP4" s="248"/>
      <c r="GSQ4" s="248"/>
      <c r="GSR4" s="248"/>
      <c r="GSS4" s="248"/>
      <c r="GST4" s="248"/>
      <c r="GSU4" s="248"/>
      <c r="GSV4" s="248"/>
      <c r="GSW4" s="248"/>
      <c r="GSX4" s="248"/>
      <c r="GSY4" s="248"/>
      <c r="GSZ4" s="248"/>
      <c r="GTA4" s="248"/>
      <c r="GTB4" s="248"/>
      <c r="GTC4" s="248"/>
      <c r="GTD4" s="248"/>
      <c r="GTE4" s="248"/>
      <c r="GTF4" s="248"/>
      <c r="GTG4" s="248"/>
      <c r="GTH4" s="248"/>
      <c r="GTI4" s="248"/>
      <c r="GTJ4" s="248"/>
      <c r="GTK4" s="248"/>
      <c r="GTL4" s="248"/>
      <c r="GTM4" s="248"/>
      <c r="GTN4" s="248"/>
      <c r="GTO4" s="248"/>
      <c r="GTP4" s="248"/>
      <c r="GTQ4" s="248"/>
      <c r="GTR4" s="248"/>
      <c r="GTS4" s="248"/>
      <c r="GTT4" s="248"/>
      <c r="GTU4" s="248"/>
      <c r="GTV4" s="248"/>
      <c r="GTW4" s="248"/>
      <c r="GTX4" s="248"/>
      <c r="GTY4" s="248"/>
      <c r="GTZ4" s="248"/>
      <c r="GUA4" s="248"/>
      <c r="GUB4" s="248"/>
      <c r="GUC4" s="248"/>
      <c r="GUD4" s="248"/>
      <c r="GUE4" s="248"/>
      <c r="GUF4" s="248"/>
      <c r="GUG4" s="248"/>
      <c r="GUH4" s="248"/>
      <c r="GUI4" s="248"/>
      <c r="GUJ4" s="248"/>
      <c r="GUK4" s="248"/>
      <c r="GUL4" s="248"/>
      <c r="GUM4" s="248"/>
      <c r="GUN4" s="248"/>
      <c r="GUO4" s="248"/>
      <c r="GUP4" s="248"/>
      <c r="GUQ4" s="248"/>
      <c r="GUR4" s="248"/>
      <c r="GUS4" s="248"/>
      <c r="GUT4" s="248"/>
      <c r="GUU4" s="248"/>
      <c r="GUV4" s="248"/>
      <c r="GUW4" s="248"/>
      <c r="GUX4" s="248"/>
      <c r="GUY4" s="248"/>
      <c r="GUZ4" s="248"/>
      <c r="GVA4" s="248"/>
      <c r="GVB4" s="248"/>
      <c r="GVC4" s="248"/>
      <c r="GVD4" s="248"/>
      <c r="GVE4" s="248"/>
      <c r="GVF4" s="248"/>
      <c r="GVG4" s="248"/>
      <c r="GVH4" s="248"/>
      <c r="GVI4" s="248"/>
      <c r="GVJ4" s="248"/>
      <c r="GVK4" s="248"/>
      <c r="GVL4" s="248"/>
      <c r="GVM4" s="248"/>
      <c r="GVN4" s="248"/>
      <c r="GVO4" s="248"/>
      <c r="GVP4" s="248"/>
      <c r="GVQ4" s="248"/>
      <c r="GVR4" s="248"/>
      <c r="GVS4" s="248"/>
      <c r="GVT4" s="248"/>
      <c r="GVU4" s="248"/>
      <c r="GVV4" s="248"/>
      <c r="GVW4" s="248"/>
      <c r="GVX4" s="248"/>
      <c r="GVY4" s="248"/>
      <c r="GVZ4" s="248"/>
      <c r="GWA4" s="248"/>
      <c r="GWB4" s="248"/>
      <c r="GWC4" s="248"/>
      <c r="GWD4" s="248"/>
      <c r="GWE4" s="248"/>
      <c r="GWF4" s="248"/>
      <c r="GWG4" s="248"/>
      <c r="GWH4" s="248"/>
      <c r="GWI4" s="248"/>
      <c r="GWJ4" s="248"/>
      <c r="GWK4" s="248"/>
      <c r="GWL4" s="248"/>
      <c r="GWM4" s="248"/>
      <c r="GWN4" s="248"/>
      <c r="GWO4" s="248"/>
      <c r="GWP4" s="248"/>
      <c r="GWQ4" s="248"/>
      <c r="GWR4" s="248"/>
      <c r="GWS4" s="248"/>
      <c r="GWT4" s="248"/>
      <c r="GWU4" s="248"/>
      <c r="GWV4" s="248"/>
      <c r="GWW4" s="248"/>
      <c r="GWX4" s="248"/>
      <c r="GWY4" s="248"/>
      <c r="GWZ4" s="248"/>
      <c r="GXA4" s="248"/>
      <c r="GXB4" s="248"/>
      <c r="GXC4" s="248"/>
      <c r="GXD4" s="248"/>
      <c r="GXE4" s="248"/>
      <c r="GXF4" s="248"/>
      <c r="GXG4" s="248"/>
      <c r="GXH4" s="248"/>
      <c r="GXI4" s="248"/>
      <c r="GXJ4" s="248"/>
      <c r="GXK4" s="248"/>
      <c r="GXL4" s="248"/>
      <c r="GXM4" s="248"/>
      <c r="GXN4" s="248"/>
      <c r="GXO4" s="248"/>
      <c r="GXP4" s="248"/>
      <c r="GXQ4" s="248"/>
      <c r="GXR4" s="248"/>
      <c r="GXS4" s="248"/>
      <c r="GXT4" s="248"/>
      <c r="GXU4" s="248"/>
      <c r="GXV4" s="248"/>
      <c r="GXW4" s="248"/>
      <c r="GXX4" s="248"/>
      <c r="GXY4" s="248"/>
      <c r="GXZ4" s="248"/>
      <c r="GYA4" s="248"/>
      <c r="GYB4" s="248"/>
      <c r="GYC4" s="248"/>
      <c r="GYD4" s="248"/>
      <c r="GYE4" s="248"/>
      <c r="GYF4" s="248"/>
      <c r="GYG4" s="248"/>
      <c r="GYH4" s="248"/>
      <c r="GYI4" s="248"/>
      <c r="GYJ4" s="248"/>
      <c r="GYK4" s="248"/>
      <c r="GYL4" s="248"/>
      <c r="GYM4" s="248"/>
      <c r="GYN4" s="248"/>
      <c r="GYO4" s="248"/>
      <c r="GYP4" s="248"/>
      <c r="GYQ4" s="248"/>
      <c r="GYR4" s="248"/>
      <c r="GYS4" s="248"/>
      <c r="GYT4" s="248"/>
      <c r="GYU4" s="248"/>
      <c r="GYV4" s="248"/>
      <c r="GYW4" s="248"/>
      <c r="GYX4" s="248"/>
      <c r="GYY4" s="248"/>
      <c r="GYZ4" s="248"/>
      <c r="GZA4" s="248"/>
      <c r="GZB4" s="248"/>
      <c r="GZC4" s="248"/>
      <c r="GZD4" s="248"/>
      <c r="GZE4" s="248"/>
      <c r="GZF4" s="248"/>
      <c r="GZG4" s="248"/>
      <c r="GZH4" s="248"/>
      <c r="GZI4" s="248"/>
      <c r="GZJ4" s="248"/>
      <c r="GZK4" s="248"/>
      <c r="GZL4" s="248"/>
      <c r="GZM4" s="248"/>
      <c r="GZN4" s="248"/>
      <c r="GZO4" s="248"/>
      <c r="GZP4" s="248"/>
      <c r="GZQ4" s="248"/>
      <c r="GZR4" s="248"/>
      <c r="GZS4" s="248"/>
      <c r="GZT4" s="248"/>
      <c r="GZU4" s="248"/>
      <c r="GZV4" s="248"/>
      <c r="GZW4" s="248"/>
      <c r="GZX4" s="248"/>
      <c r="GZY4" s="248"/>
      <c r="GZZ4" s="248"/>
      <c r="HAA4" s="248"/>
      <c r="HAB4" s="248"/>
      <c r="HAC4" s="248"/>
      <c r="HAD4" s="248"/>
      <c r="HAE4" s="248"/>
      <c r="HAF4" s="248"/>
      <c r="HAG4" s="248"/>
      <c r="HAH4" s="248"/>
      <c r="HAI4" s="248"/>
      <c r="HAJ4" s="248"/>
      <c r="HAK4" s="248"/>
      <c r="HAL4" s="248"/>
      <c r="HAM4" s="248"/>
      <c r="HAN4" s="248"/>
      <c r="HAO4" s="248"/>
      <c r="HAP4" s="248"/>
      <c r="HAQ4" s="248"/>
      <c r="HAR4" s="248"/>
      <c r="HAS4" s="248"/>
      <c r="HAT4" s="248"/>
      <c r="HAU4" s="248"/>
      <c r="HAV4" s="248"/>
      <c r="HAW4" s="248"/>
      <c r="HAX4" s="248"/>
      <c r="HAY4" s="248"/>
      <c r="HAZ4" s="248"/>
      <c r="HBA4" s="248"/>
      <c r="HBB4" s="248"/>
      <c r="HBC4" s="248"/>
      <c r="HBD4" s="248"/>
      <c r="HBE4" s="248"/>
      <c r="HBF4" s="248"/>
      <c r="HBG4" s="248"/>
      <c r="HBH4" s="248"/>
      <c r="HBI4" s="248"/>
      <c r="HBJ4" s="248"/>
      <c r="HBK4" s="248"/>
      <c r="HBL4" s="248"/>
      <c r="HBM4" s="248"/>
      <c r="HBN4" s="248"/>
      <c r="HBO4" s="248"/>
      <c r="HBP4" s="248"/>
      <c r="HBQ4" s="248"/>
      <c r="HBR4" s="248"/>
      <c r="HBS4" s="248"/>
      <c r="HBT4" s="248"/>
      <c r="HBU4" s="248"/>
      <c r="HBV4" s="248"/>
      <c r="HBW4" s="248"/>
      <c r="HBX4" s="248"/>
      <c r="HBY4" s="248"/>
      <c r="HBZ4" s="248"/>
      <c r="HCA4" s="248"/>
      <c r="HCB4" s="248"/>
      <c r="HCC4" s="248"/>
      <c r="HCD4" s="248"/>
      <c r="HCE4" s="248"/>
      <c r="HCF4" s="248"/>
      <c r="HCG4" s="248"/>
      <c r="HCH4" s="248"/>
      <c r="HCI4" s="248"/>
      <c r="HCJ4" s="248"/>
      <c r="HCK4" s="248"/>
      <c r="HCL4" s="248"/>
      <c r="HCM4" s="248"/>
      <c r="HCN4" s="248"/>
      <c r="HCO4" s="248"/>
      <c r="HCP4" s="248"/>
      <c r="HCQ4" s="248"/>
      <c r="HCR4" s="248"/>
      <c r="HCS4" s="248"/>
      <c r="HCT4" s="248"/>
      <c r="HCU4" s="248"/>
      <c r="HCV4" s="248"/>
      <c r="HCW4" s="248"/>
      <c r="HCX4" s="248"/>
      <c r="HCY4" s="248"/>
      <c r="HCZ4" s="248"/>
      <c r="HDA4" s="248"/>
      <c r="HDB4" s="248"/>
      <c r="HDC4" s="248"/>
      <c r="HDD4" s="248"/>
      <c r="HDE4" s="248"/>
      <c r="HDF4" s="248"/>
      <c r="HDG4" s="248"/>
      <c r="HDH4" s="248"/>
      <c r="HDI4" s="248"/>
      <c r="HDJ4" s="248"/>
      <c r="HDK4" s="248"/>
      <c r="HDL4" s="248"/>
      <c r="HDM4" s="248"/>
      <c r="HDN4" s="248"/>
      <c r="HDO4" s="248"/>
      <c r="HDP4" s="248"/>
      <c r="HDQ4" s="248"/>
      <c r="HDR4" s="248"/>
      <c r="HDS4" s="248"/>
      <c r="HDT4" s="248"/>
      <c r="HDU4" s="248"/>
      <c r="HDV4" s="248"/>
      <c r="HDW4" s="248"/>
      <c r="HDX4" s="248"/>
      <c r="HDY4" s="248"/>
      <c r="HDZ4" s="248"/>
      <c r="HEA4" s="248"/>
      <c r="HEB4" s="248"/>
      <c r="HEC4" s="248"/>
      <c r="HED4" s="248"/>
      <c r="HEE4" s="248"/>
      <c r="HEF4" s="248"/>
      <c r="HEG4" s="248"/>
      <c r="HEH4" s="248"/>
      <c r="HEI4" s="248"/>
      <c r="HEJ4" s="248"/>
      <c r="HEK4" s="248"/>
      <c r="HEL4" s="248"/>
      <c r="HEM4" s="248"/>
      <c r="HEN4" s="248"/>
      <c r="HEO4" s="248"/>
      <c r="HEP4" s="248"/>
      <c r="HEQ4" s="248"/>
      <c r="HER4" s="248"/>
      <c r="HES4" s="248"/>
      <c r="HET4" s="248"/>
      <c r="HEU4" s="248"/>
      <c r="HEV4" s="248"/>
      <c r="HEW4" s="248"/>
      <c r="HEX4" s="248"/>
      <c r="HEY4" s="248"/>
      <c r="HEZ4" s="248"/>
      <c r="HFA4" s="248"/>
      <c r="HFB4" s="248"/>
      <c r="HFC4" s="248"/>
      <c r="HFD4" s="248"/>
      <c r="HFE4" s="248"/>
      <c r="HFF4" s="248"/>
      <c r="HFG4" s="248"/>
      <c r="HFH4" s="248"/>
      <c r="HFI4" s="248"/>
      <c r="HFJ4" s="248"/>
      <c r="HFK4" s="248"/>
      <c r="HFL4" s="248"/>
      <c r="HFM4" s="248"/>
      <c r="HFN4" s="248"/>
      <c r="HFO4" s="248"/>
      <c r="HFP4" s="248"/>
      <c r="HFQ4" s="248"/>
      <c r="HFR4" s="248"/>
      <c r="HFS4" s="248"/>
      <c r="HFT4" s="248"/>
      <c r="HFU4" s="248"/>
      <c r="HFV4" s="248"/>
      <c r="HFW4" s="248"/>
      <c r="HFX4" s="248"/>
      <c r="HFY4" s="248"/>
      <c r="HFZ4" s="248"/>
      <c r="HGA4" s="248"/>
      <c r="HGB4" s="248"/>
      <c r="HGC4" s="248"/>
      <c r="HGD4" s="248"/>
      <c r="HGE4" s="248"/>
      <c r="HGF4" s="248"/>
      <c r="HGG4" s="248"/>
      <c r="HGH4" s="248"/>
      <c r="HGI4" s="248"/>
      <c r="HGJ4" s="248"/>
      <c r="HGK4" s="248"/>
      <c r="HGL4" s="248"/>
      <c r="HGM4" s="248"/>
      <c r="HGN4" s="248"/>
      <c r="HGO4" s="248"/>
      <c r="HGP4" s="248"/>
      <c r="HGQ4" s="248"/>
      <c r="HGR4" s="248"/>
      <c r="HGS4" s="248"/>
      <c r="HGT4" s="248"/>
      <c r="HGU4" s="248"/>
      <c r="HGV4" s="248"/>
      <c r="HGW4" s="248"/>
      <c r="HGX4" s="248"/>
      <c r="HGY4" s="248"/>
      <c r="HGZ4" s="248"/>
      <c r="HHA4" s="248"/>
      <c r="HHB4" s="248"/>
      <c r="HHC4" s="248"/>
      <c r="HHD4" s="248"/>
      <c r="HHE4" s="248"/>
      <c r="HHF4" s="248"/>
      <c r="HHG4" s="248"/>
      <c r="HHH4" s="248"/>
      <c r="HHI4" s="248"/>
      <c r="HHJ4" s="248"/>
      <c r="HHK4" s="248"/>
      <c r="HHL4" s="248"/>
      <c r="HHM4" s="248"/>
      <c r="HHN4" s="248"/>
      <c r="HHO4" s="248"/>
      <c r="HHP4" s="248"/>
      <c r="HHQ4" s="248"/>
      <c r="HHR4" s="248"/>
      <c r="HHS4" s="248"/>
      <c r="HHT4" s="248"/>
      <c r="HHU4" s="248"/>
      <c r="HHV4" s="248"/>
      <c r="HHW4" s="248"/>
      <c r="HHX4" s="248"/>
      <c r="HHY4" s="248"/>
      <c r="HHZ4" s="248"/>
      <c r="HIA4" s="248"/>
      <c r="HIB4" s="248"/>
      <c r="HIC4" s="248"/>
      <c r="HID4" s="248"/>
      <c r="HIE4" s="248"/>
      <c r="HIF4" s="248"/>
      <c r="HIG4" s="248"/>
      <c r="HIH4" s="248"/>
      <c r="HII4" s="248"/>
      <c r="HIJ4" s="248"/>
      <c r="HIK4" s="248"/>
      <c r="HIL4" s="248"/>
      <c r="HIM4" s="248"/>
      <c r="HIN4" s="248"/>
      <c r="HIO4" s="248"/>
      <c r="HIP4" s="248"/>
      <c r="HIQ4" s="248"/>
      <c r="HIR4" s="248"/>
      <c r="HIS4" s="248"/>
      <c r="HIT4" s="248"/>
      <c r="HIU4" s="248"/>
      <c r="HIV4" s="248"/>
      <c r="HIW4" s="248"/>
      <c r="HIX4" s="248"/>
      <c r="HIY4" s="248"/>
      <c r="HIZ4" s="248"/>
      <c r="HJA4" s="248"/>
      <c r="HJB4" s="248"/>
      <c r="HJC4" s="248"/>
      <c r="HJD4" s="248"/>
      <c r="HJE4" s="248"/>
      <c r="HJF4" s="248"/>
      <c r="HJG4" s="248"/>
      <c r="HJH4" s="248"/>
      <c r="HJI4" s="248"/>
      <c r="HJJ4" s="248"/>
      <c r="HJK4" s="248"/>
      <c r="HJL4" s="248"/>
      <c r="HJM4" s="248"/>
      <c r="HJN4" s="248"/>
      <c r="HJO4" s="248"/>
      <c r="HJP4" s="248"/>
      <c r="HJQ4" s="248"/>
      <c r="HJR4" s="248"/>
      <c r="HJS4" s="248"/>
      <c r="HJT4" s="248"/>
      <c r="HJU4" s="248"/>
      <c r="HJV4" s="248"/>
      <c r="HJW4" s="248"/>
      <c r="HJX4" s="248"/>
      <c r="HJY4" s="248"/>
      <c r="HJZ4" s="248"/>
      <c r="HKA4" s="248"/>
      <c r="HKB4" s="248"/>
      <c r="HKC4" s="248"/>
      <c r="HKD4" s="248"/>
      <c r="HKE4" s="248"/>
      <c r="HKF4" s="248"/>
      <c r="HKG4" s="248"/>
      <c r="HKH4" s="248"/>
      <c r="HKI4" s="248"/>
      <c r="HKJ4" s="248"/>
      <c r="HKK4" s="248"/>
      <c r="HKL4" s="248"/>
      <c r="HKM4" s="248"/>
      <c r="HKN4" s="248"/>
      <c r="HKO4" s="248"/>
      <c r="HKP4" s="248"/>
      <c r="HKQ4" s="248"/>
      <c r="HKR4" s="248"/>
      <c r="HKS4" s="248"/>
      <c r="HKT4" s="248"/>
      <c r="HKU4" s="248"/>
      <c r="HKV4" s="248"/>
      <c r="HKW4" s="248"/>
      <c r="HKX4" s="248"/>
      <c r="HKY4" s="248"/>
      <c r="HKZ4" s="248"/>
      <c r="HLA4" s="248"/>
      <c r="HLB4" s="248"/>
      <c r="HLC4" s="248"/>
      <c r="HLD4" s="248"/>
      <c r="HLE4" s="248"/>
      <c r="HLF4" s="248"/>
      <c r="HLG4" s="248"/>
      <c r="HLH4" s="248"/>
      <c r="HLI4" s="248"/>
      <c r="HLJ4" s="248"/>
      <c r="HLK4" s="248"/>
      <c r="HLL4" s="248"/>
      <c r="HLM4" s="248"/>
      <c r="HLN4" s="248"/>
      <c r="HLO4" s="248"/>
      <c r="HLP4" s="248"/>
      <c r="HLQ4" s="248"/>
      <c r="HLR4" s="248"/>
      <c r="HLS4" s="248"/>
      <c r="HLT4" s="248"/>
      <c r="HLU4" s="248"/>
      <c r="HLV4" s="248"/>
      <c r="HLW4" s="248"/>
      <c r="HLX4" s="248"/>
      <c r="HLY4" s="248"/>
      <c r="HLZ4" s="248"/>
      <c r="HMA4" s="248"/>
      <c r="HMB4" s="248"/>
      <c r="HMC4" s="248"/>
      <c r="HMD4" s="248"/>
      <c r="HME4" s="248"/>
      <c r="HMF4" s="248"/>
      <c r="HMG4" s="248"/>
      <c r="HMH4" s="248"/>
      <c r="HMI4" s="248"/>
      <c r="HMJ4" s="248"/>
      <c r="HMK4" s="248"/>
      <c r="HML4" s="248"/>
      <c r="HMM4" s="248"/>
      <c r="HMN4" s="248"/>
      <c r="HMO4" s="248"/>
      <c r="HMP4" s="248"/>
      <c r="HMQ4" s="248"/>
      <c r="HMR4" s="248"/>
      <c r="HMS4" s="248"/>
      <c r="HMT4" s="248"/>
      <c r="HMU4" s="248"/>
      <c r="HMV4" s="248"/>
      <c r="HMW4" s="248"/>
      <c r="HMX4" s="248"/>
      <c r="HMY4" s="248"/>
      <c r="HMZ4" s="248"/>
      <c r="HNA4" s="248"/>
      <c r="HNB4" s="248"/>
      <c r="HNC4" s="248"/>
      <c r="HND4" s="248"/>
      <c r="HNE4" s="248"/>
      <c r="HNF4" s="248"/>
      <c r="HNG4" s="248"/>
      <c r="HNH4" s="248"/>
      <c r="HNI4" s="248"/>
      <c r="HNJ4" s="248"/>
      <c r="HNK4" s="248"/>
      <c r="HNL4" s="248"/>
      <c r="HNM4" s="248"/>
      <c r="HNN4" s="248"/>
      <c r="HNO4" s="248"/>
      <c r="HNP4" s="248"/>
      <c r="HNQ4" s="248"/>
      <c r="HNR4" s="248"/>
      <c r="HNS4" s="248"/>
      <c r="HNT4" s="248"/>
      <c r="HNU4" s="248"/>
      <c r="HNV4" s="248"/>
      <c r="HNW4" s="248"/>
      <c r="HNX4" s="248"/>
      <c r="HNY4" s="248"/>
      <c r="HNZ4" s="248"/>
      <c r="HOA4" s="248"/>
      <c r="HOB4" s="248"/>
      <c r="HOC4" s="248"/>
      <c r="HOD4" s="248"/>
      <c r="HOE4" s="248"/>
      <c r="HOF4" s="248"/>
      <c r="HOG4" s="248"/>
      <c r="HOH4" s="248"/>
      <c r="HOI4" s="248"/>
      <c r="HOJ4" s="248"/>
      <c r="HOK4" s="248"/>
      <c r="HOL4" s="248"/>
      <c r="HOM4" s="248"/>
      <c r="HON4" s="248"/>
      <c r="HOO4" s="248"/>
      <c r="HOP4" s="248"/>
      <c r="HOQ4" s="248"/>
      <c r="HOR4" s="248"/>
      <c r="HOS4" s="248"/>
      <c r="HOT4" s="248"/>
      <c r="HOU4" s="248"/>
      <c r="HOV4" s="248"/>
      <c r="HOW4" s="248"/>
      <c r="HOX4" s="248"/>
      <c r="HOY4" s="248"/>
      <c r="HOZ4" s="248"/>
      <c r="HPA4" s="248"/>
      <c r="HPB4" s="248"/>
      <c r="HPC4" s="248"/>
      <c r="HPD4" s="248"/>
      <c r="HPE4" s="248"/>
      <c r="HPF4" s="248"/>
      <c r="HPG4" s="248"/>
      <c r="HPH4" s="248"/>
      <c r="HPI4" s="248"/>
      <c r="HPJ4" s="248"/>
      <c r="HPK4" s="248"/>
      <c r="HPL4" s="248"/>
      <c r="HPM4" s="248"/>
      <c r="HPN4" s="248"/>
      <c r="HPO4" s="248"/>
      <c r="HPP4" s="248"/>
      <c r="HPQ4" s="248"/>
      <c r="HPR4" s="248"/>
      <c r="HPS4" s="248"/>
      <c r="HPT4" s="248"/>
      <c r="HPU4" s="248"/>
      <c r="HPV4" s="248"/>
      <c r="HPW4" s="248"/>
      <c r="HPX4" s="248"/>
      <c r="HPY4" s="248"/>
      <c r="HPZ4" s="248"/>
      <c r="HQA4" s="248"/>
      <c r="HQB4" s="248"/>
      <c r="HQC4" s="248"/>
      <c r="HQD4" s="248"/>
      <c r="HQE4" s="248"/>
      <c r="HQF4" s="248"/>
      <c r="HQG4" s="248"/>
      <c r="HQH4" s="248"/>
      <c r="HQI4" s="248"/>
      <c r="HQJ4" s="248"/>
      <c r="HQK4" s="248"/>
      <c r="HQL4" s="248"/>
      <c r="HQM4" s="248"/>
      <c r="HQN4" s="248"/>
      <c r="HQO4" s="248"/>
      <c r="HQP4" s="248"/>
      <c r="HQQ4" s="248"/>
      <c r="HQR4" s="248"/>
      <c r="HQS4" s="248"/>
      <c r="HQT4" s="248"/>
      <c r="HQU4" s="248"/>
      <c r="HQV4" s="248"/>
      <c r="HQW4" s="248"/>
      <c r="HQX4" s="248"/>
      <c r="HQY4" s="248"/>
      <c r="HQZ4" s="248"/>
      <c r="HRA4" s="248"/>
      <c r="HRB4" s="248"/>
      <c r="HRC4" s="248"/>
      <c r="HRD4" s="248"/>
      <c r="HRE4" s="248"/>
      <c r="HRF4" s="248"/>
      <c r="HRG4" s="248"/>
      <c r="HRH4" s="248"/>
      <c r="HRI4" s="248"/>
      <c r="HRJ4" s="248"/>
      <c r="HRK4" s="248"/>
      <c r="HRL4" s="248"/>
      <c r="HRM4" s="248"/>
      <c r="HRN4" s="248"/>
      <c r="HRO4" s="248"/>
      <c r="HRP4" s="248"/>
      <c r="HRQ4" s="248"/>
      <c r="HRR4" s="248"/>
      <c r="HRS4" s="248"/>
      <c r="HRT4" s="248"/>
      <c r="HRU4" s="248"/>
      <c r="HRV4" s="248"/>
      <c r="HRW4" s="248"/>
      <c r="HRX4" s="248"/>
      <c r="HRY4" s="248"/>
      <c r="HRZ4" s="248"/>
      <c r="HSA4" s="248"/>
      <c r="HSB4" s="248"/>
      <c r="HSC4" s="248"/>
      <c r="HSD4" s="248"/>
      <c r="HSE4" s="248"/>
      <c r="HSF4" s="248"/>
      <c r="HSG4" s="248"/>
      <c r="HSH4" s="248"/>
      <c r="HSI4" s="248"/>
      <c r="HSJ4" s="248"/>
      <c r="HSK4" s="248"/>
      <c r="HSL4" s="248"/>
      <c r="HSM4" s="248"/>
      <c r="HSN4" s="248"/>
      <c r="HSO4" s="248"/>
      <c r="HSP4" s="248"/>
      <c r="HSQ4" s="248"/>
      <c r="HSR4" s="248"/>
      <c r="HSS4" s="248"/>
      <c r="HST4" s="248"/>
      <c r="HSU4" s="248"/>
      <c r="HSV4" s="248"/>
      <c r="HSW4" s="248"/>
      <c r="HSX4" s="248"/>
      <c r="HSY4" s="248"/>
      <c r="HSZ4" s="248"/>
      <c r="HTA4" s="248"/>
      <c r="HTB4" s="248"/>
      <c r="HTC4" s="248"/>
      <c r="HTD4" s="248"/>
      <c r="HTE4" s="248"/>
      <c r="HTF4" s="248"/>
      <c r="HTG4" s="248"/>
      <c r="HTH4" s="248"/>
      <c r="HTI4" s="248"/>
      <c r="HTJ4" s="248"/>
      <c r="HTK4" s="248"/>
      <c r="HTL4" s="248"/>
      <c r="HTM4" s="248"/>
      <c r="HTN4" s="248"/>
      <c r="HTO4" s="248"/>
      <c r="HTP4" s="248"/>
      <c r="HTQ4" s="248"/>
      <c r="HTR4" s="248"/>
      <c r="HTS4" s="248"/>
      <c r="HTT4" s="248"/>
      <c r="HTU4" s="248"/>
      <c r="HTV4" s="248"/>
      <c r="HTW4" s="248"/>
      <c r="HTX4" s="248"/>
      <c r="HTY4" s="248"/>
      <c r="HTZ4" s="248"/>
      <c r="HUA4" s="248"/>
      <c r="HUB4" s="248"/>
      <c r="HUC4" s="248"/>
      <c r="HUD4" s="248"/>
      <c r="HUE4" s="248"/>
      <c r="HUF4" s="248"/>
      <c r="HUG4" s="248"/>
      <c r="HUH4" s="248"/>
      <c r="HUI4" s="248"/>
      <c r="HUJ4" s="248"/>
      <c r="HUK4" s="248"/>
      <c r="HUL4" s="248"/>
      <c r="HUM4" s="248"/>
      <c r="HUN4" s="248"/>
      <c r="HUO4" s="248"/>
      <c r="HUP4" s="248"/>
      <c r="HUQ4" s="248"/>
      <c r="HUR4" s="248"/>
      <c r="HUS4" s="248"/>
      <c r="HUT4" s="248"/>
      <c r="HUU4" s="248"/>
      <c r="HUV4" s="248"/>
      <c r="HUW4" s="248"/>
      <c r="HUX4" s="248"/>
      <c r="HUY4" s="248"/>
      <c r="HUZ4" s="248"/>
      <c r="HVA4" s="248"/>
      <c r="HVB4" s="248"/>
      <c r="HVC4" s="248"/>
      <c r="HVD4" s="248"/>
      <c r="HVE4" s="248"/>
      <c r="HVF4" s="248"/>
      <c r="HVG4" s="248"/>
      <c r="HVH4" s="248"/>
      <c r="HVI4" s="248"/>
      <c r="HVJ4" s="248"/>
      <c r="HVK4" s="248"/>
      <c r="HVL4" s="248"/>
      <c r="HVM4" s="248"/>
      <c r="HVN4" s="248"/>
      <c r="HVO4" s="248"/>
      <c r="HVP4" s="248"/>
      <c r="HVQ4" s="248"/>
      <c r="HVR4" s="248"/>
      <c r="HVS4" s="248"/>
      <c r="HVT4" s="248"/>
      <c r="HVU4" s="248"/>
      <c r="HVV4" s="248"/>
      <c r="HVW4" s="248"/>
      <c r="HVX4" s="248"/>
      <c r="HVY4" s="248"/>
      <c r="HVZ4" s="248"/>
      <c r="HWA4" s="248"/>
      <c r="HWB4" s="248"/>
      <c r="HWC4" s="248"/>
      <c r="HWD4" s="248"/>
      <c r="HWE4" s="248"/>
      <c r="HWF4" s="248"/>
      <c r="HWG4" s="248"/>
      <c r="HWH4" s="248"/>
      <c r="HWI4" s="248"/>
      <c r="HWJ4" s="248"/>
      <c r="HWK4" s="248"/>
      <c r="HWL4" s="248"/>
      <c r="HWM4" s="248"/>
      <c r="HWN4" s="248"/>
      <c r="HWO4" s="248"/>
      <c r="HWP4" s="248"/>
      <c r="HWQ4" s="248"/>
      <c r="HWR4" s="248"/>
      <c r="HWS4" s="248"/>
      <c r="HWT4" s="248"/>
      <c r="HWU4" s="248"/>
      <c r="HWV4" s="248"/>
      <c r="HWW4" s="248"/>
      <c r="HWX4" s="248"/>
      <c r="HWY4" s="248"/>
      <c r="HWZ4" s="248"/>
      <c r="HXA4" s="248"/>
      <c r="HXB4" s="248"/>
      <c r="HXC4" s="248"/>
      <c r="HXD4" s="248"/>
      <c r="HXE4" s="248"/>
      <c r="HXF4" s="248"/>
      <c r="HXG4" s="248"/>
      <c r="HXH4" s="248"/>
      <c r="HXI4" s="248"/>
      <c r="HXJ4" s="248"/>
      <c r="HXK4" s="248"/>
      <c r="HXL4" s="248"/>
      <c r="HXM4" s="248"/>
      <c r="HXN4" s="248"/>
      <c r="HXO4" s="248"/>
      <c r="HXP4" s="248"/>
      <c r="HXQ4" s="248"/>
      <c r="HXR4" s="248"/>
      <c r="HXS4" s="248"/>
      <c r="HXT4" s="248"/>
      <c r="HXU4" s="248"/>
      <c r="HXV4" s="248"/>
      <c r="HXW4" s="248"/>
      <c r="HXX4" s="248"/>
      <c r="HXY4" s="248"/>
      <c r="HXZ4" s="248"/>
      <c r="HYA4" s="248"/>
      <c r="HYB4" s="248"/>
      <c r="HYC4" s="248"/>
      <c r="HYD4" s="248"/>
      <c r="HYE4" s="248"/>
      <c r="HYF4" s="248"/>
      <c r="HYG4" s="248"/>
      <c r="HYH4" s="248"/>
      <c r="HYI4" s="248"/>
      <c r="HYJ4" s="248"/>
      <c r="HYK4" s="248"/>
      <c r="HYL4" s="248"/>
      <c r="HYM4" s="248"/>
      <c r="HYN4" s="248"/>
      <c r="HYO4" s="248"/>
      <c r="HYP4" s="248"/>
      <c r="HYQ4" s="248"/>
      <c r="HYR4" s="248"/>
      <c r="HYS4" s="248"/>
      <c r="HYT4" s="248"/>
      <c r="HYU4" s="248"/>
      <c r="HYV4" s="248"/>
      <c r="HYW4" s="248"/>
      <c r="HYX4" s="248"/>
      <c r="HYY4" s="248"/>
      <c r="HYZ4" s="248"/>
      <c r="HZA4" s="248"/>
      <c r="HZB4" s="248"/>
      <c r="HZC4" s="248"/>
      <c r="HZD4" s="248"/>
      <c r="HZE4" s="248"/>
      <c r="HZF4" s="248"/>
      <c r="HZG4" s="248"/>
      <c r="HZH4" s="248"/>
      <c r="HZI4" s="248"/>
      <c r="HZJ4" s="248"/>
      <c r="HZK4" s="248"/>
      <c r="HZL4" s="248"/>
      <c r="HZM4" s="248"/>
      <c r="HZN4" s="248"/>
      <c r="HZO4" s="248"/>
      <c r="HZP4" s="248"/>
      <c r="HZQ4" s="248"/>
      <c r="HZR4" s="248"/>
      <c r="HZS4" s="248"/>
      <c r="HZT4" s="248"/>
      <c r="HZU4" s="248"/>
      <c r="HZV4" s="248"/>
      <c r="HZW4" s="248"/>
      <c r="HZX4" s="248"/>
      <c r="HZY4" s="248"/>
      <c r="HZZ4" s="248"/>
      <c r="IAA4" s="248"/>
      <c r="IAB4" s="248"/>
      <c r="IAC4" s="248"/>
      <c r="IAD4" s="248"/>
      <c r="IAE4" s="248"/>
      <c r="IAF4" s="248"/>
      <c r="IAG4" s="248"/>
      <c r="IAH4" s="248"/>
      <c r="IAI4" s="248"/>
      <c r="IAJ4" s="248"/>
      <c r="IAK4" s="248"/>
      <c r="IAL4" s="248"/>
      <c r="IAM4" s="248"/>
      <c r="IAN4" s="248"/>
      <c r="IAO4" s="248"/>
      <c r="IAP4" s="248"/>
      <c r="IAQ4" s="248"/>
      <c r="IAR4" s="248"/>
      <c r="IAS4" s="248"/>
      <c r="IAT4" s="248"/>
      <c r="IAU4" s="248"/>
      <c r="IAV4" s="248"/>
      <c r="IAW4" s="248"/>
      <c r="IAX4" s="248"/>
      <c r="IAY4" s="248"/>
      <c r="IAZ4" s="248"/>
      <c r="IBA4" s="248"/>
      <c r="IBB4" s="248"/>
      <c r="IBC4" s="248"/>
      <c r="IBD4" s="248"/>
      <c r="IBE4" s="248"/>
      <c r="IBF4" s="248"/>
      <c r="IBG4" s="248"/>
      <c r="IBH4" s="248"/>
      <c r="IBI4" s="248"/>
      <c r="IBJ4" s="248"/>
      <c r="IBK4" s="248"/>
      <c r="IBL4" s="248"/>
      <c r="IBM4" s="248"/>
      <c r="IBN4" s="248"/>
      <c r="IBO4" s="248"/>
      <c r="IBP4" s="248"/>
      <c r="IBQ4" s="248"/>
      <c r="IBR4" s="248"/>
      <c r="IBS4" s="248"/>
      <c r="IBT4" s="248"/>
      <c r="IBU4" s="248"/>
      <c r="IBV4" s="248"/>
      <c r="IBW4" s="248"/>
      <c r="IBX4" s="248"/>
      <c r="IBY4" s="248"/>
      <c r="IBZ4" s="248"/>
      <c r="ICA4" s="248"/>
      <c r="ICB4" s="248"/>
      <c r="ICC4" s="248"/>
      <c r="ICD4" s="248"/>
      <c r="ICE4" s="248"/>
      <c r="ICF4" s="248"/>
      <c r="ICG4" s="248"/>
      <c r="ICH4" s="248"/>
      <c r="ICI4" s="248"/>
      <c r="ICJ4" s="248"/>
      <c r="ICK4" s="248"/>
      <c r="ICL4" s="248"/>
      <c r="ICM4" s="248"/>
      <c r="ICN4" s="248"/>
      <c r="ICO4" s="248"/>
      <c r="ICP4" s="248"/>
      <c r="ICQ4" s="248"/>
      <c r="ICR4" s="248"/>
      <c r="ICS4" s="248"/>
      <c r="ICT4" s="248"/>
      <c r="ICU4" s="248"/>
      <c r="ICV4" s="248"/>
      <c r="ICW4" s="248"/>
      <c r="ICX4" s="248"/>
      <c r="ICY4" s="248"/>
      <c r="ICZ4" s="248"/>
      <c r="IDA4" s="248"/>
      <c r="IDB4" s="248"/>
      <c r="IDC4" s="248"/>
      <c r="IDD4" s="248"/>
      <c r="IDE4" s="248"/>
      <c r="IDF4" s="248"/>
      <c r="IDG4" s="248"/>
      <c r="IDH4" s="248"/>
      <c r="IDI4" s="248"/>
      <c r="IDJ4" s="248"/>
      <c r="IDK4" s="248"/>
      <c r="IDL4" s="248"/>
      <c r="IDM4" s="248"/>
      <c r="IDN4" s="248"/>
      <c r="IDO4" s="248"/>
      <c r="IDP4" s="248"/>
      <c r="IDQ4" s="248"/>
      <c r="IDR4" s="248"/>
      <c r="IDS4" s="248"/>
      <c r="IDT4" s="248"/>
      <c r="IDU4" s="248"/>
      <c r="IDV4" s="248"/>
      <c r="IDW4" s="248"/>
      <c r="IDX4" s="248"/>
      <c r="IDY4" s="248"/>
      <c r="IDZ4" s="248"/>
      <c r="IEA4" s="248"/>
      <c r="IEB4" s="248"/>
      <c r="IEC4" s="248"/>
      <c r="IED4" s="248"/>
      <c r="IEE4" s="248"/>
      <c r="IEF4" s="248"/>
      <c r="IEG4" s="248"/>
      <c r="IEH4" s="248"/>
      <c r="IEI4" s="248"/>
      <c r="IEJ4" s="248"/>
      <c r="IEK4" s="248"/>
      <c r="IEL4" s="248"/>
      <c r="IEM4" s="248"/>
      <c r="IEN4" s="248"/>
      <c r="IEO4" s="248"/>
      <c r="IEP4" s="248"/>
      <c r="IEQ4" s="248"/>
      <c r="IER4" s="248"/>
      <c r="IES4" s="248"/>
      <c r="IET4" s="248"/>
      <c r="IEU4" s="248"/>
      <c r="IEV4" s="248"/>
      <c r="IEW4" s="248"/>
      <c r="IEX4" s="248"/>
      <c r="IEY4" s="248"/>
      <c r="IEZ4" s="248"/>
      <c r="IFA4" s="248"/>
      <c r="IFB4" s="248"/>
      <c r="IFC4" s="248"/>
      <c r="IFD4" s="248"/>
      <c r="IFE4" s="248"/>
      <c r="IFF4" s="248"/>
      <c r="IFG4" s="248"/>
      <c r="IFH4" s="248"/>
      <c r="IFI4" s="248"/>
      <c r="IFJ4" s="248"/>
      <c r="IFK4" s="248"/>
      <c r="IFL4" s="248"/>
      <c r="IFM4" s="248"/>
      <c r="IFN4" s="248"/>
      <c r="IFO4" s="248"/>
      <c r="IFP4" s="248"/>
      <c r="IFQ4" s="248"/>
      <c r="IFR4" s="248"/>
      <c r="IFS4" s="248"/>
      <c r="IFT4" s="248"/>
      <c r="IFU4" s="248"/>
      <c r="IFV4" s="248"/>
      <c r="IFW4" s="248"/>
      <c r="IFX4" s="248"/>
      <c r="IFY4" s="248"/>
      <c r="IFZ4" s="248"/>
      <c r="IGA4" s="248"/>
      <c r="IGB4" s="248"/>
      <c r="IGC4" s="248"/>
      <c r="IGD4" s="248"/>
      <c r="IGE4" s="248"/>
      <c r="IGF4" s="248"/>
      <c r="IGG4" s="248"/>
      <c r="IGH4" s="248"/>
      <c r="IGI4" s="248"/>
      <c r="IGJ4" s="248"/>
      <c r="IGK4" s="248"/>
      <c r="IGL4" s="248"/>
      <c r="IGM4" s="248"/>
      <c r="IGN4" s="248"/>
      <c r="IGO4" s="248"/>
      <c r="IGP4" s="248"/>
      <c r="IGQ4" s="248"/>
      <c r="IGR4" s="248"/>
      <c r="IGS4" s="248"/>
      <c r="IGT4" s="248"/>
      <c r="IGU4" s="248"/>
      <c r="IGV4" s="248"/>
      <c r="IGW4" s="248"/>
      <c r="IGX4" s="248"/>
      <c r="IGY4" s="248"/>
      <c r="IGZ4" s="248"/>
      <c r="IHA4" s="248"/>
      <c r="IHB4" s="248"/>
      <c r="IHC4" s="248"/>
      <c r="IHD4" s="248"/>
      <c r="IHE4" s="248"/>
      <c r="IHF4" s="248"/>
      <c r="IHG4" s="248"/>
      <c r="IHH4" s="248"/>
      <c r="IHI4" s="248"/>
      <c r="IHJ4" s="248"/>
      <c r="IHK4" s="248"/>
      <c r="IHL4" s="248"/>
      <c r="IHM4" s="248"/>
      <c r="IHN4" s="248"/>
      <c r="IHO4" s="248"/>
      <c r="IHP4" s="248"/>
      <c r="IHQ4" s="248"/>
      <c r="IHR4" s="248"/>
      <c r="IHS4" s="248"/>
      <c r="IHT4" s="248"/>
      <c r="IHU4" s="248"/>
      <c r="IHV4" s="248"/>
      <c r="IHW4" s="248"/>
      <c r="IHX4" s="248"/>
      <c r="IHY4" s="248"/>
      <c r="IHZ4" s="248"/>
      <c r="IIA4" s="248"/>
      <c r="IIB4" s="248"/>
      <c r="IIC4" s="248"/>
      <c r="IID4" s="248"/>
      <c r="IIE4" s="248"/>
      <c r="IIF4" s="248"/>
      <c r="IIG4" s="248"/>
      <c r="IIH4" s="248"/>
      <c r="III4" s="248"/>
      <c r="IIJ4" s="248"/>
      <c r="IIK4" s="248"/>
      <c r="IIL4" s="248"/>
      <c r="IIM4" s="248"/>
      <c r="IIN4" s="248"/>
      <c r="IIO4" s="248"/>
      <c r="IIP4" s="248"/>
      <c r="IIQ4" s="248"/>
      <c r="IIR4" s="248"/>
      <c r="IIS4" s="248"/>
      <c r="IIT4" s="248"/>
      <c r="IIU4" s="248"/>
      <c r="IIV4" s="248"/>
      <c r="IIW4" s="248"/>
      <c r="IIX4" s="248"/>
      <c r="IIY4" s="248"/>
      <c r="IIZ4" s="248"/>
      <c r="IJA4" s="248"/>
      <c r="IJB4" s="248"/>
      <c r="IJC4" s="248"/>
      <c r="IJD4" s="248"/>
      <c r="IJE4" s="248"/>
      <c r="IJF4" s="248"/>
      <c r="IJG4" s="248"/>
      <c r="IJH4" s="248"/>
      <c r="IJI4" s="248"/>
      <c r="IJJ4" s="248"/>
      <c r="IJK4" s="248"/>
      <c r="IJL4" s="248"/>
      <c r="IJM4" s="248"/>
      <c r="IJN4" s="248"/>
      <c r="IJO4" s="248"/>
      <c r="IJP4" s="248"/>
      <c r="IJQ4" s="248"/>
      <c r="IJR4" s="248"/>
      <c r="IJS4" s="248"/>
      <c r="IJT4" s="248"/>
      <c r="IJU4" s="248"/>
      <c r="IJV4" s="248"/>
      <c r="IJW4" s="248"/>
      <c r="IJX4" s="248"/>
      <c r="IJY4" s="248"/>
      <c r="IJZ4" s="248"/>
      <c r="IKA4" s="248"/>
      <c r="IKB4" s="248"/>
      <c r="IKC4" s="248"/>
      <c r="IKD4" s="248"/>
      <c r="IKE4" s="248"/>
      <c r="IKF4" s="248"/>
      <c r="IKG4" s="248"/>
      <c r="IKH4" s="248"/>
      <c r="IKI4" s="248"/>
      <c r="IKJ4" s="248"/>
      <c r="IKK4" s="248"/>
      <c r="IKL4" s="248"/>
      <c r="IKM4" s="248"/>
      <c r="IKN4" s="248"/>
      <c r="IKO4" s="248"/>
      <c r="IKP4" s="248"/>
      <c r="IKQ4" s="248"/>
      <c r="IKR4" s="248"/>
      <c r="IKS4" s="248"/>
      <c r="IKT4" s="248"/>
      <c r="IKU4" s="248"/>
      <c r="IKV4" s="248"/>
      <c r="IKW4" s="248"/>
      <c r="IKX4" s="248"/>
      <c r="IKY4" s="248"/>
      <c r="IKZ4" s="248"/>
      <c r="ILA4" s="248"/>
      <c r="ILB4" s="248"/>
      <c r="ILC4" s="248"/>
      <c r="ILD4" s="248"/>
      <c r="ILE4" s="248"/>
      <c r="ILF4" s="248"/>
      <c r="ILG4" s="248"/>
      <c r="ILH4" s="248"/>
      <c r="ILI4" s="248"/>
      <c r="ILJ4" s="248"/>
      <c r="ILK4" s="248"/>
      <c r="ILL4" s="248"/>
      <c r="ILM4" s="248"/>
      <c r="ILN4" s="248"/>
      <c r="ILO4" s="248"/>
      <c r="ILP4" s="248"/>
      <c r="ILQ4" s="248"/>
      <c r="ILR4" s="248"/>
      <c r="ILS4" s="248"/>
      <c r="ILT4" s="248"/>
      <c r="ILU4" s="248"/>
      <c r="ILV4" s="248"/>
      <c r="ILW4" s="248"/>
      <c r="ILX4" s="248"/>
      <c r="ILY4" s="248"/>
      <c r="ILZ4" s="248"/>
      <c r="IMA4" s="248"/>
      <c r="IMB4" s="248"/>
      <c r="IMC4" s="248"/>
      <c r="IMD4" s="248"/>
      <c r="IME4" s="248"/>
      <c r="IMF4" s="248"/>
      <c r="IMG4" s="248"/>
      <c r="IMH4" s="248"/>
      <c r="IMI4" s="248"/>
      <c r="IMJ4" s="248"/>
      <c r="IMK4" s="248"/>
      <c r="IML4" s="248"/>
      <c r="IMM4" s="248"/>
      <c r="IMN4" s="248"/>
      <c r="IMO4" s="248"/>
      <c r="IMP4" s="248"/>
      <c r="IMQ4" s="248"/>
      <c r="IMR4" s="248"/>
      <c r="IMS4" s="248"/>
      <c r="IMT4" s="248"/>
      <c r="IMU4" s="248"/>
      <c r="IMV4" s="248"/>
      <c r="IMW4" s="248"/>
      <c r="IMX4" s="248"/>
      <c r="IMY4" s="248"/>
      <c r="IMZ4" s="248"/>
      <c r="INA4" s="248"/>
      <c r="INB4" s="248"/>
      <c r="INC4" s="248"/>
      <c r="IND4" s="248"/>
      <c r="INE4" s="248"/>
      <c r="INF4" s="248"/>
      <c r="ING4" s="248"/>
      <c r="INH4" s="248"/>
      <c r="INI4" s="248"/>
      <c r="INJ4" s="248"/>
      <c r="INK4" s="248"/>
      <c r="INL4" s="248"/>
      <c r="INM4" s="248"/>
      <c r="INN4" s="248"/>
      <c r="INO4" s="248"/>
      <c r="INP4" s="248"/>
      <c r="INQ4" s="248"/>
      <c r="INR4" s="248"/>
      <c r="INS4" s="248"/>
      <c r="INT4" s="248"/>
      <c r="INU4" s="248"/>
      <c r="INV4" s="248"/>
      <c r="INW4" s="248"/>
      <c r="INX4" s="248"/>
      <c r="INY4" s="248"/>
      <c r="INZ4" s="248"/>
      <c r="IOA4" s="248"/>
      <c r="IOB4" s="248"/>
      <c r="IOC4" s="248"/>
      <c r="IOD4" s="248"/>
      <c r="IOE4" s="248"/>
      <c r="IOF4" s="248"/>
      <c r="IOG4" s="248"/>
      <c r="IOH4" s="248"/>
      <c r="IOI4" s="248"/>
      <c r="IOJ4" s="248"/>
      <c r="IOK4" s="248"/>
      <c r="IOL4" s="248"/>
      <c r="IOM4" s="248"/>
      <c r="ION4" s="248"/>
      <c r="IOO4" s="248"/>
      <c r="IOP4" s="248"/>
      <c r="IOQ4" s="248"/>
      <c r="IOR4" s="248"/>
      <c r="IOS4" s="248"/>
      <c r="IOT4" s="248"/>
      <c r="IOU4" s="248"/>
      <c r="IOV4" s="248"/>
      <c r="IOW4" s="248"/>
      <c r="IOX4" s="248"/>
      <c r="IOY4" s="248"/>
      <c r="IOZ4" s="248"/>
      <c r="IPA4" s="248"/>
      <c r="IPB4" s="248"/>
      <c r="IPC4" s="248"/>
      <c r="IPD4" s="248"/>
      <c r="IPE4" s="248"/>
      <c r="IPF4" s="248"/>
      <c r="IPG4" s="248"/>
      <c r="IPH4" s="248"/>
      <c r="IPI4" s="248"/>
      <c r="IPJ4" s="248"/>
      <c r="IPK4" s="248"/>
      <c r="IPL4" s="248"/>
      <c r="IPM4" s="248"/>
      <c r="IPN4" s="248"/>
      <c r="IPO4" s="248"/>
      <c r="IPP4" s="248"/>
      <c r="IPQ4" s="248"/>
      <c r="IPR4" s="248"/>
      <c r="IPS4" s="248"/>
      <c r="IPT4" s="248"/>
      <c r="IPU4" s="248"/>
      <c r="IPV4" s="248"/>
      <c r="IPW4" s="248"/>
      <c r="IPX4" s="248"/>
      <c r="IPY4" s="248"/>
      <c r="IPZ4" s="248"/>
      <c r="IQA4" s="248"/>
      <c r="IQB4" s="248"/>
      <c r="IQC4" s="248"/>
      <c r="IQD4" s="248"/>
      <c r="IQE4" s="248"/>
      <c r="IQF4" s="248"/>
      <c r="IQG4" s="248"/>
      <c r="IQH4" s="248"/>
      <c r="IQI4" s="248"/>
      <c r="IQJ4" s="248"/>
      <c r="IQK4" s="248"/>
      <c r="IQL4" s="248"/>
      <c r="IQM4" s="248"/>
      <c r="IQN4" s="248"/>
      <c r="IQO4" s="248"/>
      <c r="IQP4" s="248"/>
      <c r="IQQ4" s="248"/>
      <c r="IQR4" s="248"/>
      <c r="IQS4" s="248"/>
      <c r="IQT4" s="248"/>
      <c r="IQU4" s="248"/>
      <c r="IQV4" s="248"/>
      <c r="IQW4" s="248"/>
      <c r="IQX4" s="248"/>
      <c r="IQY4" s="248"/>
      <c r="IQZ4" s="248"/>
      <c r="IRA4" s="248"/>
      <c r="IRB4" s="248"/>
      <c r="IRC4" s="248"/>
      <c r="IRD4" s="248"/>
      <c r="IRE4" s="248"/>
      <c r="IRF4" s="248"/>
      <c r="IRG4" s="248"/>
      <c r="IRH4" s="248"/>
      <c r="IRI4" s="248"/>
      <c r="IRJ4" s="248"/>
      <c r="IRK4" s="248"/>
      <c r="IRL4" s="248"/>
      <c r="IRM4" s="248"/>
      <c r="IRN4" s="248"/>
      <c r="IRO4" s="248"/>
      <c r="IRP4" s="248"/>
      <c r="IRQ4" s="248"/>
      <c r="IRR4" s="248"/>
      <c r="IRS4" s="248"/>
      <c r="IRT4" s="248"/>
      <c r="IRU4" s="248"/>
      <c r="IRV4" s="248"/>
      <c r="IRW4" s="248"/>
      <c r="IRX4" s="248"/>
      <c r="IRY4" s="248"/>
      <c r="IRZ4" s="248"/>
      <c r="ISA4" s="248"/>
      <c r="ISB4" s="248"/>
      <c r="ISC4" s="248"/>
      <c r="ISD4" s="248"/>
      <c r="ISE4" s="248"/>
      <c r="ISF4" s="248"/>
      <c r="ISG4" s="248"/>
      <c r="ISH4" s="248"/>
      <c r="ISI4" s="248"/>
      <c r="ISJ4" s="248"/>
      <c r="ISK4" s="248"/>
      <c r="ISL4" s="248"/>
      <c r="ISM4" s="248"/>
      <c r="ISN4" s="248"/>
      <c r="ISO4" s="248"/>
      <c r="ISP4" s="248"/>
      <c r="ISQ4" s="248"/>
      <c r="ISR4" s="248"/>
      <c r="ISS4" s="248"/>
      <c r="IST4" s="248"/>
      <c r="ISU4" s="248"/>
      <c r="ISV4" s="248"/>
      <c r="ISW4" s="248"/>
      <c r="ISX4" s="248"/>
      <c r="ISY4" s="248"/>
      <c r="ISZ4" s="248"/>
      <c r="ITA4" s="248"/>
      <c r="ITB4" s="248"/>
      <c r="ITC4" s="248"/>
      <c r="ITD4" s="248"/>
      <c r="ITE4" s="248"/>
      <c r="ITF4" s="248"/>
      <c r="ITG4" s="248"/>
      <c r="ITH4" s="248"/>
      <c r="ITI4" s="248"/>
      <c r="ITJ4" s="248"/>
      <c r="ITK4" s="248"/>
      <c r="ITL4" s="248"/>
      <c r="ITM4" s="248"/>
      <c r="ITN4" s="248"/>
      <c r="ITO4" s="248"/>
      <c r="ITP4" s="248"/>
      <c r="ITQ4" s="248"/>
      <c r="ITR4" s="248"/>
      <c r="ITS4" s="248"/>
      <c r="ITT4" s="248"/>
      <c r="ITU4" s="248"/>
      <c r="ITV4" s="248"/>
      <c r="ITW4" s="248"/>
      <c r="ITX4" s="248"/>
      <c r="ITY4" s="248"/>
      <c r="ITZ4" s="248"/>
      <c r="IUA4" s="248"/>
      <c r="IUB4" s="248"/>
      <c r="IUC4" s="248"/>
      <c r="IUD4" s="248"/>
      <c r="IUE4" s="248"/>
      <c r="IUF4" s="248"/>
      <c r="IUG4" s="248"/>
      <c r="IUH4" s="248"/>
      <c r="IUI4" s="248"/>
      <c r="IUJ4" s="248"/>
      <c r="IUK4" s="248"/>
      <c r="IUL4" s="248"/>
      <c r="IUM4" s="248"/>
      <c r="IUN4" s="248"/>
      <c r="IUO4" s="248"/>
      <c r="IUP4" s="248"/>
      <c r="IUQ4" s="248"/>
      <c r="IUR4" s="248"/>
      <c r="IUS4" s="248"/>
      <c r="IUT4" s="248"/>
      <c r="IUU4" s="248"/>
      <c r="IUV4" s="248"/>
      <c r="IUW4" s="248"/>
      <c r="IUX4" s="248"/>
      <c r="IUY4" s="248"/>
      <c r="IUZ4" s="248"/>
      <c r="IVA4" s="248"/>
      <c r="IVB4" s="248"/>
      <c r="IVC4" s="248"/>
      <c r="IVD4" s="248"/>
      <c r="IVE4" s="248"/>
      <c r="IVF4" s="248"/>
      <c r="IVG4" s="248"/>
      <c r="IVH4" s="248"/>
      <c r="IVI4" s="248"/>
      <c r="IVJ4" s="248"/>
      <c r="IVK4" s="248"/>
      <c r="IVL4" s="248"/>
      <c r="IVM4" s="248"/>
      <c r="IVN4" s="248"/>
      <c r="IVO4" s="248"/>
      <c r="IVP4" s="248"/>
      <c r="IVQ4" s="248"/>
      <c r="IVR4" s="248"/>
      <c r="IVS4" s="248"/>
      <c r="IVT4" s="248"/>
      <c r="IVU4" s="248"/>
      <c r="IVV4" s="248"/>
      <c r="IVW4" s="248"/>
      <c r="IVX4" s="248"/>
      <c r="IVY4" s="248"/>
      <c r="IVZ4" s="248"/>
      <c r="IWA4" s="248"/>
      <c r="IWB4" s="248"/>
      <c r="IWC4" s="248"/>
      <c r="IWD4" s="248"/>
      <c r="IWE4" s="248"/>
      <c r="IWF4" s="248"/>
      <c r="IWG4" s="248"/>
      <c r="IWH4" s="248"/>
      <c r="IWI4" s="248"/>
      <c r="IWJ4" s="248"/>
      <c r="IWK4" s="248"/>
      <c r="IWL4" s="248"/>
      <c r="IWM4" s="248"/>
      <c r="IWN4" s="248"/>
      <c r="IWO4" s="248"/>
      <c r="IWP4" s="248"/>
      <c r="IWQ4" s="248"/>
      <c r="IWR4" s="248"/>
      <c r="IWS4" s="248"/>
      <c r="IWT4" s="248"/>
      <c r="IWU4" s="248"/>
      <c r="IWV4" s="248"/>
      <c r="IWW4" s="248"/>
      <c r="IWX4" s="248"/>
      <c r="IWY4" s="248"/>
      <c r="IWZ4" s="248"/>
      <c r="IXA4" s="248"/>
      <c r="IXB4" s="248"/>
      <c r="IXC4" s="248"/>
      <c r="IXD4" s="248"/>
      <c r="IXE4" s="248"/>
      <c r="IXF4" s="248"/>
      <c r="IXG4" s="248"/>
      <c r="IXH4" s="248"/>
      <c r="IXI4" s="248"/>
      <c r="IXJ4" s="248"/>
      <c r="IXK4" s="248"/>
      <c r="IXL4" s="248"/>
      <c r="IXM4" s="248"/>
      <c r="IXN4" s="248"/>
      <c r="IXO4" s="248"/>
      <c r="IXP4" s="248"/>
      <c r="IXQ4" s="248"/>
      <c r="IXR4" s="248"/>
      <c r="IXS4" s="248"/>
      <c r="IXT4" s="248"/>
      <c r="IXU4" s="248"/>
      <c r="IXV4" s="248"/>
      <c r="IXW4" s="248"/>
      <c r="IXX4" s="248"/>
      <c r="IXY4" s="248"/>
      <c r="IXZ4" s="248"/>
      <c r="IYA4" s="248"/>
      <c r="IYB4" s="248"/>
      <c r="IYC4" s="248"/>
      <c r="IYD4" s="248"/>
      <c r="IYE4" s="248"/>
      <c r="IYF4" s="248"/>
      <c r="IYG4" s="248"/>
      <c r="IYH4" s="248"/>
      <c r="IYI4" s="248"/>
      <c r="IYJ4" s="248"/>
      <c r="IYK4" s="248"/>
      <c r="IYL4" s="248"/>
      <c r="IYM4" s="248"/>
      <c r="IYN4" s="248"/>
      <c r="IYO4" s="248"/>
      <c r="IYP4" s="248"/>
      <c r="IYQ4" s="248"/>
      <c r="IYR4" s="248"/>
      <c r="IYS4" s="248"/>
      <c r="IYT4" s="248"/>
      <c r="IYU4" s="248"/>
      <c r="IYV4" s="248"/>
      <c r="IYW4" s="248"/>
      <c r="IYX4" s="248"/>
      <c r="IYY4" s="248"/>
      <c r="IYZ4" s="248"/>
      <c r="IZA4" s="248"/>
      <c r="IZB4" s="248"/>
      <c r="IZC4" s="248"/>
      <c r="IZD4" s="248"/>
      <c r="IZE4" s="248"/>
      <c r="IZF4" s="248"/>
      <c r="IZG4" s="248"/>
      <c r="IZH4" s="248"/>
      <c r="IZI4" s="248"/>
      <c r="IZJ4" s="248"/>
      <c r="IZK4" s="248"/>
      <c r="IZL4" s="248"/>
      <c r="IZM4" s="248"/>
      <c r="IZN4" s="248"/>
      <c r="IZO4" s="248"/>
      <c r="IZP4" s="248"/>
      <c r="IZQ4" s="248"/>
      <c r="IZR4" s="248"/>
      <c r="IZS4" s="248"/>
      <c r="IZT4" s="248"/>
      <c r="IZU4" s="248"/>
      <c r="IZV4" s="248"/>
      <c r="IZW4" s="248"/>
      <c r="IZX4" s="248"/>
      <c r="IZY4" s="248"/>
      <c r="IZZ4" s="248"/>
      <c r="JAA4" s="248"/>
      <c r="JAB4" s="248"/>
      <c r="JAC4" s="248"/>
      <c r="JAD4" s="248"/>
      <c r="JAE4" s="248"/>
      <c r="JAF4" s="248"/>
      <c r="JAG4" s="248"/>
      <c r="JAH4" s="248"/>
      <c r="JAI4" s="248"/>
      <c r="JAJ4" s="248"/>
      <c r="JAK4" s="248"/>
      <c r="JAL4" s="248"/>
      <c r="JAM4" s="248"/>
      <c r="JAN4" s="248"/>
      <c r="JAO4" s="248"/>
      <c r="JAP4" s="248"/>
      <c r="JAQ4" s="248"/>
      <c r="JAR4" s="248"/>
      <c r="JAS4" s="248"/>
      <c r="JAT4" s="248"/>
      <c r="JAU4" s="248"/>
      <c r="JAV4" s="248"/>
      <c r="JAW4" s="248"/>
      <c r="JAX4" s="248"/>
      <c r="JAY4" s="248"/>
      <c r="JAZ4" s="248"/>
      <c r="JBA4" s="248"/>
      <c r="JBB4" s="248"/>
      <c r="JBC4" s="248"/>
      <c r="JBD4" s="248"/>
      <c r="JBE4" s="248"/>
      <c r="JBF4" s="248"/>
      <c r="JBG4" s="248"/>
      <c r="JBH4" s="248"/>
      <c r="JBI4" s="248"/>
      <c r="JBJ4" s="248"/>
      <c r="JBK4" s="248"/>
      <c r="JBL4" s="248"/>
      <c r="JBM4" s="248"/>
      <c r="JBN4" s="248"/>
      <c r="JBO4" s="248"/>
      <c r="JBP4" s="248"/>
      <c r="JBQ4" s="248"/>
      <c r="JBR4" s="248"/>
      <c r="JBS4" s="248"/>
      <c r="JBT4" s="248"/>
      <c r="JBU4" s="248"/>
      <c r="JBV4" s="248"/>
      <c r="JBW4" s="248"/>
      <c r="JBX4" s="248"/>
      <c r="JBY4" s="248"/>
      <c r="JBZ4" s="248"/>
      <c r="JCA4" s="248"/>
      <c r="JCB4" s="248"/>
      <c r="JCC4" s="248"/>
      <c r="JCD4" s="248"/>
      <c r="JCE4" s="248"/>
      <c r="JCF4" s="248"/>
      <c r="JCG4" s="248"/>
      <c r="JCH4" s="248"/>
      <c r="JCI4" s="248"/>
      <c r="JCJ4" s="248"/>
      <c r="JCK4" s="248"/>
      <c r="JCL4" s="248"/>
      <c r="JCM4" s="248"/>
      <c r="JCN4" s="248"/>
      <c r="JCO4" s="248"/>
      <c r="JCP4" s="248"/>
      <c r="JCQ4" s="248"/>
      <c r="JCR4" s="248"/>
      <c r="JCS4" s="248"/>
      <c r="JCT4" s="248"/>
      <c r="JCU4" s="248"/>
      <c r="JCV4" s="248"/>
      <c r="JCW4" s="248"/>
      <c r="JCX4" s="248"/>
      <c r="JCY4" s="248"/>
      <c r="JCZ4" s="248"/>
      <c r="JDA4" s="248"/>
      <c r="JDB4" s="248"/>
      <c r="JDC4" s="248"/>
      <c r="JDD4" s="248"/>
      <c r="JDE4" s="248"/>
      <c r="JDF4" s="248"/>
      <c r="JDG4" s="248"/>
      <c r="JDH4" s="248"/>
      <c r="JDI4" s="248"/>
      <c r="JDJ4" s="248"/>
      <c r="JDK4" s="248"/>
      <c r="JDL4" s="248"/>
      <c r="JDM4" s="248"/>
      <c r="JDN4" s="248"/>
      <c r="JDO4" s="248"/>
      <c r="JDP4" s="248"/>
      <c r="JDQ4" s="248"/>
      <c r="JDR4" s="248"/>
      <c r="JDS4" s="248"/>
      <c r="JDT4" s="248"/>
      <c r="JDU4" s="248"/>
      <c r="JDV4" s="248"/>
      <c r="JDW4" s="248"/>
      <c r="JDX4" s="248"/>
      <c r="JDY4" s="248"/>
      <c r="JDZ4" s="248"/>
      <c r="JEA4" s="248"/>
      <c r="JEB4" s="248"/>
      <c r="JEC4" s="248"/>
      <c r="JED4" s="248"/>
      <c r="JEE4" s="248"/>
      <c r="JEF4" s="248"/>
      <c r="JEG4" s="248"/>
      <c r="JEH4" s="248"/>
      <c r="JEI4" s="248"/>
      <c r="JEJ4" s="248"/>
      <c r="JEK4" s="248"/>
      <c r="JEL4" s="248"/>
      <c r="JEM4" s="248"/>
      <c r="JEN4" s="248"/>
      <c r="JEO4" s="248"/>
      <c r="JEP4" s="248"/>
      <c r="JEQ4" s="248"/>
      <c r="JER4" s="248"/>
      <c r="JES4" s="248"/>
      <c r="JET4" s="248"/>
      <c r="JEU4" s="248"/>
      <c r="JEV4" s="248"/>
      <c r="JEW4" s="248"/>
      <c r="JEX4" s="248"/>
      <c r="JEY4" s="248"/>
      <c r="JEZ4" s="248"/>
      <c r="JFA4" s="248"/>
      <c r="JFB4" s="248"/>
      <c r="JFC4" s="248"/>
      <c r="JFD4" s="248"/>
      <c r="JFE4" s="248"/>
      <c r="JFF4" s="248"/>
      <c r="JFG4" s="248"/>
      <c r="JFH4" s="248"/>
      <c r="JFI4" s="248"/>
      <c r="JFJ4" s="248"/>
      <c r="JFK4" s="248"/>
      <c r="JFL4" s="248"/>
      <c r="JFM4" s="248"/>
      <c r="JFN4" s="248"/>
      <c r="JFO4" s="248"/>
      <c r="JFP4" s="248"/>
      <c r="JFQ4" s="248"/>
      <c r="JFR4" s="248"/>
      <c r="JFS4" s="248"/>
      <c r="JFT4" s="248"/>
      <c r="JFU4" s="248"/>
      <c r="JFV4" s="248"/>
      <c r="JFW4" s="248"/>
      <c r="JFX4" s="248"/>
      <c r="JFY4" s="248"/>
      <c r="JFZ4" s="248"/>
      <c r="JGA4" s="248"/>
      <c r="JGB4" s="248"/>
      <c r="JGC4" s="248"/>
      <c r="JGD4" s="248"/>
      <c r="JGE4" s="248"/>
      <c r="JGF4" s="248"/>
      <c r="JGG4" s="248"/>
      <c r="JGH4" s="248"/>
      <c r="JGI4" s="248"/>
      <c r="JGJ4" s="248"/>
      <c r="JGK4" s="248"/>
      <c r="JGL4" s="248"/>
      <c r="JGM4" s="248"/>
      <c r="JGN4" s="248"/>
      <c r="JGO4" s="248"/>
      <c r="JGP4" s="248"/>
      <c r="JGQ4" s="248"/>
      <c r="JGR4" s="248"/>
      <c r="JGS4" s="248"/>
      <c r="JGT4" s="248"/>
      <c r="JGU4" s="248"/>
      <c r="JGV4" s="248"/>
      <c r="JGW4" s="248"/>
      <c r="JGX4" s="248"/>
      <c r="JGY4" s="248"/>
      <c r="JGZ4" s="248"/>
      <c r="JHA4" s="248"/>
      <c r="JHB4" s="248"/>
      <c r="JHC4" s="248"/>
      <c r="JHD4" s="248"/>
      <c r="JHE4" s="248"/>
      <c r="JHF4" s="248"/>
      <c r="JHG4" s="248"/>
      <c r="JHH4" s="248"/>
      <c r="JHI4" s="248"/>
      <c r="JHJ4" s="248"/>
      <c r="JHK4" s="248"/>
      <c r="JHL4" s="248"/>
      <c r="JHM4" s="248"/>
      <c r="JHN4" s="248"/>
      <c r="JHO4" s="248"/>
      <c r="JHP4" s="248"/>
      <c r="JHQ4" s="248"/>
      <c r="JHR4" s="248"/>
      <c r="JHS4" s="248"/>
      <c r="JHT4" s="248"/>
      <c r="JHU4" s="248"/>
      <c r="JHV4" s="248"/>
      <c r="JHW4" s="248"/>
      <c r="JHX4" s="248"/>
      <c r="JHY4" s="248"/>
      <c r="JHZ4" s="248"/>
      <c r="JIA4" s="248"/>
      <c r="JIB4" s="248"/>
      <c r="JIC4" s="248"/>
      <c r="JID4" s="248"/>
      <c r="JIE4" s="248"/>
      <c r="JIF4" s="248"/>
      <c r="JIG4" s="248"/>
      <c r="JIH4" s="248"/>
      <c r="JII4" s="248"/>
      <c r="JIJ4" s="248"/>
      <c r="JIK4" s="248"/>
      <c r="JIL4" s="248"/>
      <c r="JIM4" s="248"/>
      <c r="JIN4" s="248"/>
      <c r="JIO4" s="248"/>
      <c r="JIP4" s="248"/>
      <c r="JIQ4" s="248"/>
      <c r="JIR4" s="248"/>
      <c r="JIS4" s="248"/>
      <c r="JIT4" s="248"/>
      <c r="JIU4" s="248"/>
      <c r="JIV4" s="248"/>
      <c r="JIW4" s="248"/>
      <c r="JIX4" s="248"/>
      <c r="JIY4" s="248"/>
      <c r="JIZ4" s="248"/>
      <c r="JJA4" s="248"/>
      <c r="JJB4" s="248"/>
      <c r="JJC4" s="248"/>
      <c r="JJD4" s="248"/>
      <c r="JJE4" s="248"/>
      <c r="JJF4" s="248"/>
      <c r="JJG4" s="248"/>
      <c r="JJH4" s="248"/>
      <c r="JJI4" s="248"/>
      <c r="JJJ4" s="248"/>
      <c r="JJK4" s="248"/>
      <c r="JJL4" s="248"/>
      <c r="JJM4" s="248"/>
      <c r="JJN4" s="248"/>
      <c r="JJO4" s="248"/>
      <c r="JJP4" s="248"/>
      <c r="JJQ4" s="248"/>
      <c r="JJR4" s="248"/>
      <c r="JJS4" s="248"/>
      <c r="JJT4" s="248"/>
      <c r="JJU4" s="248"/>
      <c r="JJV4" s="248"/>
      <c r="JJW4" s="248"/>
      <c r="JJX4" s="248"/>
      <c r="JJY4" s="248"/>
      <c r="JJZ4" s="248"/>
      <c r="JKA4" s="248"/>
      <c r="JKB4" s="248"/>
      <c r="JKC4" s="248"/>
      <c r="JKD4" s="248"/>
      <c r="JKE4" s="248"/>
      <c r="JKF4" s="248"/>
      <c r="JKG4" s="248"/>
      <c r="JKH4" s="248"/>
      <c r="JKI4" s="248"/>
      <c r="JKJ4" s="248"/>
      <c r="JKK4" s="248"/>
      <c r="JKL4" s="248"/>
      <c r="JKM4" s="248"/>
      <c r="JKN4" s="248"/>
      <c r="JKO4" s="248"/>
      <c r="JKP4" s="248"/>
      <c r="JKQ4" s="248"/>
      <c r="JKR4" s="248"/>
      <c r="JKS4" s="248"/>
      <c r="JKT4" s="248"/>
      <c r="JKU4" s="248"/>
      <c r="JKV4" s="248"/>
      <c r="JKW4" s="248"/>
      <c r="JKX4" s="248"/>
      <c r="JKY4" s="248"/>
      <c r="JKZ4" s="248"/>
      <c r="JLA4" s="248"/>
      <c r="JLB4" s="248"/>
      <c r="JLC4" s="248"/>
      <c r="JLD4" s="248"/>
      <c r="JLE4" s="248"/>
      <c r="JLF4" s="248"/>
      <c r="JLG4" s="248"/>
      <c r="JLH4" s="248"/>
      <c r="JLI4" s="248"/>
      <c r="JLJ4" s="248"/>
      <c r="JLK4" s="248"/>
      <c r="JLL4" s="248"/>
      <c r="JLM4" s="248"/>
      <c r="JLN4" s="248"/>
      <c r="JLO4" s="248"/>
      <c r="JLP4" s="248"/>
      <c r="JLQ4" s="248"/>
      <c r="JLR4" s="248"/>
      <c r="JLS4" s="248"/>
      <c r="JLT4" s="248"/>
      <c r="JLU4" s="248"/>
      <c r="JLV4" s="248"/>
      <c r="JLW4" s="248"/>
      <c r="JLX4" s="248"/>
      <c r="JLY4" s="248"/>
      <c r="JLZ4" s="248"/>
      <c r="JMA4" s="248"/>
      <c r="JMB4" s="248"/>
      <c r="JMC4" s="248"/>
      <c r="JMD4" s="248"/>
      <c r="JME4" s="248"/>
      <c r="JMF4" s="248"/>
      <c r="JMG4" s="248"/>
      <c r="JMH4" s="248"/>
      <c r="JMI4" s="248"/>
      <c r="JMJ4" s="248"/>
      <c r="JMK4" s="248"/>
      <c r="JML4" s="248"/>
      <c r="JMM4" s="248"/>
      <c r="JMN4" s="248"/>
      <c r="JMO4" s="248"/>
      <c r="JMP4" s="248"/>
      <c r="JMQ4" s="248"/>
      <c r="JMR4" s="248"/>
      <c r="JMS4" s="248"/>
      <c r="JMT4" s="248"/>
      <c r="JMU4" s="248"/>
      <c r="JMV4" s="248"/>
      <c r="JMW4" s="248"/>
      <c r="JMX4" s="248"/>
      <c r="JMY4" s="248"/>
      <c r="JMZ4" s="248"/>
      <c r="JNA4" s="248"/>
      <c r="JNB4" s="248"/>
      <c r="JNC4" s="248"/>
      <c r="JND4" s="248"/>
      <c r="JNE4" s="248"/>
      <c r="JNF4" s="248"/>
      <c r="JNG4" s="248"/>
      <c r="JNH4" s="248"/>
      <c r="JNI4" s="248"/>
      <c r="JNJ4" s="248"/>
      <c r="JNK4" s="248"/>
      <c r="JNL4" s="248"/>
      <c r="JNM4" s="248"/>
      <c r="JNN4" s="248"/>
      <c r="JNO4" s="248"/>
      <c r="JNP4" s="248"/>
      <c r="JNQ4" s="248"/>
      <c r="JNR4" s="248"/>
      <c r="JNS4" s="248"/>
      <c r="JNT4" s="248"/>
      <c r="JNU4" s="248"/>
      <c r="JNV4" s="248"/>
      <c r="JNW4" s="248"/>
      <c r="JNX4" s="248"/>
      <c r="JNY4" s="248"/>
      <c r="JNZ4" s="248"/>
      <c r="JOA4" s="248"/>
      <c r="JOB4" s="248"/>
      <c r="JOC4" s="248"/>
      <c r="JOD4" s="248"/>
      <c r="JOE4" s="248"/>
      <c r="JOF4" s="248"/>
      <c r="JOG4" s="248"/>
      <c r="JOH4" s="248"/>
      <c r="JOI4" s="248"/>
      <c r="JOJ4" s="248"/>
      <c r="JOK4" s="248"/>
      <c r="JOL4" s="248"/>
      <c r="JOM4" s="248"/>
      <c r="JON4" s="248"/>
      <c r="JOO4" s="248"/>
      <c r="JOP4" s="248"/>
      <c r="JOQ4" s="248"/>
      <c r="JOR4" s="248"/>
      <c r="JOS4" s="248"/>
      <c r="JOT4" s="248"/>
      <c r="JOU4" s="248"/>
      <c r="JOV4" s="248"/>
      <c r="JOW4" s="248"/>
      <c r="JOX4" s="248"/>
      <c r="JOY4" s="248"/>
      <c r="JOZ4" s="248"/>
      <c r="JPA4" s="248"/>
      <c r="JPB4" s="248"/>
      <c r="JPC4" s="248"/>
      <c r="JPD4" s="248"/>
      <c r="JPE4" s="248"/>
      <c r="JPF4" s="248"/>
      <c r="JPG4" s="248"/>
      <c r="JPH4" s="248"/>
      <c r="JPI4" s="248"/>
      <c r="JPJ4" s="248"/>
      <c r="JPK4" s="248"/>
      <c r="JPL4" s="248"/>
      <c r="JPM4" s="248"/>
      <c r="JPN4" s="248"/>
      <c r="JPO4" s="248"/>
      <c r="JPP4" s="248"/>
      <c r="JPQ4" s="248"/>
      <c r="JPR4" s="248"/>
      <c r="JPS4" s="248"/>
      <c r="JPT4" s="248"/>
      <c r="JPU4" s="248"/>
      <c r="JPV4" s="248"/>
      <c r="JPW4" s="248"/>
      <c r="JPX4" s="248"/>
      <c r="JPY4" s="248"/>
      <c r="JPZ4" s="248"/>
      <c r="JQA4" s="248"/>
      <c r="JQB4" s="248"/>
      <c r="JQC4" s="248"/>
      <c r="JQD4" s="248"/>
      <c r="JQE4" s="248"/>
      <c r="JQF4" s="248"/>
      <c r="JQG4" s="248"/>
      <c r="JQH4" s="248"/>
      <c r="JQI4" s="248"/>
      <c r="JQJ4" s="248"/>
      <c r="JQK4" s="248"/>
      <c r="JQL4" s="248"/>
      <c r="JQM4" s="248"/>
      <c r="JQN4" s="248"/>
      <c r="JQO4" s="248"/>
      <c r="JQP4" s="248"/>
      <c r="JQQ4" s="248"/>
      <c r="JQR4" s="248"/>
      <c r="JQS4" s="248"/>
      <c r="JQT4" s="248"/>
      <c r="JQU4" s="248"/>
      <c r="JQV4" s="248"/>
      <c r="JQW4" s="248"/>
      <c r="JQX4" s="248"/>
      <c r="JQY4" s="248"/>
      <c r="JQZ4" s="248"/>
      <c r="JRA4" s="248"/>
      <c r="JRB4" s="248"/>
      <c r="JRC4" s="248"/>
      <c r="JRD4" s="248"/>
      <c r="JRE4" s="248"/>
      <c r="JRF4" s="248"/>
      <c r="JRG4" s="248"/>
      <c r="JRH4" s="248"/>
      <c r="JRI4" s="248"/>
      <c r="JRJ4" s="248"/>
      <c r="JRK4" s="248"/>
      <c r="JRL4" s="248"/>
      <c r="JRM4" s="248"/>
      <c r="JRN4" s="248"/>
      <c r="JRO4" s="248"/>
      <c r="JRP4" s="248"/>
      <c r="JRQ4" s="248"/>
      <c r="JRR4" s="248"/>
      <c r="JRS4" s="248"/>
      <c r="JRT4" s="248"/>
      <c r="JRU4" s="248"/>
      <c r="JRV4" s="248"/>
      <c r="JRW4" s="248"/>
      <c r="JRX4" s="248"/>
      <c r="JRY4" s="248"/>
      <c r="JRZ4" s="248"/>
      <c r="JSA4" s="248"/>
      <c r="JSB4" s="248"/>
      <c r="JSC4" s="248"/>
      <c r="JSD4" s="248"/>
      <c r="JSE4" s="248"/>
      <c r="JSF4" s="248"/>
      <c r="JSG4" s="248"/>
      <c r="JSH4" s="248"/>
      <c r="JSI4" s="248"/>
      <c r="JSJ4" s="248"/>
      <c r="JSK4" s="248"/>
      <c r="JSL4" s="248"/>
      <c r="JSM4" s="248"/>
      <c r="JSN4" s="248"/>
      <c r="JSO4" s="248"/>
      <c r="JSP4" s="248"/>
      <c r="JSQ4" s="248"/>
      <c r="JSR4" s="248"/>
      <c r="JSS4" s="248"/>
      <c r="JST4" s="248"/>
      <c r="JSU4" s="248"/>
      <c r="JSV4" s="248"/>
      <c r="JSW4" s="248"/>
      <c r="JSX4" s="248"/>
      <c r="JSY4" s="248"/>
      <c r="JSZ4" s="248"/>
      <c r="JTA4" s="248"/>
      <c r="JTB4" s="248"/>
      <c r="JTC4" s="248"/>
      <c r="JTD4" s="248"/>
      <c r="JTE4" s="248"/>
      <c r="JTF4" s="248"/>
      <c r="JTG4" s="248"/>
      <c r="JTH4" s="248"/>
      <c r="JTI4" s="248"/>
      <c r="JTJ4" s="248"/>
      <c r="JTK4" s="248"/>
      <c r="JTL4" s="248"/>
      <c r="JTM4" s="248"/>
      <c r="JTN4" s="248"/>
      <c r="JTO4" s="248"/>
      <c r="JTP4" s="248"/>
      <c r="JTQ4" s="248"/>
      <c r="JTR4" s="248"/>
      <c r="JTS4" s="248"/>
      <c r="JTT4" s="248"/>
      <c r="JTU4" s="248"/>
      <c r="JTV4" s="248"/>
      <c r="JTW4" s="248"/>
      <c r="JTX4" s="248"/>
      <c r="JTY4" s="248"/>
      <c r="JTZ4" s="248"/>
      <c r="JUA4" s="248"/>
      <c r="JUB4" s="248"/>
      <c r="JUC4" s="248"/>
      <c r="JUD4" s="248"/>
      <c r="JUE4" s="248"/>
      <c r="JUF4" s="248"/>
      <c r="JUG4" s="248"/>
      <c r="JUH4" s="248"/>
      <c r="JUI4" s="248"/>
      <c r="JUJ4" s="248"/>
      <c r="JUK4" s="248"/>
      <c r="JUL4" s="248"/>
      <c r="JUM4" s="248"/>
      <c r="JUN4" s="248"/>
      <c r="JUO4" s="248"/>
      <c r="JUP4" s="248"/>
      <c r="JUQ4" s="248"/>
      <c r="JUR4" s="248"/>
      <c r="JUS4" s="248"/>
      <c r="JUT4" s="248"/>
      <c r="JUU4" s="248"/>
      <c r="JUV4" s="248"/>
      <c r="JUW4" s="248"/>
      <c r="JUX4" s="248"/>
      <c r="JUY4" s="248"/>
      <c r="JUZ4" s="248"/>
      <c r="JVA4" s="248"/>
      <c r="JVB4" s="248"/>
      <c r="JVC4" s="248"/>
      <c r="JVD4" s="248"/>
      <c r="JVE4" s="248"/>
      <c r="JVF4" s="248"/>
      <c r="JVG4" s="248"/>
      <c r="JVH4" s="248"/>
      <c r="JVI4" s="248"/>
      <c r="JVJ4" s="248"/>
      <c r="JVK4" s="248"/>
      <c r="JVL4" s="248"/>
      <c r="JVM4" s="248"/>
      <c r="JVN4" s="248"/>
      <c r="JVO4" s="248"/>
      <c r="JVP4" s="248"/>
      <c r="JVQ4" s="248"/>
      <c r="JVR4" s="248"/>
      <c r="JVS4" s="248"/>
      <c r="JVT4" s="248"/>
      <c r="JVU4" s="248"/>
      <c r="JVV4" s="248"/>
      <c r="JVW4" s="248"/>
      <c r="JVX4" s="248"/>
      <c r="JVY4" s="248"/>
      <c r="JVZ4" s="248"/>
      <c r="JWA4" s="248"/>
      <c r="JWB4" s="248"/>
      <c r="JWC4" s="248"/>
      <c r="JWD4" s="248"/>
      <c r="JWE4" s="248"/>
      <c r="JWF4" s="248"/>
      <c r="JWG4" s="248"/>
      <c r="JWH4" s="248"/>
      <c r="JWI4" s="248"/>
      <c r="JWJ4" s="248"/>
      <c r="JWK4" s="248"/>
      <c r="JWL4" s="248"/>
      <c r="JWM4" s="248"/>
      <c r="JWN4" s="248"/>
      <c r="JWO4" s="248"/>
      <c r="JWP4" s="248"/>
      <c r="JWQ4" s="248"/>
      <c r="JWR4" s="248"/>
      <c r="JWS4" s="248"/>
      <c r="JWT4" s="248"/>
      <c r="JWU4" s="248"/>
      <c r="JWV4" s="248"/>
      <c r="JWW4" s="248"/>
      <c r="JWX4" s="248"/>
      <c r="JWY4" s="248"/>
      <c r="JWZ4" s="248"/>
      <c r="JXA4" s="248"/>
      <c r="JXB4" s="248"/>
      <c r="JXC4" s="248"/>
      <c r="JXD4" s="248"/>
      <c r="JXE4" s="248"/>
      <c r="JXF4" s="248"/>
      <c r="JXG4" s="248"/>
      <c r="JXH4" s="248"/>
      <c r="JXI4" s="248"/>
      <c r="JXJ4" s="248"/>
      <c r="JXK4" s="248"/>
      <c r="JXL4" s="248"/>
      <c r="JXM4" s="248"/>
      <c r="JXN4" s="248"/>
      <c r="JXO4" s="248"/>
      <c r="JXP4" s="248"/>
      <c r="JXQ4" s="248"/>
      <c r="JXR4" s="248"/>
      <c r="JXS4" s="248"/>
      <c r="JXT4" s="248"/>
      <c r="JXU4" s="248"/>
      <c r="JXV4" s="248"/>
      <c r="JXW4" s="248"/>
      <c r="JXX4" s="248"/>
      <c r="JXY4" s="248"/>
      <c r="JXZ4" s="248"/>
      <c r="JYA4" s="248"/>
      <c r="JYB4" s="248"/>
      <c r="JYC4" s="248"/>
      <c r="JYD4" s="248"/>
      <c r="JYE4" s="248"/>
      <c r="JYF4" s="248"/>
      <c r="JYG4" s="248"/>
      <c r="JYH4" s="248"/>
      <c r="JYI4" s="248"/>
      <c r="JYJ4" s="248"/>
      <c r="JYK4" s="248"/>
      <c r="JYL4" s="248"/>
      <c r="JYM4" s="248"/>
      <c r="JYN4" s="248"/>
      <c r="JYO4" s="248"/>
      <c r="JYP4" s="248"/>
      <c r="JYQ4" s="248"/>
      <c r="JYR4" s="248"/>
      <c r="JYS4" s="248"/>
      <c r="JYT4" s="248"/>
      <c r="JYU4" s="248"/>
      <c r="JYV4" s="248"/>
      <c r="JYW4" s="248"/>
      <c r="JYX4" s="248"/>
      <c r="JYY4" s="248"/>
      <c r="JYZ4" s="248"/>
      <c r="JZA4" s="248"/>
      <c r="JZB4" s="248"/>
      <c r="JZC4" s="248"/>
      <c r="JZD4" s="248"/>
      <c r="JZE4" s="248"/>
      <c r="JZF4" s="248"/>
      <c r="JZG4" s="248"/>
      <c r="JZH4" s="248"/>
      <c r="JZI4" s="248"/>
      <c r="JZJ4" s="248"/>
      <c r="JZK4" s="248"/>
      <c r="JZL4" s="248"/>
      <c r="JZM4" s="248"/>
      <c r="JZN4" s="248"/>
      <c r="JZO4" s="248"/>
      <c r="JZP4" s="248"/>
      <c r="JZQ4" s="248"/>
      <c r="JZR4" s="248"/>
      <c r="JZS4" s="248"/>
      <c r="JZT4" s="248"/>
      <c r="JZU4" s="248"/>
      <c r="JZV4" s="248"/>
      <c r="JZW4" s="248"/>
      <c r="JZX4" s="248"/>
      <c r="JZY4" s="248"/>
      <c r="JZZ4" s="248"/>
      <c r="KAA4" s="248"/>
      <c r="KAB4" s="248"/>
      <c r="KAC4" s="248"/>
      <c r="KAD4" s="248"/>
      <c r="KAE4" s="248"/>
      <c r="KAF4" s="248"/>
      <c r="KAG4" s="248"/>
      <c r="KAH4" s="248"/>
      <c r="KAI4" s="248"/>
      <c r="KAJ4" s="248"/>
      <c r="KAK4" s="248"/>
      <c r="KAL4" s="248"/>
      <c r="KAM4" s="248"/>
      <c r="KAN4" s="248"/>
      <c r="KAO4" s="248"/>
      <c r="KAP4" s="248"/>
      <c r="KAQ4" s="248"/>
      <c r="KAR4" s="248"/>
      <c r="KAS4" s="248"/>
      <c r="KAT4" s="248"/>
      <c r="KAU4" s="248"/>
      <c r="KAV4" s="248"/>
      <c r="KAW4" s="248"/>
      <c r="KAX4" s="248"/>
      <c r="KAY4" s="248"/>
      <c r="KAZ4" s="248"/>
      <c r="KBA4" s="248"/>
      <c r="KBB4" s="248"/>
      <c r="KBC4" s="248"/>
      <c r="KBD4" s="248"/>
      <c r="KBE4" s="248"/>
      <c r="KBF4" s="248"/>
      <c r="KBG4" s="248"/>
      <c r="KBH4" s="248"/>
      <c r="KBI4" s="248"/>
      <c r="KBJ4" s="248"/>
      <c r="KBK4" s="248"/>
      <c r="KBL4" s="248"/>
      <c r="KBM4" s="248"/>
      <c r="KBN4" s="248"/>
      <c r="KBO4" s="248"/>
      <c r="KBP4" s="248"/>
      <c r="KBQ4" s="248"/>
      <c r="KBR4" s="248"/>
      <c r="KBS4" s="248"/>
      <c r="KBT4" s="248"/>
      <c r="KBU4" s="248"/>
      <c r="KBV4" s="248"/>
      <c r="KBW4" s="248"/>
      <c r="KBX4" s="248"/>
      <c r="KBY4" s="248"/>
      <c r="KBZ4" s="248"/>
      <c r="KCA4" s="248"/>
      <c r="KCB4" s="248"/>
      <c r="KCC4" s="248"/>
      <c r="KCD4" s="248"/>
      <c r="KCE4" s="248"/>
      <c r="KCF4" s="248"/>
      <c r="KCG4" s="248"/>
      <c r="KCH4" s="248"/>
      <c r="KCI4" s="248"/>
      <c r="KCJ4" s="248"/>
      <c r="KCK4" s="248"/>
      <c r="KCL4" s="248"/>
      <c r="KCM4" s="248"/>
      <c r="KCN4" s="248"/>
      <c r="KCO4" s="248"/>
      <c r="KCP4" s="248"/>
      <c r="KCQ4" s="248"/>
      <c r="KCR4" s="248"/>
      <c r="KCS4" s="248"/>
      <c r="KCT4" s="248"/>
      <c r="KCU4" s="248"/>
      <c r="KCV4" s="248"/>
      <c r="KCW4" s="248"/>
      <c r="KCX4" s="248"/>
      <c r="KCY4" s="248"/>
      <c r="KCZ4" s="248"/>
      <c r="KDA4" s="248"/>
      <c r="KDB4" s="248"/>
      <c r="KDC4" s="248"/>
      <c r="KDD4" s="248"/>
      <c r="KDE4" s="248"/>
      <c r="KDF4" s="248"/>
      <c r="KDG4" s="248"/>
      <c r="KDH4" s="248"/>
      <c r="KDI4" s="248"/>
      <c r="KDJ4" s="248"/>
      <c r="KDK4" s="248"/>
      <c r="KDL4" s="248"/>
      <c r="KDM4" s="248"/>
      <c r="KDN4" s="248"/>
      <c r="KDO4" s="248"/>
      <c r="KDP4" s="248"/>
      <c r="KDQ4" s="248"/>
      <c r="KDR4" s="248"/>
      <c r="KDS4" s="248"/>
      <c r="KDT4" s="248"/>
      <c r="KDU4" s="248"/>
      <c r="KDV4" s="248"/>
      <c r="KDW4" s="248"/>
      <c r="KDX4" s="248"/>
      <c r="KDY4" s="248"/>
      <c r="KDZ4" s="248"/>
      <c r="KEA4" s="248"/>
      <c r="KEB4" s="248"/>
      <c r="KEC4" s="248"/>
      <c r="KED4" s="248"/>
      <c r="KEE4" s="248"/>
      <c r="KEF4" s="248"/>
      <c r="KEG4" s="248"/>
      <c r="KEH4" s="248"/>
      <c r="KEI4" s="248"/>
      <c r="KEJ4" s="248"/>
      <c r="KEK4" s="248"/>
      <c r="KEL4" s="248"/>
      <c r="KEM4" s="248"/>
      <c r="KEN4" s="248"/>
      <c r="KEO4" s="248"/>
      <c r="KEP4" s="248"/>
      <c r="KEQ4" s="248"/>
      <c r="KER4" s="248"/>
      <c r="KES4" s="248"/>
      <c r="KET4" s="248"/>
      <c r="KEU4" s="248"/>
      <c r="KEV4" s="248"/>
      <c r="KEW4" s="248"/>
      <c r="KEX4" s="248"/>
      <c r="KEY4" s="248"/>
      <c r="KEZ4" s="248"/>
      <c r="KFA4" s="248"/>
      <c r="KFB4" s="248"/>
      <c r="KFC4" s="248"/>
      <c r="KFD4" s="248"/>
      <c r="KFE4" s="248"/>
      <c r="KFF4" s="248"/>
      <c r="KFG4" s="248"/>
      <c r="KFH4" s="248"/>
      <c r="KFI4" s="248"/>
      <c r="KFJ4" s="248"/>
      <c r="KFK4" s="248"/>
      <c r="KFL4" s="248"/>
      <c r="KFM4" s="248"/>
      <c r="KFN4" s="248"/>
      <c r="KFO4" s="248"/>
      <c r="KFP4" s="248"/>
      <c r="KFQ4" s="248"/>
      <c r="KFR4" s="248"/>
      <c r="KFS4" s="248"/>
      <c r="KFT4" s="248"/>
      <c r="KFU4" s="248"/>
      <c r="KFV4" s="248"/>
      <c r="KFW4" s="248"/>
      <c r="KFX4" s="248"/>
      <c r="KFY4" s="248"/>
      <c r="KFZ4" s="248"/>
      <c r="KGA4" s="248"/>
      <c r="KGB4" s="248"/>
      <c r="KGC4" s="248"/>
      <c r="KGD4" s="248"/>
      <c r="KGE4" s="248"/>
      <c r="KGF4" s="248"/>
      <c r="KGG4" s="248"/>
      <c r="KGH4" s="248"/>
      <c r="KGI4" s="248"/>
      <c r="KGJ4" s="248"/>
      <c r="KGK4" s="248"/>
      <c r="KGL4" s="248"/>
      <c r="KGM4" s="248"/>
      <c r="KGN4" s="248"/>
      <c r="KGO4" s="248"/>
      <c r="KGP4" s="248"/>
      <c r="KGQ4" s="248"/>
      <c r="KGR4" s="248"/>
      <c r="KGS4" s="248"/>
      <c r="KGT4" s="248"/>
      <c r="KGU4" s="248"/>
      <c r="KGV4" s="248"/>
      <c r="KGW4" s="248"/>
      <c r="KGX4" s="248"/>
      <c r="KGY4" s="248"/>
      <c r="KGZ4" s="248"/>
      <c r="KHA4" s="248"/>
      <c r="KHB4" s="248"/>
      <c r="KHC4" s="248"/>
      <c r="KHD4" s="248"/>
      <c r="KHE4" s="248"/>
      <c r="KHF4" s="248"/>
      <c r="KHG4" s="248"/>
      <c r="KHH4" s="248"/>
      <c r="KHI4" s="248"/>
      <c r="KHJ4" s="248"/>
      <c r="KHK4" s="248"/>
      <c r="KHL4" s="248"/>
      <c r="KHM4" s="248"/>
      <c r="KHN4" s="248"/>
      <c r="KHO4" s="248"/>
      <c r="KHP4" s="248"/>
      <c r="KHQ4" s="248"/>
      <c r="KHR4" s="248"/>
      <c r="KHS4" s="248"/>
      <c r="KHT4" s="248"/>
      <c r="KHU4" s="248"/>
      <c r="KHV4" s="248"/>
      <c r="KHW4" s="248"/>
      <c r="KHX4" s="248"/>
      <c r="KHY4" s="248"/>
      <c r="KHZ4" s="248"/>
      <c r="KIA4" s="248"/>
      <c r="KIB4" s="248"/>
      <c r="KIC4" s="248"/>
      <c r="KID4" s="248"/>
      <c r="KIE4" s="248"/>
      <c r="KIF4" s="248"/>
      <c r="KIG4" s="248"/>
      <c r="KIH4" s="248"/>
      <c r="KII4" s="248"/>
      <c r="KIJ4" s="248"/>
      <c r="KIK4" s="248"/>
      <c r="KIL4" s="248"/>
      <c r="KIM4" s="248"/>
      <c r="KIN4" s="248"/>
      <c r="KIO4" s="248"/>
      <c r="KIP4" s="248"/>
      <c r="KIQ4" s="248"/>
      <c r="KIR4" s="248"/>
      <c r="KIS4" s="248"/>
      <c r="KIT4" s="248"/>
      <c r="KIU4" s="248"/>
      <c r="KIV4" s="248"/>
      <c r="KIW4" s="248"/>
      <c r="KIX4" s="248"/>
      <c r="KIY4" s="248"/>
      <c r="KIZ4" s="248"/>
      <c r="KJA4" s="248"/>
      <c r="KJB4" s="248"/>
      <c r="KJC4" s="248"/>
      <c r="KJD4" s="248"/>
      <c r="KJE4" s="248"/>
      <c r="KJF4" s="248"/>
      <c r="KJG4" s="248"/>
      <c r="KJH4" s="248"/>
      <c r="KJI4" s="248"/>
      <c r="KJJ4" s="248"/>
      <c r="KJK4" s="248"/>
      <c r="KJL4" s="248"/>
      <c r="KJM4" s="248"/>
      <c r="KJN4" s="248"/>
      <c r="KJO4" s="248"/>
      <c r="KJP4" s="248"/>
      <c r="KJQ4" s="248"/>
      <c r="KJR4" s="248"/>
      <c r="KJS4" s="248"/>
      <c r="KJT4" s="248"/>
      <c r="KJU4" s="248"/>
      <c r="KJV4" s="248"/>
      <c r="KJW4" s="248"/>
      <c r="KJX4" s="248"/>
      <c r="KJY4" s="248"/>
      <c r="KJZ4" s="248"/>
      <c r="KKA4" s="248"/>
      <c r="KKB4" s="248"/>
      <c r="KKC4" s="248"/>
      <c r="KKD4" s="248"/>
      <c r="KKE4" s="248"/>
      <c r="KKF4" s="248"/>
      <c r="KKG4" s="248"/>
      <c r="KKH4" s="248"/>
      <c r="KKI4" s="248"/>
      <c r="KKJ4" s="248"/>
      <c r="KKK4" s="248"/>
      <c r="KKL4" s="248"/>
      <c r="KKM4" s="248"/>
      <c r="KKN4" s="248"/>
      <c r="KKO4" s="248"/>
      <c r="KKP4" s="248"/>
      <c r="KKQ4" s="248"/>
      <c r="KKR4" s="248"/>
      <c r="KKS4" s="248"/>
      <c r="KKT4" s="248"/>
      <c r="KKU4" s="248"/>
      <c r="KKV4" s="248"/>
      <c r="KKW4" s="248"/>
      <c r="KKX4" s="248"/>
      <c r="KKY4" s="248"/>
      <c r="KKZ4" s="248"/>
      <c r="KLA4" s="248"/>
      <c r="KLB4" s="248"/>
      <c r="KLC4" s="248"/>
      <c r="KLD4" s="248"/>
      <c r="KLE4" s="248"/>
      <c r="KLF4" s="248"/>
      <c r="KLG4" s="248"/>
      <c r="KLH4" s="248"/>
      <c r="KLI4" s="248"/>
      <c r="KLJ4" s="248"/>
      <c r="KLK4" s="248"/>
      <c r="KLL4" s="248"/>
      <c r="KLM4" s="248"/>
      <c r="KLN4" s="248"/>
      <c r="KLO4" s="248"/>
      <c r="KLP4" s="248"/>
      <c r="KLQ4" s="248"/>
      <c r="KLR4" s="248"/>
      <c r="KLS4" s="248"/>
      <c r="KLT4" s="248"/>
      <c r="KLU4" s="248"/>
      <c r="KLV4" s="248"/>
      <c r="KLW4" s="248"/>
      <c r="KLX4" s="248"/>
      <c r="KLY4" s="248"/>
      <c r="KLZ4" s="248"/>
      <c r="KMA4" s="248"/>
      <c r="KMB4" s="248"/>
      <c r="KMC4" s="248"/>
      <c r="KMD4" s="248"/>
      <c r="KME4" s="248"/>
      <c r="KMF4" s="248"/>
      <c r="KMG4" s="248"/>
      <c r="KMH4" s="248"/>
      <c r="KMI4" s="248"/>
      <c r="KMJ4" s="248"/>
      <c r="KMK4" s="248"/>
      <c r="KML4" s="248"/>
      <c r="KMM4" s="248"/>
      <c r="KMN4" s="248"/>
      <c r="KMO4" s="248"/>
      <c r="KMP4" s="248"/>
      <c r="KMQ4" s="248"/>
      <c r="KMR4" s="248"/>
      <c r="KMS4" s="248"/>
      <c r="KMT4" s="248"/>
      <c r="KMU4" s="248"/>
      <c r="KMV4" s="248"/>
      <c r="KMW4" s="248"/>
      <c r="KMX4" s="248"/>
      <c r="KMY4" s="248"/>
      <c r="KMZ4" s="248"/>
      <c r="KNA4" s="248"/>
      <c r="KNB4" s="248"/>
      <c r="KNC4" s="248"/>
      <c r="KND4" s="248"/>
      <c r="KNE4" s="248"/>
      <c r="KNF4" s="248"/>
      <c r="KNG4" s="248"/>
      <c r="KNH4" s="248"/>
      <c r="KNI4" s="248"/>
      <c r="KNJ4" s="248"/>
      <c r="KNK4" s="248"/>
      <c r="KNL4" s="248"/>
      <c r="KNM4" s="248"/>
      <c r="KNN4" s="248"/>
      <c r="KNO4" s="248"/>
      <c r="KNP4" s="248"/>
      <c r="KNQ4" s="248"/>
      <c r="KNR4" s="248"/>
      <c r="KNS4" s="248"/>
      <c r="KNT4" s="248"/>
      <c r="KNU4" s="248"/>
      <c r="KNV4" s="248"/>
      <c r="KNW4" s="248"/>
      <c r="KNX4" s="248"/>
      <c r="KNY4" s="248"/>
      <c r="KNZ4" s="248"/>
      <c r="KOA4" s="248"/>
      <c r="KOB4" s="248"/>
      <c r="KOC4" s="248"/>
      <c r="KOD4" s="248"/>
      <c r="KOE4" s="248"/>
      <c r="KOF4" s="248"/>
      <c r="KOG4" s="248"/>
      <c r="KOH4" s="248"/>
      <c r="KOI4" s="248"/>
      <c r="KOJ4" s="248"/>
      <c r="KOK4" s="248"/>
      <c r="KOL4" s="248"/>
      <c r="KOM4" s="248"/>
      <c r="KON4" s="248"/>
      <c r="KOO4" s="248"/>
      <c r="KOP4" s="248"/>
      <c r="KOQ4" s="248"/>
      <c r="KOR4" s="248"/>
      <c r="KOS4" s="248"/>
      <c r="KOT4" s="248"/>
      <c r="KOU4" s="248"/>
      <c r="KOV4" s="248"/>
      <c r="KOW4" s="248"/>
      <c r="KOX4" s="248"/>
      <c r="KOY4" s="248"/>
      <c r="KOZ4" s="248"/>
      <c r="KPA4" s="248"/>
      <c r="KPB4" s="248"/>
      <c r="KPC4" s="248"/>
      <c r="KPD4" s="248"/>
      <c r="KPE4" s="248"/>
      <c r="KPF4" s="248"/>
      <c r="KPG4" s="248"/>
      <c r="KPH4" s="248"/>
      <c r="KPI4" s="248"/>
      <c r="KPJ4" s="248"/>
      <c r="KPK4" s="248"/>
      <c r="KPL4" s="248"/>
      <c r="KPM4" s="248"/>
      <c r="KPN4" s="248"/>
      <c r="KPO4" s="248"/>
      <c r="KPP4" s="248"/>
      <c r="KPQ4" s="248"/>
      <c r="KPR4" s="248"/>
      <c r="KPS4" s="248"/>
      <c r="KPT4" s="248"/>
      <c r="KPU4" s="248"/>
      <c r="KPV4" s="248"/>
      <c r="KPW4" s="248"/>
      <c r="KPX4" s="248"/>
      <c r="KPY4" s="248"/>
      <c r="KPZ4" s="248"/>
      <c r="KQA4" s="248"/>
      <c r="KQB4" s="248"/>
      <c r="KQC4" s="248"/>
      <c r="KQD4" s="248"/>
      <c r="KQE4" s="248"/>
      <c r="KQF4" s="248"/>
      <c r="KQG4" s="248"/>
      <c r="KQH4" s="248"/>
      <c r="KQI4" s="248"/>
      <c r="KQJ4" s="248"/>
      <c r="KQK4" s="248"/>
      <c r="KQL4" s="248"/>
      <c r="KQM4" s="248"/>
      <c r="KQN4" s="248"/>
      <c r="KQO4" s="248"/>
      <c r="KQP4" s="248"/>
      <c r="KQQ4" s="248"/>
      <c r="KQR4" s="248"/>
      <c r="KQS4" s="248"/>
      <c r="KQT4" s="248"/>
      <c r="KQU4" s="248"/>
      <c r="KQV4" s="248"/>
      <c r="KQW4" s="248"/>
      <c r="KQX4" s="248"/>
      <c r="KQY4" s="248"/>
      <c r="KQZ4" s="248"/>
      <c r="KRA4" s="248"/>
      <c r="KRB4" s="248"/>
      <c r="KRC4" s="248"/>
      <c r="KRD4" s="248"/>
      <c r="KRE4" s="248"/>
      <c r="KRF4" s="248"/>
      <c r="KRG4" s="248"/>
      <c r="KRH4" s="248"/>
      <c r="KRI4" s="248"/>
      <c r="KRJ4" s="248"/>
      <c r="KRK4" s="248"/>
      <c r="KRL4" s="248"/>
      <c r="KRM4" s="248"/>
      <c r="KRN4" s="248"/>
      <c r="KRO4" s="248"/>
      <c r="KRP4" s="248"/>
      <c r="KRQ4" s="248"/>
      <c r="KRR4" s="248"/>
      <c r="KRS4" s="248"/>
      <c r="KRT4" s="248"/>
      <c r="KRU4" s="248"/>
      <c r="KRV4" s="248"/>
      <c r="KRW4" s="248"/>
      <c r="KRX4" s="248"/>
      <c r="KRY4" s="248"/>
      <c r="KRZ4" s="248"/>
      <c r="KSA4" s="248"/>
      <c r="KSB4" s="248"/>
      <c r="KSC4" s="248"/>
      <c r="KSD4" s="248"/>
      <c r="KSE4" s="248"/>
      <c r="KSF4" s="248"/>
      <c r="KSG4" s="248"/>
      <c r="KSH4" s="248"/>
      <c r="KSI4" s="248"/>
      <c r="KSJ4" s="248"/>
      <c r="KSK4" s="248"/>
      <c r="KSL4" s="248"/>
      <c r="KSM4" s="248"/>
      <c r="KSN4" s="248"/>
      <c r="KSO4" s="248"/>
      <c r="KSP4" s="248"/>
      <c r="KSQ4" s="248"/>
      <c r="KSR4" s="248"/>
      <c r="KSS4" s="248"/>
      <c r="KST4" s="248"/>
      <c r="KSU4" s="248"/>
      <c r="KSV4" s="248"/>
      <c r="KSW4" s="248"/>
      <c r="KSX4" s="248"/>
      <c r="KSY4" s="248"/>
      <c r="KSZ4" s="248"/>
      <c r="KTA4" s="248"/>
      <c r="KTB4" s="248"/>
      <c r="KTC4" s="248"/>
      <c r="KTD4" s="248"/>
      <c r="KTE4" s="248"/>
      <c r="KTF4" s="248"/>
      <c r="KTG4" s="248"/>
      <c r="KTH4" s="248"/>
      <c r="KTI4" s="248"/>
      <c r="KTJ4" s="248"/>
      <c r="KTK4" s="248"/>
      <c r="KTL4" s="248"/>
      <c r="KTM4" s="248"/>
      <c r="KTN4" s="248"/>
      <c r="KTO4" s="248"/>
      <c r="KTP4" s="248"/>
      <c r="KTQ4" s="248"/>
      <c r="KTR4" s="248"/>
      <c r="KTS4" s="248"/>
      <c r="KTT4" s="248"/>
      <c r="KTU4" s="248"/>
      <c r="KTV4" s="248"/>
      <c r="KTW4" s="248"/>
      <c r="KTX4" s="248"/>
      <c r="KTY4" s="248"/>
      <c r="KTZ4" s="248"/>
      <c r="KUA4" s="248"/>
      <c r="KUB4" s="248"/>
      <c r="KUC4" s="248"/>
      <c r="KUD4" s="248"/>
      <c r="KUE4" s="248"/>
      <c r="KUF4" s="248"/>
      <c r="KUG4" s="248"/>
      <c r="KUH4" s="248"/>
      <c r="KUI4" s="248"/>
      <c r="KUJ4" s="248"/>
      <c r="KUK4" s="248"/>
      <c r="KUL4" s="248"/>
      <c r="KUM4" s="248"/>
      <c r="KUN4" s="248"/>
      <c r="KUO4" s="248"/>
      <c r="KUP4" s="248"/>
      <c r="KUQ4" s="248"/>
      <c r="KUR4" s="248"/>
      <c r="KUS4" s="248"/>
      <c r="KUT4" s="248"/>
      <c r="KUU4" s="248"/>
      <c r="KUV4" s="248"/>
      <c r="KUW4" s="248"/>
      <c r="KUX4" s="248"/>
      <c r="KUY4" s="248"/>
      <c r="KUZ4" s="248"/>
      <c r="KVA4" s="248"/>
      <c r="KVB4" s="248"/>
      <c r="KVC4" s="248"/>
      <c r="KVD4" s="248"/>
      <c r="KVE4" s="248"/>
      <c r="KVF4" s="248"/>
      <c r="KVG4" s="248"/>
      <c r="KVH4" s="248"/>
      <c r="KVI4" s="248"/>
      <c r="KVJ4" s="248"/>
      <c r="KVK4" s="248"/>
      <c r="KVL4" s="248"/>
      <c r="KVM4" s="248"/>
      <c r="KVN4" s="248"/>
      <c r="KVO4" s="248"/>
      <c r="KVP4" s="248"/>
      <c r="KVQ4" s="248"/>
      <c r="KVR4" s="248"/>
      <c r="KVS4" s="248"/>
      <c r="KVT4" s="248"/>
      <c r="KVU4" s="248"/>
      <c r="KVV4" s="248"/>
      <c r="KVW4" s="248"/>
      <c r="KVX4" s="248"/>
      <c r="KVY4" s="248"/>
      <c r="KVZ4" s="248"/>
      <c r="KWA4" s="248"/>
      <c r="KWB4" s="248"/>
      <c r="KWC4" s="248"/>
      <c r="KWD4" s="248"/>
      <c r="KWE4" s="248"/>
      <c r="KWF4" s="248"/>
      <c r="KWG4" s="248"/>
      <c r="KWH4" s="248"/>
      <c r="KWI4" s="248"/>
      <c r="KWJ4" s="248"/>
      <c r="KWK4" s="248"/>
      <c r="KWL4" s="248"/>
      <c r="KWM4" s="248"/>
      <c r="KWN4" s="248"/>
      <c r="KWO4" s="248"/>
      <c r="KWP4" s="248"/>
      <c r="KWQ4" s="248"/>
      <c r="KWR4" s="248"/>
      <c r="KWS4" s="248"/>
      <c r="KWT4" s="248"/>
      <c r="KWU4" s="248"/>
      <c r="KWV4" s="248"/>
      <c r="KWW4" s="248"/>
      <c r="KWX4" s="248"/>
      <c r="KWY4" s="248"/>
      <c r="KWZ4" s="248"/>
      <c r="KXA4" s="248"/>
      <c r="KXB4" s="248"/>
      <c r="KXC4" s="248"/>
      <c r="KXD4" s="248"/>
      <c r="KXE4" s="248"/>
      <c r="KXF4" s="248"/>
      <c r="KXG4" s="248"/>
      <c r="KXH4" s="248"/>
      <c r="KXI4" s="248"/>
      <c r="KXJ4" s="248"/>
      <c r="KXK4" s="248"/>
      <c r="KXL4" s="248"/>
      <c r="KXM4" s="248"/>
      <c r="KXN4" s="248"/>
      <c r="KXO4" s="248"/>
      <c r="KXP4" s="248"/>
      <c r="KXQ4" s="248"/>
      <c r="KXR4" s="248"/>
      <c r="KXS4" s="248"/>
      <c r="KXT4" s="248"/>
      <c r="KXU4" s="248"/>
      <c r="KXV4" s="248"/>
      <c r="KXW4" s="248"/>
      <c r="KXX4" s="248"/>
      <c r="KXY4" s="248"/>
      <c r="KXZ4" s="248"/>
      <c r="KYA4" s="248"/>
      <c r="KYB4" s="248"/>
      <c r="KYC4" s="248"/>
      <c r="KYD4" s="248"/>
      <c r="KYE4" s="248"/>
      <c r="KYF4" s="248"/>
      <c r="KYG4" s="248"/>
      <c r="KYH4" s="248"/>
      <c r="KYI4" s="248"/>
      <c r="KYJ4" s="248"/>
      <c r="KYK4" s="248"/>
      <c r="KYL4" s="248"/>
      <c r="KYM4" s="248"/>
      <c r="KYN4" s="248"/>
      <c r="KYO4" s="248"/>
      <c r="KYP4" s="248"/>
      <c r="KYQ4" s="248"/>
      <c r="KYR4" s="248"/>
      <c r="KYS4" s="248"/>
      <c r="KYT4" s="248"/>
      <c r="KYU4" s="248"/>
      <c r="KYV4" s="248"/>
      <c r="KYW4" s="248"/>
      <c r="KYX4" s="248"/>
      <c r="KYY4" s="248"/>
      <c r="KYZ4" s="248"/>
      <c r="KZA4" s="248"/>
      <c r="KZB4" s="248"/>
      <c r="KZC4" s="248"/>
      <c r="KZD4" s="248"/>
      <c r="KZE4" s="248"/>
      <c r="KZF4" s="248"/>
      <c r="KZG4" s="248"/>
      <c r="KZH4" s="248"/>
      <c r="KZI4" s="248"/>
      <c r="KZJ4" s="248"/>
      <c r="KZK4" s="248"/>
      <c r="KZL4" s="248"/>
      <c r="KZM4" s="248"/>
      <c r="KZN4" s="248"/>
      <c r="KZO4" s="248"/>
      <c r="KZP4" s="248"/>
      <c r="KZQ4" s="248"/>
      <c r="KZR4" s="248"/>
      <c r="KZS4" s="248"/>
      <c r="KZT4" s="248"/>
      <c r="KZU4" s="248"/>
      <c r="KZV4" s="248"/>
      <c r="KZW4" s="248"/>
      <c r="KZX4" s="248"/>
      <c r="KZY4" s="248"/>
      <c r="KZZ4" s="248"/>
      <c r="LAA4" s="248"/>
      <c r="LAB4" s="248"/>
      <c r="LAC4" s="248"/>
      <c r="LAD4" s="248"/>
      <c r="LAE4" s="248"/>
      <c r="LAF4" s="248"/>
      <c r="LAG4" s="248"/>
      <c r="LAH4" s="248"/>
      <c r="LAI4" s="248"/>
      <c r="LAJ4" s="248"/>
      <c r="LAK4" s="248"/>
      <c r="LAL4" s="248"/>
      <c r="LAM4" s="248"/>
      <c r="LAN4" s="248"/>
      <c r="LAO4" s="248"/>
      <c r="LAP4" s="248"/>
      <c r="LAQ4" s="248"/>
      <c r="LAR4" s="248"/>
      <c r="LAS4" s="248"/>
      <c r="LAT4" s="248"/>
      <c r="LAU4" s="248"/>
      <c r="LAV4" s="248"/>
      <c r="LAW4" s="248"/>
      <c r="LAX4" s="248"/>
      <c r="LAY4" s="248"/>
      <c r="LAZ4" s="248"/>
      <c r="LBA4" s="248"/>
      <c r="LBB4" s="248"/>
      <c r="LBC4" s="248"/>
      <c r="LBD4" s="248"/>
      <c r="LBE4" s="248"/>
      <c r="LBF4" s="248"/>
      <c r="LBG4" s="248"/>
      <c r="LBH4" s="248"/>
      <c r="LBI4" s="248"/>
      <c r="LBJ4" s="248"/>
      <c r="LBK4" s="248"/>
      <c r="LBL4" s="248"/>
      <c r="LBM4" s="248"/>
      <c r="LBN4" s="248"/>
      <c r="LBO4" s="248"/>
      <c r="LBP4" s="248"/>
      <c r="LBQ4" s="248"/>
      <c r="LBR4" s="248"/>
      <c r="LBS4" s="248"/>
      <c r="LBT4" s="248"/>
      <c r="LBU4" s="248"/>
      <c r="LBV4" s="248"/>
      <c r="LBW4" s="248"/>
      <c r="LBX4" s="248"/>
      <c r="LBY4" s="248"/>
      <c r="LBZ4" s="248"/>
      <c r="LCA4" s="248"/>
      <c r="LCB4" s="248"/>
      <c r="LCC4" s="248"/>
      <c r="LCD4" s="248"/>
      <c r="LCE4" s="248"/>
      <c r="LCF4" s="248"/>
      <c r="LCG4" s="248"/>
      <c r="LCH4" s="248"/>
      <c r="LCI4" s="248"/>
      <c r="LCJ4" s="248"/>
      <c r="LCK4" s="248"/>
      <c r="LCL4" s="248"/>
      <c r="LCM4" s="248"/>
      <c r="LCN4" s="248"/>
      <c r="LCO4" s="248"/>
      <c r="LCP4" s="248"/>
      <c r="LCQ4" s="248"/>
      <c r="LCR4" s="248"/>
      <c r="LCS4" s="248"/>
      <c r="LCT4" s="248"/>
      <c r="LCU4" s="248"/>
      <c r="LCV4" s="248"/>
      <c r="LCW4" s="248"/>
      <c r="LCX4" s="248"/>
      <c r="LCY4" s="248"/>
      <c r="LCZ4" s="248"/>
      <c r="LDA4" s="248"/>
      <c r="LDB4" s="248"/>
      <c r="LDC4" s="248"/>
      <c r="LDD4" s="248"/>
      <c r="LDE4" s="248"/>
      <c r="LDF4" s="248"/>
      <c r="LDG4" s="248"/>
      <c r="LDH4" s="248"/>
      <c r="LDI4" s="248"/>
      <c r="LDJ4" s="248"/>
      <c r="LDK4" s="248"/>
      <c r="LDL4" s="248"/>
      <c r="LDM4" s="248"/>
      <c r="LDN4" s="248"/>
      <c r="LDO4" s="248"/>
      <c r="LDP4" s="248"/>
      <c r="LDQ4" s="248"/>
      <c r="LDR4" s="248"/>
      <c r="LDS4" s="248"/>
      <c r="LDT4" s="248"/>
      <c r="LDU4" s="248"/>
      <c r="LDV4" s="248"/>
      <c r="LDW4" s="248"/>
      <c r="LDX4" s="248"/>
      <c r="LDY4" s="248"/>
      <c r="LDZ4" s="248"/>
      <c r="LEA4" s="248"/>
      <c r="LEB4" s="248"/>
      <c r="LEC4" s="248"/>
      <c r="LED4" s="248"/>
      <c r="LEE4" s="248"/>
      <c r="LEF4" s="248"/>
      <c r="LEG4" s="248"/>
      <c r="LEH4" s="248"/>
      <c r="LEI4" s="248"/>
      <c r="LEJ4" s="248"/>
      <c r="LEK4" s="248"/>
      <c r="LEL4" s="248"/>
      <c r="LEM4" s="248"/>
      <c r="LEN4" s="248"/>
      <c r="LEO4" s="248"/>
      <c r="LEP4" s="248"/>
      <c r="LEQ4" s="248"/>
      <c r="LER4" s="248"/>
      <c r="LES4" s="248"/>
      <c r="LET4" s="248"/>
      <c r="LEU4" s="248"/>
      <c r="LEV4" s="248"/>
      <c r="LEW4" s="248"/>
      <c r="LEX4" s="248"/>
      <c r="LEY4" s="248"/>
      <c r="LEZ4" s="248"/>
      <c r="LFA4" s="248"/>
      <c r="LFB4" s="248"/>
      <c r="LFC4" s="248"/>
      <c r="LFD4" s="248"/>
      <c r="LFE4" s="248"/>
      <c r="LFF4" s="248"/>
      <c r="LFG4" s="248"/>
      <c r="LFH4" s="248"/>
      <c r="LFI4" s="248"/>
      <c r="LFJ4" s="248"/>
      <c r="LFK4" s="248"/>
      <c r="LFL4" s="248"/>
      <c r="LFM4" s="248"/>
      <c r="LFN4" s="248"/>
      <c r="LFO4" s="248"/>
      <c r="LFP4" s="248"/>
      <c r="LFQ4" s="248"/>
      <c r="LFR4" s="248"/>
      <c r="LFS4" s="248"/>
      <c r="LFT4" s="248"/>
      <c r="LFU4" s="248"/>
      <c r="LFV4" s="248"/>
      <c r="LFW4" s="248"/>
      <c r="LFX4" s="248"/>
      <c r="LFY4" s="248"/>
      <c r="LFZ4" s="248"/>
      <c r="LGA4" s="248"/>
      <c r="LGB4" s="248"/>
      <c r="LGC4" s="248"/>
      <c r="LGD4" s="248"/>
      <c r="LGE4" s="248"/>
      <c r="LGF4" s="248"/>
      <c r="LGG4" s="248"/>
      <c r="LGH4" s="248"/>
      <c r="LGI4" s="248"/>
      <c r="LGJ4" s="248"/>
      <c r="LGK4" s="248"/>
      <c r="LGL4" s="248"/>
      <c r="LGM4" s="248"/>
      <c r="LGN4" s="248"/>
      <c r="LGO4" s="248"/>
      <c r="LGP4" s="248"/>
      <c r="LGQ4" s="248"/>
      <c r="LGR4" s="248"/>
      <c r="LGS4" s="248"/>
      <c r="LGT4" s="248"/>
      <c r="LGU4" s="248"/>
      <c r="LGV4" s="248"/>
      <c r="LGW4" s="248"/>
      <c r="LGX4" s="248"/>
      <c r="LGY4" s="248"/>
      <c r="LGZ4" s="248"/>
      <c r="LHA4" s="248"/>
      <c r="LHB4" s="248"/>
      <c r="LHC4" s="248"/>
      <c r="LHD4" s="248"/>
      <c r="LHE4" s="248"/>
      <c r="LHF4" s="248"/>
      <c r="LHG4" s="248"/>
      <c r="LHH4" s="248"/>
      <c r="LHI4" s="248"/>
      <c r="LHJ4" s="248"/>
      <c r="LHK4" s="248"/>
      <c r="LHL4" s="248"/>
      <c r="LHM4" s="248"/>
      <c r="LHN4" s="248"/>
      <c r="LHO4" s="248"/>
      <c r="LHP4" s="248"/>
      <c r="LHQ4" s="248"/>
      <c r="LHR4" s="248"/>
      <c r="LHS4" s="248"/>
      <c r="LHT4" s="248"/>
      <c r="LHU4" s="248"/>
      <c r="LHV4" s="248"/>
      <c r="LHW4" s="248"/>
      <c r="LHX4" s="248"/>
      <c r="LHY4" s="248"/>
      <c r="LHZ4" s="248"/>
      <c r="LIA4" s="248"/>
      <c r="LIB4" s="248"/>
      <c r="LIC4" s="248"/>
      <c r="LID4" s="248"/>
      <c r="LIE4" s="248"/>
      <c r="LIF4" s="248"/>
      <c r="LIG4" s="248"/>
      <c r="LIH4" s="248"/>
      <c r="LII4" s="248"/>
      <c r="LIJ4" s="248"/>
      <c r="LIK4" s="248"/>
      <c r="LIL4" s="248"/>
      <c r="LIM4" s="248"/>
      <c r="LIN4" s="248"/>
      <c r="LIO4" s="248"/>
      <c r="LIP4" s="248"/>
      <c r="LIQ4" s="248"/>
      <c r="LIR4" s="248"/>
      <c r="LIS4" s="248"/>
      <c r="LIT4" s="248"/>
      <c r="LIU4" s="248"/>
      <c r="LIV4" s="248"/>
      <c r="LIW4" s="248"/>
      <c r="LIX4" s="248"/>
      <c r="LIY4" s="248"/>
      <c r="LIZ4" s="248"/>
      <c r="LJA4" s="248"/>
      <c r="LJB4" s="248"/>
      <c r="LJC4" s="248"/>
      <c r="LJD4" s="248"/>
      <c r="LJE4" s="248"/>
      <c r="LJF4" s="248"/>
      <c r="LJG4" s="248"/>
      <c r="LJH4" s="248"/>
      <c r="LJI4" s="248"/>
      <c r="LJJ4" s="248"/>
      <c r="LJK4" s="248"/>
      <c r="LJL4" s="248"/>
      <c r="LJM4" s="248"/>
      <c r="LJN4" s="248"/>
      <c r="LJO4" s="248"/>
      <c r="LJP4" s="248"/>
      <c r="LJQ4" s="248"/>
      <c r="LJR4" s="248"/>
      <c r="LJS4" s="248"/>
      <c r="LJT4" s="248"/>
      <c r="LJU4" s="248"/>
      <c r="LJV4" s="248"/>
      <c r="LJW4" s="248"/>
      <c r="LJX4" s="248"/>
      <c r="LJY4" s="248"/>
      <c r="LJZ4" s="248"/>
      <c r="LKA4" s="248"/>
      <c r="LKB4" s="248"/>
      <c r="LKC4" s="248"/>
      <c r="LKD4" s="248"/>
      <c r="LKE4" s="248"/>
      <c r="LKF4" s="248"/>
      <c r="LKG4" s="248"/>
      <c r="LKH4" s="248"/>
      <c r="LKI4" s="248"/>
      <c r="LKJ4" s="248"/>
      <c r="LKK4" s="248"/>
      <c r="LKL4" s="248"/>
      <c r="LKM4" s="248"/>
      <c r="LKN4" s="248"/>
      <c r="LKO4" s="248"/>
      <c r="LKP4" s="248"/>
      <c r="LKQ4" s="248"/>
      <c r="LKR4" s="248"/>
      <c r="LKS4" s="248"/>
      <c r="LKT4" s="248"/>
      <c r="LKU4" s="248"/>
      <c r="LKV4" s="248"/>
      <c r="LKW4" s="248"/>
      <c r="LKX4" s="248"/>
      <c r="LKY4" s="248"/>
      <c r="LKZ4" s="248"/>
      <c r="LLA4" s="248"/>
      <c r="LLB4" s="248"/>
      <c r="LLC4" s="248"/>
      <c r="LLD4" s="248"/>
      <c r="LLE4" s="248"/>
      <c r="LLF4" s="248"/>
      <c r="LLG4" s="248"/>
      <c r="LLH4" s="248"/>
      <c r="LLI4" s="248"/>
      <c r="LLJ4" s="248"/>
      <c r="LLK4" s="248"/>
      <c r="LLL4" s="248"/>
      <c r="LLM4" s="248"/>
      <c r="LLN4" s="248"/>
      <c r="LLO4" s="248"/>
      <c r="LLP4" s="248"/>
      <c r="LLQ4" s="248"/>
      <c r="LLR4" s="248"/>
      <c r="LLS4" s="248"/>
      <c r="LLT4" s="248"/>
      <c r="LLU4" s="248"/>
      <c r="LLV4" s="248"/>
      <c r="LLW4" s="248"/>
      <c r="LLX4" s="248"/>
      <c r="LLY4" s="248"/>
      <c r="LLZ4" s="248"/>
      <c r="LMA4" s="248"/>
      <c r="LMB4" s="248"/>
      <c r="LMC4" s="248"/>
      <c r="LMD4" s="248"/>
      <c r="LME4" s="248"/>
      <c r="LMF4" s="248"/>
      <c r="LMG4" s="248"/>
      <c r="LMH4" s="248"/>
      <c r="LMI4" s="248"/>
      <c r="LMJ4" s="248"/>
      <c r="LMK4" s="248"/>
      <c r="LML4" s="248"/>
      <c r="LMM4" s="248"/>
      <c r="LMN4" s="248"/>
      <c r="LMO4" s="248"/>
      <c r="LMP4" s="248"/>
      <c r="LMQ4" s="248"/>
      <c r="LMR4" s="248"/>
      <c r="LMS4" s="248"/>
      <c r="LMT4" s="248"/>
      <c r="LMU4" s="248"/>
      <c r="LMV4" s="248"/>
      <c r="LMW4" s="248"/>
      <c r="LMX4" s="248"/>
      <c r="LMY4" s="248"/>
      <c r="LMZ4" s="248"/>
      <c r="LNA4" s="248"/>
      <c r="LNB4" s="248"/>
      <c r="LNC4" s="248"/>
      <c r="LND4" s="248"/>
      <c r="LNE4" s="248"/>
      <c r="LNF4" s="248"/>
      <c r="LNG4" s="248"/>
      <c r="LNH4" s="248"/>
      <c r="LNI4" s="248"/>
      <c r="LNJ4" s="248"/>
      <c r="LNK4" s="248"/>
      <c r="LNL4" s="248"/>
      <c r="LNM4" s="248"/>
      <c r="LNN4" s="248"/>
      <c r="LNO4" s="248"/>
      <c r="LNP4" s="248"/>
      <c r="LNQ4" s="248"/>
      <c r="LNR4" s="248"/>
      <c r="LNS4" s="248"/>
      <c r="LNT4" s="248"/>
      <c r="LNU4" s="248"/>
      <c r="LNV4" s="248"/>
      <c r="LNW4" s="248"/>
      <c r="LNX4" s="248"/>
      <c r="LNY4" s="248"/>
      <c r="LNZ4" s="248"/>
      <c r="LOA4" s="248"/>
      <c r="LOB4" s="248"/>
      <c r="LOC4" s="248"/>
      <c r="LOD4" s="248"/>
      <c r="LOE4" s="248"/>
      <c r="LOF4" s="248"/>
      <c r="LOG4" s="248"/>
      <c r="LOH4" s="248"/>
      <c r="LOI4" s="248"/>
      <c r="LOJ4" s="248"/>
      <c r="LOK4" s="248"/>
      <c r="LOL4" s="248"/>
      <c r="LOM4" s="248"/>
      <c r="LON4" s="248"/>
      <c r="LOO4" s="248"/>
      <c r="LOP4" s="248"/>
      <c r="LOQ4" s="248"/>
      <c r="LOR4" s="248"/>
      <c r="LOS4" s="248"/>
      <c r="LOT4" s="248"/>
      <c r="LOU4" s="248"/>
      <c r="LOV4" s="248"/>
      <c r="LOW4" s="248"/>
      <c r="LOX4" s="248"/>
      <c r="LOY4" s="248"/>
      <c r="LOZ4" s="248"/>
      <c r="LPA4" s="248"/>
      <c r="LPB4" s="248"/>
      <c r="LPC4" s="248"/>
      <c r="LPD4" s="248"/>
      <c r="LPE4" s="248"/>
      <c r="LPF4" s="248"/>
      <c r="LPG4" s="248"/>
      <c r="LPH4" s="248"/>
      <c r="LPI4" s="248"/>
      <c r="LPJ4" s="248"/>
      <c r="LPK4" s="248"/>
      <c r="LPL4" s="248"/>
      <c r="LPM4" s="248"/>
      <c r="LPN4" s="248"/>
      <c r="LPO4" s="248"/>
      <c r="LPP4" s="248"/>
      <c r="LPQ4" s="248"/>
      <c r="LPR4" s="248"/>
      <c r="LPS4" s="248"/>
      <c r="LPT4" s="248"/>
      <c r="LPU4" s="248"/>
      <c r="LPV4" s="248"/>
      <c r="LPW4" s="248"/>
      <c r="LPX4" s="248"/>
      <c r="LPY4" s="248"/>
      <c r="LPZ4" s="248"/>
      <c r="LQA4" s="248"/>
      <c r="LQB4" s="248"/>
      <c r="LQC4" s="248"/>
      <c r="LQD4" s="248"/>
      <c r="LQE4" s="248"/>
      <c r="LQF4" s="248"/>
      <c r="LQG4" s="248"/>
      <c r="LQH4" s="248"/>
      <c r="LQI4" s="248"/>
      <c r="LQJ4" s="248"/>
      <c r="LQK4" s="248"/>
      <c r="LQL4" s="248"/>
      <c r="LQM4" s="248"/>
      <c r="LQN4" s="248"/>
      <c r="LQO4" s="248"/>
      <c r="LQP4" s="248"/>
      <c r="LQQ4" s="248"/>
      <c r="LQR4" s="248"/>
      <c r="LQS4" s="248"/>
      <c r="LQT4" s="248"/>
      <c r="LQU4" s="248"/>
      <c r="LQV4" s="248"/>
      <c r="LQW4" s="248"/>
      <c r="LQX4" s="248"/>
      <c r="LQY4" s="248"/>
      <c r="LQZ4" s="248"/>
      <c r="LRA4" s="248"/>
      <c r="LRB4" s="248"/>
      <c r="LRC4" s="248"/>
      <c r="LRD4" s="248"/>
      <c r="LRE4" s="248"/>
      <c r="LRF4" s="248"/>
      <c r="LRG4" s="248"/>
      <c r="LRH4" s="248"/>
      <c r="LRI4" s="248"/>
      <c r="LRJ4" s="248"/>
      <c r="LRK4" s="248"/>
      <c r="LRL4" s="248"/>
      <c r="LRM4" s="248"/>
      <c r="LRN4" s="248"/>
      <c r="LRO4" s="248"/>
      <c r="LRP4" s="248"/>
      <c r="LRQ4" s="248"/>
      <c r="LRR4" s="248"/>
      <c r="LRS4" s="248"/>
      <c r="LRT4" s="248"/>
      <c r="LRU4" s="248"/>
      <c r="LRV4" s="248"/>
      <c r="LRW4" s="248"/>
      <c r="LRX4" s="248"/>
      <c r="LRY4" s="248"/>
      <c r="LRZ4" s="248"/>
      <c r="LSA4" s="248"/>
      <c r="LSB4" s="248"/>
      <c r="LSC4" s="248"/>
      <c r="LSD4" s="248"/>
      <c r="LSE4" s="248"/>
      <c r="LSF4" s="248"/>
      <c r="LSG4" s="248"/>
      <c r="LSH4" s="248"/>
      <c r="LSI4" s="248"/>
      <c r="LSJ4" s="248"/>
      <c r="LSK4" s="248"/>
      <c r="LSL4" s="248"/>
      <c r="LSM4" s="248"/>
      <c r="LSN4" s="248"/>
      <c r="LSO4" s="248"/>
      <c r="LSP4" s="248"/>
      <c r="LSQ4" s="248"/>
      <c r="LSR4" s="248"/>
      <c r="LSS4" s="248"/>
      <c r="LST4" s="248"/>
      <c r="LSU4" s="248"/>
      <c r="LSV4" s="248"/>
      <c r="LSW4" s="248"/>
      <c r="LSX4" s="248"/>
      <c r="LSY4" s="248"/>
      <c r="LSZ4" s="248"/>
      <c r="LTA4" s="248"/>
      <c r="LTB4" s="248"/>
      <c r="LTC4" s="248"/>
      <c r="LTD4" s="248"/>
      <c r="LTE4" s="248"/>
      <c r="LTF4" s="248"/>
      <c r="LTG4" s="248"/>
      <c r="LTH4" s="248"/>
      <c r="LTI4" s="248"/>
      <c r="LTJ4" s="248"/>
      <c r="LTK4" s="248"/>
      <c r="LTL4" s="248"/>
      <c r="LTM4" s="248"/>
      <c r="LTN4" s="248"/>
      <c r="LTO4" s="248"/>
      <c r="LTP4" s="248"/>
      <c r="LTQ4" s="248"/>
      <c r="LTR4" s="248"/>
      <c r="LTS4" s="248"/>
      <c r="LTT4" s="248"/>
      <c r="LTU4" s="248"/>
      <c r="LTV4" s="248"/>
      <c r="LTW4" s="248"/>
      <c r="LTX4" s="248"/>
      <c r="LTY4" s="248"/>
      <c r="LTZ4" s="248"/>
      <c r="LUA4" s="248"/>
      <c r="LUB4" s="248"/>
      <c r="LUC4" s="248"/>
      <c r="LUD4" s="248"/>
      <c r="LUE4" s="248"/>
      <c r="LUF4" s="248"/>
      <c r="LUG4" s="248"/>
      <c r="LUH4" s="248"/>
      <c r="LUI4" s="248"/>
      <c r="LUJ4" s="248"/>
      <c r="LUK4" s="248"/>
      <c r="LUL4" s="248"/>
      <c r="LUM4" s="248"/>
      <c r="LUN4" s="248"/>
      <c r="LUO4" s="248"/>
      <c r="LUP4" s="248"/>
      <c r="LUQ4" s="248"/>
      <c r="LUR4" s="248"/>
      <c r="LUS4" s="248"/>
      <c r="LUT4" s="248"/>
      <c r="LUU4" s="248"/>
      <c r="LUV4" s="248"/>
      <c r="LUW4" s="248"/>
      <c r="LUX4" s="248"/>
      <c r="LUY4" s="248"/>
      <c r="LUZ4" s="248"/>
      <c r="LVA4" s="248"/>
      <c r="LVB4" s="248"/>
      <c r="LVC4" s="248"/>
      <c r="LVD4" s="248"/>
      <c r="LVE4" s="248"/>
      <c r="LVF4" s="248"/>
      <c r="LVG4" s="248"/>
      <c r="LVH4" s="248"/>
      <c r="LVI4" s="248"/>
      <c r="LVJ4" s="248"/>
      <c r="LVK4" s="248"/>
      <c r="LVL4" s="248"/>
      <c r="LVM4" s="248"/>
      <c r="LVN4" s="248"/>
      <c r="LVO4" s="248"/>
      <c r="LVP4" s="248"/>
      <c r="LVQ4" s="248"/>
      <c r="LVR4" s="248"/>
      <c r="LVS4" s="248"/>
      <c r="LVT4" s="248"/>
      <c r="LVU4" s="248"/>
      <c r="LVV4" s="248"/>
      <c r="LVW4" s="248"/>
      <c r="LVX4" s="248"/>
      <c r="LVY4" s="248"/>
      <c r="LVZ4" s="248"/>
      <c r="LWA4" s="248"/>
      <c r="LWB4" s="248"/>
      <c r="LWC4" s="248"/>
      <c r="LWD4" s="248"/>
      <c r="LWE4" s="248"/>
      <c r="LWF4" s="248"/>
      <c r="LWG4" s="248"/>
      <c r="LWH4" s="248"/>
      <c r="LWI4" s="248"/>
      <c r="LWJ4" s="248"/>
      <c r="LWK4" s="248"/>
      <c r="LWL4" s="248"/>
      <c r="LWM4" s="248"/>
      <c r="LWN4" s="248"/>
      <c r="LWO4" s="248"/>
      <c r="LWP4" s="248"/>
      <c r="LWQ4" s="248"/>
      <c r="LWR4" s="248"/>
      <c r="LWS4" s="248"/>
      <c r="LWT4" s="248"/>
      <c r="LWU4" s="248"/>
      <c r="LWV4" s="248"/>
      <c r="LWW4" s="248"/>
      <c r="LWX4" s="248"/>
      <c r="LWY4" s="248"/>
      <c r="LWZ4" s="248"/>
      <c r="LXA4" s="248"/>
      <c r="LXB4" s="248"/>
      <c r="LXC4" s="248"/>
      <c r="LXD4" s="248"/>
      <c r="LXE4" s="248"/>
      <c r="LXF4" s="248"/>
      <c r="LXG4" s="248"/>
      <c r="LXH4" s="248"/>
      <c r="LXI4" s="248"/>
      <c r="LXJ4" s="248"/>
      <c r="LXK4" s="248"/>
      <c r="LXL4" s="248"/>
      <c r="LXM4" s="248"/>
      <c r="LXN4" s="248"/>
      <c r="LXO4" s="248"/>
      <c r="LXP4" s="248"/>
      <c r="LXQ4" s="248"/>
      <c r="LXR4" s="248"/>
      <c r="LXS4" s="248"/>
      <c r="LXT4" s="248"/>
      <c r="LXU4" s="248"/>
      <c r="LXV4" s="248"/>
      <c r="LXW4" s="248"/>
      <c r="LXX4" s="248"/>
      <c r="LXY4" s="248"/>
      <c r="LXZ4" s="248"/>
      <c r="LYA4" s="248"/>
      <c r="LYB4" s="248"/>
      <c r="LYC4" s="248"/>
      <c r="LYD4" s="248"/>
      <c r="LYE4" s="248"/>
      <c r="LYF4" s="248"/>
      <c r="LYG4" s="248"/>
      <c r="LYH4" s="248"/>
      <c r="LYI4" s="248"/>
      <c r="LYJ4" s="248"/>
      <c r="LYK4" s="248"/>
      <c r="LYL4" s="248"/>
      <c r="LYM4" s="248"/>
      <c r="LYN4" s="248"/>
      <c r="LYO4" s="248"/>
      <c r="LYP4" s="248"/>
      <c r="LYQ4" s="248"/>
      <c r="LYR4" s="248"/>
      <c r="LYS4" s="248"/>
      <c r="LYT4" s="248"/>
      <c r="LYU4" s="248"/>
      <c r="LYV4" s="248"/>
      <c r="LYW4" s="248"/>
      <c r="LYX4" s="248"/>
      <c r="LYY4" s="248"/>
      <c r="LYZ4" s="248"/>
      <c r="LZA4" s="248"/>
      <c r="LZB4" s="248"/>
      <c r="LZC4" s="248"/>
      <c r="LZD4" s="248"/>
      <c r="LZE4" s="248"/>
      <c r="LZF4" s="248"/>
      <c r="LZG4" s="248"/>
      <c r="LZH4" s="248"/>
      <c r="LZI4" s="248"/>
      <c r="LZJ4" s="248"/>
      <c r="LZK4" s="248"/>
      <c r="LZL4" s="248"/>
      <c r="LZM4" s="248"/>
      <c r="LZN4" s="248"/>
      <c r="LZO4" s="248"/>
      <c r="LZP4" s="248"/>
      <c r="LZQ4" s="248"/>
      <c r="LZR4" s="248"/>
      <c r="LZS4" s="248"/>
      <c r="LZT4" s="248"/>
      <c r="LZU4" s="248"/>
      <c r="LZV4" s="248"/>
      <c r="LZW4" s="248"/>
      <c r="LZX4" s="248"/>
      <c r="LZY4" s="248"/>
      <c r="LZZ4" s="248"/>
      <c r="MAA4" s="248"/>
      <c r="MAB4" s="248"/>
      <c r="MAC4" s="248"/>
      <c r="MAD4" s="248"/>
      <c r="MAE4" s="248"/>
      <c r="MAF4" s="248"/>
      <c r="MAG4" s="248"/>
      <c r="MAH4" s="248"/>
      <c r="MAI4" s="248"/>
      <c r="MAJ4" s="248"/>
      <c r="MAK4" s="248"/>
      <c r="MAL4" s="248"/>
      <c r="MAM4" s="248"/>
      <c r="MAN4" s="248"/>
      <c r="MAO4" s="248"/>
      <c r="MAP4" s="248"/>
      <c r="MAQ4" s="248"/>
      <c r="MAR4" s="248"/>
      <c r="MAS4" s="248"/>
      <c r="MAT4" s="248"/>
      <c r="MAU4" s="248"/>
      <c r="MAV4" s="248"/>
      <c r="MAW4" s="248"/>
      <c r="MAX4" s="248"/>
      <c r="MAY4" s="248"/>
      <c r="MAZ4" s="248"/>
      <c r="MBA4" s="248"/>
      <c r="MBB4" s="248"/>
      <c r="MBC4" s="248"/>
      <c r="MBD4" s="248"/>
      <c r="MBE4" s="248"/>
      <c r="MBF4" s="248"/>
      <c r="MBG4" s="248"/>
      <c r="MBH4" s="248"/>
      <c r="MBI4" s="248"/>
      <c r="MBJ4" s="248"/>
      <c r="MBK4" s="248"/>
      <c r="MBL4" s="248"/>
      <c r="MBM4" s="248"/>
      <c r="MBN4" s="248"/>
      <c r="MBO4" s="248"/>
      <c r="MBP4" s="248"/>
      <c r="MBQ4" s="248"/>
      <c r="MBR4" s="248"/>
      <c r="MBS4" s="248"/>
      <c r="MBT4" s="248"/>
      <c r="MBU4" s="248"/>
      <c r="MBV4" s="248"/>
      <c r="MBW4" s="248"/>
      <c r="MBX4" s="248"/>
      <c r="MBY4" s="248"/>
      <c r="MBZ4" s="248"/>
      <c r="MCA4" s="248"/>
      <c r="MCB4" s="248"/>
      <c r="MCC4" s="248"/>
      <c r="MCD4" s="248"/>
      <c r="MCE4" s="248"/>
      <c r="MCF4" s="248"/>
      <c r="MCG4" s="248"/>
      <c r="MCH4" s="248"/>
      <c r="MCI4" s="248"/>
      <c r="MCJ4" s="248"/>
      <c r="MCK4" s="248"/>
      <c r="MCL4" s="248"/>
      <c r="MCM4" s="248"/>
      <c r="MCN4" s="248"/>
      <c r="MCO4" s="248"/>
      <c r="MCP4" s="248"/>
      <c r="MCQ4" s="248"/>
      <c r="MCR4" s="248"/>
      <c r="MCS4" s="248"/>
      <c r="MCT4" s="248"/>
      <c r="MCU4" s="248"/>
      <c r="MCV4" s="248"/>
      <c r="MCW4" s="248"/>
      <c r="MCX4" s="248"/>
      <c r="MCY4" s="248"/>
      <c r="MCZ4" s="248"/>
      <c r="MDA4" s="248"/>
      <c r="MDB4" s="248"/>
      <c r="MDC4" s="248"/>
      <c r="MDD4" s="248"/>
      <c r="MDE4" s="248"/>
      <c r="MDF4" s="248"/>
      <c r="MDG4" s="248"/>
      <c r="MDH4" s="248"/>
      <c r="MDI4" s="248"/>
      <c r="MDJ4" s="248"/>
      <c r="MDK4" s="248"/>
      <c r="MDL4" s="248"/>
      <c r="MDM4" s="248"/>
      <c r="MDN4" s="248"/>
      <c r="MDO4" s="248"/>
      <c r="MDP4" s="248"/>
      <c r="MDQ4" s="248"/>
      <c r="MDR4" s="248"/>
      <c r="MDS4" s="248"/>
      <c r="MDT4" s="248"/>
      <c r="MDU4" s="248"/>
      <c r="MDV4" s="248"/>
      <c r="MDW4" s="248"/>
      <c r="MDX4" s="248"/>
      <c r="MDY4" s="248"/>
      <c r="MDZ4" s="248"/>
      <c r="MEA4" s="248"/>
      <c r="MEB4" s="248"/>
      <c r="MEC4" s="248"/>
      <c r="MED4" s="248"/>
      <c r="MEE4" s="248"/>
      <c r="MEF4" s="248"/>
      <c r="MEG4" s="248"/>
      <c r="MEH4" s="248"/>
      <c r="MEI4" s="248"/>
      <c r="MEJ4" s="248"/>
      <c r="MEK4" s="248"/>
      <c r="MEL4" s="248"/>
      <c r="MEM4" s="248"/>
      <c r="MEN4" s="248"/>
      <c r="MEO4" s="248"/>
      <c r="MEP4" s="248"/>
      <c r="MEQ4" s="248"/>
      <c r="MER4" s="248"/>
      <c r="MES4" s="248"/>
      <c r="MET4" s="248"/>
      <c r="MEU4" s="248"/>
      <c r="MEV4" s="248"/>
      <c r="MEW4" s="248"/>
      <c r="MEX4" s="248"/>
      <c r="MEY4" s="248"/>
      <c r="MEZ4" s="248"/>
      <c r="MFA4" s="248"/>
      <c r="MFB4" s="248"/>
      <c r="MFC4" s="248"/>
      <c r="MFD4" s="248"/>
      <c r="MFE4" s="248"/>
      <c r="MFF4" s="248"/>
      <c r="MFG4" s="248"/>
      <c r="MFH4" s="248"/>
      <c r="MFI4" s="248"/>
      <c r="MFJ4" s="248"/>
      <c r="MFK4" s="248"/>
      <c r="MFL4" s="248"/>
      <c r="MFM4" s="248"/>
      <c r="MFN4" s="248"/>
      <c r="MFO4" s="248"/>
      <c r="MFP4" s="248"/>
      <c r="MFQ4" s="248"/>
      <c r="MFR4" s="248"/>
      <c r="MFS4" s="248"/>
      <c r="MFT4" s="248"/>
      <c r="MFU4" s="248"/>
      <c r="MFV4" s="248"/>
      <c r="MFW4" s="248"/>
      <c r="MFX4" s="248"/>
      <c r="MFY4" s="248"/>
      <c r="MFZ4" s="248"/>
      <c r="MGA4" s="248"/>
      <c r="MGB4" s="248"/>
      <c r="MGC4" s="248"/>
      <c r="MGD4" s="248"/>
      <c r="MGE4" s="248"/>
      <c r="MGF4" s="248"/>
      <c r="MGG4" s="248"/>
      <c r="MGH4" s="248"/>
      <c r="MGI4" s="248"/>
      <c r="MGJ4" s="248"/>
      <c r="MGK4" s="248"/>
      <c r="MGL4" s="248"/>
      <c r="MGM4" s="248"/>
      <c r="MGN4" s="248"/>
      <c r="MGO4" s="248"/>
      <c r="MGP4" s="248"/>
      <c r="MGQ4" s="248"/>
      <c r="MGR4" s="248"/>
      <c r="MGS4" s="248"/>
      <c r="MGT4" s="248"/>
      <c r="MGU4" s="248"/>
      <c r="MGV4" s="248"/>
      <c r="MGW4" s="248"/>
      <c r="MGX4" s="248"/>
      <c r="MGY4" s="248"/>
      <c r="MGZ4" s="248"/>
      <c r="MHA4" s="248"/>
      <c r="MHB4" s="248"/>
      <c r="MHC4" s="248"/>
      <c r="MHD4" s="248"/>
      <c r="MHE4" s="248"/>
      <c r="MHF4" s="248"/>
      <c r="MHG4" s="248"/>
      <c r="MHH4" s="248"/>
      <c r="MHI4" s="248"/>
      <c r="MHJ4" s="248"/>
      <c r="MHK4" s="248"/>
      <c r="MHL4" s="248"/>
      <c r="MHM4" s="248"/>
      <c r="MHN4" s="248"/>
      <c r="MHO4" s="248"/>
      <c r="MHP4" s="248"/>
      <c r="MHQ4" s="248"/>
      <c r="MHR4" s="248"/>
      <c r="MHS4" s="248"/>
      <c r="MHT4" s="248"/>
      <c r="MHU4" s="248"/>
      <c r="MHV4" s="248"/>
      <c r="MHW4" s="248"/>
      <c r="MHX4" s="248"/>
      <c r="MHY4" s="248"/>
      <c r="MHZ4" s="248"/>
      <c r="MIA4" s="248"/>
      <c r="MIB4" s="248"/>
      <c r="MIC4" s="248"/>
      <c r="MID4" s="248"/>
      <c r="MIE4" s="248"/>
      <c r="MIF4" s="248"/>
      <c r="MIG4" s="248"/>
      <c r="MIH4" s="248"/>
      <c r="MII4" s="248"/>
      <c r="MIJ4" s="248"/>
      <c r="MIK4" s="248"/>
      <c r="MIL4" s="248"/>
      <c r="MIM4" s="248"/>
      <c r="MIN4" s="248"/>
      <c r="MIO4" s="248"/>
      <c r="MIP4" s="248"/>
      <c r="MIQ4" s="248"/>
      <c r="MIR4" s="248"/>
      <c r="MIS4" s="248"/>
      <c r="MIT4" s="248"/>
      <c r="MIU4" s="248"/>
      <c r="MIV4" s="248"/>
      <c r="MIW4" s="248"/>
      <c r="MIX4" s="248"/>
      <c r="MIY4" s="248"/>
      <c r="MIZ4" s="248"/>
      <c r="MJA4" s="248"/>
      <c r="MJB4" s="248"/>
      <c r="MJC4" s="248"/>
      <c r="MJD4" s="248"/>
      <c r="MJE4" s="248"/>
      <c r="MJF4" s="248"/>
      <c r="MJG4" s="248"/>
      <c r="MJH4" s="248"/>
      <c r="MJI4" s="248"/>
      <c r="MJJ4" s="248"/>
      <c r="MJK4" s="248"/>
      <c r="MJL4" s="248"/>
      <c r="MJM4" s="248"/>
      <c r="MJN4" s="248"/>
      <c r="MJO4" s="248"/>
      <c r="MJP4" s="248"/>
      <c r="MJQ4" s="248"/>
      <c r="MJR4" s="248"/>
      <c r="MJS4" s="248"/>
      <c r="MJT4" s="248"/>
      <c r="MJU4" s="248"/>
      <c r="MJV4" s="248"/>
      <c r="MJW4" s="248"/>
      <c r="MJX4" s="248"/>
      <c r="MJY4" s="248"/>
      <c r="MJZ4" s="248"/>
      <c r="MKA4" s="248"/>
      <c r="MKB4" s="248"/>
      <c r="MKC4" s="248"/>
      <c r="MKD4" s="248"/>
      <c r="MKE4" s="248"/>
      <c r="MKF4" s="248"/>
      <c r="MKG4" s="248"/>
      <c r="MKH4" s="248"/>
      <c r="MKI4" s="248"/>
      <c r="MKJ4" s="248"/>
      <c r="MKK4" s="248"/>
      <c r="MKL4" s="248"/>
      <c r="MKM4" s="248"/>
      <c r="MKN4" s="248"/>
      <c r="MKO4" s="248"/>
      <c r="MKP4" s="248"/>
      <c r="MKQ4" s="248"/>
      <c r="MKR4" s="248"/>
      <c r="MKS4" s="248"/>
      <c r="MKT4" s="248"/>
      <c r="MKU4" s="248"/>
      <c r="MKV4" s="248"/>
      <c r="MKW4" s="248"/>
      <c r="MKX4" s="248"/>
      <c r="MKY4" s="248"/>
      <c r="MKZ4" s="248"/>
      <c r="MLA4" s="248"/>
      <c r="MLB4" s="248"/>
      <c r="MLC4" s="248"/>
      <c r="MLD4" s="248"/>
      <c r="MLE4" s="248"/>
      <c r="MLF4" s="248"/>
      <c r="MLG4" s="248"/>
      <c r="MLH4" s="248"/>
      <c r="MLI4" s="248"/>
      <c r="MLJ4" s="248"/>
      <c r="MLK4" s="248"/>
      <c r="MLL4" s="248"/>
      <c r="MLM4" s="248"/>
      <c r="MLN4" s="248"/>
      <c r="MLO4" s="248"/>
      <c r="MLP4" s="248"/>
      <c r="MLQ4" s="248"/>
      <c r="MLR4" s="248"/>
      <c r="MLS4" s="248"/>
      <c r="MLT4" s="248"/>
      <c r="MLU4" s="248"/>
      <c r="MLV4" s="248"/>
      <c r="MLW4" s="248"/>
      <c r="MLX4" s="248"/>
      <c r="MLY4" s="248"/>
      <c r="MLZ4" s="248"/>
      <c r="MMA4" s="248"/>
      <c r="MMB4" s="248"/>
      <c r="MMC4" s="248"/>
      <c r="MMD4" s="248"/>
      <c r="MME4" s="248"/>
      <c r="MMF4" s="248"/>
      <c r="MMG4" s="248"/>
      <c r="MMH4" s="248"/>
      <c r="MMI4" s="248"/>
      <c r="MMJ4" s="248"/>
      <c r="MMK4" s="248"/>
      <c r="MML4" s="248"/>
      <c r="MMM4" s="248"/>
      <c r="MMN4" s="248"/>
      <c r="MMO4" s="248"/>
      <c r="MMP4" s="248"/>
      <c r="MMQ4" s="248"/>
      <c r="MMR4" s="248"/>
      <c r="MMS4" s="248"/>
      <c r="MMT4" s="248"/>
      <c r="MMU4" s="248"/>
      <c r="MMV4" s="248"/>
      <c r="MMW4" s="248"/>
      <c r="MMX4" s="248"/>
      <c r="MMY4" s="248"/>
      <c r="MMZ4" s="248"/>
      <c r="MNA4" s="248"/>
      <c r="MNB4" s="248"/>
      <c r="MNC4" s="248"/>
      <c r="MND4" s="248"/>
      <c r="MNE4" s="248"/>
      <c r="MNF4" s="248"/>
      <c r="MNG4" s="248"/>
      <c r="MNH4" s="248"/>
      <c r="MNI4" s="248"/>
      <c r="MNJ4" s="248"/>
      <c r="MNK4" s="248"/>
      <c r="MNL4" s="248"/>
      <c r="MNM4" s="248"/>
      <c r="MNN4" s="248"/>
      <c r="MNO4" s="248"/>
      <c r="MNP4" s="248"/>
      <c r="MNQ4" s="248"/>
      <c r="MNR4" s="248"/>
      <c r="MNS4" s="248"/>
      <c r="MNT4" s="248"/>
      <c r="MNU4" s="248"/>
      <c r="MNV4" s="248"/>
      <c r="MNW4" s="248"/>
      <c r="MNX4" s="248"/>
      <c r="MNY4" s="248"/>
      <c r="MNZ4" s="248"/>
      <c r="MOA4" s="248"/>
      <c r="MOB4" s="248"/>
      <c r="MOC4" s="248"/>
      <c r="MOD4" s="248"/>
      <c r="MOE4" s="248"/>
      <c r="MOF4" s="248"/>
      <c r="MOG4" s="248"/>
      <c r="MOH4" s="248"/>
      <c r="MOI4" s="248"/>
      <c r="MOJ4" s="248"/>
      <c r="MOK4" s="248"/>
      <c r="MOL4" s="248"/>
      <c r="MOM4" s="248"/>
      <c r="MON4" s="248"/>
      <c r="MOO4" s="248"/>
      <c r="MOP4" s="248"/>
      <c r="MOQ4" s="248"/>
      <c r="MOR4" s="248"/>
      <c r="MOS4" s="248"/>
      <c r="MOT4" s="248"/>
      <c r="MOU4" s="248"/>
      <c r="MOV4" s="248"/>
      <c r="MOW4" s="248"/>
      <c r="MOX4" s="248"/>
      <c r="MOY4" s="248"/>
      <c r="MOZ4" s="248"/>
      <c r="MPA4" s="248"/>
      <c r="MPB4" s="248"/>
      <c r="MPC4" s="248"/>
      <c r="MPD4" s="248"/>
      <c r="MPE4" s="248"/>
      <c r="MPF4" s="248"/>
      <c r="MPG4" s="248"/>
      <c r="MPH4" s="248"/>
      <c r="MPI4" s="248"/>
      <c r="MPJ4" s="248"/>
      <c r="MPK4" s="248"/>
      <c r="MPL4" s="248"/>
      <c r="MPM4" s="248"/>
      <c r="MPN4" s="248"/>
      <c r="MPO4" s="248"/>
      <c r="MPP4" s="248"/>
      <c r="MPQ4" s="248"/>
      <c r="MPR4" s="248"/>
      <c r="MPS4" s="248"/>
      <c r="MPT4" s="248"/>
      <c r="MPU4" s="248"/>
      <c r="MPV4" s="248"/>
      <c r="MPW4" s="248"/>
      <c r="MPX4" s="248"/>
      <c r="MPY4" s="248"/>
      <c r="MPZ4" s="248"/>
      <c r="MQA4" s="248"/>
      <c r="MQB4" s="248"/>
      <c r="MQC4" s="248"/>
      <c r="MQD4" s="248"/>
      <c r="MQE4" s="248"/>
      <c r="MQF4" s="248"/>
      <c r="MQG4" s="248"/>
      <c r="MQH4" s="248"/>
      <c r="MQI4" s="248"/>
      <c r="MQJ4" s="248"/>
      <c r="MQK4" s="248"/>
      <c r="MQL4" s="248"/>
      <c r="MQM4" s="248"/>
      <c r="MQN4" s="248"/>
      <c r="MQO4" s="248"/>
      <c r="MQP4" s="248"/>
      <c r="MQQ4" s="248"/>
      <c r="MQR4" s="248"/>
      <c r="MQS4" s="248"/>
      <c r="MQT4" s="248"/>
      <c r="MQU4" s="248"/>
      <c r="MQV4" s="248"/>
      <c r="MQW4" s="248"/>
      <c r="MQX4" s="248"/>
      <c r="MQY4" s="248"/>
      <c r="MQZ4" s="248"/>
      <c r="MRA4" s="248"/>
      <c r="MRB4" s="248"/>
      <c r="MRC4" s="248"/>
      <c r="MRD4" s="248"/>
      <c r="MRE4" s="248"/>
      <c r="MRF4" s="248"/>
      <c r="MRG4" s="248"/>
      <c r="MRH4" s="248"/>
      <c r="MRI4" s="248"/>
      <c r="MRJ4" s="248"/>
      <c r="MRK4" s="248"/>
      <c r="MRL4" s="248"/>
      <c r="MRM4" s="248"/>
      <c r="MRN4" s="248"/>
      <c r="MRO4" s="248"/>
      <c r="MRP4" s="248"/>
      <c r="MRQ4" s="248"/>
      <c r="MRR4" s="248"/>
      <c r="MRS4" s="248"/>
      <c r="MRT4" s="248"/>
      <c r="MRU4" s="248"/>
      <c r="MRV4" s="248"/>
      <c r="MRW4" s="248"/>
      <c r="MRX4" s="248"/>
      <c r="MRY4" s="248"/>
      <c r="MRZ4" s="248"/>
      <c r="MSA4" s="248"/>
      <c r="MSB4" s="248"/>
      <c r="MSC4" s="248"/>
      <c r="MSD4" s="248"/>
      <c r="MSE4" s="248"/>
      <c r="MSF4" s="248"/>
      <c r="MSG4" s="248"/>
      <c r="MSH4" s="248"/>
      <c r="MSI4" s="248"/>
      <c r="MSJ4" s="248"/>
      <c r="MSK4" s="248"/>
      <c r="MSL4" s="248"/>
      <c r="MSM4" s="248"/>
      <c r="MSN4" s="248"/>
      <c r="MSO4" s="248"/>
      <c r="MSP4" s="248"/>
      <c r="MSQ4" s="248"/>
      <c r="MSR4" s="248"/>
      <c r="MSS4" s="248"/>
      <c r="MST4" s="248"/>
      <c r="MSU4" s="248"/>
      <c r="MSV4" s="248"/>
      <c r="MSW4" s="248"/>
      <c r="MSX4" s="248"/>
      <c r="MSY4" s="248"/>
      <c r="MSZ4" s="248"/>
      <c r="MTA4" s="248"/>
      <c r="MTB4" s="248"/>
      <c r="MTC4" s="248"/>
      <c r="MTD4" s="248"/>
      <c r="MTE4" s="248"/>
      <c r="MTF4" s="248"/>
      <c r="MTG4" s="248"/>
      <c r="MTH4" s="248"/>
      <c r="MTI4" s="248"/>
      <c r="MTJ4" s="248"/>
      <c r="MTK4" s="248"/>
      <c r="MTL4" s="248"/>
      <c r="MTM4" s="248"/>
      <c r="MTN4" s="248"/>
      <c r="MTO4" s="248"/>
      <c r="MTP4" s="248"/>
      <c r="MTQ4" s="248"/>
      <c r="MTR4" s="248"/>
      <c r="MTS4" s="248"/>
      <c r="MTT4" s="248"/>
      <c r="MTU4" s="248"/>
      <c r="MTV4" s="248"/>
      <c r="MTW4" s="248"/>
      <c r="MTX4" s="248"/>
      <c r="MTY4" s="248"/>
      <c r="MTZ4" s="248"/>
      <c r="MUA4" s="248"/>
      <c r="MUB4" s="248"/>
      <c r="MUC4" s="248"/>
      <c r="MUD4" s="248"/>
      <c r="MUE4" s="248"/>
      <c r="MUF4" s="248"/>
      <c r="MUG4" s="248"/>
      <c r="MUH4" s="248"/>
      <c r="MUI4" s="248"/>
      <c r="MUJ4" s="248"/>
      <c r="MUK4" s="248"/>
      <c r="MUL4" s="248"/>
      <c r="MUM4" s="248"/>
      <c r="MUN4" s="248"/>
      <c r="MUO4" s="248"/>
      <c r="MUP4" s="248"/>
      <c r="MUQ4" s="248"/>
      <c r="MUR4" s="248"/>
      <c r="MUS4" s="248"/>
      <c r="MUT4" s="248"/>
      <c r="MUU4" s="248"/>
      <c r="MUV4" s="248"/>
      <c r="MUW4" s="248"/>
      <c r="MUX4" s="248"/>
      <c r="MUY4" s="248"/>
      <c r="MUZ4" s="248"/>
      <c r="MVA4" s="248"/>
      <c r="MVB4" s="248"/>
      <c r="MVC4" s="248"/>
      <c r="MVD4" s="248"/>
      <c r="MVE4" s="248"/>
      <c r="MVF4" s="248"/>
      <c r="MVG4" s="248"/>
      <c r="MVH4" s="248"/>
      <c r="MVI4" s="248"/>
      <c r="MVJ4" s="248"/>
      <c r="MVK4" s="248"/>
      <c r="MVL4" s="248"/>
      <c r="MVM4" s="248"/>
      <c r="MVN4" s="248"/>
      <c r="MVO4" s="248"/>
      <c r="MVP4" s="248"/>
      <c r="MVQ4" s="248"/>
      <c r="MVR4" s="248"/>
      <c r="MVS4" s="248"/>
      <c r="MVT4" s="248"/>
      <c r="MVU4" s="248"/>
      <c r="MVV4" s="248"/>
      <c r="MVW4" s="248"/>
      <c r="MVX4" s="248"/>
      <c r="MVY4" s="248"/>
      <c r="MVZ4" s="248"/>
      <c r="MWA4" s="248"/>
      <c r="MWB4" s="248"/>
      <c r="MWC4" s="248"/>
      <c r="MWD4" s="248"/>
      <c r="MWE4" s="248"/>
      <c r="MWF4" s="248"/>
      <c r="MWG4" s="248"/>
      <c r="MWH4" s="248"/>
      <c r="MWI4" s="248"/>
      <c r="MWJ4" s="248"/>
      <c r="MWK4" s="248"/>
      <c r="MWL4" s="248"/>
      <c r="MWM4" s="248"/>
      <c r="MWN4" s="248"/>
      <c r="MWO4" s="248"/>
      <c r="MWP4" s="248"/>
      <c r="MWQ4" s="248"/>
      <c r="MWR4" s="248"/>
      <c r="MWS4" s="248"/>
      <c r="MWT4" s="248"/>
      <c r="MWU4" s="248"/>
      <c r="MWV4" s="248"/>
      <c r="MWW4" s="248"/>
      <c r="MWX4" s="248"/>
      <c r="MWY4" s="248"/>
      <c r="MWZ4" s="248"/>
      <c r="MXA4" s="248"/>
      <c r="MXB4" s="248"/>
      <c r="MXC4" s="248"/>
      <c r="MXD4" s="248"/>
      <c r="MXE4" s="248"/>
      <c r="MXF4" s="248"/>
      <c r="MXG4" s="248"/>
      <c r="MXH4" s="248"/>
      <c r="MXI4" s="248"/>
      <c r="MXJ4" s="248"/>
      <c r="MXK4" s="248"/>
      <c r="MXL4" s="248"/>
      <c r="MXM4" s="248"/>
      <c r="MXN4" s="248"/>
      <c r="MXO4" s="248"/>
      <c r="MXP4" s="248"/>
      <c r="MXQ4" s="248"/>
      <c r="MXR4" s="248"/>
      <c r="MXS4" s="248"/>
      <c r="MXT4" s="248"/>
      <c r="MXU4" s="248"/>
      <c r="MXV4" s="248"/>
      <c r="MXW4" s="248"/>
      <c r="MXX4" s="248"/>
      <c r="MXY4" s="248"/>
      <c r="MXZ4" s="248"/>
      <c r="MYA4" s="248"/>
      <c r="MYB4" s="248"/>
      <c r="MYC4" s="248"/>
      <c r="MYD4" s="248"/>
      <c r="MYE4" s="248"/>
      <c r="MYF4" s="248"/>
      <c r="MYG4" s="248"/>
      <c r="MYH4" s="248"/>
      <c r="MYI4" s="248"/>
      <c r="MYJ4" s="248"/>
      <c r="MYK4" s="248"/>
      <c r="MYL4" s="248"/>
      <c r="MYM4" s="248"/>
      <c r="MYN4" s="248"/>
      <c r="MYO4" s="248"/>
      <c r="MYP4" s="248"/>
      <c r="MYQ4" s="248"/>
      <c r="MYR4" s="248"/>
      <c r="MYS4" s="248"/>
      <c r="MYT4" s="248"/>
      <c r="MYU4" s="248"/>
      <c r="MYV4" s="248"/>
      <c r="MYW4" s="248"/>
      <c r="MYX4" s="248"/>
      <c r="MYY4" s="248"/>
      <c r="MYZ4" s="248"/>
      <c r="MZA4" s="248"/>
      <c r="MZB4" s="248"/>
      <c r="MZC4" s="248"/>
      <c r="MZD4" s="248"/>
      <c r="MZE4" s="248"/>
      <c r="MZF4" s="248"/>
      <c r="MZG4" s="248"/>
      <c r="MZH4" s="248"/>
      <c r="MZI4" s="248"/>
      <c r="MZJ4" s="248"/>
      <c r="MZK4" s="248"/>
      <c r="MZL4" s="248"/>
      <c r="MZM4" s="248"/>
      <c r="MZN4" s="248"/>
      <c r="MZO4" s="248"/>
      <c r="MZP4" s="248"/>
      <c r="MZQ4" s="248"/>
      <c r="MZR4" s="248"/>
      <c r="MZS4" s="248"/>
      <c r="MZT4" s="248"/>
      <c r="MZU4" s="248"/>
      <c r="MZV4" s="248"/>
      <c r="MZW4" s="248"/>
      <c r="MZX4" s="248"/>
      <c r="MZY4" s="248"/>
      <c r="MZZ4" s="248"/>
      <c r="NAA4" s="248"/>
      <c r="NAB4" s="248"/>
      <c r="NAC4" s="248"/>
      <c r="NAD4" s="248"/>
      <c r="NAE4" s="248"/>
      <c r="NAF4" s="248"/>
      <c r="NAG4" s="248"/>
      <c r="NAH4" s="248"/>
      <c r="NAI4" s="248"/>
      <c r="NAJ4" s="248"/>
      <c r="NAK4" s="248"/>
      <c r="NAL4" s="248"/>
      <c r="NAM4" s="248"/>
      <c r="NAN4" s="248"/>
      <c r="NAO4" s="248"/>
      <c r="NAP4" s="248"/>
      <c r="NAQ4" s="248"/>
      <c r="NAR4" s="248"/>
      <c r="NAS4" s="248"/>
      <c r="NAT4" s="248"/>
      <c r="NAU4" s="248"/>
      <c r="NAV4" s="248"/>
      <c r="NAW4" s="248"/>
      <c r="NAX4" s="248"/>
      <c r="NAY4" s="248"/>
      <c r="NAZ4" s="248"/>
      <c r="NBA4" s="248"/>
      <c r="NBB4" s="248"/>
      <c r="NBC4" s="248"/>
      <c r="NBD4" s="248"/>
      <c r="NBE4" s="248"/>
      <c r="NBF4" s="248"/>
      <c r="NBG4" s="248"/>
      <c r="NBH4" s="248"/>
      <c r="NBI4" s="248"/>
      <c r="NBJ4" s="248"/>
      <c r="NBK4" s="248"/>
      <c r="NBL4" s="248"/>
      <c r="NBM4" s="248"/>
      <c r="NBN4" s="248"/>
      <c r="NBO4" s="248"/>
      <c r="NBP4" s="248"/>
      <c r="NBQ4" s="248"/>
      <c r="NBR4" s="248"/>
      <c r="NBS4" s="248"/>
      <c r="NBT4" s="248"/>
      <c r="NBU4" s="248"/>
      <c r="NBV4" s="248"/>
      <c r="NBW4" s="248"/>
      <c r="NBX4" s="248"/>
      <c r="NBY4" s="248"/>
      <c r="NBZ4" s="248"/>
      <c r="NCA4" s="248"/>
      <c r="NCB4" s="248"/>
      <c r="NCC4" s="248"/>
      <c r="NCD4" s="248"/>
      <c r="NCE4" s="248"/>
      <c r="NCF4" s="248"/>
      <c r="NCG4" s="248"/>
      <c r="NCH4" s="248"/>
      <c r="NCI4" s="248"/>
      <c r="NCJ4" s="248"/>
      <c r="NCK4" s="248"/>
      <c r="NCL4" s="248"/>
      <c r="NCM4" s="248"/>
      <c r="NCN4" s="248"/>
      <c r="NCO4" s="248"/>
      <c r="NCP4" s="248"/>
      <c r="NCQ4" s="248"/>
      <c r="NCR4" s="248"/>
      <c r="NCS4" s="248"/>
      <c r="NCT4" s="248"/>
      <c r="NCU4" s="248"/>
      <c r="NCV4" s="248"/>
      <c r="NCW4" s="248"/>
      <c r="NCX4" s="248"/>
      <c r="NCY4" s="248"/>
      <c r="NCZ4" s="248"/>
      <c r="NDA4" s="248"/>
      <c r="NDB4" s="248"/>
      <c r="NDC4" s="248"/>
      <c r="NDD4" s="248"/>
      <c r="NDE4" s="248"/>
      <c r="NDF4" s="248"/>
      <c r="NDG4" s="248"/>
      <c r="NDH4" s="248"/>
      <c r="NDI4" s="248"/>
      <c r="NDJ4" s="248"/>
      <c r="NDK4" s="248"/>
      <c r="NDL4" s="248"/>
      <c r="NDM4" s="248"/>
      <c r="NDN4" s="248"/>
      <c r="NDO4" s="248"/>
      <c r="NDP4" s="248"/>
      <c r="NDQ4" s="248"/>
      <c r="NDR4" s="248"/>
      <c r="NDS4" s="248"/>
      <c r="NDT4" s="248"/>
      <c r="NDU4" s="248"/>
      <c r="NDV4" s="248"/>
      <c r="NDW4" s="248"/>
      <c r="NDX4" s="248"/>
      <c r="NDY4" s="248"/>
      <c r="NDZ4" s="248"/>
      <c r="NEA4" s="248"/>
      <c r="NEB4" s="248"/>
      <c r="NEC4" s="248"/>
      <c r="NED4" s="248"/>
      <c r="NEE4" s="248"/>
      <c r="NEF4" s="248"/>
      <c r="NEG4" s="248"/>
      <c r="NEH4" s="248"/>
      <c r="NEI4" s="248"/>
      <c r="NEJ4" s="248"/>
      <c r="NEK4" s="248"/>
      <c r="NEL4" s="248"/>
      <c r="NEM4" s="248"/>
      <c r="NEN4" s="248"/>
      <c r="NEO4" s="248"/>
      <c r="NEP4" s="248"/>
      <c r="NEQ4" s="248"/>
      <c r="NER4" s="248"/>
      <c r="NES4" s="248"/>
      <c r="NET4" s="248"/>
      <c r="NEU4" s="248"/>
      <c r="NEV4" s="248"/>
      <c r="NEW4" s="248"/>
      <c r="NEX4" s="248"/>
      <c r="NEY4" s="248"/>
      <c r="NEZ4" s="248"/>
      <c r="NFA4" s="248"/>
      <c r="NFB4" s="248"/>
      <c r="NFC4" s="248"/>
      <c r="NFD4" s="248"/>
      <c r="NFE4" s="248"/>
      <c r="NFF4" s="248"/>
      <c r="NFG4" s="248"/>
      <c r="NFH4" s="248"/>
      <c r="NFI4" s="248"/>
      <c r="NFJ4" s="248"/>
      <c r="NFK4" s="248"/>
      <c r="NFL4" s="248"/>
      <c r="NFM4" s="248"/>
      <c r="NFN4" s="248"/>
      <c r="NFO4" s="248"/>
      <c r="NFP4" s="248"/>
      <c r="NFQ4" s="248"/>
      <c r="NFR4" s="248"/>
      <c r="NFS4" s="248"/>
      <c r="NFT4" s="248"/>
      <c r="NFU4" s="248"/>
      <c r="NFV4" s="248"/>
      <c r="NFW4" s="248"/>
      <c r="NFX4" s="248"/>
      <c r="NFY4" s="248"/>
      <c r="NFZ4" s="248"/>
      <c r="NGA4" s="248"/>
      <c r="NGB4" s="248"/>
      <c r="NGC4" s="248"/>
      <c r="NGD4" s="248"/>
      <c r="NGE4" s="248"/>
      <c r="NGF4" s="248"/>
      <c r="NGG4" s="248"/>
      <c r="NGH4" s="248"/>
      <c r="NGI4" s="248"/>
      <c r="NGJ4" s="248"/>
      <c r="NGK4" s="248"/>
      <c r="NGL4" s="248"/>
      <c r="NGM4" s="248"/>
      <c r="NGN4" s="248"/>
      <c r="NGO4" s="248"/>
      <c r="NGP4" s="248"/>
      <c r="NGQ4" s="248"/>
      <c r="NGR4" s="248"/>
      <c r="NGS4" s="248"/>
      <c r="NGT4" s="248"/>
      <c r="NGU4" s="248"/>
      <c r="NGV4" s="248"/>
      <c r="NGW4" s="248"/>
      <c r="NGX4" s="248"/>
      <c r="NGY4" s="248"/>
      <c r="NGZ4" s="248"/>
      <c r="NHA4" s="248"/>
      <c r="NHB4" s="248"/>
      <c r="NHC4" s="248"/>
      <c r="NHD4" s="248"/>
      <c r="NHE4" s="248"/>
      <c r="NHF4" s="248"/>
      <c r="NHG4" s="248"/>
      <c r="NHH4" s="248"/>
      <c r="NHI4" s="248"/>
      <c r="NHJ4" s="248"/>
      <c r="NHK4" s="248"/>
      <c r="NHL4" s="248"/>
      <c r="NHM4" s="248"/>
      <c r="NHN4" s="248"/>
      <c r="NHO4" s="248"/>
      <c r="NHP4" s="248"/>
      <c r="NHQ4" s="248"/>
      <c r="NHR4" s="248"/>
      <c r="NHS4" s="248"/>
      <c r="NHT4" s="248"/>
      <c r="NHU4" s="248"/>
      <c r="NHV4" s="248"/>
      <c r="NHW4" s="248"/>
      <c r="NHX4" s="248"/>
      <c r="NHY4" s="248"/>
      <c r="NHZ4" s="248"/>
      <c r="NIA4" s="248"/>
      <c r="NIB4" s="248"/>
      <c r="NIC4" s="248"/>
      <c r="NID4" s="248"/>
      <c r="NIE4" s="248"/>
      <c r="NIF4" s="248"/>
      <c r="NIG4" s="248"/>
      <c r="NIH4" s="248"/>
      <c r="NII4" s="248"/>
      <c r="NIJ4" s="248"/>
      <c r="NIK4" s="248"/>
      <c r="NIL4" s="248"/>
      <c r="NIM4" s="248"/>
      <c r="NIN4" s="248"/>
      <c r="NIO4" s="248"/>
      <c r="NIP4" s="248"/>
      <c r="NIQ4" s="248"/>
      <c r="NIR4" s="248"/>
      <c r="NIS4" s="248"/>
      <c r="NIT4" s="248"/>
      <c r="NIU4" s="248"/>
      <c r="NIV4" s="248"/>
      <c r="NIW4" s="248"/>
      <c r="NIX4" s="248"/>
      <c r="NIY4" s="248"/>
      <c r="NIZ4" s="248"/>
      <c r="NJA4" s="248"/>
      <c r="NJB4" s="248"/>
      <c r="NJC4" s="248"/>
      <c r="NJD4" s="248"/>
      <c r="NJE4" s="248"/>
      <c r="NJF4" s="248"/>
      <c r="NJG4" s="248"/>
      <c r="NJH4" s="248"/>
      <c r="NJI4" s="248"/>
      <c r="NJJ4" s="248"/>
      <c r="NJK4" s="248"/>
      <c r="NJL4" s="248"/>
      <c r="NJM4" s="248"/>
      <c r="NJN4" s="248"/>
      <c r="NJO4" s="248"/>
      <c r="NJP4" s="248"/>
      <c r="NJQ4" s="248"/>
      <c r="NJR4" s="248"/>
      <c r="NJS4" s="248"/>
      <c r="NJT4" s="248"/>
      <c r="NJU4" s="248"/>
      <c r="NJV4" s="248"/>
      <c r="NJW4" s="248"/>
      <c r="NJX4" s="248"/>
      <c r="NJY4" s="248"/>
      <c r="NJZ4" s="248"/>
      <c r="NKA4" s="248"/>
      <c r="NKB4" s="248"/>
      <c r="NKC4" s="248"/>
      <c r="NKD4" s="248"/>
      <c r="NKE4" s="248"/>
      <c r="NKF4" s="248"/>
      <c r="NKG4" s="248"/>
      <c r="NKH4" s="248"/>
      <c r="NKI4" s="248"/>
      <c r="NKJ4" s="248"/>
      <c r="NKK4" s="248"/>
      <c r="NKL4" s="248"/>
      <c r="NKM4" s="248"/>
      <c r="NKN4" s="248"/>
      <c r="NKO4" s="248"/>
      <c r="NKP4" s="248"/>
      <c r="NKQ4" s="248"/>
      <c r="NKR4" s="248"/>
      <c r="NKS4" s="248"/>
      <c r="NKT4" s="248"/>
      <c r="NKU4" s="248"/>
      <c r="NKV4" s="248"/>
      <c r="NKW4" s="248"/>
      <c r="NKX4" s="248"/>
      <c r="NKY4" s="248"/>
      <c r="NKZ4" s="248"/>
      <c r="NLA4" s="248"/>
      <c r="NLB4" s="248"/>
      <c r="NLC4" s="248"/>
      <c r="NLD4" s="248"/>
      <c r="NLE4" s="248"/>
      <c r="NLF4" s="248"/>
      <c r="NLG4" s="248"/>
      <c r="NLH4" s="248"/>
      <c r="NLI4" s="248"/>
      <c r="NLJ4" s="248"/>
      <c r="NLK4" s="248"/>
      <c r="NLL4" s="248"/>
      <c r="NLM4" s="248"/>
      <c r="NLN4" s="248"/>
      <c r="NLO4" s="248"/>
      <c r="NLP4" s="248"/>
      <c r="NLQ4" s="248"/>
      <c r="NLR4" s="248"/>
      <c r="NLS4" s="248"/>
      <c r="NLT4" s="248"/>
      <c r="NLU4" s="248"/>
      <c r="NLV4" s="248"/>
      <c r="NLW4" s="248"/>
      <c r="NLX4" s="248"/>
      <c r="NLY4" s="248"/>
      <c r="NLZ4" s="248"/>
      <c r="NMA4" s="248"/>
      <c r="NMB4" s="248"/>
      <c r="NMC4" s="248"/>
      <c r="NMD4" s="248"/>
      <c r="NME4" s="248"/>
      <c r="NMF4" s="248"/>
      <c r="NMG4" s="248"/>
      <c r="NMH4" s="248"/>
      <c r="NMI4" s="248"/>
      <c r="NMJ4" s="248"/>
      <c r="NMK4" s="248"/>
      <c r="NML4" s="248"/>
      <c r="NMM4" s="248"/>
      <c r="NMN4" s="248"/>
      <c r="NMO4" s="248"/>
      <c r="NMP4" s="248"/>
      <c r="NMQ4" s="248"/>
      <c r="NMR4" s="248"/>
      <c r="NMS4" s="248"/>
      <c r="NMT4" s="248"/>
      <c r="NMU4" s="248"/>
      <c r="NMV4" s="248"/>
      <c r="NMW4" s="248"/>
      <c r="NMX4" s="248"/>
      <c r="NMY4" s="248"/>
      <c r="NMZ4" s="248"/>
      <c r="NNA4" s="248"/>
      <c r="NNB4" s="248"/>
      <c r="NNC4" s="248"/>
      <c r="NND4" s="248"/>
      <c r="NNE4" s="248"/>
      <c r="NNF4" s="248"/>
      <c r="NNG4" s="248"/>
      <c r="NNH4" s="248"/>
      <c r="NNI4" s="248"/>
      <c r="NNJ4" s="248"/>
      <c r="NNK4" s="248"/>
      <c r="NNL4" s="248"/>
      <c r="NNM4" s="248"/>
      <c r="NNN4" s="248"/>
      <c r="NNO4" s="248"/>
      <c r="NNP4" s="248"/>
      <c r="NNQ4" s="248"/>
      <c r="NNR4" s="248"/>
      <c r="NNS4" s="248"/>
      <c r="NNT4" s="248"/>
      <c r="NNU4" s="248"/>
      <c r="NNV4" s="248"/>
      <c r="NNW4" s="248"/>
      <c r="NNX4" s="248"/>
      <c r="NNY4" s="248"/>
      <c r="NNZ4" s="248"/>
      <c r="NOA4" s="248"/>
      <c r="NOB4" s="248"/>
      <c r="NOC4" s="248"/>
      <c r="NOD4" s="248"/>
      <c r="NOE4" s="248"/>
      <c r="NOF4" s="248"/>
      <c r="NOG4" s="248"/>
      <c r="NOH4" s="248"/>
      <c r="NOI4" s="248"/>
      <c r="NOJ4" s="248"/>
      <c r="NOK4" s="248"/>
      <c r="NOL4" s="248"/>
      <c r="NOM4" s="248"/>
      <c r="NON4" s="248"/>
      <c r="NOO4" s="248"/>
      <c r="NOP4" s="248"/>
      <c r="NOQ4" s="248"/>
      <c r="NOR4" s="248"/>
      <c r="NOS4" s="248"/>
      <c r="NOT4" s="248"/>
      <c r="NOU4" s="248"/>
      <c r="NOV4" s="248"/>
      <c r="NOW4" s="248"/>
      <c r="NOX4" s="248"/>
      <c r="NOY4" s="248"/>
      <c r="NOZ4" s="248"/>
      <c r="NPA4" s="248"/>
      <c r="NPB4" s="248"/>
      <c r="NPC4" s="248"/>
      <c r="NPD4" s="248"/>
      <c r="NPE4" s="248"/>
      <c r="NPF4" s="248"/>
      <c r="NPG4" s="248"/>
      <c r="NPH4" s="248"/>
      <c r="NPI4" s="248"/>
      <c r="NPJ4" s="248"/>
      <c r="NPK4" s="248"/>
      <c r="NPL4" s="248"/>
      <c r="NPM4" s="248"/>
      <c r="NPN4" s="248"/>
      <c r="NPO4" s="248"/>
      <c r="NPP4" s="248"/>
      <c r="NPQ4" s="248"/>
      <c r="NPR4" s="248"/>
      <c r="NPS4" s="248"/>
      <c r="NPT4" s="248"/>
      <c r="NPU4" s="248"/>
      <c r="NPV4" s="248"/>
      <c r="NPW4" s="248"/>
      <c r="NPX4" s="248"/>
      <c r="NPY4" s="248"/>
      <c r="NPZ4" s="248"/>
      <c r="NQA4" s="248"/>
      <c r="NQB4" s="248"/>
      <c r="NQC4" s="248"/>
      <c r="NQD4" s="248"/>
      <c r="NQE4" s="248"/>
      <c r="NQF4" s="248"/>
      <c r="NQG4" s="248"/>
      <c r="NQH4" s="248"/>
      <c r="NQI4" s="248"/>
      <c r="NQJ4" s="248"/>
      <c r="NQK4" s="248"/>
      <c r="NQL4" s="248"/>
      <c r="NQM4" s="248"/>
      <c r="NQN4" s="248"/>
      <c r="NQO4" s="248"/>
      <c r="NQP4" s="248"/>
      <c r="NQQ4" s="248"/>
      <c r="NQR4" s="248"/>
      <c r="NQS4" s="248"/>
      <c r="NQT4" s="248"/>
      <c r="NQU4" s="248"/>
      <c r="NQV4" s="248"/>
      <c r="NQW4" s="248"/>
      <c r="NQX4" s="248"/>
      <c r="NQY4" s="248"/>
      <c r="NQZ4" s="248"/>
      <c r="NRA4" s="248"/>
      <c r="NRB4" s="248"/>
      <c r="NRC4" s="248"/>
      <c r="NRD4" s="248"/>
      <c r="NRE4" s="248"/>
      <c r="NRF4" s="248"/>
      <c r="NRG4" s="248"/>
      <c r="NRH4" s="248"/>
      <c r="NRI4" s="248"/>
      <c r="NRJ4" s="248"/>
      <c r="NRK4" s="248"/>
      <c r="NRL4" s="248"/>
      <c r="NRM4" s="248"/>
      <c r="NRN4" s="248"/>
      <c r="NRO4" s="248"/>
      <c r="NRP4" s="248"/>
      <c r="NRQ4" s="248"/>
      <c r="NRR4" s="248"/>
      <c r="NRS4" s="248"/>
      <c r="NRT4" s="248"/>
      <c r="NRU4" s="248"/>
      <c r="NRV4" s="248"/>
      <c r="NRW4" s="248"/>
      <c r="NRX4" s="248"/>
      <c r="NRY4" s="248"/>
      <c r="NRZ4" s="248"/>
      <c r="NSA4" s="248"/>
      <c r="NSB4" s="248"/>
      <c r="NSC4" s="248"/>
      <c r="NSD4" s="248"/>
      <c r="NSE4" s="248"/>
      <c r="NSF4" s="248"/>
      <c r="NSG4" s="248"/>
      <c r="NSH4" s="248"/>
      <c r="NSI4" s="248"/>
      <c r="NSJ4" s="248"/>
      <c r="NSK4" s="248"/>
      <c r="NSL4" s="248"/>
      <c r="NSM4" s="248"/>
      <c r="NSN4" s="248"/>
      <c r="NSO4" s="248"/>
      <c r="NSP4" s="248"/>
      <c r="NSQ4" s="248"/>
      <c r="NSR4" s="248"/>
      <c r="NSS4" s="248"/>
      <c r="NST4" s="248"/>
      <c r="NSU4" s="248"/>
      <c r="NSV4" s="248"/>
      <c r="NSW4" s="248"/>
      <c r="NSX4" s="248"/>
      <c r="NSY4" s="248"/>
      <c r="NSZ4" s="248"/>
      <c r="NTA4" s="248"/>
      <c r="NTB4" s="248"/>
      <c r="NTC4" s="248"/>
      <c r="NTD4" s="248"/>
      <c r="NTE4" s="248"/>
      <c r="NTF4" s="248"/>
      <c r="NTG4" s="248"/>
      <c r="NTH4" s="248"/>
      <c r="NTI4" s="248"/>
      <c r="NTJ4" s="248"/>
      <c r="NTK4" s="248"/>
      <c r="NTL4" s="248"/>
      <c r="NTM4" s="248"/>
      <c r="NTN4" s="248"/>
      <c r="NTO4" s="248"/>
      <c r="NTP4" s="248"/>
      <c r="NTQ4" s="248"/>
      <c r="NTR4" s="248"/>
      <c r="NTS4" s="248"/>
      <c r="NTT4" s="248"/>
      <c r="NTU4" s="248"/>
      <c r="NTV4" s="248"/>
      <c r="NTW4" s="248"/>
      <c r="NTX4" s="248"/>
      <c r="NTY4" s="248"/>
      <c r="NTZ4" s="248"/>
      <c r="NUA4" s="248"/>
      <c r="NUB4" s="248"/>
      <c r="NUC4" s="248"/>
      <c r="NUD4" s="248"/>
      <c r="NUE4" s="248"/>
      <c r="NUF4" s="248"/>
      <c r="NUG4" s="248"/>
      <c r="NUH4" s="248"/>
      <c r="NUI4" s="248"/>
      <c r="NUJ4" s="248"/>
      <c r="NUK4" s="248"/>
      <c r="NUL4" s="248"/>
      <c r="NUM4" s="248"/>
      <c r="NUN4" s="248"/>
      <c r="NUO4" s="248"/>
      <c r="NUP4" s="248"/>
      <c r="NUQ4" s="248"/>
      <c r="NUR4" s="248"/>
      <c r="NUS4" s="248"/>
      <c r="NUT4" s="248"/>
      <c r="NUU4" s="248"/>
      <c r="NUV4" s="248"/>
      <c r="NUW4" s="248"/>
      <c r="NUX4" s="248"/>
      <c r="NUY4" s="248"/>
      <c r="NUZ4" s="248"/>
      <c r="NVA4" s="248"/>
      <c r="NVB4" s="248"/>
      <c r="NVC4" s="248"/>
      <c r="NVD4" s="248"/>
      <c r="NVE4" s="248"/>
      <c r="NVF4" s="248"/>
      <c r="NVG4" s="248"/>
      <c r="NVH4" s="248"/>
      <c r="NVI4" s="248"/>
      <c r="NVJ4" s="248"/>
      <c r="NVK4" s="248"/>
      <c r="NVL4" s="248"/>
      <c r="NVM4" s="248"/>
      <c r="NVN4" s="248"/>
      <c r="NVO4" s="248"/>
      <c r="NVP4" s="248"/>
      <c r="NVQ4" s="248"/>
      <c r="NVR4" s="248"/>
      <c r="NVS4" s="248"/>
      <c r="NVT4" s="248"/>
      <c r="NVU4" s="248"/>
      <c r="NVV4" s="248"/>
      <c r="NVW4" s="248"/>
      <c r="NVX4" s="248"/>
      <c r="NVY4" s="248"/>
      <c r="NVZ4" s="248"/>
      <c r="NWA4" s="248"/>
      <c r="NWB4" s="248"/>
      <c r="NWC4" s="248"/>
      <c r="NWD4" s="248"/>
      <c r="NWE4" s="248"/>
      <c r="NWF4" s="248"/>
      <c r="NWG4" s="248"/>
      <c r="NWH4" s="248"/>
      <c r="NWI4" s="248"/>
      <c r="NWJ4" s="248"/>
      <c r="NWK4" s="248"/>
      <c r="NWL4" s="248"/>
      <c r="NWM4" s="248"/>
      <c r="NWN4" s="248"/>
      <c r="NWO4" s="248"/>
      <c r="NWP4" s="248"/>
      <c r="NWQ4" s="248"/>
      <c r="NWR4" s="248"/>
      <c r="NWS4" s="248"/>
      <c r="NWT4" s="248"/>
      <c r="NWU4" s="248"/>
      <c r="NWV4" s="248"/>
      <c r="NWW4" s="248"/>
      <c r="NWX4" s="248"/>
      <c r="NWY4" s="248"/>
      <c r="NWZ4" s="248"/>
      <c r="NXA4" s="248"/>
      <c r="NXB4" s="248"/>
      <c r="NXC4" s="248"/>
      <c r="NXD4" s="248"/>
      <c r="NXE4" s="248"/>
      <c r="NXF4" s="248"/>
      <c r="NXG4" s="248"/>
      <c r="NXH4" s="248"/>
      <c r="NXI4" s="248"/>
      <c r="NXJ4" s="248"/>
      <c r="NXK4" s="248"/>
      <c r="NXL4" s="248"/>
      <c r="NXM4" s="248"/>
      <c r="NXN4" s="248"/>
      <c r="NXO4" s="248"/>
      <c r="NXP4" s="248"/>
      <c r="NXQ4" s="248"/>
      <c r="NXR4" s="248"/>
      <c r="NXS4" s="248"/>
      <c r="NXT4" s="248"/>
      <c r="NXU4" s="248"/>
      <c r="NXV4" s="248"/>
      <c r="NXW4" s="248"/>
      <c r="NXX4" s="248"/>
      <c r="NXY4" s="248"/>
      <c r="NXZ4" s="248"/>
      <c r="NYA4" s="248"/>
      <c r="NYB4" s="248"/>
      <c r="NYC4" s="248"/>
      <c r="NYD4" s="248"/>
      <c r="NYE4" s="248"/>
      <c r="NYF4" s="248"/>
      <c r="NYG4" s="248"/>
      <c r="NYH4" s="248"/>
      <c r="NYI4" s="248"/>
      <c r="NYJ4" s="248"/>
      <c r="NYK4" s="248"/>
      <c r="NYL4" s="248"/>
      <c r="NYM4" s="248"/>
      <c r="NYN4" s="248"/>
      <c r="NYO4" s="248"/>
      <c r="NYP4" s="248"/>
      <c r="NYQ4" s="248"/>
      <c r="NYR4" s="248"/>
      <c r="NYS4" s="248"/>
      <c r="NYT4" s="248"/>
      <c r="NYU4" s="248"/>
      <c r="NYV4" s="248"/>
      <c r="NYW4" s="248"/>
      <c r="NYX4" s="248"/>
      <c r="NYY4" s="248"/>
      <c r="NYZ4" s="248"/>
      <c r="NZA4" s="248"/>
      <c r="NZB4" s="248"/>
      <c r="NZC4" s="248"/>
      <c r="NZD4" s="248"/>
      <c r="NZE4" s="248"/>
      <c r="NZF4" s="248"/>
      <c r="NZG4" s="248"/>
      <c r="NZH4" s="248"/>
      <c r="NZI4" s="248"/>
      <c r="NZJ4" s="248"/>
      <c r="NZK4" s="248"/>
      <c r="NZL4" s="248"/>
      <c r="NZM4" s="248"/>
      <c r="NZN4" s="248"/>
      <c r="NZO4" s="248"/>
      <c r="NZP4" s="248"/>
      <c r="NZQ4" s="248"/>
      <c r="NZR4" s="248"/>
      <c r="NZS4" s="248"/>
      <c r="NZT4" s="248"/>
      <c r="NZU4" s="248"/>
      <c r="NZV4" s="248"/>
      <c r="NZW4" s="248"/>
      <c r="NZX4" s="248"/>
      <c r="NZY4" s="248"/>
      <c r="NZZ4" s="248"/>
      <c r="OAA4" s="248"/>
      <c r="OAB4" s="248"/>
      <c r="OAC4" s="248"/>
      <c r="OAD4" s="248"/>
      <c r="OAE4" s="248"/>
      <c r="OAF4" s="248"/>
      <c r="OAG4" s="248"/>
      <c r="OAH4" s="248"/>
      <c r="OAI4" s="248"/>
      <c r="OAJ4" s="248"/>
      <c r="OAK4" s="248"/>
      <c r="OAL4" s="248"/>
      <c r="OAM4" s="248"/>
      <c r="OAN4" s="248"/>
      <c r="OAO4" s="248"/>
      <c r="OAP4" s="248"/>
      <c r="OAQ4" s="248"/>
      <c r="OAR4" s="248"/>
      <c r="OAS4" s="248"/>
      <c r="OAT4" s="248"/>
      <c r="OAU4" s="248"/>
      <c r="OAV4" s="248"/>
      <c r="OAW4" s="248"/>
      <c r="OAX4" s="248"/>
      <c r="OAY4" s="248"/>
      <c r="OAZ4" s="248"/>
      <c r="OBA4" s="248"/>
      <c r="OBB4" s="248"/>
      <c r="OBC4" s="248"/>
      <c r="OBD4" s="248"/>
      <c r="OBE4" s="248"/>
      <c r="OBF4" s="248"/>
      <c r="OBG4" s="248"/>
      <c r="OBH4" s="248"/>
      <c r="OBI4" s="248"/>
      <c r="OBJ4" s="248"/>
      <c r="OBK4" s="248"/>
      <c r="OBL4" s="248"/>
      <c r="OBM4" s="248"/>
      <c r="OBN4" s="248"/>
      <c r="OBO4" s="248"/>
      <c r="OBP4" s="248"/>
      <c r="OBQ4" s="248"/>
      <c r="OBR4" s="248"/>
      <c r="OBS4" s="248"/>
      <c r="OBT4" s="248"/>
      <c r="OBU4" s="248"/>
      <c r="OBV4" s="248"/>
      <c r="OBW4" s="248"/>
      <c r="OBX4" s="248"/>
      <c r="OBY4" s="248"/>
      <c r="OBZ4" s="248"/>
      <c r="OCA4" s="248"/>
      <c r="OCB4" s="248"/>
      <c r="OCC4" s="248"/>
      <c r="OCD4" s="248"/>
      <c r="OCE4" s="248"/>
      <c r="OCF4" s="248"/>
      <c r="OCG4" s="248"/>
      <c r="OCH4" s="248"/>
      <c r="OCI4" s="248"/>
      <c r="OCJ4" s="248"/>
      <c r="OCK4" s="248"/>
      <c r="OCL4" s="248"/>
      <c r="OCM4" s="248"/>
      <c r="OCN4" s="248"/>
      <c r="OCO4" s="248"/>
      <c r="OCP4" s="248"/>
      <c r="OCQ4" s="248"/>
      <c r="OCR4" s="248"/>
      <c r="OCS4" s="248"/>
      <c r="OCT4" s="248"/>
      <c r="OCU4" s="248"/>
      <c r="OCV4" s="248"/>
      <c r="OCW4" s="248"/>
      <c r="OCX4" s="248"/>
      <c r="OCY4" s="248"/>
      <c r="OCZ4" s="248"/>
      <c r="ODA4" s="248"/>
      <c r="ODB4" s="248"/>
      <c r="ODC4" s="248"/>
      <c r="ODD4" s="248"/>
      <c r="ODE4" s="248"/>
      <c r="ODF4" s="248"/>
      <c r="ODG4" s="248"/>
      <c r="ODH4" s="248"/>
      <c r="ODI4" s="248"/>
      <c r="ODJ4" s="248"/>
      <c r="ODK4" s="248"/>
      <c r="ODL4" s="248"/>
      <c r="ODM4" s="248"/>
      <c r="ODN4" s="248"/>
      <c r="ODO4" s="248"/>
      <c r="ODP4" s="248"/>
      <c r="ODQ4" s="248"/>
      <c r="ODR4" s="248"/>
      <c r="ODS4" s="248"/>
      <c r="ODT4" s="248"/>
      <c r="ODU4" s="248"/>
      <c r="ODV4" s="248"/>
      <c r="ODW4" s="248"/>
      <c r="ODX4" s="248"/>
      <c r="ODY4" s="248"/>
      <c r="ODZ4" s="248"/>
      <c r="OEA4" s="248"/>
      <c r="OEB4" s="248"/>
      <c r="OEC4" s="248"/>
      <c r="OED4" s="248"/>
      <c r="OEE4" s="248"/>
      <c r="OEF4" s="248"/>
      <c r="OEG4" s="248"/>
      <c r="OEH4" s="248"/>
      <c r="OEI4" s="248"/>
      <c r="OEJ4" s="248"/>
      <c r="OEK4" s="248"/>
      <c r="OEL4" s="248"/>
      <c r="OEM4" s="248"/>
      <c r="OEN4" s="248"/>
      <c r="OEO4" s="248"/>
      <c r="OEP4" s="248"/>
      <c r="OEQ4" s="248"/>
      <c r="OER4" s="248"/>
      <c r="OES4" s="248"/>
      <c r="OET4" s="248"/>
      <c r="OEU4" s="248"/>
      <c r="OEV4" s="248"/>
      <c r="OEW4" s="248"/>
      <c r="OEX4" s="248"/>
      <c r="OEY4" s="248"/>
      <c r="OEZ4" s="248"/>
      <c r="OFA4" s="248"/>
      <c r="OFB4" s="248"/>
      <c r="OFC4" s="248"/>
      <c r="OFD4" s="248"/>
      <c r="OFE4" s="248"/>
      <c r="OFF4" s="248"/>
      <c r="OFG4" s="248"/>
      <c r="OFH4" s="248"/>
      <c r="OFI4" s="248"/>
      <c r="OFJ4" s="248"/>
      <c r="OFK4" s="248"/>
      <c r="OFL4" s="248"/>
      <c r="OFM4" s="248"/>
      <c r="OFN4" s="248"/>
      <c r="OFO4" s="248"/>
      <c r="OFP4" s="248"/>
      <c r="OFQ4" s="248"/>
      <c r="OFR4" s="248"/>
      <c r="OFS4" s="248"/>
      <c r="OFT4" s="248"/>
      <c r="OFU4" s="248"/>
      <c r="OFV4" s="248"/>
      <c r="OFW4" s="248"/>
      <c r="OFX4" s="248"/>
      <c r="OFY4" s="248"/>
      <c r="OFZ4" s="248"/>
      <c r="OGA4" s="248"/>
      <c r="OGB4" s="248"/>
      <c r="OGC4" s="248"/>
      <c r="OGD4" s="248"/>
      <c r="OGE4" s="248"/>
      <c r="OGF4" s="248"/>
      <c r="OGG4" s="248"/>
      <c r="OGH4" s="248"/>
      <c r="OGI4" s="248"/>
      <c r="OGJ4" s="248"/>
      <c r="OGK4" s="248"/>
      <c r="OGL4" s="248"/>
      <c r="OGM4" s="248"/>
      <c r="OGN4" s="248"/>
      <c r="OGO4" s="248"/>
      <c r="OGP4" s="248"/>
      <c r="OGQ4" s="248"/>
      <c r="OGR4" s="248"/>
      <c r="OGS4" s="248"/>
      <c r="OGT4" s="248"/>
      <c r="OGU4" s="248"/>
      <c r="OGV4" s="248"/>
      <c r="OGW4" s="248"/>
      <c r="OGX4" s="248"/>
      <c r="OGY4" s="248"/>
      <c r="OGZ4" s="248"/>
      <c r="OHA4" s="248"/>
      <c r="OHB4" s="248"/>
      <c r="OHC4" s="248"/>
      <c r="OHD4" s="248"/>
      <c r="OHE4" s="248"/>
      <c r="OHF4" s="248"/>
      <c r="OHG4" s="248"/>
      <c r="OHH4" s="248"/>
      <c r="OHI4" s="248"/>
      <c r="OHJ4" s="248"/>
      <c r="OHK4" s="248"/>
      <c r="OHL4" s="248"/>
      <c r="OHM4" s="248"/>
      <c r="OHN4" s="248"/>
      <c r="OHO4" s="248"/>
      <c r="OHP4" s="248"/>
      <c r="OHQ4" s="248"/>
      <c r="OHR4" s="248"/>
      <c r="OHS4" s="248"/>
      <c r="OHT4" s="248"/>
      <c r="OHU4" s="248"/>
      <c r="OHV4" s="248"/>
      <c r="OHW4" s="248"/>
      <c r="OHX4" s="248"/>
      <c r="OHY4" s="248"/>
      <c r="OHZ4" s="248"/>
      <c r="OIA4" s="248"/>
      <c r="OIB4" s="248"/>
      <c r="OIC4" s="248"/>
      <c r="OID4" s="248"/>
      <c r="OIE4" s="248"/>
      <c r="OIF4" s="248"/>
      <c r="OIG4" s="248"/>
      <c r="OIH4" s="248"/>
      <c r="OII4" s="248"/>
      <c r="OIJ4" s="248"/>
      <c r="OIK4" s="248"/>
      <c r="OIL4" s="248"/>
      <c r="OIM4" s="248"/>
      <c r="OIN4" s="248"/>
      <c r="OIO4" s="248"/>
      <c r="OIP4" s="248"/>
      <c r="OIQ4" s="248"/>
      <c r="OIR4" s="248"/>
      <c r="OIS4" s="248"/>
      <c r="OIT4" s="248"/>
      <c r="OIU4" s="248"/>
      <c r="OIV4" s="248"/>
      <c r="OIW4" s="248"/>
      <c r="OIX4" s="248"/>
      <c r="OIY4" s="248"/>
      <c r="OIZ4" s="248"/>
      <c r="OJA4" s="248"/>
      <c r="OJB4" s="248"/>
      <c r="OJC4" s="248"/>
      <c r="OJD4" s="248"/>
      <c r="OJE4" s="248"/>
      <c r="OJF4" s="248"/>
      <c r="OJG4" s="248"/>
      <c r="OJH4" s="248"/>
      <c r="OJI4" s="248"/>
      <c r="OJJ4" s="248"/>
      <c r="OJK4" s="248"/>
      <c r="OJL4" s="248"/>
      <c r="OJM4" s="248"/>
      <c r="OJN4" s="248"/>
      <c r="OJO4" s="248"/>
      <c r="OJP4" s="248"/>
      <c r="OJQ4" s="248"/>
      <c r="OJR4" s="248"/>
      <c r="OJS4" s="248"/>
      <c r="OJT4" s="248"/>
      <c r="OJU4" s="248"/>
      <c r="OJV4" s="248"/>
      <c r="OJW4" s="248"/>
      <c r="OJX4" s="248"/>
      <c r="OJY4" s="248"/>
      <c r="OJZ4" s="248"/>
      <c r="OKA4" s="248"/>
      <c r="OKB4" s="248"/>
      <c r="OKC4" s="248"/>
      <c r="OKD4" s="248"/>
      <c r="OKE4" s="248"/>
      <c r="OKF4" s="248"/>
      <c r="OKG4" s="248"/>
      <c r="OKH4" s="248"/>
      <c r="OKI4" s="248"/>
      <c r="OKJ4" s="248"/>
      <c r="OKK4" s="248"/>
      <c r="OKL4" s="248"/>
      <c r="OKM4" s="248"/>
      <c r="OKN4" s="248"/>
      <c r="OKO4" s="248"/>
      <c r="OKP4" s="248"/>
      <c r="OKQ4" s="248"/>
      <c r="OKR4" s="248"/>
      <c r="OKS4" s="248"/>
      <c r="OKT4" s="248"/>
      <c r="OKU4" s="248"/>
      <c r="OKV4" s="248"/>
      <c r="OKW4" s="248"/>
      <c r="OKX4" s="248"/>
      <c r="OKY4" s="248"/>
      <c r="OKZ4" s="248"/>
      <c r="OLA4" s="248"/>
      <c r="OLB4" s="248"/>
      <c r="OLC4" s="248"/>
      <c r="OLD4" s="248"/>
      <c r="OLE4" s="248"/>
      <c r="OLF4" s="248"/>
      <c r="OLG4" s="248"/>
      <c r="OLH4" s="248"/>
      <c r="OLI4" s="248"/>
      <c r="OLJ4" s="248"/>
      <c r="OLK4" s="248"/>
      <c r="OLL4" s="248"/>
      <c r="OLM4" s="248"/>
      <c r="OLN4" s="248"/>
      <c r="OLO4" s="248"/>
      <c r="OLP4" s="248"/>
      <c r="OLQ4" s="248"/>
      <c r="OLR4" s="248"/>
      <c r="OLS4" s="248"/>
      <c r="OLT4" s="248"/>
      <c r="OLU4" s="248"/>
      <c r="OLV4" s="248"/>
      <c r="OLW4" s="248"/>
      <c r="OLX4" s="248"/>
      <c r="OLY4" s="248"/>
      <c r="OLZ4" s="248"/>
      <c r="OMA4" s="248"/>
      <c r="OMB4" s="248"/>
      <c r="OMC4" s="248"/>
      <c r="OMD4" s="248"/>
      <c r="OME4" s="248"/>
      <c r="OMF4" s="248"/>
      <c r="OMG4" s="248"/>
      <c r="OMH4" s="248"/>
      <c r="OMI4" s="248"/>
      <c r="OMJ4" s="248"/>
      <c r="OMK4" s="248"/>
      <c r="OML4" s="248"/>
      <c r="OMM4" s="248"/>
      <c r="OMN4" s="248"/>
      <c r="OMO4" s="248"/>
      <c r="OMP4" s="248"/>
      <c r="OMQ4" s="248"/>
      <c r="OMR4" s="248"/>
      <c r="OMS4" s="248"/>
      <c r="OMT4" s="248"/>
      <c r="OMU4" s="248"/>
      <c r="OMV4" s="248"/>
      <c r="OMW4" s="248"/>
      <c r="OMX4" s="248"/>
      <c r="OMY4" s="248"/>
      <c r="OMZ4" s="248"/>
      <c r="ONA4" s="248"/>
      <c r="ONB4" s="248"/>
      <c r="ONC4" s="248"/>
      <c r="OND4" s="248"/>
      <c r="ONE4" s="248"/>
      <c r="ONF4" s="248"/>
      <c r="ONG4" s="248"/>
      <c r="ONH4" s="248"/>
      <c r="ONI4" s="248"/>
      <c r="ONJ4" s="248"/>
      <c r="ONK4" s="248"/>
      <c r="ONL4" s="248"/>
      <c r="ONM4" s="248"/>
      <c r="ONN4" s="248"/>
      <c r="ONO4" s="248"/>
      <c r="ONP4" s="248"/>
      <c r="ONQ4" s="248"/>
      <c r="ONR4" s="248"/>
      <c r="ONS4" s="248"/>
      <c r="ONT4" s="248"/>
      <c r="ONU4" s="248"/>
      <c r="ONV4" s="248"/>
      <c r="ONW4" s="248"/>
      <c r="ONX4" s="248"/>
      <c r="ONY4" s="248"/>
      <c r="ONZ4" s="248"/>
      <c r="OOA4" s="248"/>
      <c r="OOB4" s="248"/>
      <c r="OOC4" s="248"/>
      <c r="OOD4" s="248"/>
      <c r="OOE4" s="248"/>
      <c r="OOF4" s="248"/>
      <c r="OOG4" s="248"/>
      <c r="OOH4" s="248"/>
      <c r="OOI4" s="248"/>
      <c r="OOJ4" s="248"/>
      <c r="OOK4" s="248"/>
      <c r="OOL4" s="248"/>
      <c r="OOM4" s="248"/>
      <c r="OON4" s="248"/>
      <c r="OOO4" s="248"/>
      <c r="OOP4" s="248"/>
      <c r="OOQ4" s="248"/>
      <c r="OOR4" s="248"/>
      <c r="OOS4" s="248"/>
      <c r="OOT4" s="248"/>
      <c r="OOU4" s="248"/>
      <c r="OOV4" s="248"/>
      <c r="OOW4" s="248"/>
      <c r="OOX4" s="248"/>
      <c r="OOY4" s="248"/>
      <c r="OOZ4" s="248"/>
      <c r="OPA4" s="248"/>
      <c r="OPB4" s="248"/>
      <c r="OPC4" s="248"/>
      <c r="OPD4" s="248"/>
      <c r="OPE4" s="248"/>
      <c r="OPF4" s="248"/>
      <c r="OPG4" s="248"/>
      <c r="OPH4" s="248"/>
      <c r="OPI4" s="248"/>
      <c r="OPJ4" s="248"/>
      <c r="OPK4" s="248"/>
      <c r="OPL4" s="248"/>
      <c r="OPM4" s="248"/>
      <c r="OPN4" s="248"/>
      <c r="OPO4" s="248"/>
      <c r="OPP4" s="248"/>
      <c r="OPQ4" s="248"/>
      <c r="OPR4" s="248"/>
      <c r="OPS4" s="248"/>
      <c r="OPT4" s="248"/>
      <c r="OPU4" s="248"/>
      <c r="OPV4" s="248"/>
      <c r="OPW4" s="248"/>
      <c r="OPX4" s="248"/>
      <c r="OPY4" s="248"/>
      <c r="OPZ4" s="248"/>
      <c r="OQA4" s="248"/>
      <c r="OQB4" s="248"/>
      <c r="OQC4" s="248"/>
      <c r="OQD4" s="248"/>
      <c r="OQE4" s="248"/>
      <c r="OQF4" s="248"/>
      <c r="OQG4" s="248"/>
      <c r="OQH4" s="248"/>
      <c r="OQI4" s="248"/>
      <c r="OQJ4" s="248"/>
      <c r="OQK4" s="248"/>
      <c r="OQL4" s="248"/>
      <c r="OQM4" s="248"/>
      <c r="OQN4" s="248"/>
      <c r="OQO4" s="248"/>
      <c r="OQP4" s="248"/>
      <c r="OQQ4" s="248"/>
      <c r="OQR4" s="248"/>
      <c r="OQS4" s="248"/>
      <c r="OQT4" s="248"/>
      <c r="OQU4" s="248"/>
      <c r="OQV4" s="248"/>
      <c r="OQW4" s="248"/>
      <c r="OQX4" s="248"/>
      <c r="OQY4" s="248"/>
      <c r="OQZ4" s="248"/>
      <c r="ORA4" s="248"/>
      <c r="ORB4" s="248"/>
      <c r="ORC4" s="248"/>
      <c r="ORD4" s="248"/>
      <c r="ORE4" s="248"/>
      <c r="ORF4" s="248"/>
      <c r="ORG4" s="248"/>
      <c r="ORH4" s="248"/>
      <c r="ORI4" s="248"/>
      <c r="ORJ4" s="248"/>
      <c r="ORK4" s="248"/>
      <c r="ORL4" s="248"/>
      <c r="ORM4" s="248"/>
      <c r="ORN4" s="248"/>
      <c r="ORO4" s="248"/>
      <c r="ORP4" s="248"/>
      <c r="ORQ4" s="248"/>
      <c r="ORR4" s="248"/>
      <c r="ORS4" s="248"/>
      <c r="ORT4" s="248"/>
      <c r="ORU4" s="248"/>
      <c r="ORV4" s="248"/>
      <c r="ORW4" s="248"/>
      <c r="ORX4" s="248"/>
      <c r="ORY4" s="248"/>
      <c r="ORZ4" s="248"/>
      <c r="OSA4" s="248"/>
      <c r="OSB4" s="248"/>
      <c r="OSC4" s="248"/>
      <c r="OSD4" s="248"/>
      <c r="OSE4" s="248"/>
      <c r="OSF4" s="248"/>
      <c r="OSG4" s="248"/>
      <c r="OSH4" s="248"/>
      <c r="OSI4" s="248"/>
      <c r="OSJ4" s="248"/>
      <c r="OSK4" s="248"/>
      <c r="OSL4" s="248"/>
      <c r="OSM4" s="248"/>
      <c r="OSN4" s="248"/>
      <c r="OSO4" s="248"/>
      <c r="OSP4" s="248"/>
      <c r="OSQ4" s="248"/>
      <c r="OSR4" s="248"/>
      <c r="OSS4" s="248"/>
      <c r="OST4" s="248"/>
      <c r="OSU4" s="248"/>
      <c r="OSV4" s="248"/>
      <c r="OSW4" s="248"/>
      <c r="OSX4" s="248"/>
      <c r="OSY4" s="248"/>
      <c r="OSZ4" s="248"/>
      <c r="OTA4" s="248"/>
      <c r="OTB4" s="248"/>
      <c r="OTC4" s="248"/>
      <c r="OTD4" s="248"/>
      <c r="OTE4" s="248"/>
      <c r="OTF4" s="248"/>
      <c r="OTG4" s="248"/>
      <c r="OTH4" s="248"/>
      <c r="OTI4" s="248"/>
      <c r="OTJ4" s="248"/>
      <c r="OTK4" s="248"/>
      <c r="OTL4" s="248"/>
      <c r="OTM4" s="248"/>
      <c r="OTN4" s="248"/>
      <c r="OTO4" s="248"/>
      <c r="OTP4" s="248"/>
      <c r="OTQ4" s="248"/>
      <c r="OTR4" s="248"/>
      <c r="OTS4" s="248"/>
      <c r="OTT4" s="248"/>
      <c r="OTU4" s="248"/>
      <c r="OTV4" s="248"/>
      <c r="OTW4" s="248"/>
      <c r="OTX4" s="248"/>
      <c r="OTY4" s="248"/>
      <c r="OTZ4" s="248"/>
      <c r="OUA4" s="248"/>
      <c r="OUB4" s="248"/>
      <c r="OUC4" s="248"/>
      <c r="OUD4" s="248"/>
      <c r="OUE4" s="248"/>
      <c r="OUF4" s="248"/>
      <c r="OUG4" s="248"/>
      <c r="OUH4" s="248"/>
      <c r="OUI4" s="248"/>
      <c r="OUJ4" s="248"/>
      <c r="OUK4" s="248"/>
      <c r="OUL4" s="248"/>
      <c r="OUM4" s="248"/>
      <c r="OUN4" s="248"/>
      <c r="OUO4" s="248"/>
      <c r="OUP4" s="248"/>
      <c r="OUQ4" s="248"/>
      <c r="OUR4" s="248"/>
      <c r="OUS4" s="248"/>
      <c r="OUT4" s="248"/>
      <c r="OUU4" s="248"/>
      <c r="OUV4" s="248"/>
      <c r="OUW4" s="248"/>
      <c r="OUX4" s="248"/>
      <c r="OUY4" s="248"/>
      <c r="OUZ4" s="248"/>
      <c r="OVA4" s="248"/>
      <c r="OVB4" s="248"/>
      <c r="OVC4" s="248"/>
      <c r="OVD4" s="248"/>
      <c r="OVE4" s="248"/>
      <c r="OVF4" s="248"/>
      <c r="OVG4" s="248"/>
      <c r="OVH4" s="248"/>
      <c r="OVI4" s="248"/>
      <c r="OVJ4" s="248"/>
      <c r="OVK4" s="248"/>
      <c r="OVL4" s="248"/>
      <c r="OVM4" s="248"/>
      <c r="OVN4" s="248"/>
      <c r="OVO4" s="248"/>
      <c r="OVP4" s="248"/>
      <c r="OVQ4" s="248"/>
      <c r="OVR4" s="248"/>
      <c r="OVS4" s="248"/>
      <c r="OVT4" s="248"/>
      <c r="OVU4" s="248"/>
      <c r="OVV4" s="248"/>
      <c r="OVW4" s="248"/>
      <c r="OVX4" s="248"/>
      <c r="OVY4" s="248"/>
      <c r="OVZ4" s="248"/>
      <c r="OWA4" s="248"/>
      <c r="OWB4" s="248"/>
      <c r="OWC4" s="248"/>
      <c r="OWD4" s="248"/>
      <c r="OWE4" s="248"/>
      <c r="OWF4" s="248"/>
      <c r="OWG4" s="248"/>
      <c r="OWH4" s="248"/>
      <c r="OWI4" s="248"/>
      <c r="OWJ4" s="248"/>
      <c r="OWK4" s="248"/>
      <c r="OWL4" s="248"/>
      <c r="OWM4" s="248"/>
      <c r="OWN4" s="248"/>
      <c r="OWO4" s="248"/>
      <c r="OWP4" s="248"/>
      <c r="OWQ4" s="248"/>
      <c r="OWR4" s="248"/>
      <c r="OWS4" s="248"/>
      <c r="OWT4" s="248"/>
      <c r="OWU4" s="248"/>
      <c r="OWV4" s="248"/>
      <c r="OWW4" s="248"/>
      <c r="OWX4" s="248"/>
      <c r="OWY4" s="248"/>
      <c r="OWZ4" s="248"/>
      <c r="OXA4" s="248"/>
      <c r="OXB4" s="248"/>
      <c r="OXC4" s="248"/>
      <c r="OXD4" s="248"/>
      <c r="OXE4" s="248"/>
      <c r="OXF4" s="248"/>
      <c r="OXG4" s="248"/>
      <c r="OXH4" s="248"/>
      <c r="OXI4" s="248"/>
      <c r="OXJ4" s="248"/>
      <c r="OXK4" s="248"/>
      <c r="OXL4" s="248"/>
      <c r="OXM4" s="248"/>
      <c r="OXN4" s="248"/>
      <c r="OXO4" s="248"/>
      <c r="OXP4" s="248"/>
      <c r="OXQ4" s="248"/>
      <c r="OXR4" s="248"/>
      <c r="OXS4" s="248"/>
      <c r="OXT4" s="248"/>
      <c r="OXU4" s="248"/>
      <c r="OXV4" s="248"/>
      <c r="OXW4" s="248"/>
      <c r="OXX4" s="248"/>
      <c r="OXY4" s="248"/>
      <c r="OXZ4" s="248"/>
      <c r="OYA4" s="248"/>
      <c r="OYB4" s="248"/>
      <c r="OYC4" s="248"/>
      <c r="OYD4" s="248"/>
      <c r="OYE4" s="248"/>
      <c r="OYF4" s="248"/>
      <c r="OYG4" s="248"/>
      <c r="OYH4" s="248"/>
      <c r="OYI4" s="248"/>
      <c r="OYJ4" s="248"/>
      <c r="OYK4" s="248"/>
      <c r="OYL4" s="248"/>
      <c r="OYM4" s="248"/>
      <c r="OYN4" s="248"/>
      <c r="OYO4" s="248"/>
      <c r="OYP4" s="248"/>
      <c r="OYQ4" s="248"/>
      <c r="OYR4" s="248"/>
      <c r="OYS4" s="248"/>
      <c r="OYT4" s="248"/>
      <c r="OYU4" s="248"/>
      <c r="OYV4" s="248"/>
      <c r="OYW4" s="248"/>
      <c r="OYX4" s="248"/>
      <c r="OYY4" s="248"/>
      <c r="OYZ4" s="248"/>
      <c r="OZA4" s="248"/>
      <c r="OZB4" s="248"/>
      <c r="OZC4" s="248"/>
      <c r="OZD4" s="248"/>
      <c r="OZE4" s="248"/>
      <c r="OZF4" s="248"/>
      <c r="OZG4" s="248"/>
      <c r="OZH4" s="248"/>
      <c r="OZI4" s="248"/>
      <c r="OZJ4" s="248"/>
      <c r="OZK4" s="248"/>
      <c r="OZL4" s="248"/>
      <c r="OZM4" s="248"/>
      <c r="OZN4" s="248"/>
      <c r="OZO4" s="248"/>
      <c r="OZP4" s="248"/>
      <c r="OZQ4" s="248"/>
      <c r="OZR4" s="248"/>
      <c r="OZS4" s="248"/>
      <c r="OZT4" s="248"/>
      <c r="OZU4" s="248"/>
      <c r="OZV4" s="248"/>
      <c r="OZW4" s="248"/>
      <c r="OZX4" s="248"/>
      <c r="OZY4" s="248"/>
      <c r="OZZ4" s="248"/>
      <c r="PAA4" s="248"/>
      <c r="PAB4" s="248"/>
      <c r="PAC4" s="248"/>
      <c r="PAD4" s="248"/>
      <c r="PAE4" s="248"/>
      <c r="PAF4" s="248"/>
      <c r="PAG4" s="248"/>
      <c r="PAH4" s="248"/>
      <c r="PAI4" s="248"/>
      <c r="PAJ4" s="248"/>
      <c r="PAK4" s="248"/>
      <c r="PAL4" s="248"/>
      <c r="PAM4" s="248"/>
      <c r="PAN4" s="248"/>
      <c r="PAO4" s="248"/>
      <c r="PAP4" s="248"/>
      <c r="PAQ4" s="248"/>
      <c r="PAR4" s="248"/>
      <c r="PAS4" s="248"/>
      <c r="PAT4" s="248"/>
      <c r="PAU4" s="248"/>
      <c r="PAV4" s="248"/>
      <c r="PAW4" s="248"/>
      <c r="PAX4" s="248"/>
      <c r="PAY4" s="248"/>
      <c r="PAZ4" s="248"/>
      <c r="PBA4" s="248"/>
      <c r="PBB4" s="248"/>
      <c r="PBC4" s="248"/>
      <c r="PBD4" s="248"/>
      <c r="PBE4" s="248"/>
      <c r="PBF4" s="248"/>
      <c r="PBG4" s="248"/>
      <c r="PBH4" s="248"/>
      <c r="PBI4" s="248"/>
      <c r="PBJ4" s="248"/>
      <c r="PBK4" s="248"/>
      <c r="PBL4" s="248"/>
      <c r="PBM4" s="248"/>
      <c r="PBN4" s="248"/>
      <c r="PBO4" s="248"/>
      <c r="PBP4" s="248"/>
      <c r="PBQ4" s="248"/>
      <c r="PBR4" s="248"/>
      <c r="PBS4" s="248"/>
      <c r="PBT4" s="248"/>
      <c r="PBU4" s="248"/>
      <c r="PBV4" s="248"/>
      <c r="PBW4" s="248"/>
      <c r="PBX4" s="248"/>
      <c r="PBY4" s="248"/>
      <c r="PBZ4" s="248"/>
      <c r="PCA4" s="248"/>
      <c r="PCB4" s="248"/>
      <c r="PCC4" s="248"/>
      <c r="PCD4" s="248"/>
      <c r="PCE4" s="248"/>
      <c r="PCF4" s="248"/>
      <c r="PCG4" s="248"/>
      <c r="PCH4" s="248"/>
      <c r="PCI4" s="248"/>
      <c r="PCJ4" s="248"/>
      <c r="PCK4" s="248"/>
      <c r="PCL4" s="248"/>
      <c r="PCM4" s="248"/>
      <c r="PCN4" s="248"/>
      <c r="PCO4" s="248"/>
      <c r="PCP4" s="248"/>
      <c r="PCQ4" s="248"/>
      <c r="PCR4" s="248"/>
      <c r="PCS4" s="248"/>
      <c r="PCT4" s="248"/>
      <c r="PCU4" s="248"/>
      <c r="PCV4" s="248"/>
      <c r="PCW4" s="248"/>
      <c r="PCX4" s="248"/>
      <c r="PCY4" s="248"/>
      <c r="PCZ4" s="248"/>
      <c r="PDA4" s="248"/>
      <c r="PDB4" s="248"/>
      <c r="PDC4" s="248"/>
      <c r="PDD4" s="248"/>
      <c r="PDE4" s="248"/>
      <c r="PDF4" s="248"/>
      <c r="PDG4" s="248"/>
      <c r="PDH4" s="248"/>
      <c r="PDI4" s="248"/>
      <c r="PDJ4" s="248"/>
      <c r="PDK4" s="248"/>
      <c r="PDL4" s="248"/>
      <c r="PDM4" s="248"/>
      <c r="PDN4" s="248"/>
      <c r="PDO4" s="248"/>
      <c r="PDP4" s="248"/>
      <c r="PDQ4" s="248"/>
      <c r="PDR4" s="248"/>
      <c r="PDS4" s="248"/>
      <c r="PDT4" s="248"/>
      <c r="PDU4" s="248"/>
      <c r="PDV4" s="248"/>
      <c r="PDW4" s="248"/>
      <c r="PDX4" s="248"/>
      <c r="PDY4" s="248"/>
      <c r="PDZ4" s="248"/>
      <c r="PEA4" s="248"/>
      <c r="PEB4" s="248"/>
      <c r="PEC4" s="248"/>
      <c r="PED4" s="248"/>
      <c r="PEE4" s="248"/>
      <c r="PEF4" s="248"/>
      <c r="PEG4" s="248"/>
      <c r="PEH4" s="248"/>
      <c r="PEI4" s="248"/>
      <c r="PEJ4" s="248"/>
      <c r="PEK4" s="248"/>
      <c r="PEL4" s="248"/>
      <c r="PEM4" s="248"/>
      <c r="PEN4" s="248"/>
      <c r="PEO4" s="248"/>
      <c r="PEP4" s="248"/>
      <c r="PEQ4" s="248"/>
      <c r="PER4" s="248"/>
      <c r="PES4" s="248"/>
      <c r="PET4" s="248"/>
      <c r="PEU4" s="248"/>
      <c r="PEV4" s="248"/>
      <c r="PEW4" s="248"/>
      <c r="PEX4" s="248"/>
      <c r="PEY4" s="248"/>
      <c r="PEZ4" s="248"/>
      <c r="PFA4" s="248"/>
      <c r="PFB4" s="248"/>
      <c r="PFC4" s="248"/>
      <c r="PFD4" s="248"/>
      <c r="PFE4" s="248"/>
      <c r="PFF4" s="248"/>
      <c r="PFG4" s="248"/>
      <c r="PFH4" s="248"/>
      <c r="PFI4" s="248"/>
      <c r="PFJ4" s="248"/>
      <c r="PFK4" s="248"/>
      <c r="PFL4" s="248"/>
      <c r="PFM4" s="248"/>
      <c r="PFN4" s="248"/>
      <c r="PFO4" s="248"/>
      <c r="PFP4" s="248"/>
      <c r="PFQ4" s="248"/>
      <c r="PFR4" s="248"/>
      <c r="PFS4" s="248"/>
      <c r="PFT4" s="248"/>
      <c r="PFU4" s="248"/>
      <c r="PFV4" s="248"/>
      <c r="PFW4" s="248"/>
      <c r="PFX4" s="248"/>
      <c r="PFY4" s="248"/>
      <c r="PFZ4" s="248"/>
      <c r="PGA4" s="248"/>
      <c r="PGB4" s="248"/>
      <c r="PGC4" s="248"/>
      <c r="PGD4" s="248"/>
      <c r="PGE4" s="248"/>
      <c r="PGF4" s="248"/>
      <c r="PGG4" s="248"/>
      <c r="PGH4" s="248"/>
      <c r="PGI4" s="248"/>
      <c r="PGJ4" s="248"/>
      <c r="PGK4" s="248"/>
      <c r="PGL4" s="248"/>
      <c r="PGM4" s="248"/>
      <c r="PGN4" s="248"/>
      <c r="PGO4" s="248"/>
      <c r="PGP4" s="248"/>
      <c r="PGQ4" s="248"/>
      <c r="PGR4" s="248"/>
      <c r="PGS4" s="248"/>
      <c r="PGT4" s="248"/>
      <c r="PGU4" s="248"/>
      <c r="PGV4" s="248"/>
      <c r="PGW4" s="248"/>
      <c r="PGX4" s="248"/>
      <c r="PGY4" s="248"/>
      <c r="PGZ4" s="248"/>
      <c r="PHA4" s="248"/>
      <c r="PHB4" s="248"/>
      <c r="PHC4" s="248"/>
      <c r="PHD4" s="248"/>
      <c r="PHE4" s="248"/>
      <c r="PHF4" s="248"/>
      <c r="PHG4" s="248"/>
      <c r="PHH4" s="248"/>
      <c r="PHI4" s="248"/>
      <c r="PHJ4" s="248"/>
      <c r="PHK4" s="248"/>
      <c r="PHL4" s="248"/>
      <c r="PHM4" s="248"/>
      <c r="PHN4" s="248"/>
      <c r="PHO4" s="248"/>
      <c r="PHP4" s="248"/>
      <c r="PHQ4" s="248"/>
      <c r="PHR4" s="248"/>
      <c r="PHS4" s="248"/>
      <c r="PHT4" s="248"/>
      <c r="PHU4" s="248"/>
      <c r="PHV4" s="248"/>
      <c r="PHW4" s="248"/>
      <c r="PHX4" s="248"/>
      <c r="PHY4" s="248"/>
      <c r="PHZ4" s="248"/>
      <c r="PIA4" s="248"/>
      <c r="PIB4" s="248"/>
      <c r="PIC4" s="248"/>
      <c r="PID4" s="248"/>
      <c r="PIE4" s="248"/>
      <c r="PIF4" s="248"/>
      <c r="PIG4" s="248"/>
      <c r="PIH4" s="248"/>
      <c r="PII4" s="248"/>
      <c r="PIJ4" s="248"/>
      <c r="PIK4" s="248"/>
      <c r="PIL4" s="248"/>
      <c r="PIM4" s="248"/>
      <c r="PIN4" s="248"/>
      <c r="PIO4" s="248"/>
      <c r="PIP4" s="248"/>
      <c r="PIQ4" s="248"/>
      <c r="PIR4" s="248"/>
      <c r="PIS4" s="248"/>
      <c r="PIT4" s="248"/>
      <c r="PIU4" s="248"/>
      <c r="PIV4" s="248"/>
      <c r="PIW4" s="248"/>
      <c r="PIX4" s="248"/>
      <c r="PIY4" s="248"/>
      <c r="PIZ4" s="248"/>
      <c r="PJA4" s="248"/>
      <c r="PJB4" s="248"/>
      <c r="PJC4" s="248"/>
      <c r="PJD4" s="248"/>
      <c r="PJE4" s="248"/>
      <c r="PJF4" s="248"/>
      <c r="PJG4" s="248"/>
      <c r="PJH4" s="248"/>
      <c r="PJI4" s="248"/>
      <c r="PJJ4" s="248"/>
      <c r="PJK4" s="248"/>
      <c r="PJL4" s="248"/>
      <c r="PJM4" s="248"/>
      <c r="PJN4" s="248"/>
      <c r="PJO4" s="248"/>
      <c r="PJP4" s="248"/>
      <c r="PJQ4" s="248"/>
      <c r="PJR4" s="248"/>
      <c r="PJS4" s="248"/>
      <c r="PJT4" s="248"/>
      <c r="PJU4" s="248"/>
      <c r="PJV4" s="248"/>
      <c r="PJW4" s="248"/>
      <c r="PJX4" s="248"/>
      <c r="PJY4" s="248"/>
      <c r="PJZ4" s="248"/>
      <c r="PKA4" s="248"/>
      <c r="PKB4" s="248"/>
      <c r="PKC4" s="248"/>
      <c r="PKD4" s="248"/>
      <c r="PKE4" s="248"/>
      <c r="PKF4" s="248"/>
      <c r="PKG4" s="248"/>
      <c r="PKH4" s="248"/>
      <c r="PKI4" s="248"/>
      <c r="PKJ4" s="248"/>
      <c r="PKK4" s="248"/>
      <c r="PKL4" s="248"/>
      <c r="PKM4" s="248"/>
      <c r="PKN4" s="248"/>
      <c r="PKO4" s="248"/>
      <c r="PKP4" s="248"/>
      <c r="PKQ4" s="248"/>
      <c r="PKR4" s="248"/>
      <c r="PKS4" s="248"/>
      <c r="PKT4" s="248"/>
      <c r="PKU4" s="248"/>
      <c r="PKV4" s="248"/>
      <c r="PKW4" s="248"/>
      <c r="PKX4" s="248"/>
      <c r="PKY4" s="248"/>
      <c r="PKZ4" s="248"/>
      <c r="PLA4" s="248"/>
      <c r="PLB4" s="248"/>
      <c r="PLC4" s="248"/>
      <c r="PLD4" s="248"/>
      <c r="PLE4" s="248"/>
      <c r="PLF4" s="248"/>
      <c r="PLG4" s="248"/>
      <c r="PLH4" s="248"/>
      <c r="PLI4" s="248"/>
      <c r="PLJ4" s="248"/>
      <c r="PLK4" s="248"/>
      <c r="PLL4" s="248"/>
      <c r="PLM4" s="248"/>
      <c r="PLN4" s="248"/>
      <c r="PLO4" s="248"/>
      <c r="PLP4" s="248"/>
      <c r="PLQ4" s="248"/>
      <c r="PLR4" s="248"/>
      <c r="PLS4" s="248"/>
      <c r="PLT4" s="248"/>
      <c r="PLU4" s="248"/>
      <c r="PLV4" s="248"/>
      <c r="PLW4" s="248"/>
      <c r="PLX4" s="248"/>
      <c r="PLY4" s="248"/>
      <c r="PLZ4" s="248"/>
      <c r="PMA4" s="248"/>
      <c r="PMB4" s="248"/>
      <c r="PMC4" s="248"/>
      <c r="PMD4" s="248"/>
      <c r="PME4" s="248"/>
      <c r="PMF4" s="248"/>
      <c r="PMG4" s="248"/>
      <c r="PMH4" s="248"/>
      <c r="PMI4" s="248"/>
      <c r="PMJ4" s="248"/>
      <c r="PMK4" s="248"/>
      <c r="PML4" s="248"/>
      <c r="PMM4" s="248"/>
      <c r="PMN4" s="248"/>
      <c r="PMO4" s="248"/>
      <c r="PMP4" s="248"/>
      <c r="PMQ4" s="248"/>
      <c r="PMR4" s="248"/>
      <c r="PMS4" s="248"/>
      <c r="PMT4" s="248"/>
      <c r="PMU4" s="248"/>
      <c r="PMV4" s="248"/>
      <c r="PMW4" s="248"/>
      <c r="PMX4" s="248"/>
      <c r="PMY4" s="248"/>
      <c r="PMZ4" s="248"/>
      <c r="PNA4" s="248"/>
      <c r="PNB4" s="248"/>
      <c r="PNC4" s="248"/>
      <c r="PND4" s="248"/>
      <c r="PNE4" s="248"/>
      <c r="PNF4" s="248"/>
      <c r="PNG4" s="248"/>
      <c r="PNH4" s="248"/>
      <c r="PNI4" s="248"/>
      <c r="PNJ4" s="248"/>
      <c r="PNK4" s="248"/>
      <c r="PNL4" s="248"/>
      <c r="PNM4" s="248"/>
      <c r="PNN4" s="248"/>
      <c r="PNO4" s="248"/>
      <c r="PNP4" s="248"/>
      <c r="PNQ4" s="248"/>
      <c r="PNR4" s="248"/>
      <c r="PNS4" s="248"/>
      <c r="PNT4" s="248"/>
      <c r="PNU4" s="248"/>
      <c r="PNV4" s="248"/>
      <c r="PNW4" s="248"/>
      <c r="PNX4" s="248"/>
      <c r="PNY4" s="248"/>
      <c r="PNZ4" s="248"/>
      <c r="POA4" s="248"/>
      <c r="POB4" s="248"/>
      <c r="POC4" s="248"/>
      <c r="POD4" s="248"/>
      <c r="POE4" s="248"/>
      <c r="POF4" s="248"/>
      <c r="POG4" s="248"/>
      <c r="POH4" s="248"/>
      <c r="POI4" s="248"/>
      <c r="POJ4" s="248"/>
      <c r="POK4" s="248"/>
      <c r="POL4" s="248"/>
      <c r="POM4" s="248"/>
      <c r="PON4" s="248"/>
      <c r="POO4" s="248"/>
      <c r="POP4" s="248"/>
      <c r="POQ4" s="248"/>
      <c r="POR4" s="248"/>
      <c r="POS4" s="248"/>
      <c r="POT4" s="248"/>
      <c r="POU4" s="248"/>
      <c r="POV4" s="248"/>
      <c r="POW4" s="248"/>
      <c r="POX4" s="248"/>
      <c r="POY4" s="248"/>
      <c r="POZ4" s="248"/>
      <c r="PPA4" s="248"/>
      <c r="PPB4" s="248"/>
      <c r="PPC4" s="248"/>
      <c r="PPD4" s="248"/>
      <c r="PPE4" s="248"/>
      <c r="PPF4" s="248"/>
      <c r="PPG4" s="248"/>
      <c r="PPH4" s="248"/>
      <c r="PPI4" s="248"/>
      <c r="PPJ4" s="248"/>
      <c r="PPK4" s="248"/>
      <c r="PPL4" s="248"/>
      <c r="PPM4" s="248"/>
      <c r="PPN4" s="248"/>
      <c r="PPO4" s="248"/>
      <c r="PPP4" s="248"/>
      <c r="PPQ4" s="248"/>
      <c r="PPR4" s="248"/>
      <c r="PPS4" s="248"/>
      <c r="PPT4" s="248"/>
      <c r="PPU4" s="248"/>
      <c r="PPV4" s="248"/>
      <c r="PPW4" s="248"/>
      <c r="PPX4" s="248"/>
      <c r="PPY4" s="248"/>
      <c r="PPZ4" s="248"/>
      <c r="PQA4" s="248"/>
      <c r="PQB4" s="248"/>
      <c r="PQC4" s="248"/>
      <c r="PQD4" s="248"/>
      <c r="PQE4" s="248"/>
      <c r="PQF4" s="248"/>
      <c r="PQG4" s="248"/>
      <c r="PQH4" s="248"/>
      <c r="PQI4" s="248"/>
      <c r="PQJ4" s="248"/>
      <c r="PQK4" s="248"/>
      <c r="PQL4" s="248"/>
      <c r="PQM4" s="248"/>
      <c r="PQN4" s="248"/>
      <c r="PQO4" s="248"/>
      <c r="PQP4" s="248"/>
      <c r="PQQ4" s="248"/>
      <c r="PQR4" s="248"/>
      <c r="PQS4" s="248"/>
      <c r="PQT4" s="248"/>
      <c r="PQU4" s="248"/>
      <c r="PQV4" s="248"/>
      <c r="PQW4" s="248"/>
      <c r="PQX4" s="248"/>
      <c r="PQY4" s="248"/>
      <c r="PQZ4" s="248"/>
      <c r="PRA4" s="248"/>
      <c r="PRB4" s="248"/>
      <c r="PRC4" s="248"/>
      <c r="PRD4" s="248"/>
      <c r="PRE4" s="248"/>
      <c r="PRF4" s="248"/>
      <c r="PRG4" s="248"/>
      <c r="PRH4" s="248"/>
      <c r="PRI4" s="248"/>
      <c r="PRJ4" s="248"/>
      <c r="PRK4" s="248"/>
      <c r="PRL4" s="248"/>
      <c r="PRM4" s="248"/>
      <c r="PRN4" s="248"/>
      <c r="PRO4" s="248"/>
      <c r="PRP4" s="248"/>
      <c r="PRQ4" s="248"/>
      <c r="PRR4" s="248"/>
      <c r="PRS4" s="248"/>
      <c r="PRT4" s="248"/>
      <c r="PRU4" s="248"/>
      <c r="PRV4" s="248"/>
      <c r="PRW4" s="248"/>
      <c r="PRX4" s="248"/>
      <c r="PRY4" s="248"/>
      <c r="PRZ4" s="248"/>
      <c r="PSA4" s="248"/>
      <c r="PSB4" s="248"/>
      <c r="PSC4" s="248"/>
      <c r="PSD4" s="248"/>
      <c r="PSE4" s="248"/>
      <c r="PSF4" s="248"/>
      <c r="PSG4" s="248"/>
      <c r="PSH4" s="248"/>
      <c r="PSI4" s="248"/>
      <c r="PSJ4" s="248"/>
      <c r="PSK4" s="248"/>
      <c r="PSL4" s="248"/>
      <c r="PSM4" s="248"/>
      <c r="PSN4" s="248"/>
      <c r="PSO4" s="248"/>
      <c r="PSP4" s="248"/>
      <c r="PSQ4" s="248"/>
      <c r="PSR4" s="248"/>
      <c r="PSS4" s="248"/>
      <c r="PST4" s="248"/>
      <c r="PSU4" s="248"/>
      <c r="PSV4" s="248"/>
      <c r="PSW4" s="248"/>
      <c r="PSX4" s="248"/>
      <c r="PSY4" s="248"/>
      <c r="PSZ4" s="248"/>
      <c r="PTA4" s="248"/>
      <c r="PTB4" s="248"/>
      <c r="PTC4" s="248"/>
      <c r="PTD4" s="248"/>
      <c r="PTE4" s="248"/>
      <c r="PTF4" s="248"/>
      <c r="PTG4" s="248"/>
      <c r="PTH4" s="248"/>
      <c r="PTI4" s="248"/>
      <c r="PTJ4" s="248"/>
      <c r="PTK4" s="248"/>
      <c r="PTL4" s="248"/>
      <c r="PTM4" s="248"/>
      <c r="PTN4" s="248"/>
      <c r="PTO4" s="248"/>
      <c r="PTP4" s="248"/>
      <c r="PTQ4" s="248"/>
      <c r="PTR4" s="248"/>
      <c r="PTS4" s="248"/>
      <c r="PTT4" s="248"/>
      <c r="PTU4" s="248"/>
      <c r="PTV4" s="248"/>
      <c r="PTW4" s="248"/>
      <c r="PTX4" s="248"/>
      <c r="PTY4" s="248"/>
      <c r="PTZ4" s="248"/>
      <c r="PUA4" s="248"/>
      <c r="PUB4" s="248"/>
      <c r="PUC4" s="248"/>
      <c r="PUD4" s="248"/>
      <c r="PUE4" s="248"/>
      <c r="PUF4" s="248"/>
      <c r="PUG4" s="248"/>
      <c r="PUH4" s="248"/>
      <c r="PUI4" s="248"/>
      <c r="PUJ4" s="248"/>
      <c r="PUK4" s="248"/>
      <c r="PUL4" s="248"/>
      <c r="PUM4" s="248"/>
      <c r="PUN4" s="248"/>
      <c r="PUO4" s="248"/>
      <c r="PUP4" s="248"/>
      <c r="PUQ4" s="248"/>
      <c r="PUR4" s="248"/>
      <c r="PUS4" s="248"/>
      <c r="PUT4" s="248"/>
      <c r="PUU4" s="248"/>
      <c r="PUV4" s="248"/>
      <c r="PUW4" s="248"/>
      <c r="PUX4" s="248"/>
      <c r="PUY4" s="248"/>
      <c r="PUZ4" s="248"/>
      <c r="PVA4" s="248"/>
      <c r="PVB4" s="248"/>
      <c r="PVC4" s="248"/>
      <c r="PVD4" s="248"/>
      <c r="PVE4" s="248"/>
      <c r="PVF4" s="248"/>
      <c r="PVG4" s="248"/>
      <c r="PVH4" s="248"/>
      <c r="PVI4" s="248"/>
      <c r="PVJ4" s="248"/>
      <c r="PVK4" s="248"/>
      <c r="PVL4" s="248"/>
      <c r="PVM4" s="248"/>
      <c r="PVN4" s="248"/>
      <c r="PVO4" s="248"/>
      <c r="PVP4" s="248"/>
      <c r="PVQ4" s="248"/>
      <c r="PVR4" s="248"/>
      <c r="PVS4" s="248"/>
      <c r="PVT4" s="248"/>
      <c r="PVU4" s="248"/>
      <c r="PVV4" s="248"/>
      <c r="PVW4" s="248"/>
      <c r="PVX4" s="248"/>
      <c r="PVY4" s="248"/>
      <c r="PVZ4" s="248"/>
      <c r="PWA4" s="248"/>
      <c r="PWB4" s="248"/>
      <c r="PWC4" s="248"/>
      <c r="PWD4" s="248"/>
      <c r="PWE4" s="248"/>
      <c r="PWF4" s="248"/>
      <c r="PWG4" s="248"/>
      <c r="PWH4" s="248"/>
      <c r="PWI4" s="248"/>
      <c r="PWJ4" s="248"/>
      <c r="PWK4" s="248"/>
      <c r="PWL4" s="248"/>
      <c r="PWM4" s="248"/>
      <c r="PWN4" s="248"/>
      <c r="PWO4" s="248"/>
      <c r="PWP4" s="248"/>
      <c r="PWQ4" s="248"/>
      <c r="PWR4" s="248"/>
      <c r="PWS4" s="248"/>
      <c r="PWT4" s="248"/>
      <c r="PWU4" s="248"/>
      <c r="PWV4" s="248"/>
      <c r="PWW4" s="248"/>
      <c r="PWX4" s="248"/>
      <c r="PWY4" s="248"/>
      <c r="PWZ4" s="248"/>
      <c r="PXA4" s="248"/>
      <c r="PXB4" s="248"/>
      <c r="PXC4" s="248"/>
      <c r="PXD4" s="248"/>
      <c r="PXE4" s="248"/>
      <c r="PXF4" s="248"/>
      <c r="PXG4" s="248"/>
      <c r="PXH4" s="248"/>
      <c r="PXI4" s="248"/>
      <c r="PXJ4" s="248"/>
      <c r="PXK4" s="248"/>
      <c r="PXL4" s="248"/>
      <c r="PXM4" s="248"/>
      <c r="PXN4" s="248"/>
      <c r="PXO4" s="248"/>
      <c r="PXP4" s="248"/>
      <c r="PXQ4" s="248"/>
      <c r="PXR4" s="248"/>
      <c r="PXS4" s="248"/>
      <c r="PXT4" s="248"/>
      <c r="PXU4" s="248"/>
      <c r="PXV4" s="248"/>
      <c r="PXW4" s="248"/>
      <c r="PXX4" s="248"/>
      <c r="PXY4" s="248"/>
      <c r="PXZ4" s="248"/>
      <c r="PYA4" s="248"/>
      <c r="PYB4" s="248"/>
      <c r="PYC4" s="248"/>
      <c r="PYD4" s="248"/>
      <c r="PYE4" s="248"/>
      <c r="PYF4" s="248"/>
      <c r="PYG4" s="248"/>
      <c r="PYH4" s="248"/>
      <c r="PYI4" s="248"/>
      <c r="PYJ4" s="248"/>
      <c r="PYK4" s="248"/>
      <c r="PYL4" s="248"/>
      <c r="PYM4" s="248"/>
      <c r="PYN4" s="248"/>
      <c r="PYO4" s="248"/>
      <c r="PYP4" s="248"/>
      <c r="PYQ4" s="248"/>
      <c r="PYR4" s="248"/>
      <c r="PYS4" s="248"/>
      <c r="PYT4" s="248"/>
      <c r="PYU4" s="248"/>
      <c r="PYV4" s="248"/>
      <c r="PYW4" s="248"/>
      <c r="PYX4" s="248"/>
      <c r="PYY4" s="248"/>
      <c r="PYZ4" s="248"/>
      <c r="PZA4" s="248"/>
      <c r="PZB4" s="248"/>
      <c r="PZC4" s="248"/>
      <c r="PZD4" s="248"/>
      <c r="PZE4" s="248"/>
      <c r="PZF4" s="248"/>
      <c r="PZG4" s="248"/>
      <c r="PZH4" s="248"/>
      <c r="PZI4" s="248"/>
      <c r="PZJ4" s="248"/>
      <c r="PZK4" s="248"/>
      <c r="PZL4" s="248"/>
      <c r="PZM4" s="248"/>
      <c r="PZN4" s="248"/>
      <c r="PZO4" s="248"/>
      <c r="PZP4" s="248"/>
      <c r="PZQ4" s="248"/>
      <c r="PZR4" s="248"/>
      <c r="PZS4" s="248"/>
      <c r="PZT4" s="248"/>
      <c r="PZU4" s="248"/>
      <c r="PZV4" s="248"/>
      <c r="PZW4" s="248"/>
      <c r="PZX4" s="248"/>
      <c r="PZY4" s="248"/>
      <c r="PZZ4" s="248"/>
      <c r="QAA4" s="248"/>
      <c r="QAB4" s="248"/>
      <c r="QAC4" s="248"/>
      <c r="QAD4" s="248"/>
      <c r="QAE4" s="248"/>
      <c r="QAF4" s="248"/>
      <c r="QAG4" s="248"/>
      <c r="QAH4" s="248"/>
      <c r="QAI4" s="248"/>
      <c r="QAJ4" s="248"/>
      <c r="QAK4" s="248"/>
      <c r="QAL4" s="248"/>
      <c r="QAM4" s="248"/>
      <c r="QAN4" s="248"/>
      <c r="QAO4" s="248"/>
      <c r="QAP4" s="248"/>
      <c r="QAQ4" s="248"/>
      <c r="QAR4" s="248"/>
      <c r="QAS4" s="248"/>
      <c r="QAT4" s="248"/>
      <c r="QAU4" s="248"/>
      <c r="QAV4" s="248"/>
      <c r="QAW4" s="248"/>
      <c r="QAX4" s="248"/>
      <c r="QAY4" s="248"/>
      <c r="QAZ4" s="248"/>
      <c r="QBA4" s="248"/>
      <c r="QBB4" s="248"/>
      <c r="QBC4" s="248"/>
      <c r="QBD4" s="248"/>
      <c r="QBE4" s="248"/>
      <c r="QBF4" s="248"/>
      <c r="QBG4" s="248"/>
      <c r="QBH4" s="248"/>
      <c r="QBI4" s="248"/>
      <c r="QBJ4" s="248"/>
      <c r="QBK4" s="248"/>
      <c r="QBL4" s="248"/>
      <c r="QBM4" s="248"/>
      <c r="QBN4" s="248"/>
      <c r="QBO4" s="248"/>
      <c r="QBP4" s="248"/>
      <c r="QBQ4" s="248"/>
      <c r="QBR4" s="248"/>
      <c r="QBS4" s="248"/>
      <c r="QBT4" s="248"/>
      <c r="QBU4" s="248"/>
      <c r="QBV4" s="248"/>
      <c r="QBW4" s="248"/>
      <c r="QBX4" s="248"/>
      <c r="QBY4" s="248"/>
      <c r="QBZ4" s="248"/>
      <c r="QCA4" s="248"/>
      <c r="QCB4" s="248"/>
      <c r="QCC4" s="248"/>
      <c r="QCD4" s="248"/>
      <c r="QCE4" s="248"/>
      <c r="QCF4" s="248"/>
      <c r="QCG4" s="248"/>
      <c r="QCH4" s="248"/>
      <c r="QCI4" s="248"/>
      <c r="QCJ4" s="248"/>
      <c r="QCK4" s="248"/>
      <c r="QCL4" s="248"/>
      <c r="QCM4" s="248"/>
      <c r="QCN4" s="248"/>
      <c r="QCO4" s="248"/>
      <c r="QCP4" s="248"/>
      <c r="QCQ4" s="248"/>
      <c r="QCR4" s="248"/>
      <c r="QCS4" s="248"/>
      <c r="QCT4" s="248"/>
      <c r="QCU4" s="248"/>
      <c r="QCV4" s="248"/>
      <c r="QCW4" s="248"/>
      <c r="QCX4" s="248"/>
      <c r="QCY4" s="248"/>
      <c r="QCZ4" s="248"/>
      <c r="QDA4" s="248"/>
      <c r="QDB4" s="248"/>
      <c r="QDC4" s="248"/>
      <c r="QDD4" s="248"/>
      <c r="QDE4" s="248"/>
      <c r="QDF4" s="248"/>
      <c r="QDG4" s="248"/>
      <c r="QDH4" s="248"/>
      <c r="QDI4" s="248"/>
      <c r="QDJ4" s="248"/>
      <c r="QDK4" s="248"/>
      <c r="QDL4" s="248"/>
      <c r="QDM4" s="248"/>
      <c r="QDN4" s="248"/>
      <c r="QDO4" s="248"/>
      <c r="QDP4" s="248"/>
      <c r="QDQ4" s="248"/>
      <c r="QDR4" s="248"/>
      <c r="QDS4" s="248"/>
      <c r="QDT4" s="248"/>
      <c r="QDU4" s="248"/>
      <c r="QDV4" s="248"/>
      <c r="QDW4" s="248"/>
      <c r="QDX4" s="248"/>
      <c r="QDY4" s="248"/>
      <c r="QDZ4" s="248"/>
      <c r="QEA4" s="248"/>
      <c r="QEB4" s="248"/>
      <c r="QEC4" s="248"/>
      <c r="QED4" s="248"/>
      <c r="QEE4" s="248"/>
      <c r="QEF4" s="248"/>
      <c r="QEG4" s="248"/>
      <c r="QEH4" s="248"/>
      <c r="QEI4" s="248"/>
      <c r="QEJ4" s="248"/>
      <c r="QEK4" s="248"/>
      <c r="QEL4" s="248"/>
      <c r="QEM4" s="248"/>
      <c r="QEN4" s="248"/>
      <c r="QEO4" s="248"/>
      <c r="QEP4" s="248"/>
      <c r="QEQ4" s="248"/>
      <c r="QER4" s="248"/>
      <c r="QES4" s="248"/>
      <c r="QET4" s="248"/>
      <c r="QEU4" s="248"/>
      <c r="QEV4" s="248"/>
      <c r="QEW4" s="248"/>
      <c r="QEX4" s="248"/>
      <c r="QEY4" s="248"/>
      <c r="QEZ4" s="248"/>
      <c r="QFA4" s="248"/>
      <c r="QFB4" s="248"/>
      <c r="QFC4" s="248"/>
      <c r="QFD4" s="248"/>
      <c r="QFE4" s="248"/>
      <c r="QFF4" s="248"/>
      <c r="QFG4" s="248"/>
      <c r="QFH4" s="248"/>
      <c r="QFI4" s="248"/>
      <c r="QFJ4" s="248"/>
      <c r="QFK4" s="248"/>
      <c r="QFL4" s="248"/>
      <c r="QFM4" s="248"/>
      <c r="QFN4" s="248"/>
      <c r="QFO4" s="248"/>
      <c r="QFP4" s="248"/>
      <c r="QFQ4" s="248"/>
      <c r="QFR4" s="248"/>
      <c r="QFS4" s="248"/>
      <c r="QFT4" s="248"/>
      <c r="QFU4" s="248"/>
      <c r="QFV4" s="248"/>
      <c r="QFW4" s="248"/>
      <c r="QFX4" s="248"/>
      <c r="QFY4" s="248"/>
      <c r="QFZ4" s="248"/>
      <c r="QGA4" s="248"/>
      <c r="QGB4" s="248"/>
      <c r="QGC4" s="248"/>
      <c r="QGD4" s="248"/>
      <c r="QGE4" s="248"/>
      <c r="QGF4" s="248"/>
      <c r="QGG4" s="248"/>
      <c r="QGH4" s="248"/>
      <c r="QGI4" s="248"/>
      <c r="QGJ4" s="248"/>
      <c r="QGK4" s="248"/>
      <c r="QGL4" s="248"/>
      <c r="QGM4" s="248"/>
      <c r="QGN4" s="248"/>
      <c r="QGO4" s="248"/>
      <c r="QGP4" s="248"/>
      <c r="QGQ4" s="248"/>
      <c r="QGR4" s="248"/>
      <c r="QGS4" s="248"/>
      <c r="QGT4" s="248"/>
      <c r="QGU4" s="248"/>
      <c r="QGV4" s="248"/>
      <c r="QGW4" s="248"/>
      <c r="QGX4" s="248"/>
      <c r="QGY4" s="248"/>
      <c r="QGZ4" s="248"/>
      <c r="QHA4" s="248"/>
      <c r="QHB4" s="248"/>
      <c r="QHC4" s="248"/>
      <c r="QHD4" s="248"/>
      <c r="QHE4" s="248"/>
      <c r="QHF4" s="248"/>
      <c r="QHG4" s="248"/>
      <c r="QHH4" s="248"/>
      <c r="QHI4" s="248"/>
      <c r="QHJ4" s="248"/>
      <c r="QHK4" s="248"/>
      <c r="QHL4" s="248"/>
      <c r="QHM4" s="248"/>
      <c r="QHN4" s="248"/>
      <c r="QHO4" s="248"/>
      <c r="QHP4" s="248"/>
      <c r="QHQ4" s="248"/>
      <c r="QHR4" s="248"/>
      <c r="QHS4" s="248"/>
      <c r="QHT4" s="248"/>
      <c r="QHU4" s="248"/>
      <c r="QHV4" s="248"/>
      <c r="QHW4" s="248"/>
      <c r="QHX4" s="248"/>
      <c r="QHY4" s="248"/>
      <c r="QHZ4" s="248"/>
      <c r="QIA4" s="248"/>
      <c r="QIB4" s="248"/>
      <c r="QIC4" s="248"/>
      <c r="QID4" s="248"/>
      <c r="QIE4" s="248"/>
      <c r="QIF4" s="248"/>
      <c r="QIG4" s="248"/>
      <c r="QIH4" s="248"/>
      <c r="QII4" s="248"/>
      <c r="QIJ4" s="248"/>
      <c r="QIK4" s="248"/>
      <c r="QIL4" s="248"/>
      <c r="QIM4" s="248"/>
      <c r="QIN4" s="248"/>
      <c r="QIO4" s="248"/>
      <c r="QIP4" s="248"/>
      <c r="QIQ4" s="248"/>
      <c r="QIR4" s="248"/>
      <c r="QIS4" s="248"/>
      <c r="QIT4" s="248"/>
      <c r="QIU4" s="248"/>
      <c r="QIV4" s="248"/>
      <c r="QIW4" s="248"/>
      <c r="QIX4" s="248"/>
      <c r="QIY4" s="248"/>
      <c r="QIZ4" s="248"/>
      <c r="QJA4" s="248"/>
      <c r="QJB4" s="248"/>
      <c r="QJC4" s="248"/>
      <c r="QJD4" s="248"/>
      <c r="QJE4" s="248"/>
      <c r="QJF4" s="248"/>
      <c r="QJG4" s="248"/>
      <c r="QJH4" s="248"/>
      <c r="QJI4" s="248"/>
      <c r="QJJ4" s="248"/>
      <c r="QJK4" s="248"/>
      <c r="QJL4" s="248"/>
      <c r="QJM4" s="248"/>
      <c r="QJN4" s="248"/>
      <c r="QJO4" s="248"/>
      <c r="QJP4" s="248"/>
      <c r="QJQ4" s="248"/>
      <c r="QJR4" s="248"/>
      <c r="QJS4" s="248"/>
      <c r="QJT4" s="248"/>
      <c r="QJU4" s="248"/>
      <c r="QJV4" s="248"/>
      <c r="QJW4" s="248"/>
      <c r="QJX4" s="248"/>
      <c r="QJY4" s="248"/>
      <c r="QJZ4" s="248"/>
      <c r="QKA4" s="248"/>
      <c r="QKB4" s="248"/>
      <c r="QKC4" s="248"/>
      <c r="QKD4" s="248"/>
      <c r="QKE4" s="248"/>
      <c r="QKF4" s="248"/>
      <c r="QKG4" s="248"/>
      <c r="QKH4" s="248"/>
      <c r="QKI4" s="248"/>
      <c r="QKJ4" s="248"/>
      <c r="QKK4" s="248"/>
      <c r="QKL4" s="248"/>
      <c r="QKM4" s="248"/>
      <c r="QKN4" s="248"/>
      <c r="QKO4" s="248"/>
      <c r="QKP4" s="248"/>
      <c r="QKQ4" s="248"/>
      <c r="QKR4" s="248"/>
      <c r="QKS4" s="248"/>
      <c r="QKT4" s="248"/>
      <c r="QKU4" s="248"/>
      <c r="QKV4" s="248"/>
      <c r="QKW4" s="248"/>
      <c r="QKX4" s="248"/>
      <c r="QKY4" s="248"/>
      <c r="QKZ4" s="248"/>
      <c r="QLA4" s="248"/>
      <c r="QLB4" s="248"/>
      <c r="QLC4" s="248"/>
      <c r="QLD4" s="248"/>
      <c r="QLE4" s="248"/>
      <c r="QLF4" s="248"/>
      <c r="QLG4" s="248"/>
      <c r="QLH4" s="248"/>
      <c r="QLI4" s="248"/>
      <c r="QLJ4" s="248"/>
      <c r="QLK4" s="248"/>
      <c r="QLL4" s="248"/>
      <c r="QLM4" s="248"/>
      <c r="QLN4" s="248"/>
      <c r="QLO4" s="248"/>
      <c r="QLP4" s="248"/>
      <c r="QLQ4" s="248"/>
      <c r="QLR4" s="248"/>
      <c r="QLS4" s="248"/>
      <c r="QLT4" s="248"/>
      <c r="QLU4" s="248"/>
      <c r="QLV4" s="248"/>
      <c r="QLW4" s="248"/>
      <c r="QLX4" s="248"/>
      <c r="QLY4" s="248"/>
      <c r="QLZ4" s="248"/>
      <c r="QMA4" s="248"/>
      <c r="QMB4" s="248"/>
      <c r="QMC4" s="248"/>
      <c r="QMD4" s="248"/>
      <c r="QME4" s="248"/>
      <c r="QMF4" s="248"/>
      <c r="QMG4" s="248"/>
      <c r="QMH4" s="248"/>
      <c r="QMI4" s="248"/>
      <c r="QMJ4" s="248"/>
      <c r="QMK4" s="248"/>
      <c r="QML4" s="248"/>
      <c r="QMM4" s="248"/>
      <c r="QMN4" s="248"/>
      <c r="QMO4" s="248"/>
      <c r="QMP4" s="248"/>
      <c r="QMQ4" s="248"/>
      <c r="QMR4" s="248"/>
      <c r="QMS4" s="248"/>
      <c r="QMT4" s="248"/>
      <c r="QMU4" s="248"/>
      <c r="QMV4" s="248"/>
      <c r="QMW4" s="248"/>
      <c r="QMX4" s="248"/>
      <c r="QMY4" s="248"/>
      <c r="QMZ4" s="248"/>
      <c r="QNA4" s="248"/>
      <c r="QNB4" s="248"/>
      <c r="QNC4" s="248"/>
      <c r="QND4" s="248"/>
      <c r="QNE4" s="248"/>
      <c r="QNF4" s="248"/>
      <c r="QNG4" s="248"/>
      <c r="QNH4" s="248"/>
      <c r="QNI4" s="248"/>
      <c r="QNJ4" s="248"/>
      <c r="QNK4" s="248"/>
      <c r="QNL4" s="248"/>
      <c r="QNM4" s="248"/>
      <c r="QNN4" s="248"/>
      <c r="QNO4" s="248"/>
      <c r="QNP4" s="248"/>
      <c r="QNQ4" s="248"/>
      <c r="QNR4" s="248"/>
      <c r="QNS4" s="248"/>
      <c r="QNT4" s="248"/>
      <c r="QNU4" s="248"/>
      <c r="QNV4" s="248"/>
      <c r="QNW4" s="248"/>
      <c r="QNX4" s="248"/>
      <c r="QNY4" s="248"/>
      <c r="QNZ4" s="248"/>
      <c r="QOA4" s="248"/>
      <c r="QOB4" s="248"/>
      <c r="QOC4" s="248"/>
      <c r="QOD4" s="248"/>
      <c r="QOE4" s="248"/>
      <c r="QOF4" s="248"/>
      <c r="QOG4" s="248"/>
      <c r="QOH4" s="248"/>
      <c r="QOI4" s="248"/>
      <c r="QOJ4" s="248"/>
      <c r="QOK4" s="248"/>
      <c r="QOL4" s="248"/>
      <c r="QOM4" s="248"/>
      <c r="QON4" s="248"/>
      <c r="QOO4" s="248"/>
      <c r="QOP4" s="248"/>
      <c r="QOQ4" s="248"/>
      <c r="QOR4" s="248"/>
      <c r="QOS4" s="248"/>
      <c r="QOT4" s="248"/>
      <c r="QOU4" s="248"/>
      <c r="QOV4" s="248"/>
      <c r="QOW4" s="248"/>
      <c r="QOX4" s="248"/>
      <c r="QOY4" s="248"/>
      <c r="QOZ4" s="248"/>
      <c r="QPA4" s="248"/>
      <c r="QPB4" s="248"/>
      <c r="QPC4" s="248"/>
      <c r="QPD4" s="248"/>
      <c r="QPE4" s="248"/>
      <c r="QPF4" s="248"/>
      <c r="QPG4" s="248"/>
      <c r="QPH4" s="248"/>
      <c r="QPI4" s="248"/>
      <c r="QPJ4" s="248"/>
      <c r="QPK4" s="248"/>
      <c r="QPL4" s="248"/>
      <c r="QPM4" s="248"/>
      <c r="QPN4" s="248"/>
      <c r="QPO4" s="248"/>
      <c r="QPP4" s="248"/>
      <c r="QPQ4" s="248"/>
      <c r="QPR4" s="248"/>
      <c r="QPS4" s="248"/>
      <c r="QPT4" s="248"/>
      <c r="QPU4" s="248"/>
      <c r="QPV4" s="248"/>
      <c r="QPW4" s="248"/>
      <c r="QPX4" s="248"/>
      <c r="QPY4" s="248"/>
      <c r="QPZ4" s="248"/>
      <c r="QQA4" s="248"/>
      <c r="QQB4" s="248"/>
      <c r="QQC4" s="248"/>
      <c r="QQD4" s="248"/>
      <c r="QQE4" s="248"/>
      <c r="QQF4" s="248"/>
      <c r="QQG4" s="248"/>
      <c r="QQH4" s="248"/>
      <c r="QQI4" s="248"/>
      <c r="QQJ4" s="248"/>
      <c r="QQK4" s="248"/>
      <c r="QQL4" s="248"/>
      <c r="QQM4" s="248"/>
      <c r="QQN4" s="248"/>
      <c r="QQO4" s="248"/>
      <c r="QQP4" s="248"/>
      <c r="QQQ4" s="248"/>
      <c r="QQR4" s="248"/>
      <c r="QQS4" s="248"/>
      <c r="QQT4" s="248"/>
      <c r="QQU4" s="248"/>
      <c r="QQV4" s="248"/>
      <c r="QQW4" s="248"/>
      <c r="QQX4" s="248"/>
      <c r="QQY4" s="248"/>
      <c r="QQZ4" s="248"/>
      <c r="QRA4" s="248"/>
      <c r="QRB4" s="248"/>
      <c r="QRC4" s="248"/>
      <c r="QRD4" s="248"/>
      <c r="QRE4" s="248"/>
      <c r="QRF4" s="248"/>
      <c r="QRG4" s="248"/>
      <c r="QRH4" s="248"/>
      <c r="QRI4" s="248"/>
      <c r="QRJ4" s="248"/>
      <c r="QRK4" s="248"/>
      <c r="QRL4" s="248"/>
      <c r="QRM4" s="248"/>
      <c r="QRN4" s="248"/>
      <c r="QRO4" s="248"/>
      <c r="QRP4" s="248"/>
      <c r="QRQ4" s="248"/>
      <c r="QRR4" s="248"/>
      <c r="QRS4" s="248"/>
      <c r="QRT4" s="248"/>
      <c r="QRU4" s="248"/>
      <c r="QRV4" s="248"/>
      <c r="QRW4" s="248"/>
      <c r="QRX4" s="248"/>
      <c r="QRY4" s="248"/>
      <c r="QRZ4" s="248"/>
      <c r="QSA4" s="248"/>
      <c r="QSB4" s="248"/>
      <c r="QSC4" s="248"/>
      <c r="QSD4" s="248"/>
      <c r="QSE4" s="248"/>
      <c r="QSF4" s="248"/>
      <c r="QSG4" s="248"/>
      <c r="QSH4" s="248"/>
      <c r="QSI4" s="248"/>
      <c r="QSJ4" s="248"/>
      <c r="QSK4" s="248"/>
      <c r="QSL4" s="248"/>
      <c r="QSM4" s="248"/>
      <c r="QSN4" s="248"/>
      <c r="QSO4" s="248"/>
      <c r="QSP4" s="248"/>
      <c r="QSQ4" s="248"/>
      <c r="QSR4" s="248"/>
      <c r="QSS4" s="248"/>
      <c r="QST4" s="248"/>
      <c r="QSU4" s="248"/>
      <c r="QSV4" s="248"/>
      <c r="QSW4" s="248"/>
      <c r="QSX4" s="248"/>
      <c r="QSY4" s="248"/>
      <c r="QSZ4" s="248"/>
      <c r="QTA4" s="248"/>
      <c r="QTB4" s="248"/>
      <c r="QTC4" s="248"/>
      <c r="QTD4" s="248"/>
      <c r="QTE4" s="248"/>
      <c r="QTF4" s="248"/>
      <c r="QTG4" s="248"/>
      <c r="QTH4" s="248"/>
      <c r="QTI4" s="248"/>
      <c r="QTJ4" s="248"/>
      <c r="QTK4" s="248"/>
      <c r="QTL4" s="248"/>
      <c r="QTM4" s="248"/>
      <c r="QTN4" s="248"/>
      <c r="QTO4" s="248"/>
      <c r="QTP4" s="248"/>
      <c r="QTQ4" s="248"/>
      <c r="QTR4" s="248"/>
      <c r="QTS4" s="248"/>
      <c r="QTT4" s="248"/>
      <c r="QTU4" s="248"/>
      <c r="QTV4" s="248"/>
      <c r="QTW4" s="248"/>
      <c r="QTX4" s="248"/>
      <c r="QTY4" s="248"/>
      <c r="QTZ4" s="248"/>
      <c r="QUA4" s="248"/>
      <c r="QUB4" s="248"/>
      <c r="QUC4" s="248"/>
      <c r="QUD4" s="248"/>
      <c r="QUE4" s="248"/>
      <c r="QUF4" s="248"/>
      <c r="QUG4" s="248"/>
      <c r="QUH4" s="248"/>
      <c r="QUI4" s="248"/>
      <c r="QUJ4" s="248"/>
      <c r="QUK4" s="248"/>
      <c r="QUL4" s="248"/>
      <c r="QUM4" s="248"/>
      <c r="QUN4" s="248"/>
      <c r="QUO4" s="248"/>
      <c r="QUP4" s="248"/>
      <c r="QUQ4" s="248"/>
      <c r="QUR4" s="248"/>
      <c r="QUS4" s="248"/>
      <c r="QUT4" s="248"/>
      <c r="QUU4" s="248"/>
      <c r="QUV4" s="248"/>
      <c r="QUW4" s="248"/>
      <c r="QUX4" s="248"/>
      <c r="QUY4" s="248"/>
      <c r="QUZ4" s="248"/>
      <c r="QVA4" s="248"/>
      <c r="QVB4" s="248"/>
      <c r="QVC4" s="248"/>
      <c r="QVD4" s="248"/>
      <c r="QVE4" s="248"/>
      <c r="QVF4" s="248"/>
      <c r="QVG4" s="248"/>
      <c r="QVH4" s="248"/>
      <c r="QVI4" s="248"/>
      <c r="QVJ4" s="248"/>
      <c r="QVK4" s="248"/>
      <c r="QVL4" s="248"/>
      <c r="QVM4" s="248"/>
      <c r="QVN4" s="248"/>
      <c r="QVO4" s="248"/>
      <c r="QVP4" s="248"/>
      <c r="QVQ4" s="248"/>
      <c r="QVR4" s="248"/>
      <c r="QVS4" s="248"/>
      <c r="QVT4" s="248"/>
      <c r="QVU4" s="248"/>
      <c r="QVV4" s="248"/>
      <c r="QVW4" s="248"/>
      <c r="QVX4" s="248"/>
      <c r="QVY4" s="248"/>
      <c r="QVZ4" s="248"/>
      <c r="QWA4" s="248"/>
      <c r="QWB4" s="248"/>
      <c r="QWC4" s="248"/>
      <c r="QWD4" s="248"/>
      <c r="QWE4" s="248"/>
      <c r="QWF4" s="248"/>
      <c r="QWG4" s="248"/>
      <c r="QWH4" s="248"/>
      <c r="QWI4" s="248"/>
      <c r="QWJ4" s="248"/>
      <c r="QWK4" s="248"/>
      <c r="QWL4" s="248"/>
      <c r="QWM4" s="248"/>
      <c r="QWN4" s="248"/>
      <c r="QWO4" s="248"/>
      <c r="QWP4" s="248"/>
      <c r="QWQ4" s="248"/>
      <c r="QWR4" s="248"/>
      <c r="QWS4" s="248"/>
      <c r="QWT4" s="248"/>
      <c r="QWU4" s="248"/>
      <c r="QWV4" s="248"/>
      <c r="QWW4" s="248"/>
      <c r="QWX4" s="248"/>
      <c r="QWY4" s="248"/>
      <c r="QWZ4" s="248"/>
      <c r="QXA4" s="248"/>
      <c r="QXB4" s="248"/>
      <c r="QXC4" s="248"/>
      <c r="QXD4" s="248"/>
      <c r="QXE4" s="248"/>
      <c r="QXF4" s="248"/>
      <c r="QXG4" s="248"/>
      <c r="QXH4" s="248"/>
      <c r="QXI4" s="248"/>
      <c r="QXJ4" s="248"/>
      <c r="QXK4" s="248"/>
      <c r="QXL4" s="248"/>
      <c r="QXM4" s="248"/>
      <c r="QXN4" s="248"/>
      <c r="QXO4" s="248"/>
      <c r="QXP4" s="248"/>
      <c r="QXQ4" s="248"/>
      <c r="QXR4" s="248"/>
      <c r="QXS4" s="248"/>
      <c r="QXT4" s="248"/>
      <c r="QXU4" s="248"/>
      <c r="QXV4" s="248"/>
      <c r="QXW4" s="248"/>
      <c r="QXX4" s="248"/>
      <c r="QXY4" s="248"/>
      <c r="QXZ4" s="248"/>
      <c r="QYA4" s="248"/>
      <c r="QYB4" s="248"/>
      <c r="QYC4" s="248"/>
      <c r="QYD4" s="248"/>
      <c r="QYE4" s="248"/>
      <c r="QYF4" s="248"/>
      <c r="QYG4" s="248"/>
      <c r="QYH4" s="248"/>
      <c r="QYI4" s="248"/>
      <c r="QYJ4" s="248"/>
      <c r="QYK4" s="248"/>
      <c r="QYL4" s="248"/>
      <c r="QYM4" s="248"/>
      <c r="QYN4" s="248"/>
      <c r="QYO4" s="248"/>
      <c r="QYP4" s="248"/>
      <c r="QYQ4" s="248"/>
      <c r="QYR4" s="248"/>
      <c r="QYS4" s="248"/>
      <c r="QYT4" s="248"/>
      <c r="QYU4" s="248"/>
      <c r="QYV4" s="248"/>
      <c r="QYW4" s="248"/>
      <c r="QYX4" s="248"/>
      <c r="QYY4" s="248"/>
      <c r="QYZ4" s="248"/>
      <c r="QZA4" s="248"/>
      <c r="QZB4" s="248"/>
      <c r="QZC4" s="248"/>
      <c r="QZD4" s="248"/>
      <c r="QZE4" s="248"/>
      <c r="QZF4" s="248"/>
      <c r="QZG4" s="248"/>
      <c r="QZH4" s="248"/>
      <c r="QZI4" s="248"/>
      <c r="QZJ4" s="248"/>
      <c r="QZK4" s="248"/>
      <c r="QZL4" s="248"/>
      <c r="QZM4" s="248"/>
      <c r="QZN4" s="248"/>
      <c r="QZO4" s="248"/>
      <c r="QZP4" s="248"/>
      <c r="QZQ4" s="248"/>
      <c r="QZR4" s="248"/>
      <c r="QZS4" s="248"/>
      <c r="QZT4" s="248"/>
      <c r="QZU4" s="248"/>
      <c r="QZV4" s="248"/>
      <c r="QZW4" s="248"/>
      <c r="QZX4" s="248"/>
      <c r="QZY4" s="248"/>
      <c r="QZZ4" s="248"/>
      <c r="RAA4" s="248"/>
      <c r="RAB4" s="248"/>
      <c r="RAC4" s="248"/>
      <c r="RAD4" s="248"/>
      <c r="RAE4" s="248"/>
      <c r="RAF4" s="248"/>
      <c r="RAG4" s="248"/>
      <c r="RAH4" s="248"/>
      <c r="RAI4" s="248"/>
      <c r="RAJ4" s="248"/>
      <c r="RAK4" s="248"/>
      <c r="RAL4" s="248"/>
      <c r="RAM4" s="248"/>
      <c r="RAN4" s="248"/>
      <c r="RAO4" s="248"/>
      <c r="RAP4" s="248"/>
      <c r="RAQ4" s="248"/>
      <c r="RAR4" s="248"/>
      <c r="RAS4" s="248"/>
      <c r="RAT4" s="248"/>
      <c r="RAU4" s="248"/>
      <c r="RAV4" s="248"/>
      <c r="RAW4" s="248"/>
      <c r="RAX4" s="248"/>
      <c r="RAY4" s="248"/>
      <c r="RAZ4" s="248"/>
      <c r="RBA4" s="248"/>
      <c r="RBB4" s="248"/>
      <c r="RBC4" s="248"/>
      <c r="RBD4" s="248"/>
      <c r="RBE4" s="248"/>
      <c r="RBF4" s="248"/>
      <c r="RBG4" s="248"/>
      <c r="RBH4" s="248"/>
      <c r="RBI4" s="248"/>
      <c r="RBJ4" s="248"/>
      <c r="RBK4" s="248"/>
      <c r="RBL4" s="248"/>
      <c r="RBM4" s="248"/>
      <c r="RBN4" s="248"/>
      <c r="RBO4" s="248"/>
      <c r="RBP4" s="248"/>
      <c r="RBQ4" s="248"/>
      <c r="RBR4" s="248"/>
      <c r="RBS4" s="248"/>
      <c r="RBT4" s="248"/>
      <c r="RBU4" s="248"/>
      <c r="RBV4" s="248"/>
      <c r="RBW4" s="248"/>
      <c r="RBX4" s="248"/>
      <c r="RBY4" s="248"/>
      <c r="RBZ4" s="248"/>
      <c r="RCA4" s="248"/>
      <c r="RCB4" s="248"/>
      <c r="RCC4" s="248"/>
      <c r="RCD4" s="248"/>
      <c r="RCE4" s="248"/>
      <c r="RCF4" s="248"/>
      <c r="RCG4" s="248"/>
      <c r="RCH4" s="248"/>
      <c r="RCI4" s="248"/>
      <c r="RCJ4" s="248"/>
      <c r="RCK4" s="248"/>
      <c r="RCL4" s="248"/>
      <c r="RCM4" s="248"/>
      <c r="RCN4" s="248"/>
      <c r="RCO4" s="248"/>
      <c r="RCP4" s="248"/>
      <c r="RCQ4" s="248"/>
      <c r="RCR4" s="248"/>
      <c r="RCS4" s="248"/>
      <c r="RCT4" s="248"/>
      <c r="RCU4" s="248"/>
      <c r="RCV4" s="248"/>
      <c r="RCW4" s="248"/>
      <c r="RCX4" s="248"/>
      <c r="RCY4" s="248"/>
      <c r="RCZ4" s="248"/>
      <c r="RDA4" s="248"/>
      <c r="RDB4" s="248"/>
      <c r="RDC4" s="248"/>
      <c r="RDD4" s="248"/>
      <c r="RDE4" s="248"/>
      <c r="RDF4" s="248"/>
      <c r="RDG4" s="248"/>
      <c r="RDH4" s="248"/>
      <c r="RDI4" s="248"/>
      <c r="RDJ4" s="248"/>
      <c r="RDK4" s="248"/>
      <c r="RDL4" s="248"/>
      <c r="RDM4" s="248"/>
      <c r="RDN4" s="248"/>
      <c r="RDO4" s="248"/>
      <c r="RDP4" s="248"/>
      <c r="RDQ4" s="248"/>
      <c r="RDR4" s="248"/>
      <c r="RDS4" s="248"/>
      <c r="RDT4" s="248"/>
      <c r="RDU4" s="248"/>
      <c r="RDV4" s="248"/>
      <c r="RDW4" s="248"/>
      <c r="RDX4" s="248"/>
      <c r="RDY4" s="248"/>
      <c r="RDZ4" s="248"/>
      <c r="REA4" s="248"/>
      <c r="REB4" s="248"/>
      <c r="REC4" s="248"/>
      <c r="RED4" s="248"/>
      <c r="REE4" s="248"/>
      <c r="REF4" s="248"/>
      <c r="REG4" s="248"/>
      <c r="REH4" s="248"/>
      <c r="REI4" s="248"/>
      <c r="REJ4" s="248"/>
      <c r="REK4" s="248"/>
      <c r="REL4" s="248"/>
      <c r="REM4" s="248"/>
      <c r="REN4" s="248"/>
      <c r="REO4" s="248"/>
      <c r="REP4" s="248"/>
      <c r="REQ4" s="248"/>
      <c r="RER4" s="248"/>
      <c r="RES4" s="248"/>
      <c r="RET4" s="248"/>
      <c r="REU4" s="248"/>
      <c r="REV4" s="248"/>
      <c r="REW4" s="248"/>
      <c r="REX4" s="248"/>
      <c r="REY4" s="248"/>
      <c r="REZ4" s="248"/>
      <c r="RFA4" s="248"/>
      <c r="RFB4" s="248"/>
      <c r="RFC4" s="248"/>
      <c r="RFD4" s="248"/>
      <c r="RFE4" s="248"/>
      <c r="RFF4" s="248"/>
      <c r="RFG4" s="248"/>
      <c r="RFH4" s="248"/>
      <c r="RFI4" s="248"/>
      <c r="RFJ4" s="248"/>
      <c r="RFK4" s="248"/>
      <c r="RFL4" s="248"/>
      <c r="RFM4" s="248"/>
      <c r="RFN4" s="248"/>
      <c r="RFO4" s="248"/>
      <c r="RFP4" s="248"/>
      <c r="RFQ4" s="248"/>
      <c r="RFR4" s="248"/>
      <c r="RFS4" s="248"/>
      <c r="RFT4" s="248"/>
      <c r="RFU4" s="248"/>
      <c r="RFV4" s="248"/>
      <c r="RFW4" s="248"/>
      <c r="RFX4" s="248"/>
      <c r="RFY4" s="248"/>
      <c r="RFZ4" s="248"/>
      <c r="RGA4" s="248"/>
      <c r="RGB4" s="248"/>
      <c r="RGC4" s="248"/>
      <c r="RGD4" s="248"/>
      <c r="RGE4" s="248"/>
      <c r="RGF4" s="248"/>
      <c r="RGG4" s="248"/>
      <c r="RGH4" s="248"/>
      <c r="RGI4" s="248"/>
      <c r="RGJ4" s="248"/>
      <c r="RGK4" s="248"/>
      <c r="RGL4" s="248"/>
      <c r="RGM4" s="248"/>
      <c r="RGN4" s="248"/>
      <c r="RGO4" s="248"/>
      <c r="RGP4" s="248"/>
      <c r="RGQ4" s="248"/>
      <c r="RGR4" s="248"/>
      <c r="RGS4" s="248"/>
      <c r="RGT4" s="248"/>
      <c r="RGU4" s="248"/>
      <c r="RGV4" s="248"/>
      <c r="RGW4" s="248"/>
      <c r="RGX4" s="248"/>
      <c r="RGY4" s="248"/>
      <c r="RGZ4" s="248"/>
      <c r="RHA4" s="248"/>
      <c r="RHB4" s="248"/>
      <c r="RHC4" s="248"/>
      <c r="RHD4" s="248"/>
      <c r="RHE4" s="248"/>
      <c r="RHF4" s="248"/>
      <c r="RHG4" s="248"/>
      <c r="RHH4" s="248"/>
      <c r="RHI4" s="248"/>
      <c r="RHJ4" s="248"/>
      <c r="RHK4" s="248"/>
      <c r="RHL4" s="248"/>
      <c r="RHM4" s="248"/>
      <c r="RHN4" s="248"/>
      <c r="RHO4" s="248"/>
      <c r="RHP4" s="248"/>
      <c r="RHQ4" s="248"/>
      <c r="RHR4" s="248"/>
      <c r="RHS4" s="248"/>
      <c r="RHT4" s="248"/>
      <c r="RHU4" s="248"/>
      <c r="RHV4" s="248"/>
      <c r="RHW4" s="248"/>
      <c r="RHX4" s="248"/>
      <c r="RHY4" s="248"/>
      <c r="RHZ4" s="248"/>
      <c r="RIA4" s="248"/>
      <c r="RIB4" s="248"/>
      <c r="RIC4" s="248"/>
      <c r="RID4" s="248"/>
      <c r="RIE4" s="248"/>
      <c r="RIF4" s="248"/>
      <c r="RIG4" s="248"/>
      <c r="RIH4" s="248"/>
      <c r="RII4" s="248"/>
      <c r="RIJ4" s="248"/>
      <c r="RIK4" s="248"/>
      <c r="RIL4" s="248"/>
      <c r="RIM4" s="248"/>
      <c r="RIN4" s="248"/>
      <c r="RIO4" s="248"/>
      <c r="RIP4" s="248"/>
      <c r="RIQ4" s="248"/>
      <c r="RIR4" s="248"/>
      <c r="RIS4" s="248"/>
      <c r="RIT4" s="248"/>
      <c r="RIU4" s="248"/>
      <c r="RIV4" s="248"/>
      <c r="RIW4" s="248"/>
      <c r="RIX4" s="248"/>
      <c r="RIY4" s="248"/>
      <c r="RIZ4" s="248"/>
      <c r="RJA4" s="248"/>
      <c r="RJB4" s="248"/>
      <c r="RJC4" s="248"/>
      <c r="RJD4" s="248"/>
      <c r="RJE4" s="248"/>
      <c r="RJF4" s="248"/>
      <c r="RJG4" s="248"/>
      <c r="RJH4" s="248"/>
      <c r="RJI4" s="248"/>
      <c r="RJJ4" s="248"/>
      <c r="RJK4" s="248"/>
      <c r="RJL4" s="248"/>
      <c r="RJM4" s="248"/>
      <c r="RJN4" s="248"/>
      <c r="RJO4" s="248"/>
      <c r="RJP4" s="248"/>
      <c r="RJQ4" s="248"/>
      <c r="RJR4" s="248"/>
      <c r="RJS4" s="248"/>
      <c r="RJT4" s="248"/>
      <c r="RJU4" s="248"/>
      <c r="RJV4" s="248"/>
      <c r="RJW4" s="248"/>
      <c r="RJX4" s="248"/>
      <c r="RJY4" s="248"/>
      <c r="RJZ4" s="248"/>
      <c r="RKA4" s="248"/>
      <c r="RKB4" s="248"/>
      <c r="RKC4" s="248"/>
      <c r="RKD4" s="248"/>
      <c r="RKE4" s="248"/>
      <c r="RKF4" s="248"/>
      <c r="RKG4" s="248"/>
      <c r="RKH4" s="248"/>
      <c r="RKI4" s="248"/>
      <c r="RKJ4" s="248"/>
      <c r="RKK4" s="248"/>
      <c r="RKL4" s="248"/>
      <c r="RKM4" s="248"/>
      <c r="RKN4" s="248"/>
      <c r="RKO4" s="248"/>
      <c r="RKP4" s="248"/>
      <c r="RKQ4" s="248"/>
      <c r="RKR4" s="248"/>
      <c r="RKS4" s="248"/>
      <c r="RKT4" s="248"/>
      <c r="RKU4" s="248"/>
      <c r="RKV4" s="248"/>
      <c r="RKW4" s="248"/>
      <c r="RKX4" s="248"/>
      <c r="RKY4" s="248"/>
      <c r="RKZ4" s="248"/>
      <c r="RLA4" s="248"/>
      <c r="RLB4" s="248"/>
      <c r="RLC4" s="248"/>
      <c r="RLD4" s="248"/>
      <c r="RLE4" s="248"/>
      <c r="RLF4" s="248"/>
      <c r="RLG4" s="248"/>
      <c r="RLH4" s="248"/>
      <c r="RLI4" s="248"/>
      <c r="RLJ4" s="248"/>
      <c r="RLK4" s="248"/>
      <c r="RLL4" s="248"/>
      <c r="RLM4" s="248"/>
      <c r="RLN4" s="248"/>
      <c r="RLO4" s="248"/>
      <c r="RLP4" s="248"/>
      <c r="RLQ4" s="248"/>
      <c r="RLR4" s="248"/>
      <c r="RLS4" s="248"/>
      <c r="RLT4" s="248"/>
      <c r="RLU4" s="248"/>
      <c r="RLV4" s="248"/>
      <c r="RLW4" s="248"/>
      <c r="RLX4" s="248"/>
      <c r="RLY4" s="248"/>
      <c r="RLZ4" s="248"/>
      <c r="RMA4" s="248"/>
      <c r="RMB4" s="248"/>
      <c r="RMC4" s="248"/>
      <c r="RMD4" s="248"/>
      <c r="RME4" s="248"/>
      <c r="RMF4" s="248"/>
      <c r="RMG4" s="248"/>
      <c r="RMH4" s="248"/>
      <c r="RMI4" s="248"/>
      <c r="RMJ4" s="248"/>
      <c r="RMK4" s="248"/>
      <c r="RML4" s="248"/>
      <c r="RMM4" s="248"/>
      <c r="RMN4" s="248"/>
      <c r="RMO4" s="248"/>
      <c r="RMP4" s="248"/>
      <c r="RMQ4" s="248"/>
      <c r="RMR4" s="248"/>
      <c r="RMS4" s="248"/>
      <c r="RMT4" s="248"/>
      <c r="RMU4" s="248"/>
      <c r="RMV4" s="248"/>
      <c r="RMW4" s="248"/>
      <c r="RMX4" s="248"/>
      <c r="RMY4" s="248"/>
      <c r="RMZ4" s="248"/>
      <c r="RNA4" s="248"/>
      <c r="RNB4" s="248"/>
      <c r="RNC4" s="248"/>
      <c r="RND4" s="248"/>
      <c r="RNE4" s="248"/>
      <c r="RNF4" s="248"/>
      <c r="RNG4" s="248"/>
      <c r="RNH4" s="248"/>
      <c r="RNI4" s="248"/>
      <c r="RNJ4" s="248"/>
      <c r="RNK4" s="248"/>
      <c r="RNL4" s="248"/>
      <c r="RNM4" s="248"/>
      <c r="RNN4" s="248"/>
      <c r="RNO4" s="248"/>
      <c r="RNP4" s="248"/>
      <c r="RNQ4" s="248"/>
      <c r="RNR4" s="248"/>
      <c r="RNS4" s="248"/>
      <c r="RNT4" s="248"/>
      <c r="RNU4" s="248"/>
      <c r="RNV4" s="248"/>
      <c r="RNW4" s="248"/>
      <c r="RNX4" s="248"/>
      <c r="RNY4" s="248"/>
      <c r="RNZ4" s="248"/>
      <c r="ROA4" s="248"/>
      <c r="ROB4" s="248"/>
      <c r="ROC4" s="248"/>
      <c r="ROD4" s="248"/>
      <c r="ROE4" s="248"/>
      <c r="ROF4" s="248"/>
      <c r="ROG4" s="248"/>
      <c r="ROH4" s="248"/>
      <c r="ROI4" s="248"/>
      <c r="ROJ4" s="248"/>
      <c r="ROK4" s="248"/>
      <c r="ROL4" s="248"/>
      <c r="ROM4" s="248"/>
      <c r="RON4" s="248"/>
      <c r="ROO4" s="248"/>
      <c r="ROP4" s="248"/>
      <c r="ROQ4" s="248"/>
      <c r="ROR4" s="248"/>
      <c r="ROS4" s="248"/>
      <c r="ROT4" s="248"/>
      <c r="ROU4" s="248"/>
      <c r="ROV4" s="248"/>
      <c r="ROW4" s="248"/>
      <c r="ROX4" s="248"/>
      <c r="ROY4" s="248"/>
      <c r="ROZ4" s="248"/>
      <c r="RPA4" s="248"/>
      <c r="RPB4" s="248"/>
      <c r="RPC4" s="248"/>
      <c r="RPD4" s="248"/>
      <c r="RPE4" s="248"/>
      <c r="RPF4" s="248"/>
      <c r="RPG4" s="248"/>
      <c r="RPH4" s="248"/>
      <c r="RPI4" s="248"/>
      <c r="RPJ4" s="248"/>
      <c r="RPK4" s="248"/>
      <c r="RPL4" s="248"/>
      <c r="RPM4" s="248"/>
      <c r="RPN4" s="248"/>
      <c r="RPO4" s="248"/>
      <c r="RPP4" s="248"/>
      <c r="RPQ4" s="248"/>
      <c r="RPR4" s="248"/>
      <c r="RPS4" s="248"/>
      <c r="RPT4" s="248"/>
      <c r="RPU4" s="248"/>
      <c r="RPV4" s="248"/>
      <c r="RPW4" s="248"/>
      <c r="RPX4" s="248"/>
      <c r="RPY4" s="248"/>
      <c r="RPZ4" s="248"/>
      <c r="RQA4" s="248"/>
      <c r="RQB4" s="248"/>
      <c r="RQC4" s="248"/>
      <c r="RQD4" s="248"/>
      <c r="RQE4" s="248"/>
      <c r="RQF4" s="248"/>
      <c r="RQG4" s="248"/>
      <c r="RQH4" s="248"/>
      <c r="RQI4" s="248"/>
      <c r="RQJ4" s="248"/>
      <c r="RQK4" s="248"/>
      <c r="RQL4" s="248"/>
      <c r="RQM4" s="248"/>
      <c r="RQN4" s="248"/>
      <c r="RQO4" s="248"/>
      <c r="RQP4" s="248"/>
      <c r="RQQ4" s="248"/>
      <c r="RQR4" s="248"/>
      <c r="RQS4" s="248"/>
      <c r="RQT4" s="248"/>
      <c r="RQU4" s="248"/>
      <c r="RQV4" s="248"/>
      <c r="RQW4" s="248"/>
      <c r="RQX4" s="248"/>
      <c r="RQY4" s="248"/>
      <c r="RQZ4" s="248"/>
      <c r="RRA4" s="248"/>
      <c r="RRB4" s="248"/>
      <c r="RRC4" s="248"/>
      <c r="RRD4" s="248"/>
      <c r="RRE4" s="248"/>
      <c r="RRF4" s="248"/>
      <c r="RRG4" s="248"/>
      <c r="RRH4" s="248"/>
      <c r="RRI4" s="248"/>
      <c r="RRJ4" s="248"/>
      <c r="RRK4" s="248"/>
      <c r="RRL4" s="248"/>
      <c r="RRM4" s="248"/>
      <c r="RRN4" s="248"/>
      <c r="RRO4" s="248"/>
      <c r="RRP4" s="248"/>
      <c r="RRQ4" s="248"/>
      <c r="RRR4" s="248"/>
      <c r="RRS4" s="248"/>
      <c r="RRT4" s="248"/>
      <c r="RRU4" s="248"/>
      <c r="RRV4" s="248"/>
      <c r="RRW4" s="248"/>
      <c r="RRX4" s="248"/>
      <c r="RRY4" s="248"/>
      <c r="RRZ4" s="248"/>
      <c r="RSA4" s="248"/>
      <c r="RSB4" s="248"/>
      <c r="RSC4" s="248"/>
      <c r="RSD4" s="248"/>
      <c r="RSE4" s="248"/>
      <c r="RSF4" s="248"/>
      <c r="RSG4" s="248"/>
      <c r="RSH4" s="248"/>
      <c r="RSI4" s="248"/>
      <c r="RSJ4" s="248"/>
      <c r="RSK4" s="248"/>
      <c r="RSL4" s="248"/>
      <c r="RSM4" s="248"/>
      <c r="RSN4" s="248"/>
      <c r="RSO4" s="248"/>
      <c r="RSP4" s="248"/>
      <c r="RSQ4" s="248"/>
      <c r="RSR4" s="248"/>
      <c r="RSS4" s="248"/>
      <c r="RST4" s="248"/>
      <c r="RSU4" s="248"/>
      <c r="RSV4" s="248"/>
      <c r="RSW4" s="248"/>
      <c r="RSX4" s="248"/>
      <c r="RSY4" s="248"/>
      <c r="RSZ4" s="248"/>
      <c r="RTA4" s="248"/>
      <c r="RTB4" s="248"/>
      <c r="RTC4" s="248"/>
      <c r="RTD4" s="248"/>
      <c r="RTE4" s="248"/>
      <c r="RTF4" s="248"/>
      <c r="RTG4" s="248"/>
      <c r="RTH4" s="248"/>
      <c r="RTI4" s="248"/>
      <c r="RTJ4" s="248"/>
      <c r="RTK4" s="248"/>
      <c r="RTL4" s="248"/>
      <c r="RTM4" s="248"/>
      <c r="RTN4" s="248"/>
      <c r="RTO4" s="248"/>
      <c r="RTP4" s="248"/>
      <c r="RTQ4" s="248"/>
      <c r="RTR4" s="248"/>
      <c r="RTS4" s="248"/>
      <c r="RTT4" s="248"/>
      <c r="RTU4" s="248"/>
      <c r="RTV4" s="248"/>
      <c r="RTW4" s="248"/>
      <c r="RTX4" s="248"/>
      <c r="RTY4" s="248"/>
      <c r="RTZ4" s="248"/>
      <c r="RUA4" s="248"/>
      <c r="RUB4" s="248"/>
      <c r="RUC4" s="248"/>
      <c r="RUD4" s="248"/>
      <c r="RUE4" s="248"/>
      <c r="RUF4" s="248"/>
      <c r="RUG4" s="248"/>
      <c r="RUH4" s="248"/>
      <c r="RUI4" s="248"/>
      <c r="RUJ4" s="248"/>
      <c r="RUK4" s="248"/>
      <c r="RUL4" s="248"/>
      <c r="RUM4" s="248"/>
      <c r="RUN4" s="248"/>
      <c r="RUO4" s="248"/>
      <c r="RUP4" s="248"/>
      <c r="RUQ4" s="248"/>
      <c r="RUR4" s="248"/>
      <c r="RUS4" s="248"/>
      <c r="RUT4" s="248"/>
      <c r="RUU4" s="248"/>
      <c r="RUV4" s="248"/>
      <c r="RUW4" s="248"/>
      <c r="RUX4" s="248"/>
      <c r="RUY4" s="248"/>
      <c r="RUZ4" s="248"/>
      <c r="RVA4" s="248"/>
      <c r="RVB4" s="248"/>
      <c r="RVC4" s="248"/>
      <c r="RVD4" s="248"/>
      <c r="RVE4" s="248"/>
      <c r="RVF4" s="248"/>
      <c r="RVG4" s="248"/>
      <c r="RVH4" s="248"/>
      <c r="RVI4" s="248"/>
      <c r="RVJ4" s="248"/>
      <c r="RVK4" s="248"/>
      <c r="RVL4" s="248"/>
      <c r="RVM4" s="248"/>
      <c r="RVN4" s="248"/>
      <c r="RVO4" s="248"/>
      <c r="RVP4" s="248"/>
      <c r="RVQ4" s="248"/>
      <c r="RVR4" s="248"/>
      <c r="RVS4" s="248"/>
      <c r="RVT4" s="248"/>
      <c r="RVU4" s="248"/>
      <c r="RVV4" s="248"/>
      <c r="RVW4" s="248"/>
      <c r="RVX4" s="248"/>
      <c r="RVY4" s="248"/>
      <c r="RVZ4" s="248"/>
      <c r="RWA4" s="248"/>
      <c r="RWB4" s="248"/>
      <c r="RWC4" s="248"/>
      <c r="RWD4" s="248"/>
      <c r="RWE4" s="248"/>
      <c r="RWF4" s="248"/>
      <c r="RWG4" s="248"/>
      <c r="RWH4" s="248"/>
      <c r="RWI4" s="248"/>
      <c r="RWJ4" s="248"/>
      <c r="RWK4" s="248"/>
      <c r="RWL4" s="248"/>
      <c r="RWM4" s="248"/>
      <c r="RWN4" s="248"/>
      <c r="RWO4" s="248"/>
      <c r="RWP4" s="248"/>
      <c r="RWQ4" s="248"/>
      <c r="RWR4" s="248"/>
      <c r="RWS4" s="248"/>
      <c r="RWT4" s="248"/>
      <c r="RWU4" s="248"/>
      <c r="RWV4" s="248"/>
      <c r="RWW4" s="248"/>
      <c r="RWX4" s="248"/>
      <c r="RWY4" s="248"/>
      <c r="RWZ4" s="248"/>
      <c r="RXA4" s="248"/>
      <c r="RXB4" s="248"/>
      <c r="RXC4" s="248"/>
      <c r="RXD4" s="248"/>
      <c r="RXE4" s="248"/>
      <c r="RXF4" s="248"/>
      <c r="RXG4" s="248"/>
      <c r="RXH4" s="248"/>
      <c r="RXI4" s="248"/>
      <c r="RXJ4" s="248"/>
      <c r="RXK4" s="248"/>
      <c r="RXL4" s="248"/>
      <c r="RXM4" s="248"/>
      <c r="RXN4" s="248"/>
      <c r="RXO4" s="248"/>
      <c r="RXP4" s="248"/>
      <c r="RXQ4" s="248"/>
      <c r="RXR4" s="248"/>
      <c r="RXS4" s="248"/>
      <c r="RXT4" s="248"/>
      <c r="RXU4" s="248"/>
      <c r="RXV4" s="248"/>
      <c r="RXW4" s="248"/>
      <c r="RXX4" s="248"/>
      <c r="RXY4" s="248"/>
      <c r="RXZ4" s="248"/>
      <c r="RYA4" s="248"/>
      <c r="RYB4" s="248"/>
      <c r="RYC4" s="248"/>
      <c r="RYD4" s="248"/>
      <c r="RYE4" s="248"/>
      <c r="RYF4" s="248"/>
      <c r="RYG4" s="248"/>
      <c r="RYH4" s="248"/>
      <c r="RYI4" s="248"/>
      <c r="RYJ4" s="248"/>
      <c r="RYK4" s="248"/>
      <c r="RYL4" s="248"/>
      <c r="RYM4" s="248"/>
      <c r="RYN4" s="248"/>
      <c r="RYO4" s="248"/>
      <c r="RYP4" s="248"/>
      <c r="RYQ4" s="248"/>
      <c r="RYR4" s="248"/>
      <c r="RYS4" s="248"/>
      <c r="RYT4" s="248"/>
      <c r="RYU4" s="248"/>
      <c r="RYV4" s="248"/>
      <c r="RYW4" s="248"/>
      <c r="RYX4" s="248"/>
      <c r="RYY4" s="248"/>
      <c r="RYZ4" s="248"/>
      <c r="RZA4" s="248"/>
      <c r="RZB4" s="248"/>
      <c r="RZC4" s="248"/>
      <c r="RZD4" s="248"/>
      <c r="RZE4" s="248"/>
      <c r="RZF4" s="248"/>
      <c r="RZG4" s="248"/>
      <c r="RZH4" s="248"/>
      <c r="RZI4" s="248"/>
      <c r="RZJ4" s="248"/>
      <c r="RZK4" s="248"/>
      <c r="RZL4" s="248"/>
      <c r="RZM4" s="248"/>
      <c r="RZN4" s="248"/>
      <c r="RZO4" s="248"/>
      <c r="RZP4" s="248"/>
      <c r="RZQ4" s="248"/>
      <c r="RZR4" s="248"/>
      <c r="RZS4" s="248"/>
      <c r="RZT4" s="248"/>
      <c r="RZU4" s="248"/>
      <c r="RZV4" s="248"/>
      <c r="RZW4" s="248"/>
      <c r="RZX4" s="248"/>
      <c r="RZY4" s="248"/>
      <c r="RZZ4" s="248"/>
      <c r="SAA4" s="248"/>
      <c r="SAB4" s="248"/>
      <c r="SAC4" s="248"/>
      <c r="SAD4" s="248"/>
      <c r="SAE4" s="248"/>
      <c r="SAF4" s="248"/>
      <c r="SAG4" s="248"/>
      <c r="SAH4" s="248"/>
      <c r="SAI4" s="248"/>
      <c r="SAJ4" s="248"/>
      <c r="SAK4" s="248"/>
      <c r="SAL4" s="248"/>
      <c r="SAM4" s="248"/>
      <c r="SAN4" s="248"/>
      <c r="SAO4" s="248"/>
      <c r="SAP4" s="248"/>
      <c r="SAQ4" s="248"/>
      <c r="SAR4" s="248"/>
      <c r="SAS4" s="248"/>
      <c r="SAT4" s="248"/>
      <c r="SAU4" s="248"/>
      <c r="SAV4" s="248"/>
      <c r="SAW4" s="248"/>
      <c r="SAX4" s="248"/>
      <c r="SAY4" s="248"/>
      <c r="SAZ4" s="248"/>
      <c r="SBA4" s="248"/>
      <c r="SBB4" s="248"/>
      <c r="SBC4" s="248"/>
      <c r="SBD4" s="248"/>
      <c r="SBE4" s="248"/>
      <c r="SBF4" s="248"/>
      <c r="SBG4" s="248"/>
      <c r="SBH4" s="248"/>
      <c r="SBI4" s="248"/>
      <c r="SBJ4" s="248"/>
      <c r="SBK4" s="248"/>
      <c r="SBL4" s="248"/>
      <c r="SBM4" s="248"/>
      <c r="SBN4" s="248"/>
      <c r="SBO4" s="248"/>
      <c r="SBP4" s="248"/>
      <c r="SBQ4" s="248"/>
      <c r="SBR4" s="248"/>
      <c r="SBS4" s="248"/>
      <c r="SBT4" s="248"/>
      <c r="SBU4" s="248"/>
      <c r="SBV4" s="248"/>
      <c r="SBW4" s="248"/>
      <c r="SBX4" s="248"/>
      <c r="SBY4" s="248"/>
      <c r="SBZ4" s="248"/>
      <c r="SCA4" s="248"/>
      <c r="SCB4" s="248"/>
      <c r="SCC4" s="248"/>
      <c r="SCD4" s="248"/>
      <c r="SCE4" s="248"/>
      <c r="SCF4" s="248"/>
      <c r="SCG4" s="248"/>
      <c r="SCH4" s="248"/>
      <c r="SCI4" s="248"/>
      <c r="SCJ4" s="248"/>
      <c r="SCK4" s="248"/>
      <c r="SCL4" s="248"/>
      <c r="SCM4" s="248"/>
      <c r="SCN4" s="248"/>
      <c r="SCO4" s="248"/>
      <c r="SCP4" s="248"/>
      <c r="SCQ4" s="248"/>
      <c r="SCR4" s="248"/>
      <c r="SCS4" s="248"/>
      <c r="SCT4" s="248"/>
      <c r="SCU4" s="248"/>
      <c r="SCV4" s="248"/>
      <c r="SCW4" s="248"/>
      <c r="SCX4" s="248"/>
      <c r="SCY4" s="248"/>
      <c r="SCZ4" s="248"/>
      <c r="SDA4" s="248"/>
      <c r="SDB4" s="248"/>
      <c r="SDC4" s="248"/>
      <c r="SDD4" s="248"/>
      <c r="SDE4" s="248"/>
      <c r="SDF4" s="248"/>
      <c r="SDG4" s="248"/>
      <c r="SDH4" s="248"/>
      <c r="SDI4" s="248"/>
      <c r="SDJ4" s="248"/>
      <c r="SDK4" s="248"/>
      <c r="SDL4" s="248"/>
      <c r="SDM4" s="248"/>
      <c r="SDN4" s="248"/>
      <c r="SDO4" s="248"/>
      <c r="SDP4" s="248"/>
      <c r="SDQ4" s="248"/>
      <c r="SDR4" s="248"/>
      <c r="SDS4" s="248"/>
      <c r="SDT4" s="248"/>
      <c r="SDU4" s="248"/>
      <c r="SDV4" s="248"/>
      <c r="SDW4" s="248"/>
      <c r="SDX4" s="248"/>
      <c r="SDY4" s="248"/>
      <c r="SDZ4" s="248"/>
      <c r="SEA4" s="248"/>
      <c r="SEB4" s="248"/>
      <c r="SEC4" s="248"/>
      <c r="SED4" s="248"/>
      <c r="SEE4" s="248"/>
      <c r="SEF4" s="248"/>
      <c r="SEG4" s="248"/>
      <c r="SEH4" s="248"/>
      <c r="SEI4" s="248"/>
      <c r="SEJ4" s="248"/>
      <c r="SEK4" s="248"/>
      <c r="SEL4" s="248"/>
      <c r="SEM4" s="248"/>
      <c r="SEN4" s="248"/>
      <c r="SEO4" s="248"/>
      <c r="SEP4" s="248"/>
      <c r="SEQ4" s="248"/>
      <c r="SER4" s="248"/>
      <c r="SES4" s="248"/>
      <c r="SET4" s="248"/>
      <c r="SEU4" s="248"/>
      <c r="SEV4" s="248"/>
      <c r="SEW4" s="248"/>
      <c r="SEX4" s="248"/>
      <c r="SEY4" s="248"/>
      <c r="SEZ4" s="248"/>
      <c r="SFA4" s="248"/>
      <c r="SFB4" s="248"/>
      <c r="SFC4" s="248"/>
      <c r="SFD4" s="248"/>
      <c r="SFE4" s="248"/>
      <c r="SFF4" s="248"/>
      <c r="SFG4" s="248"/>
      <c r="SFH4" s="248"/>
      <c r="SFI4" s="248"/>
      <c r="SFJ4" s="248"/>
      <c r="SFK4" s="248"/>
      <c r="SFL4" s="248"/>
      <c r="SFM4" s="248"/>
      <c r="SFN4" s="248"/>
      <c r="SFO4" s="248"/>
      <c r="SFP4" s="248"/>
      <c r="SFQ4" s="248"/>
      <c r="SFR4" s="248"/>
      <c r="SFS4" s="248"/>
      <c r="SFT4" s="248"/>
      <c r="SFU4" s="248"/>
      <c r="SFV4" s="248"/>
      <c r="SFW4" s="248"/>
      <c r="SFX4" s="248"/>
      <c r="SFY4" s="248"/>
      <c r="SFZ4" s="248"/>
      <c r="SGA4" s="248"/>
      <c r="SGB4" s="248"/>
      <c r="SGC4" s="248"/>
      <c r="SGD4" s="248"/>
      <c r="SGE4" s="248"/>
      <c r="SGF4" s="248"/>
      <c r="SGG4" s="248"/>
      <c r="SGH4" s="248"/>
      <c r="SGI4" s="248"/>
      <c r="SGJ4" s="248"/>
      <c r="SGK4" s="248"/>
      <c r="SGL4" s="248"/>
      <c r="SGM4" s="248"/>
      <c r="SGN4" s="248"/>
      <c r="SGO4" s="248"/>
      <c r="SGP4" s="248"/>
      <c r="SGQ4" s="248"/>
      <c r="SGR4" s="248"/>
      <c r="SGS4" s="248"/>
      <c r="SGT4" s="248"/>
      <c r="SGU4" s="248"/>
      <c r="SGV4" s="248"/>
      <c r="SGW4" s="248"/>
      <c r="SGX4" s="248"/>
      <c r="SGY4" s="248"/>
      <c r="SGZ4" s="248"/>
      <c r="SHA4" s="248"/>
      <c r="SHB4" s="248"/>
      <c r="SHC4" s="248"/>
      <c r="SHD4" s="248"/>
      <c r="SHE4" s="248"/>
      <c r="SHF4" s="248"/>
      <c r="SHG4" s="248"/>
      <c r="SHH4" s="248"/>
      <c r="SHI4" s="248"/>
      <c r="SHJ4" s="248"/>
      <c r="SHK4" s="248"/>
      <c r="SHL4" s="248"/>
      <c r="SHM4" s="248"/>
      <c r="SHN4" s="248"/>
      <c r="SHO4" s="248"/>
      <c r="SHP4" s="248"/>
      <c r="SHQ4" s="248"/>
      <c r="SHR4" s="248"/>
      <c r="SHS4" s="248"/>
      <c r="SHT4" s="248"/>
      <c r="SHU4" s="248"/>
      <c r="SHV4" s="248"/>
      <c r="SHW4" s="248"/>
      <c r="SHX4" s="248"/>
      <c r="SHY4" s="248"/>
      <c r="SHZ4" s="248"/>
      <c r="SIA4" s="248"/>
      <c r="SIB4" s="248"/>
      <c r="SIC4" s="248"/>
      <c r="SID4" s="248"/>
      <c r="SIE4" s="248"/>
      <c r="SIF4" s="248"/>
      <c r="SIG4" s="248"/>
      <c r="SIH4" s="248"/>
      <c r="SII4" s="248"/>
      <c r="SIJ4" s="248"/>
      <c r="SIK4" s="248"/>
      <c r="SIL4" s="248"/>
      <c r="SIM4" s="248"/>
      <c r="SIN4" s="248"/>
      <c r="SIO4" s="248"/>
      <c r="SIP4" s="248"/>
      <c r="SIQ4" s="248"/>
      <c r="SIR4" s="248"/>
      <c r="SIS4" s="248"/>
      <c r="SIT4" s="248"/>
      <c r="SIU4" s="248"/>
      <c r="SIV4" s="248"/>
      <c r="SIW4" s="248"/>
      <c r="SIX4" s="248"/>
      <c r="SIY4" s="248"/>
      <c r="SIZ4" s="248"/>
      <c r="SJA4" s="248"/>
      <c r="SJB4" s="248"/>
      <c r="SJC4" s="248"/>
      <c r="SJD4" s="248"/>
      <c r="SJE4" s="248"/>
      <c r="SJF4" s="248"/>
      <c r="SJG4" s="248"/>
      <c r="SJH4" s="248"/>
      <c r="SJI4" s="248"/>
      <c r="SJJ4" s="248"/>
      <c r="SJK4" s="248"/>
      <c r="SJL4" s="248"/>
      <c r="SJM4" s="248"/>
      <c r="SJN4" s="248"/>
      <c r="SJO4" s="248"/>
      <c r="SJP4" s="248"/>
      <c r="SJQ4" s="248"/>
      <c r="SJR4" s="248"/>
      <c r="SJS4" s="248"/>
      <c r="SJT4" s="248"/>
      <c r="SJU4" s="248"/>
      <c r="SJV4" s="248"/>
      <c r="SJW4" s="248"/>
      <c r="SJX4" s="248"/>
      <c r="SJY4" s="248"/>
      <c r="SJZ4" s="248"/>
      <c r="SKA4" s="248"/>
      <c r="SKB4" s="248"/>
      <c r="SKC4" s="248"/>
      <c r="SKD4" s="248"/>
      <c r="SKE4" s="248"/>
      <c r="SKF4" s="248"/>
      <c r="SKG4" s="248"/>
      <c r="SKH4" s="248"/>
      <c r="SKI4" s="248"/>
      <c r="SKJ4" s="248"/>
      <c r="SKK4" s="248"/>
      <c r="SKL4" s="248"/>
      <c r="SKM4" s="248"/>
      <c r="SKN4" s="248"/>
      <c r="SKO4" s="248"/>
      <c r="SKP4" s="248"/>
      <c r="SKQ4" s="248"/>
      <c r="SKR4" s="248"/>
      <c r="SKS4" s="248"/>
      <c r="SKT4" s="248"/>
      <c r="SKU4" s="248"/>
      <c r="SKV4" s="248"/>
      <c r="SKW4" s="248"/>
      <c r="SKX4" s="248"/>
      <c r="SKY4" s="248"/>
      <c r="SKZ4" s="248"/>
      <c r="SLA4" s="248"/>
      <c r="SLB4" s="248"/>
      <c r="SLC4" s="248"/>
      <c r="SLD4" s="248"/>
      <c r="SLE4" s="248"/>
      <c r="SLF4" s="248"/>
      <c r="SLG4" s="248"/>
      <c r="SLH4" s="248"/>
      <c r="SLI4" s="248"/>
      <c r="SLJ4" s="248"/>
      <c r="SLK4" s="248"/>
      <c r="SLL4" s="248"/>
      <c r="SLM4" s="248"/>
      <c r="SLN4" s="248"/>
      <c r="SLO4" s="248"/>
      <c r="SLP4" s="248"/>
      <c r="SLQ4" s="248"/>
      <c r="SLR4" s="248"/>
      <c r="SLS4" s="248"/>
      <c r="SLT4" s="248"/>
      <c r="SLU4" s="248"/>
      <c r="SLV4" s="248"/>
      <c r="SLW4" s="248"/>
      <c r="SLX4" s="248"/>
      <c r="SLY4" s="248"/>
      <c r="SLZ4" s="248"/>
      <c r="SMA4" s="248"/>
      <c r="SMB4" s="248"/>
      <c r="SMC4" s="248"/>
      <c r="SMD4" s="248"/>
      <c r="SME4" s="248"/>
      <c r="SMF4" s="248"/>
      <c r="SMG4" s="248"/>
      <c r="SMH4" s="248"/>
      <c r="SMI4" s="248"/>
      <c r="SMJ4" s="248"/>
      <c r="SMK4" s="248"/>
      <c r="SML4" s="248"/>
      <c r="SMM4" s="248"/>
      <c r="SMN4" s="248"/>
      <c r="SMO4" s="248"/>
      <c r="SMP4" s="248"/>
      <c r="SMQ4" s="248"/>
      <c r="SMR4" s="248"/>
      <c r="SMS4" s="248"/>
      <c r="SMT4" s="248"/>
      <c r="SMU4" s="248"/>
      <c r="SMV4" s="248"/>
      <c r="SMW4" s="248"/>
      <c r="SMX4" s="248"/>
      <c r="SMY4" s="248"/>
      <c r="SMZ4" s="248"/>
      <c r="SNA4" s="248"/>
      <c r="SNB4" s="248"/>
      <c r="SNC4" s="248"/>
      <c r="SND4" s="248"/>
      <c r="SNE4" s="248"/>
      <c r="SNF4" s="248"/>
      <c r="SNG4" s="248"/>
      <c r="SNH4" s="248"/>
      <c r="SNI4" s="248"/>
      <c r="SNJ4" s="248"/>
      <c r="SNK4" s="248"/>
      <c r="SNL4" s="248"/>
      <c r="SNM4" s="248"/>
      <c r="SNN4" s="248"/>
      <c r="SNO4" s="248"/>
      <c r="SNP4" s="248"/>
      <c r="SNQ4" s="248"/>
      <c r="SNR4" s="248"/>
      <c r="SNS4" s="248"/>
      <c r="SNT4" s="248"/>
      <c r="SNU4" s="248"/>
      <c r="SNV4" s="248"/>
      <c r="SNW4" s="248"/>
      <c r="SNX4" s="248"/>
      <c r="SNY4" s="248"/>
      <c r="SNZ4" s="248"/>
      <c r="SOA4" s="248"/>
      <c r="SOB4" s="248"/>
      <c r="SOC4" s="248"/>
      <c r="SOD4" s="248"/>
      <c r="SOE4" s="248"/>
      <c r="SOF4" s="248"/>
      <c r="SOG4" s="248"/>
      <c r="SOH4" s="248"/>
      <c r="SOI4" s="248"/>
      <c r="SOJ4" s="248"/>
      <c r="SOK4" s="248"/>
      <c r="SOL4" s="248"/>
      <c r="SOM4" s="248"/>
      <c r="SON4" s="248"/>
      <c r="SOO4" s="248"/>
      <c r="SOP4" s="248"/>
      <c r="SOQ4" s="248"/>
      <c r="SOR4" s="248"/>
      <c r="SOS4" s="248"/>
      <c r="SOT4" s="248"/>
      <c r="SOU4" s="248"/>
      <c r="SOV4" s="248"/>
      <c r="SOW4" s="248"/>
      <c r="SOX4" s="248"/>
      <c r="SOY4" s="248"/>
      <c r="SOZ4" s="248"/>
      <c r="SPA4" s="248"/>
      <c r="SPB4" s="248"/>
      <c r="SPC4" s="248"/>
      <c r="SPD4" s="248"/>
      <c r="SPE4" s="248"/>
      <c r="SPF4" s="248"/>
      <c r="SPG4" s="248"/>
      <c r="SPH4" s="248"/>
      <c r="SPI4" s="248"/>
      <c r="SPJ4" s="248"/>
      <c r="SPK4" s="248"/>
      <c r="SPL4" s="248"/>
      <c r="SPM4" s="248"/>
      <c r="SPN4" s="248"/>
      <c r="SPO4" s="248"/>
      <c r="SPP4" s="248"/>
      <c r="SPQ4" s="248"/>
      <c r="SPR4" s="248"/>
      <c r="SPS4" s="248"/>
      <c r="SPT4" s="248"/>
      <c r="SPU4" s="248"/>
      <c r="SPV4" s="248"/>
      <c r="SPW4" s="248"/>
      <c r="SPX4" s="248"/>
      <c r="SPY4" s="248"/>
      <c r="SPZ4" s="248"/>
      <c r="SQA4" s="248"/>
      <c r="SQB4" s="248"/>
      <c r="SQC4" s="248"/>
      <c r="SQD4" s="248"/>
      <c r="SQE4" s="248"/>
      <c r="SQF4" s="248"/>
      <c r="SQG4" s="248"/>
      <c r="SQH4" s="248"/>
      <c r="SQI4" s="248"/>
      <c r="SQJ4" s="248"/>
      <c r="SQK4" s="248"/>
      <c r="SQL4" s="248"/>
      <c r="SQM4" s="248"/>
      <c r="SQN4" s="248"/>
      <c r="SQO4" s="248"/>
      <c r="SQP4" s="248"/>
      <c r="SQQ4" s="248"/>
      <c r="SQR4" s="248"/>
      <c r="SQS4" s="248"/>
      <c r="SQT4" s="248"/>
      <c r="SQU4" s="248"/>
      <c r="SQV4" s="248"/>
      <c r="SQW4" s="248"/>
      <c r="SQX4" s="248"/>
      <c r="SQY4" s="248"/>
      <c r="SQZ4" s="248"/>
      <c r="SRA4" s="248"/>
      <c r="SRB4" s="248"/>
      <c r="SRC4" s="248"/>
      <c r="SRD4" s="248"/>
      <c r="SRE4" s="248"/>
      <c r="SRF4" s="248"/>
      <c r="SRG4" s="248"/>
      <c r="SRH4" s="248"/>
      <c r="SRI4" s="248"/>
      <c r="SRJ4" s="248"/>
      <c r="SRK4" s="248"/>
      <c r="SRL4" s="248"/>
      <c r="SRM4" s="248"/>
      <c r="SRN4" s="248"/>
      <c r="SRO4" s="248"/>
      <c r="SRP4" s="248"/>
      <c r="SRQ4" s="248"/>
      <c r="SRR4" s="248"/>
      <c r="SRS4" s="248"/>
      <c r="SRT4" s="248"/>
      <c r="SRU4" s="248"/>
      <c r="SRV4" s="248"/>
      <c r="SRW4" s="248"/>
      <c r="SRX4" s="248"/>
      <c r="SRY4" s="248"/>
      <c r="SRZ4" s="248"/>
      <c r="SSA4" s="248"/>
      <c r="SSB4" s="248"/>
      <c r="SSC4" s="248"/>
      <c r="SSD4" s="248"/>
      <c r="SSE4" s="248"/>
      <c r="SSF4" s="248"/>
      <c r="SSG4" s="248"/>
      <c r="SSH4" s="248"/>
      <c r="SSI4" s="248"/>
      <c r="SSJ4" s="248"/>
      <c r="SSK4" s="248"/>
      <c r="SSL4" s="248"/>
      <c r="SSM4" s="248"/>
      <c r="SSN4" s="248"/>
      <c r="SSO4" s="248"/>
      <c r="SSP4" s="248"/>
      <c r="SSQ4" s="248"/>
      <c r="SSR4" s="248"/>
      <c r="SSS4" s="248"/>
      <c r="SST4" s="248"/>
      <c r="SSU4" s="248"/>
      <c r="SSV4" s="248"/>
      <c r="SSW4" s="248"/>
      <c r="SSX4" s="248"/>
      <c r="SSY4" s="248"/>
      <c r="SSZ4" s="248"/>
      <c r="STA4" s="248"/>
      <c r="STB4" s="248"/>
      <c r="STC4" s="248"/>
      <c r="STD4" s="248"/>
      <c r="STE4" s="248"/>
      <c r="STF4" s="248"/>
      <c r="STG4" s="248"/>
      <c r="STH4" s="248"/>
      <c r="STI4" s="248"/>
      <c r="STJ4" s="248"/>
      <c r="STK4" s="248"/>
      <c r="STL4" s="248"/>
      <c r="STM4" s="248"/>
      <c r="STN4" s="248"/>
      <c r="STO4" s="248"/>
      <c r="STP4" s="248"/>
      <c r="STQ4" s="248"/>
      <c r="STR4" s="248"/>
      <c r="STS4" s="248"/>
      <c r="STT4" s="248"/>
      <c r="STU4" s="248"/>
      <c r="STV4" s="248"/>
      <c r="STW4" s="248"/>
      <c r="STX4" s="248"/>
      <c r="STY4" s="248"/>
      <c r="STZ4" s="248"/>
      <c r="SUA4" s="248"/>
      <c r="SUB4" s="248"/>
      <c r="SUC4" s="248"/>
      <c r="SUD4" s="248"/>
      <c r="SUE4" s="248"/>
      <c r="SUF4" s="248"/>
      <c r="SUG4" s="248"/>
      <c r="SUH4" s="248"/>
      <c r="SUI4" s="248"/>
      <c r="SUJ4" s="248"/>
      <c r="SUK4" s="248"/>
      <c r="SUL4" s="248"/>
      <c r="SUM4" s="248"/>
      <c r="SUN4" s="248"/>
      <c r="SUO4" s="248"/>
      <c r="SUP4" s="248"/>
      <c r="SUQ4" s="248"/>
      <c r="SUR4" s="248"/>
      <c r="SUS4" s="248"/>
      <c r="SUT4" s="248"/>
      <c r="SUU4" s="248"/>
      <c r="SUV4" s="248"/>
      <c r="SUW4" s="248"/>
      <c r="SUX4" s="248"/>
      <c r="SUY4" s="248"/>
      <c r="SUZ4" s="248"/>
      <c r="SVA4" s="248"/>
      <c r="SVB4" s="248"/>
      <c r="SVC4" s="248"/>
      <c r="SVD4" s="248"/>
      <c r="SVE4" s="248"/>
      <c r="SVF4" s="248"/>
      <c r="SVG4" s="248"/>
      <c r="SVH4" s="248"/>
      <c r="SVI4" s="248"/>
      <c r="SVJ4" s="248"/>
      <c r="SVK4" s="248"/>
      <c r="SVL4" s="248"/>
      <c r="SVM4" s="248"/>
      <c r="SVN4" s="248"/>
      <c r="SVO4" s="248"/>
      <c r="SVP4" s="248"/>
      <c r="SVQ4" s="248"/>
      <c r="SVR4" s="248"/>
      <c r="SVS4" s="248"/>
      <c r="SVT4" s="248"/>
      <c r="SVU4" s="248"/>
      <c r="SVV4" s="248"/>
      <c r="SVW4" s="248"/>
      <c r="SVX4" s="248"/>
      <c r="SVY4" s="248"/>
      <c r="SVZ4" s="248"/>
      <c r="SWA4" s="248"/>
      <c r="SWB4" s="248"/>
      <c r="SWC4" s="248"/>
      <c r="SWD4" s="248"/>
      <c r="SWE4" s="248"/>
      <c r="SWF4" s="248"/>
      <c r="SWG4" s="248"/>
      <c r="SWH4" s="248"/>
      <c r="SWI4" s="248"/>
      <c r="SWJ4" s="248"/>
      <c r="SWK4" s="248"/>
      <c r="SWL4" s="248"/>
      <c r="SWM4" s="248"/>
      <c r="SWN4" s="248"/>
      <c r="SWO4" s="248"/>
      <c r="SWP4" s="248"/>
      <c r="SWQ4" s="248"/>
      <c r="SWR4" s="248"/>
      <c r="SWS4" s="248"/>
      <c r="SWT4" s="248"/>
      <c r="SWU4" s="248"/>
      <c r="SWV4" s="248"/>
      <c r="SWW4" s="248"/>
      <c r="SWX4" s="248"/>
      <c r="SWY4" s="248"/>
      <c r="SWZ4" s="248"/>
      <c r="SXA4" s="248"/>
      <c r="SXB4" s="248"/>
      <c r="SXC4" s="248"/>
      <c r="SXD4" s="248"/>
      <c r="SXE4" s="248"/>
      <c r="SXF4" s="248"/>
      <c r="SXG4" s="248"/>
      <c r="SXH4" s="248"/>
      <c r="SXI4" s="248"/>
      <c r="SXJ4" s="248"/>
      <c r="SXK4" s="248"/>
      <c r="SXL4" s="248"/>
      <c r="SXM4" s="248"/>
      <c r="SXN4" s="248"/>
      <c r="SXO4" s="248"/>
      <c r="SXP4" s="248"/>
      <c r="SXQ4" s="248"/>
      <c r="SXR4" s="248"/>
      <c r="SXS4" s="248"/>
      <c r="SXT4" s="248"/>
      <c r="SXU4" s="248"/>
      <c r="SXV4" s="248"/>
      <c r="SXW4" s="248"/>
      <c r="SXX4" s="248"/>
      <c r="SXY4" s="248"/>
      <c r="SXZ4" s="248"/>
      <c r="SYA4" s="248"/>
      <c r="SYB4" s="248"/>
      <c r="SYC4" s="248"/>
      <c r="SYD4" s="248"/>
      <c r="SYE4" s="248"/>
      <c r="SYF4" s="248"/>
      <c r="SYG4" s="248"/>
      <c r="SYH4" s="248"/>
      <c r="SYI4" s="248"/>
      <c r="SYJ4" s="248"/>
      <c r="SYK4" s="248"/>
      <c r="SYL4" s="248"/>
      <c r="SYM4" s="248"/>
      <c r="SYN4" s="248"/>
      <c r="SYO4" s="248"/>
      <c r="SYP4" s="248"/>
      <c r="SYQ4" s="248"/>
      <c r="SYR4" s="248"/>
      <c r="SYS4" s="248"/>
      <c r="SYT4" s="248"/>
      <c r="SYU4" s="248"/>
      <c r="SYV4" s="248"/>
      <c r="SYW4" s="248"/>
      <c r="SYX4" s="248"/>
      <c r="SYY4" s="248"/>
      <c r="SYZ4" s="248"/>
      <c r="SZA4" s="248"/>
      <c r="SZB4" s="248"/>
      <c r="SZC4" s="248"/>
      <c r="SZD4" s="248"/>
      <c r="SZE4" s="248"/>
      <c r="SZF4" s="248"/>
      <c r="SZG4" s="248"/>
      <c r="SZH4" s="248"/>
      <c r="SZI4" s="248"/>
      <c r="SZJ4" s="248"/>
      <c r="SZK4" s="248"/>
      <c r="SZL4" s="248"/>
      <c r="SZM4" s="248"/>
      <c r="SZN4" s="248"/>
      <c r="SZO4" s="248"/>
      <c r="SZP4" s="248"/>
      <c r="SZQ4" s="248"/>
      <c r="SZR4" s="248"/>
      <c r="SZS4" s="248"/>
      <c r="SZT4" s="248"/>
      <c r="SZU4" s="248"/>
      <c r="SZV4" s="248"/>
      <c r="SZW4" s="248"/>
      <c r="SZX4" s="248"/>
      <c r="SZY4" s="248"/>
      <c r="SZZ4" s="248"/>
      <c r="TAA4" s="248"/>
      <c r="TAB4" s="248"/>
      <c r="TAC4" s="248"/>
      <c r="TAD4" s="248"/>
      <c r="TAE4" s="248"/>
      <c r="TAF4" s="248"/>
      <c r="TAG4" s="248"/>
      <c r="TAH4" s="248"/>
      <c r="TAI4" s="248"/>
      <c r="TAJ4" s="248"/>
      <c r="TAK4" s="248"/>
      <c r="TAL4" s="248"/>
      <c r="TAM4" s="248"/>
      <c r="TAN4" s="248"/>
      <c r="TAO4" s="248"/>
      <c r="TAP4" s="248"/>
      <c r="TAQ4" s="248"/>
      <c r="TAR4" s="248"/>
      <c r="TAS4" s="248"/>
      <c r="TAT4" s="248"/>
      <c r="TAU4" s="248"/>
      <c r="TAV4" s="248"/>
      <c r="TAW4" s="248"/>
      <c r="TAX4" s="248"/>
      <c r="TAY4" s="248"/>
      <c r="TAZ4" s="248"/>
      <c r="TBA4" s="248"/>
      <c r="TBB4" s="248"/>
      <c r="TBC4" s="248"/>
      <c r="TBD4" s="248"/>
      <c r="TBE4" s="248"/>
      <c r="TBF4" s="248"/>
      <c r="TBG4" s="248"/>
      <c r="TBH4" s="248"/>
      <c r="TBI4" s="248"/>
      <c r="TBJ4" s="248"/>
      <c r="TBK4" s="248"/>
      <c r="TBL4" s="248"/>
      <c r="TBM4" s="248"/>
      <c r="TBN4" s="248"/>
      <c r="TBO4" s="248"/>
      <c r="TBP4" s="248"/>
      <c r="TBQ4" s="248"/>
      <c r="TBR4" s="248"/>
      <c r="TBS4" s="248"/>
      <c r="TBT4" s="248"/>
      <c r="TBU4" s="248"/>
      <c r="TBV4" s="248"/>
      <c r="TBW4" s="248"/>
      <c r="TBX4" s="248"/>
      <c r="TBY4" s="248"/>
      <c r="TBZ4" s="248"/>
      <c r="TCA4" s="248"/>
      <c r="TCB4" s="248"/>
      <c r="TCC4" s="248"/>
      <c r="TCD4" s="248"/>
      <c r="TCE4" s="248"/>
      <c r="TCF4" s="248"/>
      <c r="TCG4" s="248"/>
      <c r="TCH4" s="248"/>
      <c r="TCI4" s="248"/>
      <c r="TCJ4" s="248"/>
      <c r="TCK4" s="248"/>
      <c r="TCL4" s="248"/>
      <c r="TCM4" s="248"/>
      <c r="TCN4" s="248"/>
      <c r="TCO4" s="248"/>
      <c r="TCP4" s="248"/>
      <c r="TCQ4" s="248"/>
      <c r="TCR4" s="248"/>
      <c r="TCS4" s="248"/>
      <c r="TCT4" s="248"/>
      <c r="TCU4" s="248"/>
      <c r="TCV4" s="248"/>
      <c r="TCW4" s="248"/>
      <c r="TCX4" s="248"/>
      <c r="TCY4" s="248"/>
      <c r="TCZ4" s="248"/>
      <c r="TDA4" s="248"/>
      <c r="TDB4" s="248"/>
      <c r="TDC4" s="248"/>
      <c r="TDD4" s="248"/>
      <c r="TDE4" s="248"/>
      <c r="TDF4" s="248"/>
      <c r="TDG4" s="248"/>
      <c r="TDH4" s="248"/>
      <c r="TDI4" s="248"/>
      <c r="TDJ4" s="248"/>
      <c r="TDK4" s="248"/>
      <c r="TDL4" s="248"/>
      <c r="TDM4" s="248"/>
      <c r="TDN4" s="248"/>
      <c r="TDO4" s="248"/>
      <c r="TDP4" s="248"/>
      <c r="TDQ4" s="248"/>
      <c r="TDR4" s="248"/>
      <c r="TDS4" s="248"/>
      <c r="TDT4" s="248"/>
      <c r="TDU4" s="248"/>
      <c r="TDV4" s="248"/>
      <c r="TDW4" s="248"/>
      <c r="TDX4" s="248"/>
      <c r="TDY4" s="248"/>
      <c r="TDZ4" s="248"/>
      <c r="TEA4" s="248"/>
      <c r="TEB4" s="248"/>
      <c r="TEC4" s="248"/>
      <c r="TED4" s="248"/>
      <c r="TEE4" s="248"/>
      <c r="TEF4" s="248"/>
      <c r="TEG4" s="248"/>
      <c r="TEH4" s="248"/>
      <c r="TEI4" s="248"/>
      <c r="TEJ4" s="248"/>
      <c r="TEK4" s="248"/>
      <c r="TEL4" s="248"/>
      <c r="TEM4" s="248"/>
      <c r="TEN4" s="248"/>
      <c r="TEO4" s="248"/>
      <c r="TEP4" s="248"/>
      <c r="TEQ4" s="248"/>
      <c r="TER4" s="248"/>
      <c r="TES4" s="248"/>
      <c r="TET4" s="248"/>
      <c r="TEU4" s="248"/>
      <c r="TEV4" s="248"/>
      <c r="TEW4" s="248"/>
      <c r="TEX4" s="248"/>
      <c r="TEY4" s="248"/>
      <c r="TEZ4" s="248"/>
      <c r="TFA4" s="248"/>
      <c r="TFB4" s="248"/>
      <c r="TFC4" s="248"/>
      <c r="TFD4" s="248"/>
      <c r="TFE4" s="248"/>
      <c r="TFF4" s="248"/>
      <c r="TFG4" s="248"/>
      <c r="TFH4" s="248"/>
      <c r="TFI4" s="248"/>
      <c r="TFJ4" s="248"/>
      <c r="TFK4" s="248"/>
      <c r="TFL4" s="248"/>
      <c r="TFM4" s="248"/>
      <c r="TFN4" s="248"/>
      <c r="TFO4" s="248"/>
      <c r="TFP4" s="248"/>
      <c r="TFQ4" s="248"/>
      <c r="TFR4" s="248"/>
      <c r="TFS4" s="248"/>
      <c r="TFT4" s="248"/>
      <c r="TFU4" s="248"/>
      <c r="TFV4" s="248"/>
      <c r="TFW4" s="248"/>
      <c r="TFX4" s="248"/>
      <c r="TFY4" s="248"/>
      <c r="TFZ4" s="248"/>
      <c r="TGA4" s="248"/>
      <c r="TGB4" s="248"/>
      <c r="TGC4" s="248"/>
      <c r="TGD4" s="248"/>
      <c r="TGE4" s="248"/>
      <c r="TGF4" s="248"/>
      <c r="TGG4" s="248"/>
      <c r="TGH4" s="248"/>
      <c r="TGI4" s="248"/>
      <c r="TGJ4" s="248"/>
      <c r="TGK4" s="248"/>
      <c r="TGL4" s="248"/>
      <c r="TGM4" s="248"/>
      <c r="TGN4" s="248"/>
      <c r="TGO4" s="248"/>
      <c r="TGP4" s="248"/>
      <c r="TGQ4" s="248"/>
      <c r="TGR4" s="248"/>
      <c r="TGS4" s="248"/>
      <c r="TGT4" s="248"/>
      <c r="TGU4" s="248"/>
      <c r="TGV4" s="248"/>
      <c r="TGW4" s="248"/>
      <c r="TGX4" s="248"/>
      <c r="TGY4" s="248"/>
      <c r="TGZ4" s="248"/>
      <c r="THA4" s="248"/>
      <c r="THB4" s="248"/>
      <c r="THC4" s="248"/>
      <c r="THD4" s="248"/>
      <c r="THE4" s="248"/>
      <c r="THF4" s="248"/>
      <c r="THG4" s="248"/>
      <c r="THH4" s="248"/>
      <c r="THI4" s="248"/>
      <c r="THJ4" s="248"/>
      <c r="THK4" s="248"/>
      <c r="THL4" s="248"/>
      <c r="THM4" s="248"/>
      <c r="THN4" s="248"/>
      <c r="THO4" s="248"/>
      <c r="THP4" s="248"/>
      <c r="THQ4" s="248"/>
      <c r="THR4" s="248"/>
      <c r="THS4" s="248"/>
      <c r="THT4" s="248"/>
      <c r="THU4" s="248"/>
      <c r="THV4" s="248"/>
      <c r="THW4" s="248"/>
      <c r="THX4" s="248"/>
      <c r="THY4" s="248"/>
      <c r="THZ4" s="248"/>
      <c r="TIA4" s="248"/>
      <c r="TIB4" s="248"/>
      <c r="TIC4" s="248"/>
      <c r="TID4" s="248"/>
      <c r="TIE4" s="248"/>
      <c r="TIF4" s="248"/>
      <c r="TIG4" s="248"/>
      <c r="TIH4" s="248"/>
      <c r="TII4" s="248"/>
      <c r="TIJ4" s="248"/>
      <c r="TIK4" s="248"/>
      <c r="TIL4" s="248"/>
      <c r="TIM4" s="248"/>
      <c r="TIN4" s="248"/>
      <c r="TIO4" s="248"/>
      <c r="TIP4" s="248"/>
      <c r="TIQ4" s="248"/>
      <c r="TIR4" s="248"/>
      <c r="TIS4" s="248"/>
      <c r="TIT4" s="248"/>
      <c r="TIU4" s="248"/>
      <c r="TIV4" s="248"/>
      <c r="TIW4" s="248"/>
      <c r="TIX4" s="248"/>
      <c r="TIY4" s="248"/>
      <c r="TIZ4" s="248"/>
      <c r="TJA4" s="248"/>
      <c r="TJB4" s="248"/>
      <c r="TJC4" s="248"/>
      <c r="TJD4" s="248"/>
      <c r="TJE4" s="248"/>
      <c r="TJF4" s="248"/>
      <c r="TJG4" s="248"/>
      <c r="TJH4" s="248"/>
      <c r="TJI4" s="248"/>
      <c r="TJJ4" s="248"/>
      <c r="TJK4" s="248"/>
      <c r="TJL4" s="248"/>
      <c r="TJM4" s="248"/>
      <c r="TJN4" s="248"/>
      <c r="TJO4" s="248"/>
      <c r="TJP4" s="248"/>
      <c r="TJQ4" s="248"/>
      <c r="TJR4" s="248"/>
      <c r="TJS4" s="248"/>
      <c r="TJT4" s="248"/>
      <c r="TJU4" s="248"/>
      <c r="TJV4" s="248"/>
      <c r="TJW4" s="248"/>
      <c r="TJX4" s="248"/>
      <c r="TJY4" s="248"/>
      <c r="TJZ4" s="248"/>
      <c r="TKA4" s="248"/>
      <c r="TKB4" s="248"/>
      <c r="TKC4" s="248"/>
      <c r="TKD4" s="248"/>
      <c r="TKE4" s="248"/>
      <c r="TKF4" s="248"/>
      <c r="TKG4" s="248"/>
      <c r="TKH4" s="248"/>
      <c r="TKI4" s="248"/>
      <c r="TKJ4" s="248"/>
      <c r="TKK4" s="248"/>
      <c r="TKL4" s="248"/>
      <c r="TKM4" s="248"/>
      <c r="TKN4" s="248"/>
      <c r="TKO4" s="248"/>
      <c r="TKP4" s="248"/>
      <c r="TKQ4" s="248"/>
      <c r="TKR4" s="248"/>
      <c r="TKS4" s="248"/>
      <c r="TKT4" s="248"/>
      <c r="TKU4" s="248"/>
      <c r="TKV4" s="248"/>
      <c r="TKW4" s="248"/>
      <c r="TKX4" s="248"/>
      <c r="TKY4" s="248"/>
      <c r="TKZ4" s="248"/>
      <c r="TLA4" s="248"/>
      <c r="TLB4" s="248"/>
      <c r="TLC4" s="248"/>
      <c r="TLD4" s="248"/>
      <c r="TLE4" s="248"/>
      <c r="TLF4" s="248"/>
      <c r="TLG4" s="248"/>
      <c r="TLH4" s="248"/>
      <c r="TLI4" s="248"/>
      <c r="TLJ4" s="248"/>
      <c r="TLK4" s="248"/>
      <c r="TLL4" s="248"/>
      <c r="TLM4" s="248"/>
      <c r="TLN4" s="248"/>
      <c r="TLO4" s="248"/>
      <c r="TLP4" s="248"/>
      <c r="TLQ4" s="248"/>
      <c r="TLR4" s="248"/>
      <c r="TLS4" s="248"/>
      <c r="TLT4" s="248"/>
      <c r="TLU4" s="248"/>
      <c r="TLV4" s="248"/>
      <c r="TLW4" s="248"/>
      <c r="TLX4" s="248"/>
      <c r="TLY4" s="248"/>
      <c r="TLZ4" s="248"/>
      <c r="TMA4" s="248"/>
      <c r="TMB4" s="248"/>
      <c r="TMC4" s="248"/>
      <c r="TMD4" s="248"/>
      <c r="TME4" s="248"/>
      <c r="TMF4" s="248"/>
      <c r="TMG4" s="248"/>
      <c r="TMH4" s="248"/>
      <c r="TMI4" s="248"/>
      <c r="TMJ4" s="248"/>
      <c r="TMK4" s="248"/>
      <c r="TML4" s="248"/>
      <c r="TMM4" s="248"/>
      <c r="TMN4" s="248"/>
      <c r="TMO4" s="248"/>
      <c r="TMP4" s="248"/>
      <c r="TMQ4" s="248"/>
      <c r="TMR4" s="248"/>
      <c r="TMS4" s="248"/>
      <c r="TMT4" s="248"/>
      <c r="TMU4" s="248"/>
      <c r="TMV4" s="248"/>
      <c r="TMW4" s="248"/>
      <c r="TMX4" s="248"/>
      <c r="TMY4" s="248"/>
      <c r="TMZ4" s="248"/>
      <c r="TNA4" s="248"/>
      <c r="TNB4" s="248"/>
      <c r="TNC4" s="248"/>
      <c r="TND4" s="248"/>
      <c r="TNE4" s="248"/>
      <c r="TNF4" s="248"/>
      <c r="TNG4" s="248"/>
      <c r="TNH4" s="248"/>
      <c r="TNI4" s="248"/>
      <c r="TNJ4" s="248"/>
      <c r="TNK4" s="248"/>
      <c r="TNL4" s="248"/>
      <c r="TNM4" s="248"/>
      <c r="TNN4" s="248"/>
      <c r="TNO4" s="248"/>
      <c r="TNP4" s="248"/>
      <c r="TNQ4" s="248"/>
      <c r="TNR4" s="248"/>
      <c r="TNS4" s="248"/>
      <c r="TNT4" s="248"/>
      <c r="TNU4" s="248"/>
      <c r="TNV4" s="248"/>
      <c r="TNW4" s="248"/>
      <c r="TNX4" s="248"/>
      <c r="TNY4" s="248"/>
      <c r="TNZ4" s="248"/>
      <c r="TOA4" s="248"/>
      <c r="TOB4" s="248"/>
      <c r="TOC4" s="248"/>
      <c r="TOD4" s="248"/>
      <c r="TOE4" s="248"/>
      <c r="TOF4" s="248"/>
      <c r="TOG4" s="248"/>
      <c r="TOH4" s="248"/>
      <c r="TOI4" s="248"/>
      <c r="TOJ4" s="248"/>
      <c r="TOK4" s="248"/>
      <c r="TOL4" s="248"/>
      <c r="TOM4" s="248"/>
      <c r="TON4" s="248"/>
      <c r="TOO4" s="248"/>
      <c r="TOP4" s="248"/>
      <c r="TOQ4" s="248"/>
      <c r="TOR4" s="248"/>
      <c r="TOS4" s="248"/>
      <c r="TOT4" s="248"/>
      <c r="TOU4" s="248"/>
      <c r="TOV4" s="248"/>
      <c r="TOW4" s="248"/>
      <c r="TOX4" s="248"/>
      <c r="TOY4" s="248"/>
      <c r="TOZ4" s="248"/>
      <c r="TPA4" s="248"/>
      <c r="TPB4" s="248"/>
      <c r="TPC4" s="248"/>
      <c r="TPD4" s="248"/>
      <c r="TPE4" s="248"/>
      <c r="TPF4" s="248"/>
      <c r="TPG4" s="248"/>
      <c r="TPH4" s="248"/>
      <c r="TPI4" s="248"/>
      <c r="TPJ4" s="248"/>
      <c r="TPK4" s="248"/>
      <c r="TPL4" s="248"/>
      <c r="TPM4" s="248"/>
      <c r="TPN4" s="248"/>
      <c r="TPO4" s="248"/>
      <c r="TPP4" s="248"/>
      <c r="TPQ4" s="248"/>
      <c r="TPR4" s="248"/>
      <c r="TPS4" s="248"/>
      <c r="TPT4" s="248"/>
      <c r="TPU4" s="248"/>
      <c r="TPV4" s="248"/>
      <c r="TPW4" s="248"/>
      <c r="TPX4" s="248"/>
      <c r="TPY4" s="248"/>
      <c r="TPZ4" s="248"/>
      <c r="TQA4" s="248"/>
      <c r="TQB4" s="248"/>
      <c r="TQC4" s="248"/>
      <c r="TQD4" s="248"/>
      <c r="TQE4" s="248"/>
      <c r="TQF4" s="248"/>
      <c r="TQG4" s="248"/>
      <c r="TQH4" s="248"/>
      <c r="TQI4" s="248"/>
      <c r="TQJ4" s="248"/>
      <c r="TQK4" s="248"/>
      <c r="TQL4" s="248"/>
      <c r="TQM4" s="248"/>
      <c r="TQN4" s="248"/>
      <c r="TQO4" s="248"/>
      <c r="TQP4" s="248"/>
      <c r="TQQ4" s="248"/>
      <c r="TQR4" s="248"/>
      <c r="TQS4" s="248"/>
      <c r="TQT4" s="248"/>
      <c r="TQU4" s="248"/>
      <c r="TQV4" s="248"/>
      <c r="TQW4" s="248"/>
      <c r="TQX4" s="248"/>
      <c r="TQY4" s="248"/>
      <c r="TQZ4" s="248"/>
      <c r="TRA4" s="248"/>
      <c r="TRB4" s="248"/>
      <c r="TRC4" s="248"/>
      <c r="TRD4" s="248"/>
      <c r="TRE4" s="248"/>
      <c r="TRF4" s="248"/>
      <c r="TRG4" s="248"/>
      <c r="TRH4" s="248"/>
      <c r="TRI4" s="248"/>
      <c r="TRJ4" s="248"/>
      <c r="TRK4" s="248"/>
      <c r="TRL4" s="248"/>
      <c r="TRM4" s="248"/>
      <c r="TRN4" s="248"/>
      <c r="TRO4" s="248"/>
      <c r="TRP4" s="248"/>
      <c r="TRQ4" s="248"/>
      <c r="TRR4" s="248"/>
      <c r="TRS4" s="248"/>
      <c r="TRT4" s="248"/>
      <c r="TRU4" s="248"/>
      <c r="TRV4" s="248"/>
      <c r="TRW4" s="248"/>
      <c r="TRX4" s="248"/>
      <c r="TRY4" s="248"/>
      <c r="TRZ4" s="248"/>
      <c r="TSA4" s="248"/>
      <c r="TSB4" s="248"/>
      <c r="TSC4" s="248"/>
      <c r="TSD4" s="248"/>
      <c r="TSE4" s="248"/>
      <c r="TSF4" s="248"/>
      <c r="TSG4" s="248"/>
      <c r="TSH4" s="248"/>
      <c r="TSI4" s="248"/>
      <c r="TSJ4" s="248"/>
      <c r="TSK4" s="248"/>
      <c r="TSL4" s="248"/>
      <c r="TSM4" s="248"/>
      <c r="TSN4" s="248"/>
      <c r="TSO4" s="248"/>
      <c r="TSP4" s="248"/>
      <c r="TSQ4" s="248"/>
      <c r="TSR4" s="248"/>
      <c r="TSS4" s="248"/>
      <c r="TST4" s="248"/>
      <c r="TSU4" s="248"/>
      <c r="TSV4" s="248"/>
      <c r="TSW4" s="248"/>
      <c r="TSX4" s="248"/>
      <c r="TSY4" s="248"/>
      <c r="TSZ4" s="248"/>
      <c r="TTA4" s="248"/>
      <c r="TTB4" s="248"/>
      <c r="TTC4" s="248"/>
      <c r="TTD4" s="248"/>
      <c r="TTE4" s="248"/>
      <c r="TTF4" s="248"/>
      <c r="TTG4" s="248"/>
      <c r="TTH4" s="248"/>
      <c r="TTI4" s="248"/>
      <c r="TTJ4" s="248"/>
      <c r="TTK4" s="248"/>
      <c r="TTL4" s="248"/>
      <c r="TTM4" s="248"/>
      <c r="TTN4" s="248"/>
      <c r="TTO4" s="248"/>
      <c r="TTP4" s="248"/>
      <c r="TTQ4" s="248"/>
      <c r="TTR4" s="248"/>
      <c r="TTS4" s="248"/>
      <c r="TTT4" s="248"/>
      <c r="TTU4" s="248"/>
      <c r="TTV4" s="248"/>
      <c r="TTW4" s="248"/>
      <c r="TTX4" s="248"/>
      <c r="TTY4" s="248"/>
      <c r="TTZ4" s="248"/>
      <c r="TUA4" s="248"/>
      <c r="TUB4" s="248"/>
      <c r="TUC4" s="248"/>
      <c r="TUD4" s="248"/>
      <c r="TUE4" s="248"/>
      <c r="TUF4" s="248"/>
      <c r="TUG4" s="248"/>
      <c r="TUH4" s="248"/>
      <c r="TUI4" s="248"/>
      <c r="TUJ4" s="248"/>
      <c r="TUK4" s="248"/>
      <c r="TUL4" s="248"/>
      <c r="TUM4" s="248"/>
      <c r="TUN4" s="248"/>
      <c r="TUO4" s="248"/>
      <c r="TUP4" s="248"/>
      <c r="TUQ4" s="248"/>
      <c r="TUR4" s="248"/>
      <c r="TUS4" s="248"/>
      <c r="TUT4" s="248"/>
      <c r="TUU4" s="248"/>
      <c r="TUV4" s="248"/>
      <c r="TUW4" s="248"/>
      <c r="TUX4" s="248"/>
      <c r="TUY4" s="248"/>
      <c r="TUZ4" s="248"/>
      <c r="TVA4" s="248"/>
      <c r="TVB4" s="248"/>
      <c r="TVC4" s="248"/>
      <c r="TVD4" s="248"/>
      <c r="TVE4" s="248"/>
      <c r="TVF4" s="248"/>
      <c r="TVG4" s="248"/>
      <c r="TVH4" s="248"/>
      <c r="TVI4" s="248"/>
      <c r="TVJ4" s="248"/>
      <c r="TVK4" s="248"/>
      <c r="TVL4" s="248"/>
      <c r="TVM4" s="248"/>
      <c r="TVN4" s="248"/>
      <c r="TVO4" s="248"/>
      <c r="TVP4" s="248"/>
      <c r="TVQ4" s="248"/>
      <c r="TVR4" s="248"/>
      <c r="TVS4" s="248"/>
      <c r="TVT4" s="248"/>
      <c r="TVU4" s="248"/>
      <c r="TVV4" s="248"/>
      <c r="TVW4" s="248"/>
      <c r="TVX4" s="248"/>
      <c r="TVY4" s="248"/>
      <c r="TVZ4" s="248"/>
      <c r="TWA4" s="248"/>
      <c r="TWB4" s="248"/>
      <c r="TWC4" s="248"/>
      <c r="TWD4" s="248"/>
      <c r="TWE4" s="248"/>
      <c r="TWF4" s="248"/>
      <c r="TWG4" s="248"/>
      <c r="TWH4" s="248"/>
      <c r="TWI4" s="248"/>
      <c r="TWJ4" s="248"/>
      <c r="TWK4" s="248"/>
      <c r="TWL4" s="248"/>
      <c r="TWM4" s="248"/>
      <c r="TWN4" s="248"/>
      <c r="TWO4" s="248"/>
      <c r="TWP4" s="248"/>
      <c r="TWQ4" s="248"/>
      <c r="TWR4" s="248"/>
      <c r="TWS4" s="248"/>
      <c r="TWT4" s="248"/>
      <c r="TWU4" s="248"/>
      <c r="TWV4" s="248"/>
      <c r="TWW4" s="248"/>
      <c r="TWX4" s="248"/>
      <c r="TWY4" s="248"/>
      <c r="TWZ4" s="248"/>
      <c r="TXA4" s="248"/>
      <c r="TXB4" s="248"/>
      <c r="TXC4" s="248"/>
      <c r="TXD4" s="248"/>
      <c r="TXE4" s="248"/>
      <c r="TXF4" s="248"/>
      <c r="TXG4" s="248"/>
      <c r="TXH4" s="248"/>
      <c r="TXI4" s="248"/>
      <c r="TXJ4" s="248"/>
      <c r="TXK4" s="248"/>
      <c r="TXL4" s="248"/>
      <c r="TXM4" s="248"/>
      <c r="TXN4" s="248"/>
      <c r="TXO4" s="248"/>
      <c r="TXP4" s="248"/>
      <c r="TXQ4" s="248"/>
      <c r="TXR4" s="248"/>
      <c r="TXS4" s="248"/>
      <c r="TXT4" s="248"/>
      <c r="TXU4" s="248"/>
      <c r="TXV4" s="248"/>
      <c r="TXW4" s="248"/>
      <c r="TXX4" s="248"/>
      <c r="TXY4" s="248"/>
      <c r="TXZ4" s="248"/>
      <c r="TYA4" s="248"/>
      <c r="TYB4" s="248"/>
      <c r="TYC4" s="248"/>
      <c r="TYD4" s="248"/>
      <c r="TYE4" s="248"/>
      <c r="TYF4" s="248"/>
      <c r="TYG4" s="248"/>
      <c r="TYH4" s="248"/>
      <c r="TYI4" s="248"/>
      <c r="TYJ4" s="248"/>
      <c r="TYK4" s="248"/>
      <c r="TYL4" s="248"/>
      <c r="TYM4" s="248"/>
      <c r="TYN4" s="248"/>
      <c r="TYO4" s="248"/>
      <c r="TYP4" s="248"/>
      <c r="TYQ4" s="248"/>
      <c r="TYR4" s="248"/>
      <c r="TYS4" s="248"/>
      <c r="TYT4" s="248"/>
      <c r="TYU4" s="248"/>
      <c r="TYV4" s="248"/>
      <c r="TYW4" s="248"/>
      <c r="TYX4" s="248"/>
      <c r="TYY4" s="248"/>
      <c r="TYZ4" s="248"/>
      <c r="TZA4" s="248"/>
      <c r="TZB4" s="248"/>
      <c r="TZC4" s="248"/>
      <c r="TZD4" s="248"/>
      <c r="TZE4" s="248"/>
      <c r="TZF4" s="248"/>
      <c r="TZG4" s="248"/>
      <c r="TZH4" s="248"/>
      <c r="TZI4" s="248"/>
      <c r="TZJ4" s="248"/>
      <c r="TZK4" s="248"/>
      <c r="TZL4" s="248"/>
      <c r="TZM4" s="248"/>
      <c r="TZN4" s="248"/>
      <c r="TZO4" s="248"/>
      <c r="TZP4" s="248"/>
      <c r="TZQ4" s="248"/>
      <c r="TZR4" s="248"/>
      <c r="TZS4" s="248"/>
      <c r="TZT4" s="248"/>
      <c r="TZU4" s="248"/>
      <c r="TZV4" s="248"/>
      <c r="TZW4" s="248"/>
      <c r="TZX4" s="248"/>
      <c r="TZY4" s="248"/>
      <c r="TZZ4" s="248"/>
      <c r="UAA4" s="248"/>
      <c r="UAB4" s="248"/>
      <c r="UAC4" s="248"/>
      <c r="UAD4" s="248"/>
      <c r="UAE4" s="248"/>
      <c r="UAF4" s="248"/>
      <c r="UAG4" s="248"/>
      <c r="UAH4" s="248"/>
      <c r="UAI4" s="248"/>
      <c r="UAJ4" s="248"/>
      <c r="UAK4" s="248"/>
      <c r="UAL4" s="248"/>
      <c r="UAM4" s="248"/>
      <c r="UAN4" s="248"/>
      <c r="UAO4" s="248"/>
      <c r="UAP4" s="248"/>
      <c r="UAQ4" s="248"/>
      <c r="UAR4" s="248"/>
      <c r="UAS4" s="248"/>
      <c r="UAT4" s="248"/>
      <c r="UAU4" s="248"/>
      <c r="UAV4" s="248"/>
      <c r="UAW4" s="248"/>
      <c r="UAX4" s="248"/>
      <c r="UAY4" s="248"/>
      <c r="UAZ4" s="248"/>
      <c r="UBA4" s="248"/>
      <c r="UBB4" s="248"/>
      <c r="UBC4" s="248"/>
      <c r="UBD4" s="248"/>
      <c r="UBE4" s="248"/>
      <c r="UBF4" s="248"/>
      <c r="UBG4" s="248"/>
      <c r="UBH4" s="248"/>
      <c r="UBI4" s="248"/>
      <c r="UBJ4" s="248"/>
      <c r="UBK4" s="248"/>
      <c r="UBL4" s="248"/>
      <c r="UBM4" s="248"/>
      <c r="UBN4" s="248"/>
      <c r="UBO4" s="248"/>
      <c r="UBP4" s="248"/>
      <c r="UBQ4" s="248"/>
      <c r="UBR4" s="248"/>
      <c r="UBS4" s="248"/>
      <c r="UBT4" s="248"/>
      <c r="UBU4" s="248"/>
      <c r="UBV4" s="248"/>
      <c r="UBW4" s="248"/>
      <c r="UBX4" s="248"/>
      <c r="UBY4" s="248"/>
      <c r="UBZ4" s="248"/>
      <c r="UCA4" s="248"/>
      <c r="UCB4" s="248"/>
      <c r="UCC4" s="248"/>
      <c r="UCD4" s="248"/>
      <c r="UCE4" s="248"/>
      <c r="UCF4" s="248"/>
      <c r="UCG4" s="248"/>
      <c r="UCH4" s="248"/>
      <c r="UCI4" s="248"/>
      <c r="UCJ4" s="248"/>
      <c r="UCK4" s="248"/>
      <c r="UCL4" s="248"/>
      <c r="UCM4" s="248"/>
      <c r="UCN4" s="248"/>
      <c r="UCO4" s="248"/>
      <c r="UCP4" s="248"/>
      <c r="UCQ4" s="248"/>
      <c r="UCR4" s="248"/>
      <c r="UCS4" s="248"/>
      <c r="UCT4" s="248"/>
      <c r="UCU4" s="248"/>
      <c r="UCV4" s="248"/>
      <c r="UCW4" s="248"/>
      <c r="UCX4" s="248"/>
      <c r="UCY4" s="248"/>
      <c r="UCZ4" s="248"/>
      <c r="UDA4" s="248"/>
      <c r="UDB4" s="248"/>
      <c r="UDC4" s="248"/>
      <c r="UDD4" s="248"/>
      <c r="UDE4" s="248"/>
      <c r="UDF4" s="248"/>
      <c r="UDG4" s="248"/>
      <c r="UDH4" s="248"/>
      <c r="UDI4" s="248"/>
      <c r="UDJ4" s="248"/>
      <c r="UDK4" s="248"/>
      <c r="UDL4" s="248"/>
      <c r="UDM4" s="248"/>
      <c r="UDN4" s="248"/>
      <c r="UDO4" s="248"/>
      <c r="UDP4" s="248"/>
      <c r="UDQ4" s="248"/>
      <c r="UDR4" s="248"/>
      <c r="UDS4" s="248"/>
      <c r="UDT4" s="248"/>
      <c r="UDU4" s="248"/>
      <c r="UDV4" s="248"/>
      <c r="UDW4" s="248"/>
      <c r="UDX4" s="248"/>
      <c r="UDY4" s="248"/>
      <c r="UDZ4" s="248"/>
      <c r="UEA4" s="248"/>
      <c r="UEB4" s="248"/>
      <c r="UEC4" s="248"/>
      <c r="UED4" s="248"/>
      <c r="UEE4" s="248"/>
      <c r="UEF4" s="248"/>
      <c r="UEG4" s="248"/>
      <c r="UEH4" s="248"/>
      <c r="UEI4" s="248"/>
      <c r="UEJ4" s="248"/>
      <c r="UEK4" s="248"/>
      <c r="UEL4" s="248"/>
      <c r="UEM4" s="248"/>
      <c r="UEN4" s="248"/>
      <c r="UEO4" s="248"/>
      <c r="UEP4" s="248"/>
      <c r="UEQ4" s="248"/>
      <c r="UER4" s="248"/>
      <c r="UES4" s="248"/>
      <c r="UET4" s="248"/>
      <c r="UEU4" s="248"/>
      <c r="UEV4" s="248"/>
      <c r="UEW4" s="248"/>
      <c r="UEX4" s="248"/>
      <c r="UEY4" s="248"/>
      <c r="UEZ4" s="248"/>
      <c r="UFA4" s="248"/>
      <c r="UFB4" s="248"/>
      <c r="UFC4" s="248"/>
      <c r="UFD4" s="248"/>
      <c r="UFE4" s="248"/>
      <c r="UFF4" s="248"/>
      <c r="UFG4" s="248"/>
      <c r="UFH4" s="248"/>
      <c r="UFI4" s="248"/>
      <c r="UFJ4" s="248"/>
      <c r="UFK4" s="248"/>
      <c r="UFL4" s="248"/>
      <c r="UFM4" s="248"/>
      <c r="UFN4" s="248"/>
      <c r="UFO4" s="248"/>
      <c r="UFP4" s="248"/>
      <c r="UFQ4" s="248"/>
      <c r="UFR4" s="248"/>
      <c r="UFS4" s="248"/>
      <c r="UFT4" s="248"/>
      <c r="UFU4" s="248"/>
      <c r="UFV4" s="248"/>
      <c r="UFW4" s="248"/>
      <c r="UFX4" s="248"/>
      <c r="UFY4" s="248"/>
      <c r="UFZ4" s="248"/>
      <c r="UGA4" s="248"/>
      <c r="UGB4" s="248"/>
      <c r="UGC4" s="248"/>
      <c r="UGD4" s="248"/>
      <c r="UGE4" s="248"/>
      <c r="UGF4" s="248"/>
      <c r="UGG4" s="248"/>
      <c r="UGH4" s="248"/>
      <c r="UGI4" s="248"/>
      <c r="UGJ4" s="248"/>
      <c r="UGK4" s="248"/>
      <c r="UGL4" s="248"/>
      <c r="UGM4" s="248"/>
      <c r="UGN4" s="248"/>
      <c r="UGO4" s="248"/>
      <c r="UGP4" s="248"/>
      <c r="UGQ4" s="248"/>
      <c r="UGR4" s="248"/>
      <c r="UGS4" s="248"/>
      <c r="UGT4" s="248"/>
      <c r="UGU4" s="248"/>
      <c r="UGV4" s="248"/>
      <c r="UGW4" s="248"/>
      <c r="UGX4" s="248"/>
      <c r="UGY4" s="248"/>
      <c r="UGZ4" s="248"/>
      <c r="UHA4" s="248"/>
      <c r="UHB4" s="248"/>
      <c r="UHC4" s="248"/>
      <c r="UHD4" s="248"/>
      <c r="UHE4" s="248"/>
      <c r="UHF4" s="248"/>
      <c r="UHG4" s="248"/>
      <c r="UHH4" s="248"/>
      <c r="UHI4" s="248"/>
      <c r="UHJ4" s="248"/>
      <c r="UHK4" s="248"/>
      <c r="UHL4" s="248"/>
      <c r="UHM4" s="248"/>
      <c r="UHN4" s="248"/>
      <c r="UHO4" s="248"/>
      <c r="UHP4" s="248"/>
      <c r="UHQ4" s="248"/>
      <c r="UHR4" s="248"/>
      <c r="UHS4" s="248"/>
      <c r="UHT4" s="248"/>
      <c r="UHU4" s="248"/>
      <c r="UHV4" s="248"/>
      <c r="UHW4" s="248"/>
      <c r="UHX4" s="248"/>
      <c r="UHY4" s="248"/>
      <c r="UHZ4" s="248"/>
      <c r="UIA4" s="248"/>
      <c r="UIB4" s="248"/>
      <c r="UIC4" s="248"/>
      <c r="UID4" s="248"/>
      <c r="UIE4" s="248"/>
      <c r="UIF4" s="248"/>
      <c r="UIG4" s="248"/>
      <c r="UIH4" s="248"/>
      <c r="UII4" s="248"/>
      <c r="UIJ4" s="248"/>
      <c r="UIK4" s="248"/>
      <c r="UIL4" s="248"/>
      <c r="UIM4" s="248"/>
      <c r="UIN4" s="248"/>
      <c r="UIO4" s="248"/>
      <c r="UIP4" s="248"/>
      <c r="UIQ4" s="248"/>
      <c r="UIR4" s="248"/>
      <c r="UIS4" s="248"/>
      <c r="UIT4" s="248"/>
      <c r="UIU4" s="248"/>
      <c r="UIV4" s="248"/>
      <c r="UIW4" s="248"/>
      <c r="UIX4" s="248"/>
      <c r="UIY4" s="248"/>
      <c r="UIZ4" s="248"/>
      <c r="UJA4" s="248"/>
      <c r="UJB4" s="248"/>
      <c r="UJC4" s="248"/>
      <c r="UJD4" s="248"/>
      <c r="UJE4" s="248"/>
      <c r="UJF4" s="248"/>
      <c r="UJG4" s="248"/>
      <c r="UJH4" s="248"/>
      <c r="UJI4" s="248"/>
      <c r="UJJ4" s="248"/>
      <c r="UJK4" s="248"/>
      <c r="UJL4" s="248"/>
      <c r="UJM4" s="248"/>
      <c r="UJN4" s="248"/>
      <c r="UJO4" s="248"/>
      <c r="UJP4" s="248"/>
      <c r="UJQ4" s="248"/>
      <c r="UJR4" s="248"/>
      <c r="UJS4" s="248"/>
      <c r="UJT4" s="248"/>
      <c r="UJU4" s="248"/>
      <c r="UJV4" s="248"/>
      <c r="UJW4" s="248"/>
      <c r="UJX4" s="248"/>
      <c r="UJY4" s="248"/>
      <c r="UJZ4" s="248"/>
      <c r="UKA4" s="248"/>
      <c r="UKB4" s="248"/>
      <c r="UKC4" s="248"/>
      <c r="UKD4" s="248"/>
      <c r="UKE4" s="248"/>
      <c r="UKF4" s="248"/>
      <c r="UKG4" s="248"/>
      <c r="UKH4" s="248"/>
      <c r="UKI4" s="248"/>
      <c r="UKJ4" s="248"/>
      <c r="UKK4" s="248"/>
      <c r="UKL4" s="248"/>
      <c r="UKM4" s="248"/>
      <c r="UKN4" s="248"/>
      <c r="UKO4" s="248"/>
      <c r="UKP4" s="248"/>
      <c r="UKQ4" s="248"/>
      <c r="UKR4" s="248"/>
      <c r="UKS4" s="248"/>
      <c r="UKT4" s="248"/>
      <c r="UKU4" s="248"/>
      <c r="UKV4" s="248"/>
      <c r="UKW4" s="248"/>
      <c r="UKX4" s="248"/>
      <c r="UKY4" s="248"/>
      <c r="UKZ4" s="248"/>
      <c r="ULA4" s="248"/>
      <c r="ULB4" s="248"/>
      <c r="ULC4" s="248"/>
      <c r="ULD4" s="248"/>
      <c r="ULE4" s="248"/>
      <c r="ULF4" s="248"/>
      <c r="ULG4" s="248"/>
      <c r="ULH4" s="248"/>
      <c r="ULI4" s="248"/>
      <c r="ULJ4" s="248"/>
      <c r="ULK4" s="248"/>
      <c r="ULL4" s="248"/>
      <c r="ULM4" s="248"/>
      <c r="ULN4" s="248"/>
      <c r="ULO4" s="248"/>
      <c r="ULP4" s="248"/>
      <c r="ULQ4" s="248"/>
      <c r="ULR4" s="248"/>
      <c r="ULS4" s="248"/>
      <c r="ULT4" s="248"/>
      <c r="ULU4" s="248"/>
      <c r="ULV4" s="248"/>
      <c r="ULW4" s="248"/>
      <c r="ULX4" s="248"/>
      <c r="ULY4" s="248"/>
      <c r="ULZ4" s="248"/>
      <c r="UMA4" s="248"/>
      <c r="UMB4" s="248"/>
      <c r="UMC4" s="248"/>
      <c r="UMD4" s="248"/>
      <c r="UME4" s="248"/>
      <c r="UMF4" s="248"/>
      <c r="UMG4" s="248"/>
      <c r="UMH4" s="248"/>
      <c r="UMI4" s="248"/>
      <c r="UMJ4" s="248"/>
      <c r="UMK4" s="248"/>
      <c r="UML4" s="248"/>
      <c r="UMM4" s="248"/>
      <c r="UMN4" s="248"/>
      <c r="UMO4" s="248"/>
      <c r="UMP4" s="248"/>
      <c r="UMQ4" s="248"/>
      <c r="UMR4" s="248"/>
      <c r="UMS4" s="248"/>
      <c r="UMT4" s="248"/>
      <c r="UMU4" s="248"/>
      <c r="UMV4" s="248"/>
      <c r="UMW4" s="248"/>
      <c r="UMX4" s="248"/>
      <c r="UMY4" s="248"/>
      <c r="UMZ4" s="248"/>
      <c r="UNA4" s="248"/>
      <c r="UNB4" s="248"/>
      <c r="UNC4" s="248"/>
      <c r="UND4" s="248"/>
      <c r="UNE4" s="248"/>
      <c r="UNF4" s="248"/>
      <c r="UNG4" s="248"/>
      <c r="UNH4" s="248"/>
      <c r="UNI4" s="248"/>
      <c r="UNJ4" s="248"/>
      <c r="UNK4" s="248"/>
      <c r="UNL4" s="248"/>
      <c r="UNM4" s="248"/>
      <c r="UNN4" s="248"/>
      <c r="UNO4" s="248"/>
      <c r="UNP4" s="248"/>
      <c r="UNQ4" s="248"/>
      <c r="UNR4" s="248"/>
      <c r="UNS4" s="248"/>
      <c r="UNT4" s="248"/>
      <c r="UNU4" s="248"/>
      <c r="UNV4" s="248"/>
      <c r="UNW4" s="248"/>
      <c r="UNX4" s="248"/>
      <c r="UNY4" s="248"/>
      <c r="UNZ4" s="248"/>
      <c r="UOA4" s="248"/>
      <c r="UOB4" s="248"/>
      <c r="UOC4" s="248"/>
      <c r="UOD4" s="248"/>
      <c r="UOE4" s="248"/>
      <c r="UOF4" s="248"/>
      <c r="UOG4" s="248"/>
      <c r="UOH4" s="248"/>
      <c r="UOI4" s="248"/>
      <c r="UOJ4" s="248"/>
      <c r="UOK4" s="248"/>
      <c r="UOL4" s="248"/>
      <c r="UOM4" s="248"/>
      <c r="UON4" s="248"/>
      <c r="UOO4" s="248"/>
      <c r="UOP4" s="248"/>
      <c r="UOQ4" s="248"/>
      <c r="UOR4" s="248"/>
      <c r="UOS4" s="248"/>
      <c r="UOT4" s="248"/>
      <c r="UOU4" s="248"/>
      <c r="UOV4" s="248"/>
      <c r="UOW4" s="248"/>
      <c r="UOX4" s="248"/>
      <c r="UOY4" s="248"/>
      <c r="UOZ4" s="248"/>
      <c r="UPA4" s="248"/>
      <c r="UPB4" s="248"/>
      <c r="UPC4" s="248"/>
      <c r="UPD4" s="248"/>
      <c r="UPE4" s="248"/>
      <c r="UPF4" s="248"/>
      <c r="UPG4" s="248"/>
      <c r="UPH4" s="248"/>
      <c r="UPI4" s="248"/>
      <c r="UPJ4" s="248"/>
      <c r="UPK4" s="248"/>
      <c r="UPL4" s="248"/>
      <c r="UPM4" s="248"/>
      <c r="UPN4" s="248"/>
      <c r="UPO4" s="248"/>
      <c r="UPP4" s="248"/>
      <c r="UPQ4" s="248"/>
      <c r="UPR4" s="248"/>
      <c r="UPS4" s="248"/>
      <c r="UPT4" s="248"/>
      <c r="UPU4" s="248"/>
      <c r="UPV4" s="248"/>
      <c r="UPW4" s="248"/>
      <c r="UPX4" s="248"/>
      <c r="UPY4" s="248"/>
      <c r="UPZ4" s="248"/>
      <c r="UQA4" s="248"/>
      <c r="UQB4" s="248"/>
      <c r="UQC4" s="248"/>
      <c r="UQD4" s="248"/>
      <c r="UQE4" s="248"/>
      <c r="UQF4" s="248"/>
      <c r="UQG4" s="248"/>
      <c r="UQH4" s="248"/>
      <c r="UQI4" s="248"/>
      <c r="UQJ4" s="248"/>
      <c r="UQK4" s="248"/>
      <c r="UQL4" s="248"/>
      <c r="UQM4" s="248"/>
      <c r="UQN4" s="248"/>
      <c r="UQO4" s="248"/>
      <c r="UQP4" s="248"/>
      <c r="UQQ4" s="248"/>
      <c r="UQR4" s="248"/>
      <c r="UQS4" s="248"/>
      <c r="UQT4" s="248"/>
      <c r="UQU4" s="248"/>
      <c r="UQV4" s="248"/>
      <c r="UQW4" s="248"/>
      <c r="UQX4" s="248"/>
      <c r="UQY4" s="248"/>
      <c r="UQZ4" s="248"/>
      <c r="URA4" s="248"/>
      <c r="URB4" s="248"/>
      <c r="URC4" s="248"/>
      <c r="URD4" s="248"/>
      <c r="URE4" s="248"/>
      <c r="URF4" s="248"/>
      <c r="URG4" s="248"/>
      <c r="URH4" s="248"/>
      <c r="URI4" s="248"/>
      <c r="URJ4" s="248"/>
      <c r="URK4" s="248"/>
      <c r="URL4" s="248"/>
      <c r="URM4" s="248"/>
      <c r="URN4" s="248"/>
      <c r="URO4" s="248"/>
      <c r="URP4" s="248"/>
      <c r="URQ4" s="248"/>
      <c r="URR4" s="248"/>
      <c r="URS4" s="248"/>
      <c r="URT4" s="248"/>
      <c r="URU4" s="248"/>
      <c r="URV4" s="248"/>
      <c r="URW4" s="248"/>
      <c r="URX4" s="248"/>
      <c r="URY4" s="248"/>
      <c r="URZ4" s="248"/>
      <c r="USA4" s="248"/>
      <c r="USB4" s="248"/>
      <c r="USC4" s="248"/>
      <c r="USD4" s="248"/>
      <c r="USE4" s="248"/>
      <c r="USF4" s="248"/>
      <c r="USG4" s="248"/>
      <c r="USH4" s="248"/>
      <c r="USI4" s="248"/>
      <c r="USJ4" s="248"/>
      <c r="USK4" s="248"/>
      <c r="USL4" s="248"/>
      <c r="USM4" s="248"/>
      <c r="USN4" s="248"/>
      <c r="USO4" s="248"/>
      <c r="USP4" s="248"/>
      <c r="USQ4" s="248"/>
      <c r="USR4" s="248"/>
      <c r="USS4" s="248"/>
      <c r="UST4" s="248"/>
      <c r="USU4" s="248"/>
      <c r="USV4" s="248"/>
      <c r="USW4" s="248"/>
      <c r="USX4" s="248"/>
      <c r="USY4" s="248"/>
      <c r="USZ4" s="248"/>
      <c r="UTA4" s="248"/>
      <c r="UTB4" s="248"/>
      <c r="UTC4" s="248"/>
      <c r="UTD4" s="248"/>
      <c r="UTE4" s="248"/>
      <c r="UTF4" s="248"/>
      <c r="UTG4" s="248"/>
      <c r="UTH4" s="248"/>
      <c r="UTI4" s="248"/>
      <c r="UTJ4" s="248"/>
      <c r="UTK4" s="248"/>
      <c r="UTL4" s="248"/>
      <c r="UTM4" s="248"/>
      <c r="UTN4" s="248"/>
      <c r="UTO4" s="248"/>
      <c r="UTP4" s="248"/>
      <c r="UTQ4" s="248"/>
      <c r="UTR4" s="248"/>
      <c r="UTS4" s="248"/>
      <c r="UTT4" s="248"/>
      <c r="UTU4" s="248"/>
      <c r="UTV4" s="248"/>
      <c r="UTW4" s="248"/>
      <c r="UTX4" s="248"/>
      <c r="UTY4" s="248"/>
      <c r="UTZ4" s="248"/>
      <c r="UUA4" s="248"/>
      <c r="UUB4" s="248"/>
      <c r="UUC4" s="248"/>
      <c r="UUD4" s="248"/>
      <c r="UUE4" s="248"/>
      <c r="UUF4" s="248"/>
      <c r="UUG4" s="248"/>
      <c r="UUH4" s="248"/>
      <c r="UUI4" s="248"/>
      <c r="UUJ4" s="248"/>
      <c r="UUK4" s="248"/>
      <c r="UUL4" s="248"/>
      <c r="UUM4" s="248"/>
      <c r="UUN4" s="248"/>
      <c r="UUO4" s="248"/>
      <c r="UUP4" s="248"/>
      <c r="UUQ4" s="248"/>
      <c r="UUR4" s="248"/>
      <c r="UUS4" s="248"/>
      <c r="UUT4" s="248"/>
      <c r="UUU4" s="248"/>
      <c r="UUV4" s="248"/>
      <c r="UUW4" s="248"/>
      <c r="UUX4" s="248"/>
      <c r="UUY4" s="248"/>
      <c r="UUZ4" s="248"/>
      <c r="UVA4" s="248"/>
      <c r="UVB4" s="248"/>
      <c r="UVC4" s="248"/>
      <c r="UVD4" s="248"/>
      <c r="UVE4" s="248"/>
      <c r="UVF4" s="248"/>
      <c r="UVG4" s="248"/>
      <c r="UVH4" s="248"/>
      <c r="UVI4" s="248"/>
      <c r="UVJ4" s="248"/>
      <c r="UVK4" s="248"/>
      <c r="UVL4" s="248"/>
      <c r="UVM4" s="248"/>
      <c r="UVN4" s="248"/>
      <c r="UVO4" s="248"/>
      <c r="UVP4" s="248"/>
      <c r="UVQ4" s="248"/>
      <c r="UVR4" s="248"/>
      <c r="UVS4" s="248"/>
      <c r="UVT4" s="248"/>
      <c r="UVU4" s="248"/>
      <c r="UVV4" s="248"/>
      <c r="UVW4" s="248"/>
      <c r="UVX4" s="248"/>
      <c r="UVY4" s="248"/>
      <c r="UVZ4" s="248"/>
      <c r="UWA4" s="248"/>
      <c r="UWB4" s="248"/>
      <c r="UWC4" s="248"/>
      <c r="UWD4" s="248"/>
      <c r="UWE4" s="248"/>
      <c r="UWF4" s="248"/>
      <c r="UWG4" s="248"/>
      <c r="UWH4" s="248"/>
      <c r="UWI4" s="248"/>
      <c r="UWJ4" s="248"/>
      <c r="UWK4" s="248"/>
      <c r="UWL4" s="248"/>
      <c r="UWM4" s="248"/>
      <c r="UWN4" s="248"/>
      <c r="UWO4" s="248"/>
      <c r="UWP4" s="248"/>
      <c r="UWQ4" s="248"/>
      <c r="UWR4" s="248"/>
      <c r="UWS4" s="248"/>
      <c r="UWT4" s="248"/>
      <c r="UWU4" s="248"/>
      <c r="UWV4" s="248"/>
      <c r="UWW4" s="248"/>
      <c r="UWX4" s="248"/>
      <c r="UWY4" s="248"/>
      <c r="UWZ4" s="248"/>
      <c r="UXA4" s="248"/>
      <c r="UXB4" s="248"/>
      <c r="UXC4" s="248"/>
      <c r="UXD4" s="248"/>
      <c r="UXE4" s="248"/>
      <c r="UXF4" s="248"/>
      <c r="UXG4" s="248"/>
      <c r="UXH4" s="248"/>
      <c r="UXI4" s="248"/>
      <c r="UXJ4" s="248"/>
      <c r="UXK4" s="248"/>
      <c r="UXL4" s="248"/>
      <c r="UXM4" s="248"/>
      <c r="UXN4" s="248"/>
      <c r="UXO4" s="248"/>
      <c r="UXP4" s="248"/>
      <c r="UXQ4" s="248"/>
      <c r="UXR4" s="248"/>
      <c r="UXS4" s="248"/>
      <c r="UXT4" s="248"/>
      <c r="UXU4" s="248"/>
      <c r="UXV4" s="248"/>
      <c r="UXW4" s="248"/>
      <c r="UXX4" s="248"/>
      <c r="UXY4" s="248"/>
      <c r="UXZ4" s="248"/>
      <c r="UYA4" s="248"/>
      <c r="UYB4" s="248"/>
      <c r="UYC4" s="248"/>
      <c r="UYD4" s="248"/>
      <c r="UYE4" s="248"/>
      <c r="UYF4" s="248"/>
      <c r="UYG4" s="248"/>
      <c r="UYH4" s="248"/>
      <c r="UYI4" s="248"/>
      <c r="UYJ4" s="248"/>
      <c r="UYK4" s="248"/>
      <c r="UYL4" s="248"/>
      <c r="UYM4" s="248"/>
      <c r="UYN4" s="248"/>
      <c r="UYO4" s="248"/>
      <c r="UYP4" s="248"/>
      <c r="UYQ4" s="248"/>
      <c r="UYR4" s="248"/>
      <c r="UYS4" s="248"/>
      <c r="UYT4" s="248"/>
      <c r="UYU4" s="248"/>
      <c r="UYV4" s="248"/>
      <c r="UYW4" s="248"/>
      <c r="UYX4" s="248"/>
      <c r="UYY4" s="248"/>
      <c r="UYZ4" s="248"/>
      <c r="UZA4" s="248"/>
      <c r="UZB4" s="248"/>
      <c r="UZC4" s="248"/>
      <c r="UZD4" s="248"/>
      <c r="UZE4" s="248"/>
      <c r="UZF4" s="248"/>
      <c r="UZG4" s="248"/>
      <c r="UZH4" s="248"/>
      <c r="UZI4" s="248"/>
      <c r="UZJ4" s="248"/>
      <c r="UZK4" s="248"/>
      <c r="UZL4" s="248"/>
      <c r="UZM4" s="248"/>
      <c r="UZN4" s="248"/>
      <c r="UZO4" s="248"/>
      <c r="UZP4" s="248"/>
      <c r="UZQ4" s="248"/>
      <c r="UZR4" s="248"/>
      <c r="UZS4" s="248"/>
      <c r="UZT4" s="248"/>
      <c r="UZU4" s="248"/>
      <c r="UZV4" s="248"/>
      <c r="UZW4" s="248"/>
      <c r="UZX4" s="248"/>
      <c r="UZY4" s="248"/>
      <c r="UZZ4" s="248"/>
      <c r="VAA4" s="248"/>
      <c r="VAB4" s="248"/>
      <c r="VAC4" s="248"/>
      <c r="VAD4" s="248"/>
      <c r="VAE4" s="248"/>
      <c r="VAF4" s="248"/>
      <c r="VAG4" s="248"/>
      <c r="VAH4" s="248"/>
      <c r="VAI4" s="248"/>
      <c r="VAJ4" s="248"/>
      <c r="VAK4" s="248"/>
      <c r="VAL4" s="248"/>
      <c r="VAM4" s="248"/>
      <c r="VAN4" s="248"/>
      <c r="VAO4" s="248"/>
      <c r="VAP4" s="248"/>
      <c r="VAQ4" s="248"/>
      <c r="VAR4" s="248"/>
      <c r="VAS4" s="248"/>
      <c r="VAT4" s="248"/>
      <c r="VAU4" s="248"/>
      <c r="VAV4" s="248"/>
      <c r="VAW4" s="248"/>
      <c r="VAX4" s="248"/>
      <c r="VAY4" s="248"/>
      <c r="VAZ4" s="248"/>
      <c r="VBA4" s="248"/>
      <c r="VBB4" s="248"/>
      <c r="VBC4" s="248"/>
      <c r="VBD4" s="248"/>
      <c r="VBE4" s="248"/>
      <c r="VBF4" s="248"/>
      <c r="VBG4" s="248"/>
      <c r="VBH4" s="248"/>
      <c r="VBI4" s="248"/>
      <c r="VBJ4" s="248"/>
      <c r="VBK4" s="248"/>
      <c r="VBL4" s="248"/>
      <c r="VBM4" s="248"/>
      <c r="VBN4" s="248"/>
      <c r="VBO4" s="248"/>
      <c r="VBP4" s="248"/>
      <c r="VBQ4" s="248"/>
      <c r="VBR4" s="248"/>
      <c r="VBS4" s="248"/>
      <c r="VBT4" s="248"/>
      <c r="VBU4" s="248"/>
      <c r="VBV4" s="248"/>
      <c r="VBW4" s="248"/>
      <c r="VBX4" s="248"/>
      <c r="VBY4" s="248"/>
      <c r="VBZ4" s="248"/>
      <c r="VCA4" s="248"/>
      <c r="VCB4" s="248"/>
      <c r="VCC4" s="248"/>
      <c r="VCD4" s="248"/>
      <c r="VCE4" s="248"/>
      <c r="VCF4" s="248"/>
      <c r="VCG4" s="248"/>
      <c r="VCH4" s="248"/>
      <c r="VCI4" s="248"/>
      <c r="VCJ4" s="248"/>
      <c r="VCK4" s="248"/>
      <c r="VCL4" s="248"/>
      <c r="VCM4" s="248"/>
      <c r="VCN4" s="248"/>
      <c r="VCO4" s="248"/>
      <c r="VCP4" s="248"/>
      <c r="VCQ4" s="248"/>
      <c r="VCR4" s="248"/>
      <c r="VCS4" s="248"/>
      <c r="VCT4" s="248"/>
      <c r="VCU4" s="248"/>
      <c r="VCV4" s="248"/>
      <c r="VCW4" s="248"/>
      <c r="VCX4" s="248"/>
      <c r="VCY4" s="248"/>
      <c r="VCZ4" s="248"/>
      <c r="VDA4" s="248"/>
      <c r="VDB4" s="248"/>
      <c r="VDC4" s="248"/>
      <c r="VDD4" s="248"/>
      <c r="VDE4" s="248"/>
      <c r="VDF4" s="248"/>
      <c r="VDG4" s="248"/>
      <c r="VDH4" s="248"/>
      <c r="VDI4" s="248"/>
      <c r="VDJ4" s="248"/>
      <c r="VDK4" s="248"/>
      <c r="VDL4" s="248"/>
      <c r="VDM4" s="248"/>
      <c r="VDN4" s="248"/>
      <c r="VDO4" s="248"/>
      <c r="VDP4" s="248"/>
      <c r="VDQ4" s="248"/>
      <c r="VDR4" s="248"/>
      <c r="VDS4" s="248"/>
      <c r="VDT4" s="248"/>
      <c r="VDU4" s="248"/>
      <c r="VDV4" s="248"/>
      <c r="VDW4" s="248"/>
      <c r="VDX4" s="248"/>
      <c r="VDY4" s="248"/>
      <c r="VDZ4" s="248"/>
      <c r="VEA4" s="248"/>
      <c r="VEB4" s="248"/>
      <c r="VEC4" s="248"/>
      <c r="VED4" s="248"/>
      <c r="VEE4" s="248"/>
      <c r="VEF4" s="248"/>
      <c r="VEG4" s="248"/>
      <c r="VEH4" s="248"/>
      <c r="VEI4" s="248"/>
      <c r="VEJ4" s="248"/>
      <c r="VEK4" s="248"/>
      <c r="VEL4" s="248"/>
      <c r="VEM4" s="248"/>
      <c r="VEN4" s="248"/>
      <c r="VEO4" s="248"/>
      <c r="VEP4" s="248"/>
      <c r="VEQ4" s="248"/>
      <c r="VER4" s="248"/>
      <c r="VES4" s="248"/>
      <c r="VET4" s="248"/>
      <c r="VEU4" s="248"/>
      <c r="VEV4" s="248"/>
      <c r="VEW4" s="248"/>
      <c r="VEX4" s="248"/>
      <c r="VEY4" s="248"/>
      <c r="VEZ4" s="248"/>
      <c r="VFA4" s="248"/>
      <c r="VFB4" s="248"/>
      <c r="VFC4" s="248"/>
      <c r="VFD4" s="248"/>
      <c r="VFE4" s="248"/>
      <c r="VFF4" s="248"/>
      <c r="VFG4" s="248"/>
      <c r="VFH4" s="248"/>
      <c r="VFI4" s="248"/>
      <c r="VFJ4" s="248"/>
      <c r="VFK4" s="248"/>
      <c r="VFL4" s="248"/>
      <c r="VFM4" s="248"/>
      <c r="VFN4" s="248"/>
      <c r="VFO4" s="248"/>
      <c r="VFP4" s="248"/>
      <c r="VFQ4" s="248"/>
      <c r="VFR4" s="248"/>
      <c r="VFS4" s="248"/>
      <c r="VFT4" s="248"/>
      <c r="VFU4" s="248"/>
      <c r="VFV4" s="248"/>
      <c r="VFW4" s="248"/>
      <c r="VFX4" s="248"/>
      <c r="VFY4" s="248"/>
      <c r="VFZ4" s="248"/>
      <c r="VGA4" s="248"/>
      <c r="VGB4" s="248"/>
      <c r="VGC4" s="248"/>
      <c r="VGD4" s="248"/>
      <c r="VGE4" s="248"/>
      <c r="VGF4" s="248"/>
      <c r="VGG4" s="248"/>
      <c r="VGH4" s="248"/>
      <c r="VGI4" s="248"/>
      <c r="VGJ4" s="248"/>
      <c r="VGK4" s="248"/>
      <c r="VGL4" s="248"/>
      <c r="VGM4" s="248"/>
      <c r="VGN4" s="248"/>
      <c r="VGO4" s="248"/>
      <c r="VGP4" s="248"/>
      <c r="VGQ4" s="248"/>
      <c r="VGR4" s="248"/>
      <c r="VGS4" s="248"/>
      <c r="VGT4" s="248"/>
      <c r="VGU4" s="248"/>
      <c r="VGV4" s="248"/>
      <c r="VGW4" s="248"/>
      <c r="VGX4" s="248"/>
      <c r="VGY4" s="248"/>
      <c r="VGZ4" s="248"/>
      <c r="VHA4" s="248"/>
      <c r="VHB4" s="248"/>
      <c r="VHC4" s="248"/>
      <c r="VHD4" s="248"/>
      <c r="VHE4" s="248"/>
      <c r="VHF4" s="248"/>
      <c r="VHG4" s="248"/>
      <c r="VHH4" s="248"/>
      <c r="VHI4" s="248"/>
      <c r="VHJ4" s="248"/>
      <c r="VHK4" s="248"/>
      <c r="VHL4" s="248"/>
      <c r="VHM4" s="248"/>
      <c r="VHN4" s="248"/>
      <c r="VHO4" s="248"/>
      <c r="VHP4" s="248"/>
      <c r="VHQ4" s="248"/>
      <c r="VHR4" s="248"/>
      <c r="VHS4" s="248"/>
      <c r="VHT4" s="248"/>
      <c r="VHU4" s="248"/>
      <c r="VHV4" s="248"/>
      <c r="VHW4" s="248"/>
      <c r="VHX4" s="248"/>
      <c r="VHY4" s="248"/>
      <c r="VHZ4" s="248"/>
      <c r="VIA4" s="248"/>
      <c r="VIB4" s="248"/>
      <c r="VIC4" s="248"/>
      <c r="VID4" s="248"/>
      <c r="VIE4" s="248"/>
      <c r="VIF4" s="248"/>
      <c r="VIG4" s="248"/>
      <c r="VIH4" s="248"/>
      <c r="VII4" s="248"/>
      <c r="VIJ4" s="248"/>
      <c r="VIK4" s="248"/>
      <c r="VIL4" s="248"/>
      <c r="VIM4" s="248"/>
      <c r="VIN4" s="248"/>
      <c r="VIO4" s="248"/>
      <c r="VIP4" s="248"/>
      <c r="VIQ4" s="248"/>
      <c r="VIR4" s="248"/>
      <c r="VIS4" s="248"/>
      <c r="VIT4" s="248"/>
      <c r="VIU4" s="248"/>
      <c r="VIV4" s="248"/>
      <c r="VIW4" s="248"/>
      <c r="VIX4" s="248"/>
      <c r="VIY4" s="248"/>
      <c r="VIZ4" s="248"/>
      <c r="VJA4" s="248"/>
      <c r="VJB4" s="248"/>
      <c r="VJC4" s="248"/>
      <c r="VJD4" s="248"/>
      <c r="VJE4" s="248"/>
      <c r="VJF4" s="248"/>
      <c r="VJG4" s="248"/>
      <c r="VJH4" s="248"/>
      <c r="VJI4" s="248"/>
      <c r="VJJ4" s="248"/>
      <c r="VJK4" s="248"/>
      <c r="VJL4" s="248"/>
      <c r="VJM4" s="248"/>
      <c r="VJN4" s="248"/>
      <c r="VJO4" s="248"/>
      <c r="VJP4" s="248"/>
      <c r="VJQ4" s="248"/>
      <c r="VJR4" s="248"/>
      <c r="VJS4" s="248"/>
      <c r="VJT4" s="248"/>
      <c r="VJU4" s="248"/>
      <c r="VJV4" s="248"/>
      <c r="VJW4" s="248"/>
      <c r="VJX4" s="248"/>
      <c r="VJY4" s="248"/>
      <c r="VJZ4" s="248"/>
      <c r="VKA4" s="248"/>
      <c r="VKB4" s="248"/>
      <c r="VKC4" s="248"/>
      <c r="VKD4" s="248"/>
      <c r="VKE4" s="248"/>
      <c r="VKF4" s="248"/>
      <c r="VKG4" s="248"/>
      <c r="VKH4" s="248"/>
      <c r="VKI4" s="248"/>
      <c r="VKJ4" s="248"/>
      <c r="VKK4" s="248"/>
      <c r="VKL4" s="248"/>
      <c r="VKM4" s="248"/>
      <c r="VKN4" s="248"/>
      <c r="VKO4" s="248"/>
      <c r="VKP4" s="248"/>
      <c r="VKQ4" s="248"/>
      <c r="VKR4" s="248"/>
      <c r="VKS4" s="248"/>
      <c r="VKT4" s="248"/>
      <c r="VKU4" s="248"/>
      <c r="VKV4" s="248"/>
      <c r="VKW4" s="248"/>
      <c r="VKX4" s="248"/>
      <c r="VKY4" s="248"/>
      <c r="VKZ4" s="248"/>
      <c r="VLA4" s="248"/>
      <c r="VLB4" s="248"/>
      <c r="VLC4" s="248"/>
      <c r="VLD4" s="248"/>
      <c r="VLE4" s="248"/>
      <c r="VLF4" s="248"/>
      <c r="VLG4" s="248"/>
      <c r="VLH4" s="248"/>
      <c r="VLI4" s="248"/>
      <c r="VLJ4" s="248"/>
      <c r="VLK4" s="248"/>
      <c r="VLL4" s="248"/>
      <c r="VLM4" s="248"/>
      <c r="VLN4" s="248"/>
      <c r="VLO4" s="248"/>
      <c r="VLP4" s="248"/>
      <c r="VLQ4" s="248"/>
      <c r="VLR4" s="248"/>
      <c r="VLS4" s="248"/>
      <c r="VLT4" s="248"/>
      <c r="VLU4" s="248"/>
      <c r="VLV4" s="248"/>
      <c r="VLW4" s="248"/>
      <c r="VLX4" s="248"/>
      <c r="VLY4" s="248"/>
      <c r="VLZ4" s="248"/>
      <c r="VMA4" s="248"/>
      <c r="VMB4" s="248"/>
      <c r="VMC4" s="248"/>
      <c r="VMD4" s="248"/>
      <c r="VME4" s="248"/>
      <c r="VMF4" s="248"/>
      <c r="VMG4" s="248"/>
      <c r="VMH4" s="248"/>
      <c r="VMI4" s="248"/>
      <c r="VMJ4" s="248"/>
      <c r="VMK4" s="248"/>
      <c r="VML4" s="248"/>
      <c r="VMM4" s="248"/>
      <c r="VMN4" s="248"/>
      <c r="VMO4" s="248"/>
      <c r="VMP4" s="248"/>
      <c r="VMQ4" s="248"/>
      <c r="VMR4" s="248"/>
      <c r="VMS4" s="248"/>
      <c r="VMT4" s="248"/>
      <c r="VMU4" s="248"/>
      <c r="VMV4" s="248"/>
      <c r="VMW4" s="248"/>
      <c r="VMX4" s="248"/>
      <c r="VMY4" s="248"/>
      <c r="VMZ4" s="248"/>
      <c r="VNA4" s="248"/>
      <c r="VNB4" s="248"/>
      <c r="VNC4" s="248"/>
      <c r="VND4" s="248"/>
      <c r="VNE4" s="248"/>
      <c r="VNF4" s="248"/>
      <c r="VNG4" s="248"/>
      <c r="VNH4" s="248"/>
      <c r="VNI4" s="248"/>
      <c r="VNJ4" s="248"/>
      <c r="VNK4" s="248"/>
      <c r="VNL4" s="248"/>
      <c r="VNM4" s="248"/>
      <c r="VNN4" s="248"/>
      <c r="VNO4" s="248"/>
      <c r="VNP4" s="248"/>
      <c r="VNQ4" s="248"/>
      <c r="VNR4" s="248"/>
      <c r="VNS4" s="248"/>
      <c r="VNT4" s="248"/>
      <c r="VNU4" s="248"/>
      <c r="VNV4" s="248"/>
      <c r="VNW4" s="248"/>
      <c r="VNX4" s="248"/>
      <c r="VNY4" s="248"/>
      <c r="VNZ4" s="248"/>
      <c r="VOA4" s="248"/>
      <c r="VOB4" s="248"/>
      <c r="VOC4" s="248"/>
      <c r="VOD4" s="248"/>
      <c r="VOE4" s="248"/>
      <c r="VOF4" s="248"/>
      <c r="VOG4" s="248"/>
      <c r="VOH4" s="248"/>
      <c r="VOI4" s="248"/>
      <c r="VOJ4" s="248"/>
      <c r="VOK4" s="248"/>
      <c r="VOL4" s="248"/>
      <c r="VOM4" s="248"/>
      <c r="VON4" s="248"/>
      <c r="VOO4" s="248"/>
      <c r="VOP4" s="248"/>
      <c r="VOQ4" s="248"/>
      <c r="VOR4" s="248"/>
      <c r="VOS4" s="248"/>
      <c r="VOT4" s="248"/>
      <c r="VOU4" s="248"/>
      <c r="VOV4" s="248"/>
      <c r="VOW4" s="248"/>
      <c r="VOX4" s="248"/>
      <c r="VOY4" s="248"/>
      <c r="VOZ4" s="248"/>
      <c r="VPA4" s="248"/>
      <c r="VPB4" s="248"/>
      <c r="VPC4" s="248"/>
      <c r="VPD4" s="248"/>
      <c r="VPE4" s="248"/>
      <c r="VPF4" s="248"/>
      <c r="VPG4" s="248"/>
      <c r="VPH4" s="248"/>
      <c r="VPI4" s="248"/>
      <c r="VPJ4" s="248"/>
      <c r="VPK4" s="248"/>
      <c r="VPL4" s="248"/>
      <c r="VPM4" s="248"/>
      <c r="VPN4" s="248"/>
      <c r="VPO4" s="248"/>
      <c r="VPP4" s="248"/>
      <c r="VPQ4" s="248"/>
      <c r="VPR4" s="248"/>
      <c r="VPS4" s="248"/>
      <c r="VPT4" s="248"/>
      <c r="VPU4" s="248"/>
      <c r="VPV4" s="248"/>
      <c r="VPW4" s="248"/>
      <c r="VPX4" s="248"/>
      <c r="VPY4" s="248"/>
      <c r="VPZ4" s="248"/>
      <c r="VQA4" s="248"/>
      <c r="VQB4" s="248"/>
      <c r="VQC4" s="248"/>
      <c r="VQD4" s="248"/>
      <c r="VQE4" s="248"/>
      <c r="VQF4" s="248"/>
      <c r="VQG4" s="248"/>
      <c r="VQH4" s="248"/>
      <c r="VQI4" s="248"/>
      <c r="VQJ4" s="248"/>
      <c r="VQK4" s="248"/>
      <c r="VQL4" s="248"/>
      <c r="VQM4" s="248"/>
      <c r="VQN4" s="248"/>
      <c r="VQO4" s="248"/>
      <c r="VQP4" s="248"/>
      <c r="VQQ4" s="248"/>
      <c r="VQR4" s="248"/>
      <c r="VQS4" s="248"/>
      <c r="VQT4" s="248"/>
      <c r="VQU4" s="248"/>
      <c r="VQV4" s="248"/>
      <c r="VQW4" s="248"/>
      <c r="VQX4" s="248"/>
      <c r="VQY4" s="248"/>
      <c r="VQZ4" s="248"/>
      <c r="VRA4" s="248"/>
      <c r="VRB4" s="248"/>
      <c r="VRC4" s="248"/>
      <c r="VRD4" s="248"/>
      <c r="VRE4" s="248"/>
      <c r="VRF4" s="248"/>
      <c r="VRG4" s="248"/>
      <c r="VRH4" s="248"/>
      <c r="VRI4" s="248"/>
      <c r="VRJ4" s="248"/>
      <c r="VRK4" s="248"/>
      <c r="VRL4" s="248"/>
      <c r="VRM4" s="248"/>
      <c r="VRN4" s="248"/>
      <c r="VRO4" s="248"/>
      <c r="VRP4" s="248"/>
      <c r="VRQ4" s="248"/>
      <c r="VRR4" s="248"/>
      <c r="VRS4" s="248"/>
      <c r="VRT4" s="248"/>
      <c r="VRU4" s="248"/>
      <c r="VRV4" s="248"/>
      <c r="VRW4" s="248"/>
      <c r="VRX4" s="248"/>
      <c r="VRY4" s="248"/>
      <c r="VRZ4" s="248"/>
      <c r="VSA4" s="248"/>
      <c r="VSB4" s="248"/>
      <c r="VSC4" s="248"/>
      <c r="VSD4" s="248"/>
      <c r="VSE4" s="248"/>
      <c r="VSF4" s="248"/>
      <c r="VSG4" s="248"/>
      <c r="VSH4" s="248"/>
      <c r="VSI4" s="248"/>
      <c r="VSJ4" s="248"/>
      <c r="VSK4" s="248"/>
      <c r="VSL4" s="248"/>
      <c r="VSM4" s="248"/>
      <c r="VSN4" s="248"/>
      <c r="VSO4" s="248"/>
      <c r="VSP4" s="248"/>
      <c r="VSQ4" s="248"/>
      <c r="VSR4" s="248"/>
      <c r="VSS4" s="248"/>
      <c r="VST4" s="248"/>
      <c r="VSU4" s="248"/>
      <c r="VSV4" s="248"/>
      <c r="VSW4" s="248"/>
      <c r="VSX4" s="248"/>
      <c r="VSY4" s="248"/>
      <c r="VSZ4" s="248"/>
      <c r="VTA4" s="248"/>
      <c r="VTB4" s="248"/>
      <c r="VTC4" s="248"/>
      <c r="VTD4" s="248"/>
      <c r="VTE4" s="248"/>
      <c r="VTF4" s="248"/>
      <c r="VTG4" s="248"/>
      <c r="VTH4" s="248"/>
      <c r="VTI4" s="248"/>
      <c r="VTJ4" s="248"/>
      <c r="VTK4" s="248"/>
      <c r="VTL4" s="248"/>
      <c r="VTM4" s="248"/>
      <c r="VTN4" s="248"/>
      <c r="VTO4" s="248"/>
      <c r="VTP4" s="248"/>
      <c r="VTQ4" s="248"/>
      <c r="VTR4" s="248"/>
      <c r="VTS4" s="248"/>
      <c r="VTT4" s="248"/>
      <c r="VTU4" s="248"/>
      <c r="VTV4" s="248"/>
      <c r="VTW4" s="248"/>
      <c r="VTX4" s="248"/>
      <c r="VTY4" s="248"/>
      <c r="VTZ4" s="248"/>
      <c r="VUA4" s="248"/>
      <c r="VUB4" s="248"/>
      <c r="VUC4" s="248"/>
      <c r="VUD4" s="248"/>
      <c r="VUE4" s="248"/>
      <c r="VUF4" s="248"/>
      <c r="VUG4" s="248"/>
      <c r="VUH4" s="248"/>
      <c r="VUI4" s="248"/>
      <c r="VUJ4" s="248"/>
      <c r="VUK4" s="248"/>
      <c r="VUL4" s="248"/>
      <c r="VUM4" s="248"/>
      <c r="VUN4" s="248"/>
      <c r="VUO4" s="248"/>
      <c r="VUP4" s="248"/>
      <c r="VUQ4" s="248"/>
      <c r="VUR4" s="248"/>
      <c r="VUS4" s="248"/>
      <c r="VUT4" s="248"/>
      <c r="VUU4" s="248"/>
      <c r="VUV4" s="248"/>
      <c r="VUW4" s="248"/>
      <c r="VUX4" s="248"/>
      <c r="VUY4" s="248"/>
      <c r="VUZ4" s="248"/>
      <c r="VVA4" s="248"/>
      <c r="VVB4" s="248"/>
      <c r="VVC4" s="248"/>
      <c r="VVD4" s="248"/>
      <c r="VVE4" s="248"/>
      <c r="VVF4" s="248"/>
      <c r="VVG4" s="248"/>
      <c r="VVH4" s="248"/>
      <c r="VVI4" s="248"/>
      <c r="VVJ4" s="248"/>
      <c r="VVK4" s="248"/>
      <c r="VVL4" s="248"/>
      <c r="VVM4" s="248"/>
      <c r="VVN4" s="248"/>
      <c r="VVO4" s="248"/>
      <c r="VVP4" s="248"/>
      <c r="VVQ4" s="248"/>
      <c r="VVR4" s="248"/>
      <c r="VVS4" s="248"/>
      <c r="VVT4" s="248"/>
      <c r="VVU4" s="248"/>
      <c r="VVV4" s="248"/>
      <c r="VVW4" s="248"/>
      <c r="VVX4" s="248"/>
      <c r="VVY4" s="248"/>
      <c r="VVZ4" s="248"/>
      <c r="VWA4" s="248"/>
      <c r="VWB4" s="248"/>
      <c r="VWC4" s="248"/>
      <c r="VWD4" s="248"/>
      <c r="VWE4" s="248"/>
      <c r="VWF4" s="248"/>
      <c r="VWG4" s="248"/>
      <c r="VWH4" s="248"/>
      <c r="VWI4" s="248"/>
      <c r="VWJ4" s="248"/>
      <c r="VWK4" s="248"/>
      <c r="VWL4" s="248"/>
      <c r="VWM4" s="248"/>
      <c r="VWN4" s="248"/>
      <c r="VWO4" s="248"/>
      <c r="VWP4" s="248"/>
      <c r="VWQ4" s="248"/>
      <c r="VWR4" s="248"/>
      <c r="VWS4" s="248"/>
      <c r="VWT4" s="248"/>
      <c r="VWU4" s="248"/>
      <c r="VWV4" s="248"/>
      <c r="VWW4" s="248"/>
      <c r="VWX4" s="248"/>
      <c r="VWY4" s="248"/>
      <c r="VWZ4" s="248"/>
      <c r="VXA4" s="248"/>
      <c r="VXB4" s="248"/>
      <c r="VXC4" s="248"/>
      <c r="VXD4" s="248"/>
      <c r="VXE4" s="248"/>
      <c r="VXF4" s="248"/>
      <c r="VXG4" s="248"/>
      <c r="VXH4" s="248"/>
      <c r="VXI4" s="248"/>
      <c r="VXJ4" s="248"/>
      <c r="VXK4" s="248"/>
      <c r="VXL4" s="248"/>
      <c r="VXM4" s="248"/>
      <c r="VXN4" s="248"/>
      <c r="VXO4" s="248"/>
      <c r="VXP4" s="248"/>
      <c r="VXQ4" s="248"/>
      <c r="VXR4" s="248"/>
      <c r="VXS4" s="248"/>
      <c r="VXT4" s="248"/>
      <c r="VXU4" s="248"/>
      <c r="VXV4" s="248"/>
      <c r="VXW4" s="248"/>
      <c r="VXX4" s="248"/>
      <c r="VXY4" s="248"/>
      <c r="VXZ4" s="248"/>
      <c r="VYA4" s="248"/>
      <c r="VYB4" s="248"/>
      <c r="VYC4" s="248"/>
      <c r="VYD4" s="248"/>
      <c r="VYE4" s="248"/>
      <c r="VYF4" s="248"/>
      <c r="VYG4" s="248"/>
      <c r="VYH4" s="248"/>
      <c r="VYI4" s="248"/>
      <c r="VYJ4" s="248"/>
      <c r="VYK4" s="248"/>
      <c r="VYL4" s="248"/>
      <c r="VYM4" s="248"/>
      <c r="VYN4" s="248"/>
      <c r="VYO4" s="248"/>
      <c r="VYP4" s="248"/>
      <c r="VYQ4" s="248"/>
      <c r="VYR4" s="248"/>
      <c r="VYS4" s="248"/>
      <c r="VYT4" s="248"/>
      <c r="VYU4" s="248"/>
      <c r="VYV4" s="248"/>
      <c r="VYW4" s="248"/>
      <c r="VYX4" s="248"/>
      <c r="VYY4" s="248"/>
      <c r="VYZ4" s="248"/>
      <c r="VZA4" s="248"/>
      <c r="VZB4" s="248"/>
      <c r="VZC4" s="248"/>
      <c r="VZD4" s="248"/>
      <c r="VZE4" s="248"/>
      <c r="VZF4" s="248"/>
      <c r="VZG4" s="248"/>
      <c r="VZH4" s="248"/>
      <c r="VZI4" s="248"/>
      <c r="VZJ4" s="248"/>
      <c r="VZK4" s="248"/>
      <c r="VZL4" s="248"/>
      <c r="VZM4" s="248"/>
      <c r="VZN4" s="248"/>
      <c r="VZO4" s="248"/>
      <c r="VZP4" s="248"/>
      <c r="VZQ4" s="248"/>
      <c r="VZR4" s="248"/>
      <c r="VZS4" s="248"/>
      <c r="VZT4" s="248"/>
      <c r="VZU4" s="248"/>
      <c r="VZV4" s="248"/>
      <c r="VZW4" s="248"/>
      <c r="VZX4" s="248"/>
      <c r="VZY4" s="248"/>
      <c r="VZZ4" s="248"/>
      <c r="WAA4" s="248"/>
      <c r="WAB4" s="248"/>
      <c r="WAC4" s="248"/>
      <c r="WAD4" s="248"/>
      <c r="WAE4" s="248"/>
      <c r="WAF4" s="248"/>
      <c r="WAG4" s="248"/>
      <c r="WAH4" s="248"/>
      <c r="WAI4" s="248"/>
      <c r="WAJ4" s="248"/>
      <c r="WAK4" s="248"/>
      <c r="WAL4" s="248"/>
      <c r="WAM4" s="248"/>
      <c r="WAN4" s="248"/>
      <c r="WAO4" s="248"/>
      <c r="WAP4" s="248"/>
      <c r="WAQ4" s="248"/>
      <c r="WAR4" s="248"/>
      <c r="WAS4" s="248"/>
      <c r="WAT4" s="248"/>
      <c r="WAU4" s="248"/>
      <c r="WAV4" s="248"/>
      <c r="WAW4" s="248"/>
      <c r="WAX4" s="248"/>
      <c r="WAY4" s="248"/>
      <c r="WAZ4" s="248"/>
      <c r="WBA4" s="248"/>
      <c r="WBB4" s="248"/>
      <c r="WBC4" s="248"/>
      <c r="WBD4" s="248"/>
      <c r="WBE4" s="248"/>
      <c r="WBF4" s="248"/>
      <c r="WBG4" s="248"/>
      <c r="WBH4" s="248"/>
      <c r="WBI4" s="248"/>
      <c r="WBJ4" s="248"/>
      <c r="WBK4" s="248"/>
      <c r="WBL4" s="248"/>
      <c r="WBM4" s="248"/>
      <c r="WBN4" s="248"/>
      <c r="WBO4" s="248"/>
      <c r="WBP4" s="248"/>
      <c r="WBQ4" s="248"/>
      <c r="WBR4" s="248"/>
      <c r="WBS4" s="248"/>
      <c r="WBT4" s="248"/>
      <c r="WBU4" s="248"/>
      <c r="WBV4" s="248"/>
      <c r="WBW4" s="248"/>
      <c r="WBX4" s="248"/>
      <c r="WBY4" s="248"/>
      <c r="WBZ4" s="248"/>
      <c r="WCA4" s="248"/>
      <c r="WCB4" s="248"/>
      <c r="WCC4" s="248"/>
      <c r="WCD4" s="248"/>
      <c r="WCE4" s="248"/>
      <c r="WCF4" s="248"/>
      <c r="WCG4" s="248"/>
      <c r="WCH4" s="248"/>
      <c r="WCI4" s="248"/>
      <c r="WCJ4" s="248"/>
      <c r="WCK4" s="248"/>
      <c r="WCL4" s="248"/>
      <c r="WCM4" s="248"/>
      <c r="WCN4" s="248"/>
      <c r="WCO4" s="248"/>
      <c r="WCP4" s="248"/>
      <c r="WCQ4" s="248"/>
      <c r="WCR4" s="248"/>
      <c r="WCS4" s="248"/>
      <c r="WCT4" s="248"/>
      <c r="WCU4" s="248"/>
      <c r="WCV4" s="248"/>
      <c r="WCW4" s="248"/>
      <c r="WCX4" s="248"/>
      <c r="WCY4" s="248"/>
      <c r="WCZ4" s="248"/>
      <c r="WDA4" s="248"/>
      <c r="WDB4" s="248"/>
      <c r="WDC4" s="248"/>
      <c r="WDD4" s="248"/>
      <c r="WDE4" s="248"/>
      <c r="WDF4" s="248"/>
      <c r="WDG4" s="248"/>
      <c r="WDH4" s="248"/>
      <c r="WDI4" s="248"/>
      <c r="WDJ4" s="248"/>
      <c r="WDK4" s="248"/>
      <c r="WDL4" s="248"/>
      <c r="WDM4" s="248"/>
      <c r="WDN4" s="248"/>
      <c r="WDO4" s="248"/>
      <c r="WDP4" s="248"/>
      <c r="WDQ4" s="248"/>
      <c r="WDR4" s="248"/>
      <c r="WDS4" s="248"/>
      <c r="WDT4" s="248"/>
      <c r="WDU4" s="248"/>
      <c r="WDV4" s="248"/>
      <c r="WDW4" s="248"/>
      <c r="WDX4" s="248"/>
      <c r="WDY4" s="248"/>
      <c r="WDZ4" s="248"/>
      <c r="WEA4" s="248"/>
      <c r="WEB4" s="248"/>
      <c r="WEC4" s="248"/>
      <c r="WED4" s="248"/>
      <c r="WEE4" s="248"/>
      <c r="WEF4" s="248"/>
      <c r="WEG4" s="248"/>
      <c r="WEH4" s="248"/>
      <c r="WEI4" s="248"/>
      <c r="WEJ4" s="248"/>
      <c r="WEK4" s="248"/>
      <c r="WEL4" s="248"/>
      <c r="WEM4" s="248"/>
      <c r="WEN4" s="248"/>
      <c r="WEO4" s="248"/>
      <c r="WEP4" s="248"/>
      <c r="WEQ4" s="248"/>
      <c r="WER4" s="248"/>
      <c r="WES4" s="248"/>
      <c r="WET4" s="248"/>
      <c r="WEU4" s="248"/>
      <c r="WEV4" s="248"/>
      <c r="WEW4" s="248"/>
      <c r="WEX4" s="248"/>
      <c r="WEY4" s="248"/>
      <c r="WEZ4" s="248"/>
      <c r="WFA4" s="248"/>
      <c r="WFB4" s="248"/>
      <c r="WFC4" s="248"/>
      <c r="WFD4" s="248"/>
      <c r="WFE4" s="248"/>
      <c r="WFF4" s="248"/>
      <c r="WFG4" s="248"/>
      <c r="WFH4" s="248"/>
      <c r="WFI4" s="248"/>
      <c r="WFJ4" s="248"/>
      <c r="WFK4" s="248"/>
      <c r="WFL4" s="248"/>
      <c r="WFM4" s="248"/>
      <c r="WFN4" s="248"/>
      <c r="WFO4" s="248"/>
      <c r="WFP4" s="248"/>
      <c r="WFQ4" s="248"/>
      <c r="WFR4" s="248"/>
      <c r="WFS4" s="248"/>
      <c r="WFT4" s="248"/>
      <c r="WFU4" s="248"/>
      <c r="WFV4" s="248"/>
      <c r="WFW4" s="248"/>
      <c r="WFX4" s="248"/>
      <c r="WFY4" s="248"/>
      <c r="WFZ4" s="248"/>
      <c r="WGA4" s="248"/>
      <c r="WGB4" s="248"/>
      <c r="WGC4" s="248"/>
      <c r="WGD4" s="248"/>
      <c r="WGE4" s="248"/>
      <c r="WGF4" s="248"/>
      <c r="WGG4" s="248"/>
      <c r="WGH4" s="248"/>
      <c r="WGI4" s="248"/>
      <c r="WGJ4" s="248"/>
      <c r="WGK4" s="248"/>
      <c r="WGL4" s="248"/>
      <c r="WGM4" s="248"/>
      <c r="WGN4" s="248"/>
      <c r="WGO4" s="248"/>
      <c r="WGP4" s="248"/>
      <c r="WGQ4" s="248"/>
      <c r="WGR4" s="248"/>
      <c r="WGS4" s="248"/>
      <c r="WGT4" s="248"/>
      <c r="WGU4" s="248"/>
      <c r="WGV4" s="248"/>
      <c r="WGW4" s="248"/>
      <c r="WGX4" s="248"/>
      <c r="WGY4" s="248"/>
      <c r="WGZ4" s="248"/>
      <c r="WHA4" s="248"/>
      <c r="WHB4" s="248"/>
      <c r="WHC4" s="248"/>
      <c r="WHD4" s="248"/>
      <c r="WHE4" s="248"/>
      <c r="WHF4" s="248"/>
      <c r="WHG4" s="248"/>
      <c r="WHH4" s="248"/>
      <c r="WHI4" s="248"/>
      <c r="WHJ4" s="248"/>
      <c r="WHK4" s="248"/>
      <c r="WHL4" s="248"/>
      <c r="WHM4" s="248"/>
      <c r="WHN4" s="248"/>
      <c r="WHO4" s="248"/>
      <c r="WHP4" s="248"/>
      <c r="WHQ4" s="248"/>
      <c r="WHR4" s="248"/>
      <c r="WHS4" s="248"/>
      <c r="WHT4" s="248"/>
      <c r="WHU4" s="248"/>
      <c r="WHV4" s="248"/>
      <c r="WHW4" s="248"/>
      <c r="WHX4" s="248"/>
      <c r="WHY4" s="248"/>
      <c r="WHZ4" s="248"/>
      <c r="WIA4" s="248"/>
      <c r="WIB4" s="248"/>
      <c r="WIC4" s="248"/>
      <c r="WID4" s="248"/>
      <c r="WIE4" s="248"/>
      <c r="WIF4" s="248"/>
      <c r="WIG4" s="248"/>
      <c r="WIH4" s="248"/>
      <c r="WII4" s="248"/>
      <c r="WIJ4" s="248"/>
      <c r="WIK4" s="248"/>
      <c r="WIL4" s="248"/>
      <c r="WIM4" s="248"/>
      <c r="WIN4" s="248"/>
      <c r="WIO4" s="248"/>
      <c r="WIP4" s="248"/>
      <c r="WIQ4" s="248"/>
      <c r="WIR4" s="248"/>
      <c r="WIS4" s="248"/>
      <c r="WIT4" s="248"/>
      <c r="WIU4" s="248"/>
      <c r="WIV4" s="248"/>
      <c r="WIW4" s="248"/>
      <c r="WIX4" s="248"/>
      <c r="WIY4" s="248"/>
      <c r="WIZ4" s="248"/>
      <c r="WJA4" s="248"/>
      <c r="WJB4" s="248"/>
      <c r="WJC4" s="248"/>
      <c r="WJD4" s="248"/>
      <c r="WJE4" s="248"/>
      <c r="WJF4" s="248"/>
      <c r="WJG4" s="248"/>
      <c r="WJH4" s="248"/>
      <c r="WJI4" s="248"/>
      <c r="WJJ4" s="248"/>
      <c r="WJK4" s="248"/>
      <c r="WJL4" s="248"/>
      <c r="WJM4" s="248"/>
      <c r="WJN4" s="248"/>
      <c r="WJO4" s="248"/>
      <c r="WJP4" s="248"/>
      <c r="WJQ4" s="248"/>
      <c r="WJR4" s="248"/>
      <c r="WJS4" s="248"/>
      <c r="WJT4" s="248"/>
      <c r="WJU4" s="248"/>
      <c r="WJV4" s="248"/>
      <c r="WJW4" s="248"/>
      <c r="WJX4" s="248"/>
      <c r="WJY4" s="248"/>
      <c r="WJZ4" s="248"/>
      <c r="WKA4" s="248"/>
      <c r="WKB4" s="248"/>
      <c r="WKC4" s="248"/>
      <c r="WKD4" s="248"/>
      <c r="WKE4" s="248"/>
      <c r="WKF4" s="248"/>
      <c r="WKG4" s="248"/>
      <c r="WKH4" s="248"/>
      <c r="WKI4" s="248"/>
      <c r="WKJ4" s="248"/>
      <c r="WKK4" s="248"/>
      <c r="WKL4" s="248"/>
      <c r="WKM4" s="248"/>
      <c r="WKN4" s="248"/>
      <c r="WKO4" s="248"/>
      <c r="WKP4" s="248"/>
      <c r="WKQ4" s="248"/>
      <c r="WKR4" s="248"/>
      <c r="WKS4" s="248"/>
      <c r="WKT4" s="248"/>
      <c r="WKU4" s="248"/>
      <c r="WKV4" s="248"/>
      <c r="WKW4" s="248"/>
      <c r="WKX4" s="248"/>
      <c r="WKY4" s="248"/>
      <c r="WKZ4" s="248"/>
      <c r="WLA4" s="248"/>
      <c r="WLB4" s="248"/>
      <c r="WLC4" s="248"/>
      <c r="WLD4" s="248"/>
      <c r="WLE4" s="248"/>
      <c r="WLF4" s="248"/>
      <c r="WLG4" s="248"/>
      <c r="WLH4" s="248"/>
      <c r="WLI4" s="248"/>
      <c r="WLJ4" s="248"/>
      <c r="WLK4" s="248"/>
      <c r="WLL4" s="248"/>
      <c r="WLM4" s="248"/>
      <c r="WLN4" s="248"/>
      <c r="WLO4" s="248"/>
      <c r="WLP4" s="248"/>
      <c r="WLQ4" s="248"/>
      <c r="WLR4" s="248"/>
      <c r="WLS4" s="248"/>
      <c r="WLT4" s="248"/>
      <c r="WLU4" s="248"/>
      <c r="WLV4" s="248"/>
      <c r="WLW4" s="248"/>
      <c r="WLX4" s="248"/>
      <c r="WLY4" s="248"/>
      <c r="WLZ4" s="248"/>
      <c r="WMA4" s="248"/>
      <c r="WMB4" s="248"/>
      <c r="WMC4" s="248"/>
      <c r="WMD4" s="248"/>
      <c r="WME4" s="248"/>
      <c r="WMF4" s="248"/>
      <c r="WMG4" s="248"/>
      <c r="WMH4" s="248"/>
      <c r="WMI4" s="248"/>
      <c r="WMJ4" s="248"/>
      <c r="WMK4" s="248"/>
      <c r="WML4" s="248"/>
      <c r="WMM4" s="248"/>
      <c r="WMN4" s="248"/>
      <c r="WMO4" s="248"/>
      <c r="WMP4" s="248"/>
      <c r="WMQ4" s="248"/>
      <c r="WMR4" s="248"/>
      <c r="WMS4" s="248"/>
      <c r="WMT4" s="248"/>
      <c r="WMU4" s="248"/>
      <c r="WMV4" s="248"/>
      <c r="WMW4" s="248"/>
      <c r="WMX4" s="248"/>
      <c r="WMY4" s="248"/>
      <c r="WMZ4" s="248"/>
      <c r="WNA4" s="248"/>
      <c r="WNB4" s="248"/>
      <c r="WNC4" s="248"/>
      <c r="WND4" s="248"/>
      <c r="WNE4" s="248"/>
      <c r="WNF4" s="248"/>
      <c r="WNG4" s="248"/>
      <c r="WNH4" s="248"/>
      <c r="WNI4" s="248"/>
      <c r="WNJ4" s="248"/>
      <c r="WNK4" s="248"/>
      <c r="WNL4" s="248"/>
      <c r="WNM4" s="248"/>
      <c r="WNN4" s="248"/>
      <c r="WNO4" s="248"/>
      <c r="WNP4" s="248"/>
      <c r="WNQ4" s="248"/>
      <c r="WNR4" s="248"/>
      <c r="WNS4" s="248"/>
      <c r="WNT4" s="248"/>
      <c r="WNU4" s="248"/>
      <c r="WNV4" s="248"/>
      <c r="WNW4" s="248"/>
      <c r="WNX4" s="248"/>
      <c r="WNY4" s="248"/>
      <c r="WNZ4" s="248"/>
      <c r="WOA4" s="248"/>
      <c r="WOB4" s="248"/>
      <c r="WOC4" s="248"/>
      <c r="WOD4" s="248"/>
      <c r="WOE4" s="248"/>
      <c r="WOF4" s="248"/>
      <c r="WOG4" s="248"/>
      <c r="WOH4" s="248"/>
      <c r="WOI4" s="248"/>
      <c r="WOJ4" s="248"/>
      <c r="WOK4" s="248"/>
      <c r="WOL4" s="248"/>
      <c r="WOM4" s="248"/>
      <c r="WON4" s="248"/>
      <c r="WOO4" s="248"/>
      <c r="WOP4" s="248"/>
      <c r="WOQ4" s="248"/>
      <c r="WOR4" s="248"/>
      <c r="WOS4" s="248"/>
      <c r="WOT4" s="248"/>
      <c r="WOU4" s="248"/>
      <c r="WOV4" s="248"/>
      <c r="WOW4" s="248"/>
      <c r="WOX4" s="248"/>
      <c r="WOY4" s="248"/>
      <c r="WOZ4" s="248"/>
      <c r="WPA4" s="248"/>
      <c r="WPB4" s="248"/>
      <c r="WPC4" s="248"/>
      <c r="WPD4" s="248"/>
      <c r="WPE4" s="248"/>
      <c r="WPF4" s="248"/>
      <c r="WPG4" s="248"/>
      <c r="WPH4" s="248"/>
      <c r="WPI4" s="248"/>
      <c r="WPJ4" s="248"/>
      <c r="WPK4" s="248"/>
      <c r="WPL4" s="248"/>
      <c r="WPM4" s="248"/>
      <c r="WPN4" s="248"/>
      <c r="WPO4" s="248"/>
      <c r="WPP4" s="248"/>
      <c r="WPQ4" s="248"/>
      <c r="WPR4" s="248"/>
      <c r="WPS4" s="248"/>
      <c r="WPT4" s="248"/>
      <c r="WPU4" s="248"/>
      <c r="WPV4" s="248"/>
      <c r="WPW4" s="248"/>
      <c r="WPX4" s="248"/>
      <c r="WPY4" s="248"/>
      <c r="WPZ4" s="248"/>
      <c r="WQA4" s="248"/>
      <c r="WQB4" s="248"/>
      <c r="WQC4" s="248"/>
      <c r="WQD4" s="248"/>
      <c r="WQE4" s="248"/>
      <c r="WQF4" s="248"/>
      <c r="WQG4" s="248"/>
      <c r="WQH4" s="248"/>
      <c r="WQI4" s="248"/>
      <c r="WQJ4" s="248"/>
      <c r="WQK4" s="248"/>
      <c r="WQL4" s="248"/>
      <c r="WQM4" s="248"/>
      <c r="WQN4" s="248"/>
      <c r="WQO4" s="248"/>
      <c r="WQP4" s="248"/>
      <c r="WQQ4" s="248"/>
      <c r="WQR4" s="248"/>
      <c r="WQS4" s="248"/>
      <c r="WQT4" s="248"/>
      <c r="WQU4" s="248"/>
      <c r="WQV4" s="248"/>
      <c r="WQW4" s="248"/>
      <c r="WQX4" s="248"/>
      <c r="WQY4" s="248"/>
      <c r="WQZ4" s="248"/>
      <c r="WRA4" s="248"/>
      <c r="WRB4" s="248"/>
      <c r="WRC4" s="248"/>
      <c r="WRD4" s="248"/>
      <c r="WRE4" s="248"/>
      <c r="WRF4" s="248"/>
      <c r="WRG4" s="248"/>
      <c r="WRH4" s="248"/>
      <c r="WRI4" s="248"/>
      <c r="WRJ4" s="248"/>
      <c r="WRK4" s="248"/>
      <c r="WRL4" s="248"/>
      <c r="WRM4" s="248"/>
      <c r="WRN4" s="248"/>
      <c r="WRO4" s="248"/>
      <c r="WRP4" s="248"/>
      <c r="WRQ4" s="248"/>
      <c r="WRR4" s="248"/>
      <c r="WRS4" s="248"/>
      <c r="WRT4" s="248"/>
      <c r="WRU4" s="248"/>
      <c r="WRV4" s="248"/>
      <c r="WRW4" s="248"/>
      <c r="WRX4" s="248"/>
      <c r="WRY4" s="248"/>
      <c r="WRZ4" s="248"/>
      <c r="WSA4" s="248"/>
      <c r="WSB4" s="248"/>
      <c r="WSC4" s="248"/>
      <c r="WSD4" s="248"/>
      <c r="WSE4" s="248"/>
      <c r="WSF4" s="248"/>
      <c r="WSG4" s="248"/>
      <c r="WSH4" s="248"/>
      <c r="WSI4" s="248"/>
      <c r="WSJ4" s="248"/>
      <c r="WSK4" s="248"/>
      <c r="WSL4" s="248"/>
      <c r="WSM4" s="248"/>
      <c r="WSN4" s="248"/>
      <c r="WSO4" s="248"/>
      <c r="WSP4" s="248"/>
      <c r="WSQ4" s="248"/>
      <c r="WSR4" s="248"/>
      <c r="WSS4" s="248"/>
      <c r="WST4" s="248"/>
      <c r="WSU4" s="248"/>
      <c r="WSV4" s="248"/>
      <c r="WSW4" s="248"/>
      <c r="WSX4" s="248"/>
      <c r="WSY4" s="248"/>
      <c r="WSZ4" s="248"/>
      <c r="WTA4" s="248"/>
      <c r="WTB4" s="248"/>
      <c r="WTC4" s="248"/>
      <c r="WTD4" s="248"/>
      <c r="WTE4" s="248"/>
      <c r="WTF4" s="248"/>
      <c r="WTG4" s="248"/>
      <c r="WTH4" s="248"/>
      <c r="WTI4" s="248"/>
      <c r="WTJ4" s="248"/>
      <c r="WTK4" s="248"/>
      <c r="WTL4" s="248"/>
      <c r="WTM4" s="248"/>
      <c r="WTN4" s="248"/>
      <c r="WTO4" s="248"/>
      <c r="WTP4" s="248"/>
      <c r="WTQ4" s="248"/>
      <c r="WTR4" s="248"/>
      <c r="WTS4" s="248"/>
      <c r="WTT4" s="248"/>
      <c r="WTU4" s="248"/>
      <c r="WTV4" s="248"/>
      <c r="WTW4" s="248"/>
      <c r="WTX4" s="248"/>
      <c r="WTY4" s="248"/>
      <c r="WTZ4" s="248"/>
      <c r="WUA4" s="248"/>
      <c r="WUB4" s="248"/>
      <c r="WUC4" s="248"/>
      <c r="WUD4" s="248"/>
      <c r="WUE4" s="248"/>
      <c r="WUF4" s="248"/>
      <c r="WUG4" s="248"/>
      <c r="WUH4" s="248"/>
      <c r="WUI4" s="248"/>
      <c r="WUJ4" s="248"/>
      <c r="WUK4" s="248"/>
      <c r="WUL4" s="248"/>
      <c r="WUM4" s="248"/>
      <c r="WUN4" s="248"/>
      <c r="WUO4" s="248"/>
      <c r="WUP4" s="248"/>
      <c r="WUQ4" s="248"/>
      <c r="WUR4" s="248"/>
      <c r="WUS4" s="248"/>
      <c r="WUT4" s="248"/>
      <c r="WUU4" s="248"/>
      <c r="WUV4" s="248"/>
      <c r="WUW4" s="248"/>
      <c r="WUX4" s="248"/>
      <c r="WUY4" s="248"/>
      <c r="WUZ4" s="248"/>
      <c r="WVA4" s="248"/>
      <c r="WVB4" s="248"/>
      <c r="WVC4" s="248"/>
      <c r="WVD4" s="248"/>
      <c r="WVE4" s="248"/>
      <c r="WVF4" s="248"/>
      <c r="WVG4" s="248"/>
      <c r="WVH4" s="248"/>
      <c r="WVI4" s="248"/>
      <c r="WVJ4" s="248"/>
      <c r="WVK4" s="248"/>
      <c r="WVL4" s="248"/>
      <c r="WVM4" s="248"/>
      <c r="WVN4" s="248"/>
      <c r="WVO4" s="248"/>
      <c r="WVP4" s="248"/>
      <c r="WVQ4" s="248"/>
      <c r="WVR4" s="248"/>
      <c r="WVS4" s="248"/>
      <c r="WVT4" s="248"/>
      <c r="WVU4" s="248"/>
      <c r="WVV4" s="248"/>
      <c r="WVW4" s="248"/>
      <c r="WVX4" s="248"/>
      <c r="WVY4" s="248"/>
      <c r="WVZ4" s="248"/>
      <c r="WWA4" s="248"/>
      <c r="WWB4" s="248"/>
      <c r="WWC4" s="248"/>
      <c r="WWD4" s="248"/>
      <c r="WWE4" s="248"/>
      <c r="WWF4" s="248"/>
    </row>
    <row r="5" spans="1:16152" s="233" customFormat="1" x14ac:dyDescent="0.2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16152" x14ac:dyDescent="0.2">
      <c r="A6" s="264" t="str">
        <f>IF('Employee Detail FY21'!A6="","",'Employee Detail FY21'!A6)</f>
        <v/>
      </c>
      <c r="B6" s="350" t="str">
        <f>IF('Employee Detail FY21'!B6="","",'Employee Detail FY21'!B6)</f>
        <v/>
      </c>
      <c r="C6" s="350" t="str">
        <f>IF('Employee Detail FY21'!C6="","",'Employee Detail FY21'!C6)</f>
        <v/>
      </c>
      <c r="D6" s="350"/>
      <c r="E6" s="350" t="str">
        <f>IF('Employee Detail FY21'!E6="","",'Employee Detail FY21'!E6)</f>
        <v/>
      </c>
      <c r="F6" s="350" t="str">
        <f>IF('Employee Detail FY21'!F6="","",'Employee Detail FY21'!F6)</f>
        <v/>
      </c>
      <c r="G6" s="350" t="str">
        <f>IF('Employee Detail FY21'!G6="","",'Employee Detail FY21'!G6)</f>
        <v/>
      </c>
      <c r="H6" s="350"/>
      <c r="I6" s="264" t="str">
        <f>IF('Employee Detail FY21'!I6="","",'Employee Detail FY21'!I6)</f>
        <v/>
      </c>
      <c r="J6" s="264" t="str">
        <f>IF('Employee Detail FY21'!J6="","",'Employee Detail FY21'!J6)</f>
        <v/>
      </c>
      <c r="K6" s="264" t="str">
        <f>IF('Employee Detail FY21'!K6="","",'Employee Detail FY21'!K6)</f>
        <v/>
      </c>
      <c r="L6" s="264" t="str">
        <f>IF('Employee Detail FY21'!L6="","",'Employee Detail FY21'!L6)</f>
        <v/>
      </c>
      <c r="M6" s="267" t="str">
        <f>IF('Employee Detail FY21'!M6="","",'Employee Detail FY21'!M6)</f>
        <v/>
      </c>
      <c r="N6" s="264" t="str">
        <f>IF('Employee Detail FY21'!N6="","",'Employee Detail FY21'!N6)</f>
        <v/>
      </c>
      <c r="O6" s="264" t="str">
        <f>IF('Employee Detail FY21'!O6="","",'Employee Detail FY21'!O6)</f>
        <v/>
      </c>
      <c r="P6" s="264" t="str">
        <f>IF('Employee Detail FY21'!P6="","",'Employee Detail FY21'!P6)</f>
        <v/>
      </c>
      <c r="Q6" s="264" t="str">
        <f>IF('Employee Detail FY21'!Q6="","",'Employee Detail FY21'!Q6)</f>
        <v/>
      </c>
      <c r="R6" s="264" t="str">
        <f>IF('Employee Detail FY21'!R6="","",'Employee Detail FY21'!R6)</f>
        <v/>
      </c>
      <c r="S6" s="264" t="str">
        <f>IF('Employee Detail FY21'!S6="","",'Employee Detail FY21'!S6)</f>
        <v/>
      </c>
      <c r="T6" s="263" t="str">
        <f>+IF(R6="","",R6*S6)</f>
        <v/>
      </c>
      <c r="U6" s="269" t="str">
        <f>IF('Employee Detail FY21'!U6="","",'Employee Detail FY21'!U6)</f>
        <v/>
      </c>
      <c r="V6" s="270" t="str">
        <f>IF($U6="","",$U6*(1+$V$1))</f>
        <v/>
      </c>
      <c r="W6" s="270" t="str">
        <f>+IF(P6="EE",+V6*$W$1,"")</f>
        <v/>
      </c>
      <c r="X6" s="270" t="str">
        <f>_xlfn.IFS(P6="ER",V6,P6="EE",W6,P6="N",V6,P6="","")</f>
        <v/>
      </c>
      <c r="Y6" s="62">
        <v>0</v>
      </c>
      <c r="Z6" s="62">
        <v>0</v>
      </c>
      <c r="AA6" s="256">
        <f t="shared" ref="AA6" si="0">SUM(X6:Z6)</f>
        <v>0</v>
      </c>
      <c r="AB6" s="3"/>
      <c r="AC6" s="62" t="str">
        <f>IF('Employee Detail FY21'!AC6="","",'Employee Detail FY21'!AC6)</f>
        <v/>
      </c>
      <c r="AD6" s="62" t="str">
        <f t="shared" ref="AD6:AD51" si="1">_xlfn.IFS(P6="N",$AD$1*AA6,P6="EE","",P6="ER","",P6="","")</f>
        <v/>
      </c>
      <c r="AE6" s="62" t="str">
        <f t="shared" ref="AE6:AE51" si="2">_xlfn.IFS(P6="EE",X6*$AE$1,P6="ER",X6*$AE$2,P6="N","",P6="","")</f>
        <v/>
      </c>
      <c r="AF6" s="62" t="str">
        <f t="shared" ref="AF6:AF51" si="3">+IF(AA6&gt;1,AA6*$AF$1,"")</f>
        <v/>
      </c>
      <c r="AG6" s="192">
        <v>0</v>
      </c>
      <c r="AH6" s="62" t="str">
        <f t="shared" ref="AH6:AH51" si="4">+IF(AA6&gt;1,AA6*$AH$1,"")</f>
        <v/>
      </c>
      <c r="AI6" s="62">
        <f t="shared" ref="AI6:AI51" si="5">+_xlfn.IFS(F6&lt;2300,(AA6*$AI$1),F6&gt;=2300,(AA6*$AI$2),F6="","")</f>
        <v>0</v>
      </c>
      <c r="AJ6" s="62"/>
      <c r="AK6" s="62">
        <v>0</v>
      </c>
      <c r="AL6" s="256">
        <f>SUM(AC6:AK6)</f>
        <v>0</v>
      </c>
      <c r="AM6" s="256">
        <f>AA6</f>
        <v>0</v>
      </c>
      <c r="AN6" s="256">
        <f>SUM(AL6:AM6)</f>
        <v>0</v>
      </c>
    </row>
    <row r="7" spans="1:16152" x14ac:dyDescent="0.2">
      <c r="A7" s="3" t="str">
        <f>IF('Employee Detail FY21'!A7="","",'Employee Detail FY21'!A7)</f>
        <v/>
      </c>
      <c r="B7" s="278">
        <f>IF('Employee Detail FY21'!B7="","",'Employee Detail FY21'!B7)</f>
        <v>100</v>
      </c>
      <c r="C7" s="278" t="str">
        <f>IF('Employee Detail FY21'!C7="","",'Employee Detail FY21'!C7)</f>
        <v>000</v>
      </c>
      <c r="D7" s="278"/>
      <c r="E7" s="278">
        <f>IF('Employee Detail FY21'!E7="","",'Employee Detail FY21'!E7)</f>
        <v>100</v>
      </c>
      <c r="F7" s="278">
        <f>IF('Employee Detail FY21'!F7="","",'Employee Detail FY21'!F7)</f>
        <v>2580</v>
      </c>
      <c r="G7" s="278" t="str">
        <f>IF('Employee Detail FY21'!G7="","",'Employee Detail FY21'!G7)</f>
        <v>0107</v>
      </c>
      <c r="H7" s="278"/>
      <c r="I7" s="3" t="str">
        <f>IF('Employee Detail FY21'!I7="","",'Employee Detail FY21'!I7)</f>
        <v>BABJI</v>
      </c>
      <c r="J7" s="3" t="str">
        <f>IF('Employee Detail FY21'!J7="","",'Employee Detail FY21'!J7)</f>
        <v>NIKOLAS</v>
      </c>
      <c r="K7" s="3" t="str">
        <f>IF('Employee Detail FY21'!K7="","",'Employee Detail FY21'!K7)</f>
        <v>Support Staff</v>
      </c>
      <c r="L7" s="3" t="str">
        <f>IF('Employee Detail FY21'!L7="","",'Employee Detail FY21'!L7)</f>
        <v>IT SPECIALIST</v>
      </c>
      <c r="M7" s="3">
        <f>IF('Employee Detail FY21'!M7="","",'Employee Detail FY21'!M7)</f>
        <v>1</v>
      </c>
      <c r="N7" s="3" t="str">
        <f>IF('Employee Detail FY21'!N7="","",'Employee Detail FY21'!N7)</f>
        <v/>
      </c>
      <c r="O7" s="3">
        <f>IF('Employee Detail FY21'!O7="","",'Employee Detail FY21'!O7)</f>
        <v>1</v>
      </c>
      <c r="P7" s="3" t="str">
        <f>IF('Employee Detail FY21'!P7="","",'Employee Detail FY21'!P7)</f>
        <v>ER</v>
      </c>
      <c r="Q7" s="3" t="str">
        <f>IF('Employee Detail FY21'!Q7="","",'Employee Detail FY21'!Q7)</f>
        <v/>
      </c>
      <c r="R7" s="3">
        <f>IF('Employee Detail FY21'!R7="","",'Employee Detail FY21'!R7)</f>
        <v>260</v>
      </c>
      <c r="S7" s="3">
        <f>IF('Employee Detail FY21'!S7="","",'Employee Detail FY21'!S7)</f>
        <v>8</v>
      </c>
      <c r="T7" s="263">
        <f t="shared" ref="T7:T131" si="6">+IF(R7="","",R7*S7)</f>
        <v>2080</v>
      </c>
      <c r="U7" s="269">
        <f>IF('Employee Detail FY21'!U7="","",'Employee Detail FY21'!U7)</f>
        <v>49000</v>
      </c>
      <c r="V7" s="270">
        <f t="shared" ref="V7:V131" si="7">IF($U7="","",$U7*(1+$V$1))</f>
        <v>50470</v>
      </c>
      <c r="W7" s="270" t="str">
        <f t="shared" ref="W7:W131" si="8">+IF(P7="EE",+V7*$W$1,"")</f>
        <v/>
      </c>
      <c r="X7" s="270">
        <f t="shared" ref="X7:X131" si="9">_xlfn.IFS(P7="ER",V7,P7="EE",W7,P7="N",V7,P7="","")</f>
        <v>50470</v>
      </c>
      <c r="Y7" s="62">
        <v>0</v>
      </c>
      <c r="Z7" s="62">
        <v>0</v>
      </c>
      <c r="AA7" s="256">
        <f t="shared" ref="AA7:AA131" si="10">SUM(X7:Z7)</f>
        <v>50470</v>
      </c>
      <c r="AB7" s="3"/>
      <c r="AC7" s="62">
        <f>IF('Employee Detail FY21'!AC7="","",'Employee Detail FY21'!AC7)</f>
        <v>7943.76</v>
      </c>
      <c r="AD7" s="62" t="str">
        <f t="shared" si="1"/>
        <v/>
      </c>
      <c r="AE7" s="62">
        <f t="shared" si="2"/>
        <v>14888.65</v>
      </c>
      <c r="AF7" s="62">
        <f t="shared" si="3"/>
        <v>731.81500000000005</v>
      </c>
      <c r="AG7" s="192">
        <v>0</v>
      </c>
      <c r="AH7" s="62">
        <f t="shared" si="4"/>
        <v>459.39490331587234</v>
      </c>
      <c r="AI7" s="62">
        <f t="shared" si="5"/>
        <v>148.64417887678948</v>
      </c>
      <c r="AJ7" s="62"/>
      <c r="AK7" s="62">
        <v>0</v>
      </c>
      <c r="AL7" s="256">
        <f t="shared" ref="AL7:AL131" si="11">SUM(AC7:AK7)</f>
        <v>24172.264082192658</v>
      </c>
      <c r="AM7" s="256">
        <f t="shared" ref="AM7:AM131" si="12">AA7</f>
        <v>50470</v>
      </c>
      <c r="AN7" s="256">
        <f t="shared" ref="AN7:AN131" si="13">SUM(AL7:AM7)</f>
        <v>74642.264082192662</v>
      </c>
    </row>
    <row r="8" spans="1:16152" x14ac:dyDescent="0.2">
      <c r="A8" s="3" t="str">
        <f>IF('Employee Detail FY21'!A8="","",'Employee Detail FY21'!A8)</f>
        <v/>
      </c>
      <c r="B8" s="278">
        <f>IF('Employee Detail FY21'!B8="","",'Employee Detail FY21'!B8)</f>
        <v>100</v>
      </c>
      <c r="C8" s="278" t="str">
        <f>IF('Employee Detail FY21'!C8="","",'Employee Detail FY21'!C8)</f>
        <v>000</v>
      </c>
      <c r="D8" s="278"/>
      <c r="E8" s="278">
        <f>IF('Employee Detail FY21'!E8="","",'Employee Detail FY21'!E8)</f>
        <v>100</v>
      </c>
      <c r="F8" s="278">
        <f>IF('Employee Detail FY21'!F8="","",'Employee Detail FY21'!F8)</f>
        <v>1000</v>
      </c>
      <c r="G8" s="425" t="str">
        <f>IF('Employee Detail FY21'!G8="","",'Employee Detail FY21'!G8)</f>
        <v>0101</v>
      </c>
      <c r="H8" s="278"/>
      <c r="I8" s="3" t="str">
        <f>IF('Employee Detail FY21'!I8="","",'Employee Detail FY21'!I8)</f>
        <v>Bailey</v>
      </c>
      <c r="J8" s="3" t="str">
        <f>IF('Employee Detail FY21'!J8="","",'Employee Detail FY21'!J8)</f>
        <v>Sandra</v>
      </c>
      <c r="K8" s="3" t="str">
        <f>IF('Employee Detail FY21'!K8="","",'Employee Detail FY21'!K8)</f>
        <v>Licensed Staff</v>
      </c>
      <c r="L8" s="3" t="str">
        <f>IF('Employee Detail FY21'!L8="","",'Employee Detail FY21'!L8)</f>
        <v>Teacher</v>
      </c>
      <c r="M8" s="3">
        <f>IF('Employee Detail FY21'!M8="","",'Employee Detail FY21'!M8)</f>
        <v>1</v>
      </c>
      <c r="N8" s="3" t="str">
        <f>IF('Employee Detail FY21'!N8="","",'Employee Detail FY21'!N8)</f>
        <v>S</v>
      </c>
      <c r="O8" s="3">
        <f>IF('Employee Detail FY21'!O8="","",'Employee Detail FY21'!O8)</f>
        <v>1</v>
      </c>
      <c r="P8" s="3" t="str">
        <f>IF('Employee Detail FY21'!P8="","",'Employee Detail FY21'!P8)</f>
        <v>EE</v>
      </c>
      <c r="Q8" s="3" t="str">
        <f>IF('Employee Detail FY21'!Q8="","",'Employee Detail FY21'!Q8)</f>
        <v/>
      </c>
      <c r="R8" s="3">
        <f>IF('Employee Detail FY21'!R8="","",'Employee Detail FY21'!R8)</f>
        <v>191</v>
      </c>
      <c r="S8" s="3">
        <f>IF('Employee Detail FY21'!S8="","",'Employee Detail FY21'!S8)</f>
        <v>8</v>
      </c>
      <c r="T8" s="263">
        <f t="shared" si="6"/>
        <v>1528</v>
      </c>
      <c r="U8" s="269">
        <f>IF('Employee Detail FY21'!U8="","",'Employee Detail FY21'!U8)</f>
        <v>44380</v>
      </c>
      <c r="V8" s="270">
        <f t="shared" si="7"/>
        <v>45711.4</v>
      </c>
      <c r="W8" s="270">
        <f t="shared" si="8"/>
        <v>52600.519382600003</v>
      </c>
      <c r="X8" s="270">
        <f t="shared" si="9"/>
        <v>52600.519382600003</v>
      </c>
      <c r="Y8" s="62">
        <v>0</v>
      </c>
      <c r="Z8" s="62">
        <v>0</v>
      </c>
      <c r="AA8" s="256">
        <f t="shared" si="10"/>
        <v>52600.519382600003</v>
      </c>
      <c r="AB8" s="3"/>
      <c r="AC8" s="62">
        <f>IF('Employee Detail FY21'!AC8="","",'Employee Detail FY21'!AC8)</f>
        <v>7943.76</v>
      </c>
      <c r="AD8" s="62" t="str">
        <f t="shared" si="1"/>
        <v/>
      </c>
      <c r="AE8" s="62">
        <f t="shared" si="2"/>
        <v>8153.0805043030005</v>
      </c>
      <c r="AF8" s="62">
        <f t="shared" si="3"/>
        <v>762.70753104770006</v>
      </c>
      <c r="AG8" s="192">
        <v>0</v>
      </c>
      <c r="AH8" s="62">
        <f t="shared" si="4"/>
        <v>478.78760681858921</v>
      </c>
      <c r="AI8" s="62">
        <f t="shared" si="5"/>
        <v>154.91898181333914</v>
      </c>
      <c r="AJ8" s="62"/>
      <c r="AK8" s="62">
        <v>0</v>
      </c>
      <c r="AL8" s="256">
        <f t="shared" si="11"/>
        <v>17493.25462398263</v>
      </c>
      <c r="AM8" s="256">
        <f t="shared" si="12"/>
        <v>52600.519382600003</v>
      </c>
      <c r="AN8" s="256">
        <f t="shared" si="13"/>
        <v>70093.774006582637</v>
      </c>
    </row>
    <row r="9" spans="1:16152" x14ac:dyDescent="0.2">
      <c r="A9" s="3" t="str">
        <f>IF('Employee Detail FY21'!A9="","",'Employee Detail FY21'!A9)</f>
        <v/>
      </c>
      <c r="B9" s="278">
        <f>IF('Employee Detail FY21'!B9="","",'Employee Detail FY21'!B9)</f>
        <v>100</v>
      </c>
      <c r="C9" s="278" t="str">
        <f>IF('Employee Detail FY21'!C9="","",'Employee Detail FY21'!C9)</f>
        <v>000</v>
      </c>
      <c r="D9" s="278"/>
      <c r="E9" s="278">
        <f>IF('Employee Detail FY21'!E9="","",'Employee Detail FY21'!E9)</f>
        <v>100</v>
      </c>
      <c r="F9" s="278" t="str">
        <f>IF('Employee Detail FY21'!F9="","",'Employee Detail FY21'!F9)</f>
        <v>2120</v>
      </c>
      <c r="G9" s="425" t="str">
        <f>IF('Employee Detail FY21'!G9="","",'Employee Detail FY21'!G9)</f>
        <v>0106</v>
      </c>
      <c r="H9" s="278"/>
      <c r="I9" s="3" t="str">
        <f>IF('Employee Detail FY21'!I9="","",'Employee Detail FY21'!I9)</f>
        <v>Bates (Bolton)</v>
      </c>
      <c r="J9" s="3" t="str">
        <f>IF('Employee Detail FY21'!J9="","",'Employee Detail FY21'!J9)</f>
        <v>Toishauna</v>
      </c>
      <c r="K9" s="3" t="str">
        <f>IF('Employee Detail FY21'!K9="","",'Employee Detail FY21'!K9)</f>
        <v>Licensed Support Staff</v>
      </c>
      <c r="L9" s="3" t="str">
        <f>IF('Employee Detail FY21'!L9="","",'Employee Detail FY21'!L9)</f>
        <v>Academic Counselor</v>
      </c>
      <c r="M9" s="3">
        <f>IF('Employee Detail FY21'!M9="","",'Employee Detail FY21'!M9)</f>
        <v>1</v>
      </c>
      <c r="N9" s="3" t="str">
        <f>IF('Employee Detail FY21'!N9="","",'Employee Detail FY21'!N9)</f>
        <v>S</v>
      </c>
      <c r="O9" s="3">
        <f>IF('Employee Detail FY21'!O9="","",'Employee Detail FY21'!O9)</f>
        <v>1</v>
      </c>
      <c r="P9" s="3" t="str">
        <f>IF('Employee Detail FY21'!P9="","",'Employee Detail FY21'!P9)</f>
        <v>EE</v>
      </c>
      <c r="Q9" s="3" t="str">
        <f>IF('Employee Detail FY21'!Q9="","",'Employee Detail FY21'!Q9)</f>
        <v/>
      </c>
      <c r="R9" s="3">
        <f>IF('Employee Detail FY21'!R9="","",'Employee Detail FY21'!R9)</f>
        <v>260</v>
      </c>
      <c r="S9" s="3">
        <f>IF('Employee Detail FY21'!S9="","",'Employee Detail FY21'!S9)</f>
        <v>8</v>
      </c>
      <c r="T9" s="263">
        <f t="shared" si="6"/>
        <v>2080</v>
      </c>
      <c r="U9" s="269">
        <f>IF('Employee Detail FY21'!U9="","",'Employee Detail FY21'!U9)</f>
        <v>62320</v>
      </c>
      <c r="V9" s="270">
        <f t="shared" si="7"/>
        <v>64189.599999999999</v>
      </c>
      <c r="W9" s="270">
        <f t="shared" si="8"/>
        <v>73863.55042639999</v>
      </c>
      <c r="X9" s="270">
        <f t="shared" si="9"/>
        <v>73863.55042639999</v>
      </c>
      <c r="Y9" s="62">
        <v>0</v>
      </c>
      <c r="Z9" s="62">
        <v>0</v>
      </c>
      <c r="AA9" s="256">
        <f t="shared" si="10"/>
        <v>73863.55042639999</v>
      </c>
      <c r="AB9" s="3"/>
      <c r="AC9" s="62">
        <f>IF('Employee Detail FY21'!AC9="","",'Employee Detail FY21'!AC9)</f>
        <v>7943.76</v>
      </c>
      <c r="AD9" s="62" t="str">
        <f t="shared" si="1"/>
        <v/>
      </c>
      <c r="AE9" s="62">
        <f t="shared" si="2"/>
        <v>11448.850316091999</v>
      </c>
      <c r="AF9" s="62">
        <f t="shared" si="3"/>
        <v>1071.0214811828</v>
      </c>
      <c r="AG9" s="192">
        <v>0</v>
      </c>
      <c r="AH9" s="62">
        <f t="shared" si="4"/>
        <v>672.33086203097059</v>
      </c>
      <c r="AI9" s="62">
        <f t="shared" si="5"/>
        <v>217.54283340710441</v>
      </c>
      <c r="AJ9" s="62"/>
      <c r="AK9" s="62">
        <v>0</v>
      </c>
      <c r="AL9" s="256">
        <f t="shared" si="11"/>
        <v>21353.505492712873</v>
      </c>
      <c r="AM9" s="256">
        <f t="shared" si="12"/>
        <v>73863.55042639999</v>
      </c>
      <c r="AN9" s="256">
        <f t="shared" si="13"/>
        <v>95217.05591911287</v>
      </c>
    </row>
    <row r="10" spans="1:16152" x14ac:dyDescent="0.2">
      <c r="A10" s="3" t="str">
        <f>IF('Employee Detail FY21'!A10="","",'Employee Detail FY21'!A10)</f>
        <v/>
      </c>
      <c r="B10" s="278">
        <f>IF('Employee Detail FY21'!B10="","",'Employee Detail FY21'!B10)</f>
        <v>100</v>
      </c>
      <c r="C10" s="278" t="str">
        <f>IF('Employee Detail FY21'!C10="","",'Employee Detail FY21'!C10)</f>
        <v>000</v>
      </c>
      <c r="D10" s="278"/>
      <c r="E10" s="278">
        <f>IF('Employee Detail FY21'!E10="","",'Employee Detail FY21'!E10)</f>
        <v>100</v>
      </c>
      <c r="F10" s="278" t="str">
        <f>IF('Employee Detail FY21'!F10="","",'Employee Detail FY21'!F10)</f>
        <v>2510</v>
      </c>
      <c r="G10" s="278" t="str">
        <f>IF('Employee Detail FY21'!G10="","",'Employee Detail FY21'!G10)</f>
        <v>0105</v>
      </c>
      <c r="H10" s="278"/>
      <c r="I10" s="3" t="str">
        <f>IF('Employee Detail FY21'!I10="","",'Employee Detail FY21'!I10)</f>
        <v>Bellinger</v>
      </c>
      <c r="J10" s="3" t="str">
        <f>IF('Employee Detail FY21'!J10="","",'Employee Detail FY21'!J10)</f>
        <v>Mary Kay</v>
      </c>
      <c r="K10" s="3" t="str">
        <f>IF('Employee Detail FY21'!K10="","",'Employee Detail FY21'!K10)</f>
        <v>Support Staff</v>
      </c>
      <c r="L10" s="3" t="str">
        <f>IF('Employee Detail FY21'!L10="","",'Employee Detail FY21'!L10)</f>
        <v>Operations Coordinator</v>
      </c>
      <c r="M10" s="3">
        <f>IF('Employee Detail FY21'!M10="","",'Employee Detail FY21'!M10)</f>
        <v>1</v>
      </c>
      <c r="N10" s="3" t="str">
        <f>IF('Employee Detail FY21'!N10="","",'Employee Detail FY21'!N10)</f>
        <v>H</v>
      </c>
      <c r="O10" s="3">
        <f>IF('Employee Detail FY21'!O10="","",'Employee Detail FY21'!O10)</f>
        <v>1</v>
      </c>
      <c r="P10" s="3" t="str">
        <f>IF('Employee Detail FY21'!P10="","",'Employee Detail FY21'!P10)</f>
        <v>ER</v>
      </c>
      <c r="Q10" s="3" t="str">
        <f>IF('Employee Detail FY21'!Q10="","",'Employee Detail FY21'!Q10)</f>
        <v/>
      </c>
      <c r="R10" s="3">
        <f>IF('Employee Detail FY21'!R10="","",'Employee Detail FY21'!R10)</f>
        <v>260</v>
      </c>
      <c r="S10" s="3">
        <f>IF('Employee Detail FY21'!S10="","",'Employee Detail FY21'!S10)</f>
        <v>8</v>
      </c>
      <c r="T10" s="263">
        <f t="shared" si="6"/>
        <v>2080</v>
      </c>
      <c r="U10" s="269">
        <f>IF('Employee Detail FY21'!U10="","",'Employee Detail FY21'!U10)</f>
        <v>62000</v>
      </c>
      <c r="V10" s="270">
        <f t="shared" si="7"/>
        <v>63860</v>
      </c>
      <c r="W10" s="270" t="str">
        <f t="shared" si="8"/>
        <v/>
      </c>
      <c r="X10" s="270">
        <f t="shared" si="9"/>
        <v>63860</v>
      </c>
      <c r="Y10" s="62">
        <v>0</v>
      </c>
      <c r="Z10" s="62">
        <v>0</v>
      </c>
      <c r="AA10" s="256">
        <f t="shared" si="10"/>
        <v>63860</v>
      </c>
      <c r="AB10" s="3"/>
      <c r="AC10" s="62">
        <f>IF('Employee Detail FY21'!AC10="","",'Employee Detail FY21'!AC10)</f>
        <v>7943.76</v>
      </c>
      <c r="AD10" s="62" t="str">
        <f t="shared" si="1"/>
        <v/>
      </c>
      <c r="AE10" s="62">
        <f t="shared" si="2"/>
        <v>18838.7</v>
      </c>
      <c r="AF10" s="62">
        <f t="shared" si="3"/>
        <v>925.97</v>
      </c>
      <c r="AG10" s="192">
        <v>0</v>
      </c>
      <c r="AH10" s="62">
        <f t="shared" si="4"/>
        <v>581.27518378743025</v>
      </c>
      <c r="AI10" s="62">
        <f t="shared" si="5"/>
        <v>188.08038959920302</v>
      </c>
      <c r="AJ10" s="62"/>
      <c r="AK10" s="62">
        <v>0</v>
      </c>
      <c r="AL10" s="256">
        <f t="shared" si="11"/>
        <v>28477.785573386634</v>
      </c>
      <c r="AM10" s="256">
        <f t="shared" si="12"/>
        <v>63860</v>
      </c>
      <c r="AN10" s="256">
        <f t="shared" si="13"/>
        <v>92337.785573386631</v>
      </c>
    </row>
    <row r="11" spans="1:16152" x14ac:dyDescent="0.2">
      <c r="A11" s="3" t="str">
        <f>IF('Employee Detail FY21'!A11="","",'Employee Detail FY21'!A11)</f>
        <v/>
      </c>
      <c r="B11" s="278" t="str">
        <f>IF('Employee Detail FY21'!B11="","",'Employee Detail FY21'!B11)</f>
        <v>280</v>
      </c>
      <c r="C11" s="424" t="str">
        <f>IF('Employee Detail FY21'!C11="","",'Employee Detail FY21'!C11)</f>
        <v>624</v>
      </c>
      <c r="D11" s="278"/>
      <c r="E11" s="278" t="str">
        <f>IF('Employee Detail FY21'!E11="","",'Employee Detail FY21'!E11)</f>
        <v>430</v>
      </c>
      <c r="F11" s="278">
        <f>IF('Employee Detail FY21'!F11="","",'Employee Detail FY21'!F11)</f>
        <v>1000</v>
      </c>
      <c r="G11" s="278" t="str">
        <f>IF('Employee Detail FY21'!G11="","",'Employee Detail FY21'!G11)</f>
        <v>0105</v>
      </c>
      <c r="H11" s="278"/>
      <c r="I11" s="3" t="str">
        <f>IF('Employee Detail FY21'!I11="","",'Employee Detail FY21'!I11)</f>
        <v>BERRY</v>
      </c>
      <c r="J11" s="3" t="str">
        <f>IF('Employee Detail FY21'!J11="","",'Employee Detail FY21'!J11)</f>
        <v>NAYA</v>
      </c>
      <c r="K11" s="3" t="str">
        <f>IF('Employee Detail FY21'!K11="","",'Employee Detail FY21'!K11)</f>
        <v>Administration</v>
      </c>
      <c r="L11" s="3" t="str">
        <f>IF('Employee Detail FY21'!L11="","",'Employee Detail FY21'!L11)</f>
        <v>SPED Compliance Consultant</v>
      </c>
      <c r="M11" s="3">
        <f>IF('Employee Detail FY21'!M11="","",'Employee Detail FY21'!M11)</f>
        <v>1</v>
      </c>
      <c r="N11" s="3" t="str">
        <f>IF('Employee Detail FY21'!N11="","",'Employee Detail FY21'!N11)</f>
        <v/>
      </c>
      <c r="O11" s="3">
        <f>IF('Employee Detail FY21'!O11="","",'Employee Detail FY21'!O11)</f>
        <v>1</v>
      </c>
      <c r="P11" s="3" t="str">
        <f>IF('Employee Detail FY21'!P11="","",'Employee Detail FY21'!P11)</f>
        <v>ER</v>
      </c>
      <c r="Q11" s="3" t="str">
        <f>IF('Employee Detail FY21'!Q11="","",'Employee Detail FY21'!Q11)</f>
        <v/>
      </c>
      <c r="R11" s="3">
        <f>IF('Employee Detail FY21'!R11="","",'Employee Detail FY21'!R11)</f>
        <v>260</v>
      </c>
      <c r="S11" s="3">
        <f>IF('Employee Detail FY21'!S11="","",'Employee Detail FY21'!S11)</f>
        <v>8</v>
      </c>
      <c r="T11" s="263">
        <f t="shared" si="6"/>
        <v>2080</v>
      </c>
      <c r="U11" s="269">
        <f>IF('Employee Detail FY21'!U11="","",'Employee Detail FY21'!U11)</f>
        <v>80000</v>
      </c>
      <c r="V11" s="270">
        <f t="shared" si="7"/>
        <v>82400</v>
      </c>
      <c r="W11" s="270" t="str">
        <f t="shared" si="8"/>
        <v/>
      </c>
      <c r="X11" s="270">
        <f t="shared" si="9"/>
        <v>82400</v>
      </c>
      <c r="Y11" s="62">
        <v>0</v>
      </c>
      <c r="Z11" s="62">
        <v>0</v>
      </c>
      <c r="AA11" s="256">
        <f t="shared" si="10"/>
        <v>82400</v>
      </c>
      <c r="AB11" s="3"/>
      <c r="AC11" s="62">
        <f>IF('Employee Detail FY21'!AC11="","",'Employee Detail FY21'!AC11)</f>
        <v>7943.76</v>
      </c>
      <c r="AD11" s="62" t="str">
        <f t="shared" si="1"/>
        <v/>
      </c>
      <c r="AE11" s="62">
        <f t="shared" si="2"/>
        <v>24308</v>
      </c>
      <c r="AF11" s="62">
        <f t="shared" si="3"/>
        <v>1194.8</v>
      </c>
      <c r="AG11" s="192">
        <v>0</v>
      </c>
      <c r="AH11" s="62">
        <f t="shared" si="4"/>
        <v>750.03249520958752</v>
      </c>
      <c r="AI11" s="62">
        <f t="shared" si="5"/>
        <v>242.684373676391</v>
      </c>
      <c r="AJ11" s="62"/>
      <c r="AK11" s="62">
        <v>0</v>
      </c>
      <c r="AL11" s="256">
        <f t="shared" si="11"/>
        <v>34439.276868885987</v>
      </c>
      <c r="AM11" s="256">
        <f t="shared" si="12"/>
        <v>82400</v>
      </c>
      <c r="AN11" s="256">
        <f t="shared" si="13"/>
        <v>116839.27686888599</v>
      </c>
    </row>
    <row r="12" spans="1:16152" x14ac:dyDescent="0.2">
      <c r="A12" s="3" t="str">
        <f>IF('Employee Detail FY21'!A12="","",'Employee Detail FY21'!A12)</f>
        <v/>
      </c>
      <c r="B12" s="278">
        <f>IF('Employee Detail FY21'!B12="","",'Employee Detail FY21'!B12)</f>
        <v>100</v>
      </c>
      <c r="C12" s="278" t="str">
        <f>IF('Employee Detail FY21'!C12="","",'Employee Detail FY21'!C12)</f>
        <v>000</v>
      </c>
      <c r="D12" s="278"/>
      <c r="E12" s="278">
        <f>IF('Employee Detail FY21'!E12="","",'Employee Detail FY21'!E12)</f>
        <v>100</v>
      </c>
      <c r="F12" s="278" t="str">
        <f>IF('Employee Detail FY21'!F12="","",'Employee Detail FY21'!F12)</f>
        <v>2582</v>
      </c>
      <c r="G12" s="278" t="str">
        <f>IF('Employee Detail FY21'!G12="","",'Employee Detail FY21'!G12)</f>
        <v>0107</v>
      </c>
      <c r="H12" s="278"/>
      <c r="I12" s="3" t="str">
        <f>IF('Employee Detail FY21'!I12="","",'Employee Detail FY21'!I12)</f>
        <v>Brooks</v>
      </c>
      <c r="J12" s="3" t="str">
        <f>IF('Employee Detail FY21'!J12="","",'Employee Detail FY21'!J12)</f>
        <v>Lola</v>
      </c>
      <c r="K12" s="3" t="str">
        <f>IF('Employee Detail FY21'!K12="","",'Employee Detail FY21'!K12)</f>
        <v>Administration</v>
      </c>
      <c r="L12" s="3" t="str">
        <f>IF('Employee Detail FY21'!L12="","",'Employee Detail FY21'!L12)</f>
        <v>Assessment &amp; Data Coordinator</v>
      </c>
      <c r="M12" s="3">
        <f>IF('Employee Detail FY21'!M12="","",'Employee Detail FY21'!M12)</f>
        <v>1</v>
      </c>
      <c r="N12" s="3" t="str">
        <f>IF('Employee Detail FY21'!N12="","",'Employee Detail FY21'!N12)</f>
        <v>S</v>
      </c>
      <c r="O12" s="3">
        <f>IF('Employee Detail FY21'!O12="","",'Employee Detail FY21'!O12)</f>
        <v>1</v>
      </c>
      <c r="P12" s="3" t="str">
        <f>IF('Employee Detail FY21'!P12="","",'Employee Detail FY21'!P12)</f>
        <v>EE</v>
      </c>
      <c r="Q12" s="3" t="str">
        <f>IF('Employee Detail FY21'!Q12="","",'Employee Detail FY21'!Q12)</f>
        <v/>
      </c>
      <c r="R12" s="3">
        <f>IF('Employee Detail FY21'!R12="","",'Employee Detail FY21'!R12)</f>
        <v>260</v>
      </c>
      <c r="S12" s="3">
        <f>IF('Employee Detail FY21'!S12="","",'Employee Detail FY21'!S12)</f>
        <v>8</v>
      </c>
      <c r="T12" s="263">
        <f t="shared" si="6"/>
        <v>2080</v>
      </c>
      <c r="U12" s="269">
        <f>IF('Employee Detail FY21'!U12="","",'Employee Detail FY21'!U12)</f>
        <v>68500</v>
      </c>
      <c r="V12" s="270">
        <f t="shared" si="7"/>
        <v>70555</v>
      </c>
      <c r="W12" s="270">
        <f t="shared" si="8"/>
        <v>81188.273495000001</v>
      </c>
      <c r="X12" s="270">
        <f t="shared" si="9"/>
        <v>81188.273495000001</v>
      </c>
      <c r="Y12" s="62">
        <v>0</v>
      </c>
      <c r="Z12" s="62">
        <v>0</v>
      </c>
      <c r="AA12" s="256">
        <f t="shared" si="10"/>
        <v>81188.273495000001</v>
      </c>
      <c r="AB12" s="3"/>
      <c r="AC12" s="62">
        <f>IF('Employee Detail FY21'!AC12="","",'Employee Detail FY21'!AC12)</f>
        <v>7943.76</v>
      </c>
      <c r="AD12" s="62" t="str">
        <f t="shared" si="1"/>
        <v/>
      </c>
      <c r="AE12" s="62">
        <f t="shared" si="2"/>
        <v>12584.182391725</v>
      </c>
      <c r="AF12" s="62">
        <f t="shared" si="3"/>
        <v>1177.2299656775001</v>
      </c>
      <c r="AG12" s="192">
        <v>0</v>
      </c>
      <c r="AH12" s="62">
        <f t="shared" si="4"/>
        <v>739.00295329142318</v>
      </c>
      <c r="AI12" s="62">
        <f t="shared" si="5"/>
        <v>239.11559833739818</v>
      </c>
      <c r="AJ12" s="62"/>
      <c r="AK12" s="62">
        <v>0</v>
      </c>
      <c r="AL12" s="256">
        <f t="shared" si="11"/>
        <v>22683.290909031322</v>
      </c>
      <c r="AM12" s="256">
        <f t="shared" si="12"/>
        <v>81188.273495000001</v>
      </c>
      <c r="AN12" s="256">
        <f t="shared" si="13"/>
        <v>103871.56440403132</v>
      </c>
    </row>
    <row r="13" spans="1:16152" x14ac:dyDescent="0.2">
      <c r="A13" s="3" t="str">
        <f>IF('Employee Detail FY21'!A13="","",'Employee Detail FY21'!A13)</f>
        <v/>
      </c>
      <c r="B13" s="278">
        <f>IF('Employee Detail FY21'!B13="","",'Employee Detail FY21'!B13)</f>
        <v>100</v>
      </c>
      <c r="C13" s="278" t="str">
        <f>IF('Employee Detail FY21'!C13="","",'Employee Detail FY21'!C13)</f>
        <v>000</v>
      </c>
      <c r="D13" s="278"/>
      <c r="E13" s="278">
        <f>IF('Employee Detail FY21'!E13="","",'Employee Detail FY21'!E13)</f>
        <v>100</v>
      </c>
      <c r="F13" s="278" t="str">
        <f>IF('Employee Detail FY21'!F13="","",'Employee Detail FY21'!F13)</f>
        <v>2320</v>
      </c>
      <c r="G13" s="425" t="str">
        <f>IF('Employee Detail FY21'!G13="","",'Employee Detail FY21'!G13)</f>
        <v>0104</v>
      </c>
      <c r="H13" s="278"/>
      <c r="I13" s="3" t="str">
        <f>IF('Employee Detail FY21'!I13="","",'Employee Detail FY21'!I13)</f>
        <v>Damore</v>
      </c>
      <c r="J13" s="3" t="str">
        <f>IF('Employee Detail FY21'!J13="","",'Employee Detail FY21'!J13)</f>
        <v>Andrea</v>
      </c>
      <c r="K13" s="3" t="str">
        <f>IF('Employee Detail FY21'!K13="","",'Employee Detail FY21'!K13)</f>
        <v>Admnistration</v>
      </c>
      <c r="L13" s="3" t="str">
        <f>IF('Employee Detail FY21'!L13="","",'Employee Detail FY21'!L13)</f>
        <v>Exec. Dir. Academics</v>
      </c>
      <c r="M13" s="3">
        <f>IF('Employee Detail FY21'!M13="","",'Employee Detail FY21'!M13)</f>
        <v>1</v>
      </c>
      <c r="N13" s="3" t="str">
        <f>IF('Employee Detail FY21'!N13="","",'Employee Detail FY21'!N13)</f>
        <v>S</v>
      </c>
      <c r="O13" s="3">
        <f>IF('Employee Detail FY21'!O13="","",'Employee Detail FY21'!O13)</f>
        <v>1</v>
      </c>
      <c r="P13" s="3" t="str">
        <f>IF('Employee Detail FY21'!P13="","",'Employee Detail FY21'!P13)</f>
        <v>ER</v>
      </c>
      <c r="Q13" s="3" t="str">
        <f>IF('Employee Detail FY21'!Q13="","",'Employee Detail FY21'!Q13)</f>
        <v/>
      </c>
      <c r="R13" s="3">
        <f>IF('Employee Detail FY21'!R13="","",'Employee Detail FY21'!R13)</f>
        <v>260</v>
      </c>
      <c r="S13" s="3">
        <f>IF('Employee Detail FY21'!S13="","",'Employee Detail FY21'!S13)</f>
        <v>8</v>
      </c>
      <c r="T13" s="263">
        <f t="shared" si="6"/>
        <v>2080</v>
      </c>
      <c r="U13" s="269">
        <f>IF('Employee Detail FY21'!U13="","",'Employee Detail FY21'!U13)</f>
        <v>123000</v>
      </c>
      <c r="V13" s="270">
        <f t="shared" si="7"/>
        <v>126690</v>
      </c>
      <c r="W13" s="270" t="str">
        <f t="shared" si="8"/>
        <v/>
      </c>
      <c r="X13" s="270">
        <f t="shared" si="9"/>
        <v>126690</v>
      </c>
      <c r="Y13" s="62">
        <v>0</v>
      </c>
      <c r="Z13" s="62">
        <v>0</v>
      </c>
      <c r="AA13" s="256">
        <f t="shared" si="10"/>
        <v>126690</v>
      </c>
      <c r="AB13" s="3"/>
      <c r="AC13" s="62">
        <f>IF('Employee Detail FY21'!AC13="","",'Employee Detail FY21'!AC13)</f>
        <v>7943.76</v>
      </c>
      <c r="AD13" s="62" t="str">
        <f t="shared" si="1"/>
        <v/>
      </c>
      <c r="AE13" s="62">
        <f t="shared" si="2"/>
        <v>37373.549999999996</v>
      </c>
      <c r="AF13" s="62">
        <f t="shared" si="3"/>
        <v>1837.0050000000001</v>
      </c>
      <c r="AG13" s="192">
        <v>0</v>
      </c>
      <c r="AH13" s="62">
        <f t="shared" si="4"/>
        <v>1153.1749613847408</v>
      </c>
      <c r="AI13" s="62">
        <f t="shared" si="5"/>
        <v>373.12722452745118</v>
      </c>
      <c r="AJ13" s="62"/>
      <c r="AK13" s="62">
        <v>0</v>
      </c>
      <c r="AL13" s="256">
        <f t="shared" si="11"/>
        <v>48680.61718591219</v>
      </c>
      <c r="AM13" s="256">
        <f t="shared" si="12"/>
        <v>126690</v>
      </c>
      <c r="AN13" s="256">
        <f t="shared" si="13"/>
        <v>175370.61718591218</v>
      </c>
    </row>
    <row r="14" spans="1:16152" x14ac:dyDescent="0.2">
      <c r="A14" s="3" t="str">
        <f>IF('Employee Detail FY21'!A14="","",'Employee Detail FY21'!A14)</f>
        <v/>
      </c>
      <c r="B14" s="278">
        <f>IF('Employee Detail FY21'!B14="","",'Employee Detail FY21'!B14)</f>
        <v>100</v>
      </c>
      <c r="C14" s="278" t="str">
        <f>IF('Employee Detail FY21'!C14="","",'Employee Detail FY21'!C14)</f>
        <v>000</v>
      </c>
      <c r="D14" s="278"/>
      <c r="E14" s="278">
        <f>IF('Employee Detail FY21'!E14="","",'Employee Detail FY21'!E14)</f>
        <v>100</v>
      </c>
      <c r="F14" s="278" t="str">
        <f>IF('Employee Detail FY21'!F14="","",'Employee Detail FY21'!F14)</f>
        <v>2410</v>
      </c>
      <c r="G14" s="278" t="str">
        <f>IF('Employee Detail FY21'!G14="","",'Employee Detail FY21'!G14)</f>
        <v>0107</v>
      </c>
      <c r="H14" s="278"/>
      <c r="I14" s="3" t="str">
        <f>IF('Employee Detail FY21'!I14="","",'Employee Detail FY21'!I14)</f>
        <v>Garcia</v>
      </c>
      <c r="J14" s="3" t="str">
        <f>IF('Employee Detail FY21'!J14="","",'Employee Detail FY21'!J14)</f>
        <v>Vanessa</v>
      </c>
      <c r="K14" s="3" t="str">
        <f>IF('Employee Detail FY21'!K14="","",'Employee Detail FY21'!K14)</f>
        <v>Support Staff</v>
      </c>
      <c r="L14" s="3" t="str">
        <f>IF('Employee Detail FY21'!L14="","",'Employee Detail FY21'!L14)</f>
        <v>Registrar</v>
      </c>
      <c r="M14" s="3">
        <f>IF('Employee Detail FY21'!M14="","",'Employee Detail FY21'!M14)</f>
        <v>1</v>
      </c>
      <c r="N14" s="3" t="str">
        <f>IF('Employee Detail FY21'!N14="","",'Employee Detail FY21'!N14)</f>
        <v>H</v>
      </c>
      <c r="O14" s="3">
        <f>IF('Employee Detail FY21'!O14="","",'Employee Detail FY21'!O14)</f>
        <v>1</v>
      </c>
      <c r="P14" s="3" t="str">
        <f>IF('Employee Detail FY21'!P14="","",'Employee Detail FY21'!P14)</f>
        <v>EE</v>
      </c>
      <c r="Q14" s="3" t="str">
        <f>IF('Employee Detail FY21'!Q14="","",'Employee Detail FY21'!Q14)</f>
        <v/>
      </c>
      <c r="R14" s="3">
        <f>IF('Employee Detail FY21'!R14="","",'Employee Detail FY21'!R14)</f>
        <v>260</v>
      </c>
      <c r="S14" s="3">
        <f>IF('Employee Detail FY21'!S14="","",'Employee Detail FY21'!S14)</f>
        <v>8</v>
      </c>
      <c r="T14" s="263">
        <f t="shared" si="6"/>
        <v>2080</v>
      </c>
      <c r="U14" s="269">
        <f>IF('Employee Detail FY21'!U14="","",'Employee Detail FY21'!U14)</f>
        <v>43000</v>
      </c>
      <c r="V14" s="270">
        <f t="shared" si="7"/>
        <v>44290</v>
      </c>
      <c r="W14" s="270">
        <f t="shared" si="8"/>
        <v>50964.901610000001</v>
      </c>
      <c r="X14" s="270">
        <f t="shared" si="9"/>
        <v>50964.901610000001</v>
      </c>
      <c r="Y14" s="62">
        <v>0</v>
      </c>
      <c r="Z14" s="62">
        <v>0</v>
      </c>
      <c r="AA14" s="256">
        <f t="shared" si="10"/>
        <v>50964.901610000001</v>
      </c>
      <c r="AB14" s="3"/>
      <c r="AC14" s="62">
        <f>IF('Employee Detail FY21'!AC14="","",'Employee Detail FY21'!AC14)</f>
        <v>7943.76</v>
      </c>
      <c r="AD14" s="62" t="str">
        <f t="shared" si="1"/>
        <v/>
      </c>
      <c r="AE14" s="62">
        <f t="shared" si="2"/>
        <v>7899.5597495499997</v>
      </c>
      <c r="AF14" s="62">
        <f t="shared" si="3"/>
        <v>738.99107334500002</v>
      </c>
      <c r="AG14" s="192">
        <v>0</v>
      </c>
      <c r="AH14" s="62">
        <f t="shared" si="4"/>
        <v>463.89966410994447</v>
      </c>
      <c r="AI14" s="62">
        <f t="shared" si="5"/>
        <v>150.10176245997258</v>
      </c>
      <c r="AJ14" s="62"/>
      <c r="AK14" s="62">
        <v>0</v>
      </c>
      <c r="AL14" s="256">
        <f t="shared" si="11"/>
        <v>17196.312249464918</v>
      </c>
      <c r="AM14" s="256">
        <f t="shared" si="12"/>
        <v>50964.901610000001</v>
      </c>
      <c r="AN14" s="256">
        <f t="shared" si="13"/>
        <v>68161.213859464915</v>
      </c>
    </row>
    <row r="15" spans="1:16152" x14ac:dyDescent="0.2">
      <c r="A15" s="3" t="str">
        <f>IF('Employee Detail FY21'!A15="","",'Employee Detail FY21'!A15)</f>
        <v/>
      </c>
      <c r="B15" s="278" t="str">
        <f>IF('Employee Detail FY21'!B15="","",'Employee Detail FY21'!B15)</f>
        <v>100</v>
      </c>
      <c r="C15" s="278" t="str">
        <f>IF('Employee Detail FY21'!C15="","",'Employee Detail FY21'!C15)</f>
        <v>000</v>
      </c>
      <c r="D15" s="278"/>
      <c r="E15" s="278" t="str">
        <f>IF('Employee Detail FY21'!E15="","",'Employee Detail FY21'!E15)</f>
        <v>100</v>
      </c>
      <c r="F15" s="278">
        <f>IF('Employee Detail FY21'!F15="","",'Employee Detail FY21'!F15)</f>
        <v>1000</v>
      </c>
      <c r="G15" s="425" t="str">
        <f>IF('Employee Detail FY21'!G15="","",'Employee Detail FY21'!G15)</f>
        <v>0101</v>
      </c>
      <c r="H15" s="278"/>
      <c r="I15" s="3" t="str">
        <f>IF('Employee Detail FY21'!I15="","",'Employee Detail FY21'!I15)</f>
        <v>Grant</v>
      </c>
      <c r="J15" s="3" t="str">
        <f>IF('Employee Detail FY21'!J15="","",'Employee Detail FY21'!J15)</f>
        <v>Brien</v>
      </c>
      <c r="K15" s="3" t="str">
        <f>IF('Employee Detail FY21'!K15="","",'Employee Detail FY21'!K15)</f>
        <v>Licensed Support Staff</v>
      </c>
      <c r="L15" s="3" t="str">
        <f>IF('Employee Detail FY21'!L15="","",'Employee Detail FY21'!L15)</f>
        <v>Teacher</v>
      </c>
      <c r="M15" s="3">
        <f>IF('Employee Detail FY21'!M15="","",'Employee Detail FY21'!M15)</f>
        <v>0.75</v>
      </c>
      <c r="N15" s="3" t="str">
        <f>IF('Employee Detail FY21'!N15="","",'Employee Detail FY21'!N15)</f>
        <v>H</v>
      </c>
      <c r="O15" s="3">
        <f>IF('Employee Detail FY21'!O15="","",'Employee Detail FY21'!O15)</f>
        <v>1</v>
      </c>
      <c r="P15" s="3" t="str">
        <f>IF('Employee Detail FY21'!P15="","",'Employee Detail FY21'!P15)</f>
        <v>ER</v>
      </c>
      <c r="Q15" s="3">
        <f>IF('Employee Detail FY21'!Q15="","",'Employee Detail FY21'!Q15)</f>
        <v>25</v>
      </c>
      <c r="R15" s="3">
        <f>IF('Employee Detail FY21'!R15="","",'Employee Detail FY21'!R15)</f>
        <v>180</v>
      </c>
      <c r="S15" s="3">
        <f>IF('Employee Detail FY21'!S15="","",'Employee Detail FY21'!S15)</f>
        <v>5</v>
      </c>
      <c r="T15" s="263">
        <f t="shared" si="6"/>
        <v>900</v>
      </c>
      <c r="U15" s="269">
        <f>IF('Employee Detail FY21'!U15="","",'Employee Detail FY21'!U15)</f>
        <v>40725</v>
      </c>
      <c r="V15" s="270">
        <f t="shared" si="7"/>
        <v>41946.75</v>
      </c>
      <c r="W15" s="270" t="str">
        <f t="shared" si="8"/>
        <v/>
      </c>
      <c r="X15" s="270">
        <f t="shared" si="9"/>
        <v>41946.75</v>
      </c>
      <c r="Y15" s="62">
        <v>0</v>
      </c>
      <c r="Z15" s="62">
        <v>0</v>
      </c>
      <c r="AA15" s="256">
        <f t="shared" si="10"/>
        <v>41946.75</v>
      </c>
      <c r="AB15" s="3"/>
      <c r="AC15" s="62" t="str">
        <f>IF('Employee Detail FY21'!AC15="","",'Employee Detail FY21'!AC15)</f>
        <v/>
      </c>
      <c r="AD15" s="62" t="str">
        <f t="shared" si="1"/>
        <v/>
      </c>
      <c r="AE15" s="62">
        <f t="shared" si="2"/>
        <v>12374.29125</v>
      </c>
      <c r="AF15" s="62">
        <f t="shared" si="3"/>
        <v>608.22787500000004</v>
      </c>
      <c r="AG15" s="192">
        <v>0</v>
      </c>
      <c r="AH15" s="62">
        <f t="shared" si="4"/>
        <v>381.81341709263063</v>
      </c>
      <c r="AI15" s="62">
        <f t="shared" si="5"/>
        <v>123.54151397463779</v>
      </c>
      <c r="AJ15" s="62"/>
      <c r="AK15" s="62">
        <v>0</v>
      </c>
      <c r="AL15" s="256">
        <f t="shared" si="11"/>
        <v>13487.87405606727</v>
      </c>
      <c r="AM15" s="256">
        <f t="shared" si="12"/>
        <v>41946.75</v>
      </c>
      <c r="AN15" s="256">
        <f t="shared" si="13"/>
        <v>55434.624056067274</v>
      </c>
    </row>
    <row r="16" spans="1:16152" x14ac:dyDescent="0.2">
      <c r="A16" s="3" t="str">
        <f>IF('Employee Detail FY21'!A16="","",'Employee Detail FY21'!A16)</f>
        <v/>
      </c>
      <c r="B16" s="278">
        <f>IF('Employee Detail FY21'!B16="","",'Employee Detail FY21'!B16)</f>
        <v>100</v>
      </c>
      <c r="C16" s="278" t="str">
        <f>IF('Employee Detail FY21'!C16="","",'Employee Detail FY21'!C16)</f>
        <v>000</v>
      </c>
      <c r="D16" s="278"/>
      <c r="E16" s="278">
        <f>IF('Employee Detail FY21'!E16="","",'Employee Detail FY21'!E16)</f>
        <v>100</v>
      </c>
      <c r="F16" s="278">
        <f>IF('Employee Detail FY21'!F16="","",'Employee Detail FY21'!F16)</f>
        <v>2212</v>
      </c>
      <c r="G16" s="278" t="str">
        <f>IF('Employee Detail FY21'!G16="","",'Employee Detail FY21'!G16)</f>
        <v>0107</v>
      </c>
      <c r="H16" s="278"/>
      <c r="I16" s="3" t="str">
        <f>IF('Employee Detail FY21'!I16="","",'Employee Detail FY21'!I16)</f>
        <v>Hernandez</v>
      </c>
      <c r="J16" s="3" t="str">
        <f>IF('Employee Detail FY21'!J16="","",'Employee Detail FY21'!J16)</f>
        <v>Brisselle</v>
      </c>
      <c r="K16" s="3" t="str">
        <f>IF('Employee Detail FY21'!K16="","",'Employee Detail FY21'!K16)</f>
        <v>Support Staff</v>
      </c>
      <c r="L16" s="3" t="str">
        <f>IF('Employee Detail FY21'!L16="","",'Employee Detail FY21'!L16)</f>
        <v>Instructional Designer</v>
      </c>
      <c r="M16" s="3">
        <f>IF('Employee Detail FY21'!M16="","",'Employee Detail FY21'!M16)</f>
        <v>1</v>
      </c>
      <c r="N16" s="3" t="str">
        <f>IF('Employee Detail FY21'!N16="","",'Employee Detail FY21'!N16)</f>
        <v/>
      </c>
      <c r="O16" s="3">
        <f>IF('Employee Detail FY21'!O16="","",'Employee Detail FY21'!O16)</f>
        <v>1</v>
      </c>
      <c r="P16" s="3" t="str">
        <f>IF('Employee Detail FY21'!P16="","",'Employee Detail FY21'!P16)</f>
        <v>EE</v>
      </c>
      <c r="Q16" s="3">
        <f>IF('Employee Detail FY21'!Q16="","",'Employee Detail FY21'!Q16)</f>
        <v>20</v>
      </c>
      <c r="R16" s="3">
        <f>IF('Employee Detail FY21'!R16="","",'Employee Detail FY21'!R16)</f>
        <v>180</v>
      </c>
      <c r="S16" s="3">
        <f>IF('Employee Detail FY21'!S16="","",'Employee Detail FY21'!S16)</f>
        <v>4.5</v>
      </c>
      <c r="T16" s="263">
        <f t="shared" si="6"/>
        <v>810</v>
      </c>
      <c r="U16" s="269">
        <f>IF('Employee Detail FY21'!U16="","",'Employee Detail FY21'!U16)</f>
        <v>42600</v>
      </c>
      <c r="V16" s="270">
        <f t="shared" si="7"/>
        <v>43878</v>
      </c>
      <c r="W16" s="270">
        <f t="shared" si="8"/>
        <v>50490.809501999996</v>
      </c>
      <c r="X16" s="270">
        <f t="shared" si="9"/>
        <v>50490.809501999996</v>
      </c>
      <c r="Y16" s="62">
        <v>0</v>
      </c>
      <c r="Z16" s="62">
        <v>0</v>
      </c>
      <c r="AA16" s="256">
        <f t="shared" si="10"/>
        <v>50490.809501999996</v>
      </c>
      <c r="AB16" s="3"/>
      <c r="AC16" s="62">
        <f>IF('Employee Detail FY21'!AC16="","",'Employee Detail FY21'!AC16)</f>
        <v>7943.76</v>
      </c>
      <c r="AD16" s="62" t="str">
        <f t="shared" si="1"/>
        <v/>
      </c>
      <c r="AE16" s="62">
        <f t="shared" si="2"/>
        <v>7826.0754728099992</v>
      </c>
      <c r="AF16" s="62">
        <f t="shared" si="3"/>
        <v>732.116737779</v>
      </c>
      <c r="AG16" s="192">
        <v>0</v>
      </c>
      <c r="AH16" s="62">
        <f t="shared" si="4"/>
        <v>459.58431839729377</v>
      </c>
      <c r="AI16" s="62">
        <f t="shared" si="5"/>
        <v>148.70546699522865</v>
      </c>
      <c r="AJ16" s="62"/>
      <c r="AK16" s="62">
        <v>0</v>
      </c>
      <c r="AL16" s="256">
        <f t="shared" si="11"/>
        <v>17110.241995981523</v>
      </c>
      <c r="AM16" s="256">
        <f t="shared" si="12"/>
        <v>50490.809501999996</v>
      </c>
      <c r="AN16" s="256">
        <f t="shared" si="13"/>
        <v>67601.05149798152</v>
      </c>
    </row>
    <row r="17" spans="1:40" x14ac:dyDescent="0.2">
      <c r="A17" s="3" t="str">
        <f>IF('Employee Detail FY21'!A17="","",'Employee Detail FY21'!A17)</f>
        <v/>
      </c>
      <c r="B17" s="278" t="str">
        <f>IF('Employee Detail FY21'!B17="","",'Employee Detail FY21'!B17)</f>
        <v>280</v>
      </c>
      <c r="C17" s="278" t="str">
        <f>IF('Employee Detail FY21'!C17="","",'Employee Detail FY21'!C17)</f>
        <v>624</v>
      </c>
      <c r="D17" s="278"/>
      <c r="E17" s="278" t="str">
        <f>IF('Employee Detail FY21'!E17="","",'Employee Detail FY21'!E17)</f>
        <v>430</v>
      </c>
      <c r="F17" s="278" t="str">
        <f>IF('Employee Detail FY21'!F17="","",'Employee Detail FY21'!F17)</f>
        <v>2210</v>
      </c>
      <c r="G17" s="425" t="str">
        <f>IF('Employee Detail FY21'!G17="","",'Employee Detail FY21'!G17)</f>
        <v>0101</v>
      </c>
      <c r="H17" s="278"/>
      <c r="I17" s="3" t="str">
        <f>IF('Employee Detail FY21'!I17="","",'Employee Detail FY21'!I17)</f>
        <v>Hunt</v>
      </c>
      <c r="J17" s="3" t="str">
        <f>IF('Employee Detail FY21'!J17="","",'Employee Detail FY21'!J17)</f>
        <v>Kathryn</v>
      </c>
      <c r="K17" s="3" t="str">
        <f>IF('Employee Detail FY21'!K17="","",'Employee Detail FY21'!K17)</f>
        <v>Licensed Support Staff</v>
      </c>
      <c r="L17" s="3" t="str">
        <f>IF('Employee Detail FY21'!L17="","",'Employee Detail FY21'!L17)</f>
        <v>Literacy &amp; Data Facilitator, Instructional Facilitator</v>
      </c>
      <c r="M17" s="3">
        <f>IF('Employee Detail FY21'!M17="","",'Employee Detail FY21'!M17)</f>
        <v>0.96153844935706601</v>
      </c>
      <c r="N17" s="3" t="str">
        <f>IF('Employee Detail FY21'!N17="","",'Employee Detail FY21'!N17)</f>
        <v>S</v>
      </c>
      <c r="O17" s="3">
        <f>IF('Employee Detail FY21'!O17="","",'Employee Detail FY21'!O17)</f>
        <v>1</v>
      </c>
      <c r="P17" s="3" t="str">
        <f>IF('Employee Detail FY21'!P17="","",'Employee Detail FY21'!P17)</f>
        <v>ER</v>
      </c>
      <c r="Q17" s="3" t="str">
        <f>IF('Employee Detail FY21'!Q17="","",'Employee Detail FY21'!Q17)</f>
        <v/>
      </c>
      <c r="R17" s="3">
        <f>IF('Employee Detail FY21'!R17="","",'Employee Detail FY21'!R17)</f>
        <v>260</v>
      </c>
      <c r="S17" s="3">
        <f>IF('Employee Detail FY21'!S17="","",'Employee Detail FY21'!S17)</f>
        <v>8</v>
      </c>
      <c r="T17" s="263">
        <f t="shared" si="6"/>
        <v>2080</v>
      </c>
      <c r="U17" s="269">
        <f>IF('Employee Detail FY21'!U17="","",'Employee Detail FY21'!U17)</f>
        <v>63148</v>
      </c>
      <c r="V17" s="270">
        <f t="shared" si="7"/>
        <v>65042.44</v>
      </c>
      <c r="W17" s="270" t="str">
        <f t="shared" si="8"/>
        <v/>
      </c>
      <c r="X17" s="270">
        <f t="shared" si="9"/>
        <v>65042.44</v>
      </c>
      <c r="Y17" s="62">
        <v>0</v>
      </c>
      <c r="Z17" s="62">
        <v>0</v>
      </c>
      <c r="AA17" s="256">
        <f t="shared" si="10"/>
        <v>65042.44</v>
      </c>
      <c r="AB17" s="3"/>
      <c r="AC17" s="62" t="str">
        <f>IF('Employee Detail FY21'!AC17="","",'Employee Detail FY21'!AC17)</f>
        <v/>
      </c>
      <c r="AD17" s="62" t="str">
        <f t="shared" si="1"/>
        <v/>
      </c>
      <c r="AE17" s="62">
        <f t="shared" si="2"/>
        <v>19187.519799999998</v>
      </c>
      <c r="AF17" s="62">
        <f t="shared" si="3"/>
        <v>943.11538000000007</v>
      </c>
      <c r="AG17" s="192">
        <v>0</v>
      </c>
      <c r="AH17" s="62">
        <f t="shared" si="4"/>
        <v>592.03815009368793</v>
      </c>
      <c r="AI17" s="62">
        <f t="shared" si="5"/>
        <v>191.56291036145925</v>
      </c>
      <c r="AJ17" s="62"/>
      <c r="AK17" s="62">
        <v>0</v>
      </c>
      <c r="AL17" s="256">
        <f t="shared" si="11"/>
        <v>20914.236240455146</v>
      </c>
      <c r="AM17" s="256">
        <f t="shared" si="12"/>
        <v>65042.44</v>
      </c>
      <c r="AN17" s="256">
        <f t="shared" si="13"/>
        <v>85956.676240455155</v>
      </c>
    </row>
    <row r="18" spans="1:40" x14ac:dyDescent="0.2">
      <c r="A18" s="3" t="str">
        <f>IF('Employee Detail FY21'!A18="","",'Employee Detail FY21'!A18)</f>
        <v/>
      </c>
      <c r="B18" s="278">
        <f>IF('Employee Detail FY21'!B18="","",'Employee Detail FY21'!B18)</f>
        <v>280</v>
      </c>
      <c r="C18" s="278">
        <f>IF('Employee Detail FY21'!C18="","",'Employee Detail FY21'!C18)</f>
        <v>639</v>
      </c>
      <c r="D18" s="278"/>
      <c r="E18" s="278">
        <f>IF('Employee Detail FY21'!E18="","",'Employee Detail FY21'!E18)</f>
        <v>200</v>
      </c>
      <c r="F18" s="278">
        <f>IF('Employee Detail FY21'!F18="","",'Employee Detail FY21'!F18)</f>
        <v>1000</v>
      </c>
      <c r="G18" s="425" t="str">
        <f>IF('Employee Detail FY21'!G18="","",'Employee Detail FY21'!G18)</f>
        <v>0101</v>
      </c>
      <c r="H18" s="278"/>
      <c r="I18" s="3" t="str">
        <f>IF('Employee Detail FY21'!I18="","",'Employee Detail FY21'!I18)</f>
        <v>Johnson</v>
      </c>
      <c r="J18" s="3" t="str">
        <f>IF('Employee Detail FY21'!J18="","",'Employee Detail FY21'!J18)</f>
        <v>Kevin</v>
      </c>
      <c r="K18" s="3" t="str">
        <f>IF('Employee Detail FY21'!K18="","",'Employee Detail FY21'!K18)</f>
        <v>Licensed Staff</v>
      </c>
      <c r="L18" s="3" t="str">
        <f>IF('Employee Detail FY21'!L18="","",'Employee Detail FY21'!L18)</f>
        <v>SPED Teacher</v>
      </c>
      <c r="M18" s="3">
        <f>IF('Employee Detail FY21'!M18="","",'Employee Detail FY21'!M18)</f>
        <v>1</v>
      </c>
      <c r="N18" s="3" t="str">
        <f>IF('Employee Detail FY21'!N18="","",'Employee Detail FY21'!N18)</f>
        <v/>
      </c>
      <c r="O18" s="3">
        <f>IF('Employee Detail FY21'!O18="","",'Employee Detail FY21'!O18)</f>
        <v>1</v>
      </c>
      <c r="P18" s="3" t="str">
        <f>IF('Employee Detail FY21'!P18="","",'Employee Detail FY21'!P18)</f>
        <v>ER</v>
      </c>
      <c r="Q18" s="3" t="str">
        <f>IF('Employee Detail FY21'!Q18="","",'Employee Detail FY21'!Q18)</f>
        <v/>
      </c>
      <c r="R18" s="3">
        <f>IF('Employee Detail FY21'!R18="","",'Employee Detail FY21'!R18)</f>
        <v>191</v>
      </c>
      <c r="S18" s="3">
        <f>IF('Employee Detail FY21'!S18="","",'Employee Detail FY21'!S18)</f>
        <v>8</v>
      </c>
      <c r="T18" s="263">
        <f t="shared" si="6"/>
        <v>1528</v>
      </c>
      <c r="U18" s="269">
        <f>IF('Employee Detail FY21'!U18="","",'Employee Detail FY21'!U18)</f>
        <v>49792</v>
      </c>
      <c r="V18" s="270">
        <f t="shared" si="7"/>
        <v>51285.760000000002</v>
      </c>
      <c r="W18" s="270" t="str">
        <f t="shared" si="8"/>
        <v/>
      </c>
      <c r="X18" s="270">
        <f t="shared" si="9"/>
        <v>51285.760000000002</v>
      </c>
      <c r="Y18" s="62">
        <v>0</v>
      </c>
      <c r="Z18" s="62">
        <v>0</v>
      </c>
      <c r="AA18" s="256">
        <f t="shared" si="10"/>
        <v>51285.760000000002</v>
      </c>
      <c r="AB18" s="3"/>
      <c r="AC18" s="62">
        <f>IF('Employee Detail FY21'!AC18="","",'Employee Detail FY21'!AC18)</f>
        <v>7943.76</v>
      </c>
      <c r="AD18" s="62" t="str">
        <f t="shared" si="1"/>
        <v/>
      </c>
      <c r="AE18" s="62">
        <f t="shared" si="2"/>
        <v>15129.299199999999</v>
      </c>
      <c r="AF18" s="62">
        <f t="shared" si="3"/>
        <v>743.64352000000008</v>
      </c>
      <c r="AG18" s="192">
        <v>0</v>
      </c>
      <c r="AH18" s="62">
        <f t="shared" si="4"/>
        <v>466.82022501844727</v>
      </c>
      <c r="AI18" s="62">
        <f t="shared" si="5"/>
        <v>151.04675417618577</v>
      </c>
      <c r="AJ18" s="62"/>
      <c r="AK18" s="62">
        <v>0</v>
      </c>
      <c r="AL18" s="256">
        <f t="shared" si="11"/>
        <v>24434.569699194635</v>
      </c>
      <c r="AM18" s="256">
        <f t="shared" si="12"/>
        <v>51285.760000000002</v>
      </c>
      <c r="AN18" s="256">
        <f t="shared" si="13"/>
        <v>75720.329699194641</v>
      </c>
    </row>
    <row r="19" spans="1:40" x14ac:dyDescent="0.2">
      <c r="A19" s="3" t="str">
        <f>IF('Employee Detail FY21'!A19="","",'Employee Detail FY21'!A19)</f>
        <v/>
      </c>
      <c r="B19" s="278" t="str">
        <f>IF('Employee Detail FY21'!B19="","",'Employee Detail FY21'!B19)</f>
        <v>100</v>
      </c>
      <c r="C19" s="278" t="str">
        <f>IF('Employee Detail FY21'!C19="","",'Employee Detail FY21'!C19)</f>
        <v>000</v>
      </c>
      <c r="D19" s="278"/>
      <c r="E19" s="278" t="str">
        <f>IF('Employee Detail FY21'!E19="","",'Employee Detail FY21'!E19)</f>
        <v>100</v>
      </c>
      <c r="F19" s="278" t="str">
        <f>IF('Employee Detail FY21'!F19="","",'Employee Detail FY21'!F19)</f>
        <v>2110</v>
      </c>
      <c r="G19" s="425" t="str">
        <f>IF('Employee Detail FY21'!G19="","",'Employee Detail FY21'!G19)</f>
        <v>0106</v>
      </c>
      <c r="H19" s="278"/>
      <c r="I19" s="3" t="str">
        <f>IF('Employee Detail FY21'!I19="","",'Employee Detail FY21'!I19)</f>
        <v>Kays</v>
      </c>
      <c r="J19" s="3" t="str">
        <f>IF('Employee Detail FY21'!J19="","",'Employee Detail FY21'!J19)</f>
        <v>Jill</v>
      </c>
      <c r="K19" s="3" t="str">
        <f>IF('Employee Detail FY21'!K19="","",'Employee Detail FY21'!K19)</f>
        <v>Licensed Staff</v>
      </c>
      <c r="L19" s="3" t="str">
        <f>IF('Employee Detail FY21'!L19="","",'Employee Detail FY21'!L19)</f>
        <v>Social Worker</v>
      </c>
      <c r="M19" s="3">
        <f>IF('Employee Detail FY21'!M19="","",'Employee Detail FY21'!M19)</f>
        <v>1</v>
      </c>
      <c r="N19" s="3" t="str">
        <f>IF('Employee Detail FY21'!N19="","",'Employee Detail FY21'!N19)</f>
        <v/>
      </c>
      <c r="O19" s="3">
        <f>IF('Employee Detail FY21'!O19="","",'Employee Detail FY21'!O19)</f>
        <v>1</v>
      </c>
      <c r="P19" s="3" t="str">
        <f>IF('Employee Detail FY21'!P19="","",'Employee Detail FY21'!P19)</f>
        <v>ER</v>
      </c>
      <c r="Q19" s="3" t="str">
        <f>IF('Employee Detail FY21'!Q19="","",'Employee Detail FY21'!Q19)</f>
        <v/>
      </c>
      <c r="R19" s="3">
        <f>IF('Employee Detail FY21'!R19="","",'Employee Detail FY21'!R19)</f>
        <v>180</v>
      </c>
      <c r="S19" s="3">
        <f>IF('Employee Detail FY21'!S19="","",'Employee Detail FY21'!S19)</f>
        <v>8</v>
      </c>
      <c r="T19" s="263">
        <f t="shared" si="6"/>
        <v>1440</v>
      </c>
      <c r="U19" s="269">
        <f>IF('Employee Detail FY21'!U19="","",'Employee Detail FY21'!U19)</f>
        <v>50788</v>
      </c>
      <c r="V19" s="270">
        <f t="shared" si="7"/>
        <v>52311.64</v>
      </c>
      <c r="W19" s="270" t="str">
        <f t="shared" si="8"/>
        <v/>
      </c>
      <c r="X19" s="270">
        <f t="shared" si="9"/>
        <v>52311.64</v>
      </c>
      <c r="Y19" s="62">
        <v>0</v>
      </c>
      <c r="Z19" s="62">
        <v>0</v>
      </c>
      <c r="AA19" s="256">
        <f t="shared" si="10"/>
        <v>52311.64</v>
      </c>
      <c r="AB19" s="3"/>
      <c r="AC19" s="62">
        <f>IF('Employee Detail FY21'!AC19="","",'Employee Detail FY21'!AC19)</f>
        <v>7943.76</v>
      </c>
      <c r="AD19" s="62" t="str">
        <f t="shared" si="1"/>
        <v/>
      </c>
      <c r="AE19" s="62">
        <f t="shared" si="2"/>
        <v>15431.933799999999</v>
      </c>
      <c r="AF19" s="62">
        <f t="shared" si="3"/>
        <v>758.51877999999999</v>
      </c>
      <c r="AG19" s="192">
        <v>0</v>
      </c>
      <c r="AH19" s="62">
        <f t="shared" si="4"/>
        <v>476.15812958380661</v>
      </c>
      <c r="AI19" s="62">
        <f t="shared" si="5"/>
        <v>154.06817462845683</v>
      </c>
      <c r="AJ19" s="62"/>
      <c r="AK19" s="62">
        <v>0</v>
      </c>
      <c r="AL19" s="256">
        <f t="shared" si="11"/>
        <v>24764.438884212264</v>
      </c>
      <c r="AM19" s="256">
        <f t="shared" si="12"/>
        <v>52311.64</v>
      </c>
      <c r="AN19" s="256">
        <f t="shared" si="13"/>
        <v>77076.078884212271</v>
      </c>
    </row>
    <row r="20" spans="1:40" x14ac:dyDescent="0.2">
      <c r="A20" s="3" t="str">
        <f>IF('Employee Detail FY21'!A20="","",'Employee Detail FY21'!A20)</f>
        <v/>
      </c>
      <c r="B20" s="278" t="str">
        <f>IF('Employee Detail FY21'!B20="","",'Employee Detail FY21'!B20)</f>
        <v>250</v>
      </c>
      <c r="C20" s="278" t="str">
        <f>IF('Employee Detail FY21'!C20="","",'Employee Detail FY21'!C20)</f>
        <v>205</v>
      </c>
      <c r="D20" s="278"/>
      <c r="E20" s="278" t="str">
        <f>IF('Employee Detail FY21'!E20="","",'Employee Detail FY21'!E20)</f>
        <v>200</v>
      </c>
      <c r="F20" s="278">
        <f>IF('Employee Detail FY21'!F20="","",'Employee Detail FY21'!F20)</f>
        <v>2130</v>
      </c>
      <c r="G20" s="425" t="str">
        <f>IF('Employee Detail FY21'!G20="","",'Employee Detail FY21'!G20)</f>
        <v>0106</v>
      </c>
      <c r="H20" s="278"/>
      <c r="I20" s="3" t="str">
        <f>IF('Employee Detail FY21'!I20="","",'Employee Detail FY21'!I20)</f>
        <v>LAGRUTTA</v>
      </c>
      <c r="J20" s="3" t="str">
        <f>IF('Employee Detail FY21'!J20="","",'Employee Detail FY21'!J20)</f>
        <v>JUDY</v>
      </c>
      <c r="K20" s="3" t="str">
        <f>IF('Employee Detail FY21'!K20="","",'Employee Detail FY21'!K20)</f>
        <v>Licensed Support Staff</v>
      </c>
      <c r="L20" s="3" t="str">
        <f>IF('Employee Detail FY21'!L20="","",'Employee Detail FY21'!L20)</f>
        <v>NURSE</v>
      </c>
      <c r="M20" s="3">
        <f>IF('Employee Detail FY21'!M20="","",'Employee Detail FY21'!M20)</f>
        <v>0.5</v>
      </c>
      <c r="N20" s="3" t="str">
        <f>IF('Employee Detail FY21'!N20="","",'Employee Detail FY21'!N20)</f>
        <v/>
      </c>
      <c r="O20" s="3">
        <f>IF('Employee Detail FY21'!O20="","",'Employee Detail FY21'!O20)</f>
        <v>1</v>
      </c>
      <c r="P20" s="3" t="str">
        <f>IF('Employee Detail FY21'!P20="","",'Employee Detail FY21'!P20)</f>
        <v>N</v>
      </c>
      <c r="Q20" s="3" t="str">
        <f>IF('Employee Detail FY21'!Q20="","",'Employee Detail FY21'!Q20)</f>
        <v/>
      </c>
      <c r="R20" s="3" t="str">
        <f>IF('Employee Detail FY21'!R20="","",'Employee Detail FY21'!R20)</f>
        <v/>
      </c>
      <c r="S20" s="3" t="str">
        <f>IF('Employee Detail FY21'!S20="","",'Employee Detail FY21'!S20)</f>
        <v/>
      </c>
      <c r="T20" s="263" t="str">
        <f t="shared" si="6"/>
        <v/>
      </c>
      <c r="U20" s="269">
        <f>IF('Employee Detail FY21'!U20="","",'Employee Detail FY21'!U20)</f>
        <v>15000</v>
      </c>
      <c r="V20" s="270">
        <f t="shared" si="7"/>
        <v>15450</v>
      </c>
      <c r="W20" s="270" t="str">
        <f t="shared" si="8"/>
        <v/>
      </c>
      <c r="X20" s="270">
        <f t="shared" si="9"/>
        <v>15450</v>
      </c>
      <c r="Y20" s="62">
        <v>0</v>
      </c>
      <c r="Z20" s="62">
        <v>0</v>
      </c>
      <c r="AA20" s="256">
        <f t="shared" si="10"/>
        <v>15450</v>
      </c>
      <c r="AB20" s="3"/>
      <c r="AC20" s="62" t="str">
        <f>IF('Employee Detail FY21'!AC20="","",'Employee Detail FY21'!AC20)</f>
        <v/>
      </c>
      <c r="AD20" s="62">
        <f t="shared" si="1"/>
        <v>957.9</v>
      </c>
      <c r="AE20" s="62" t="str">
        <f t="shared" si="2"/>
        <v/>
      </c>
      <c r="AF20" s="62">
        <f t="shared" si="3"/>
        <v>224.02500000000001</v>
      </c>
      <c r="AG20" s="192">
        <v>0</v>
      </c>
      <c r="AH20" s="62">
        <f t="shared" si="4"/>
        <v>140.63109285179766</v>
      </c>
      <c r="AI20" s="62">
        <f t="shared" si="5"/>
        <v>45.503320064323312</v>
      </c>
      <c r="AJ20" s="62"/>
      <c r="AK20" s="62">
        <v>0</v>
      </c>
      <c r="AL20" s="256">
        <f t="shared" si="11"/>
        <v>1368.0594129161209</v>
      </c>
      <c r="AM20" s="256">
        <f t="shared" si="12"/>
        <v>15450</v>
      </c>
      <c r="AN20" s="256">
        <f t="shared" si="13"/>
        <v>16818.059412916122</v>
      </c>
    </row>
    <row r="21" spans="1:40" x14ac:dyDescent="0.2">
      <c r="A21" s="3" t="str">
        <f>IF('Employee Detail FY21'!A21="","",'Employee Detail FY21'!A21)</f>
        <v/>
      </c>
      <c r="B21" s="278">
        <f>IF('Employee Detail FY21'!B21="","",'Employee Detail FY21'!B21)</f>
        <v>250</v>
      </c>
      <c r="C21" s="278" t="str">
        <f>IF('Employee Detail FY21'!C21="","",'Employee Detail FY21'!C21)</f>
        <v>000</v>
      </c>
      <c r="D21" s="278"/>
      <c r="E21" s="278">
        <f>IF('Employee Detail FY21'!E21="","",'Employee Detail FY21'!E21)</f>
        <v>200</v>
      </c>
      <c r="F21" s="278">
        <f>IF('Employee Detail FY21'!F21="","",'Employee Detail FY21'!F21)</f>
        <v>1000</v>
      </c>
      <c r="G21" s="425" t="str">
        <f>IF('Employee Detail FY21'!G21="","",'Employee Detail FY21'!G21)</f>
        <v>0101</v>
      </c>
      <c r="H21" s="278"/>
      <c r="I21" s="3" t="str">
        <f>IF('Employee Detail FY21'!I21="","",'Employee Detail FY21'!I21)</f>
        <v>Miner-James</v>
      </c>
      <c r="J21" s="3" t="str">
        <f>IF('Employee Detail FY21'!J21="","",'Employee Detail FY21'!J21)</f>
        <v>Diane</v>
      </c>
      <c r="K21" s="3" t="str">
        <f>IF('Employee Detail FY21'!K21="","",'Employee Detail FY21'!K21)</f>
        <v>Licensed Staff</v>
      </c>
      <c r="L21" s="3" t="str">
        <f>IF('Employee Detail FY21'!L21="","",'Employee Detail FY21'!L21)</f>
        <v>SPED Teacher</v>
      </c>
      <c r="M21" s="3">
        <f>IF('Employee Detail FY21'!M21="","",'Employee Detail FY21'!M21)</f>
        <v>1</v>
      </c>
      <c r="N21" s="3" t="str">
        <f>IF('Employee Detail FY21'!N21="","",'Employee Detail FY21'!N21)</f>
        <v/>
      </c>
      <c r="O21" s="3">
        <f>IF('Employee Detail FY21'!O21="","",'Employee Detail FY21'!O21)</f>
        <v>1</v>
      </c>
      <c r="P21" s="3" t="str">
        <f>IF('Employee Detail FY21'!P21="","",'Employee Detail FY21'!P21)</f>
        <v>ER</v>
      </c>
      <c r="Q21" s="3" t="str">
        <f>IF('Employee Detail FY21'!Q21="","",'Employee Detail FY21'!Q21)</f>
        <v/>
      </c>
      <c r="R21" s="3">
        <f>IF('Employee Detail FY21'!R21="","",'Employee Detail FY21'!R21)</f>
        <v>196</v>
      </c>
      <c r="S21" s="3">
        <f>IF('Employee Detail FY21'!S21="","",'Employee Detail FY21'!S21)</f>
        <v>8</v>
      </c>
      <c r="T21" s="263">
        <f t="shared" si="6"/>
        <v>1568</v>
      </c>
      <c r="U21" s="269">
        <f>IF('Employee Detail FY21'!U21="","",'Employee Detail FY21'!U21)</f>
        <v>58339</v>
      </c>
      <c r="V21" s="270">
        <f t="shared" si="7"/>
        <v>60089.17</v>
      </c>
      <c r="W21" s="270" t="str">
        <f t="shared" si="8"/>
        <v/>
      </c>
      <c r="X21" s="270">
        <f t="shared" si="9"/>
        <v>60089.17</v>
      </c>
      <c r="Y21" s="62">
        <v>0</v>
      </c>
      <c r="Z21" s="62">
        <v>0</v>
      </c>
      <c r="AA21" s="256">
        <f t="shared" si="10"/>
        <v>60089.17</v>
      </c>
      <c r="AB21" s="3"/>
      <c r="AC21" s="62">
        <f>IF('Employee Detail FY21'!AC21="","",'Employee Detail FY21'!AC21)</f>
        <v>7943.76</v>
      </c>
      <c r="AD21" s="62" t="str">
        <f t="shared" si="1"/>
        <v/>
      </c>
      <c r="AE21" s="62">
        <f t="shared" si="2"/>
        <v>17726.30515</v>
      </c>
      <c r="AF21" s="62">
        <f t="shared" si="3"/>
        <v>871.29296499999998</v>
      </c>
      <c r="AG21" s="192">
        <v>0</v>
      </c>
      <c r="AH21" s="62">
        <f t="shared" si="4"/>
        <v>546.95182172540149</v>
      </c>
      <c r="AI21" s="62">
        <f t="shared" si="5"/>
        <v>176.97454594883718</v>
      </c>
      <c r="AJ21" s="62"/>
      <c r="AK21" s="62">
        <v>0</v>
      </c>
      <c r="AL21" s="256">
        <f t="shared" si="11"/>
        <v>27265.28448267424</v>
      </c>
      <c r="AM21" s="256">
        <f t="shared" si="12"/>
        <v>60089.17</v>
      </c>
      <c r="AN21" s="256">
        <f t="shared" si="13"/>
        <v>87354.454482674235</v>
      </c>
    </row>
    <row r="22" spans="1:40" x14ac:dyDescent="0.2">
      <c r="A22" s="3" t="str">
        <f>IF('Employee Detail FY21'!A22="","",'Employee Detail FY21'!A22)</f>
        <v/>
      </c>
      <c r="B22" s="278">
        <f>IF('Employee Detail FY21'!B22="","",'Employee Detail FY21'!B22)</f>
        <v>250</v>
      </c>
      <c r="C22" s="278" t="str">
        <f>IF('Employee Detail FY21'!C22="","",'Employee Detail FY21'!C22)</f>
        <v>205</v>
      </c>
      <c r="D22" s="278"/>
      <c r="E22" s="278">
        <f>IF('Employee Detail FY21'!E22="","",'Employee Detail FY21'!E22)</f>
        <v>200</v>
      </c>
      <c r="F22" s="278">
        <f>IF('Employee Detail FY21'!F22="","",'Employee Detail FY21'!F22)</f>
        <v>2140</v>
      </c>
      <c r="G22" s="425" t="str">
        <f>IF('Employee Detail FY21'!G22="","",'Employee Detail FY21'!G22)</f>
        <v>0106</v>
      </c>
      <c r="H22" s="278"/>
      <c r="I22" s="3" t="str">
        <f>IF('Employee Detail FY21'!I22="","",'Employee Detail FY21'!I22)</f>
        <v>Nash</v>
      </c>
      <c r="J22" s="3" t="str">
        <f>IF('Employee Detail FY21'!J22="","",'Employee Detail FY21'!J22)</f>
        <v>Mala</v>
      </c>
      <c r="K22" s="3" t="str">
        <f>IF('Employee Detail FY21'!K22="","",'Employee Detail FY21'!K22)</f>
        <v>Licensed Support Staff</v>
      </c>
      <c r="L22" s="3" t="str">
        <f>IF('Employee Detail FY21'!L22="","",'Employee Detail FY21'!L22)</f>
        <v>PSYCHOLOGIST</v>
      </c>
      <c r="M22" s="3">
        <f>IF('Employee Detail FY21'!M22="","",'Employee Detail FY21'!M22)</f>
        <v>0.81</v>
      </c>
      <c r="N22" s="3" t="str">
        <f>IF('Employee Detail FY21'!N22="","",'Employee Detail FY21'!N22)</f>
        <v/>
      </c>
      <c r="O22" s="3">
        <f>IF('Employee Detail FY21'!O22="","",'Employee Detail FY21'!O22)</f>
        <v>1</v>
      </c>
      <c r="P22" s="3" t="str">
        <f>IF('Employee Detail FY21'!P22="","",'Employee Detail FY21'!P22)</f>
        <v>ER</v>
      </c>
      <c r="Q22" s="3" t="str">
        <f>IF('Employee Detail FY21'!Q22="","",'Employee Detail FY21'!Q22)</f>
        <v/>
      </c>
      <c r="R22" s="3" t="str">
        <f>IF('Employee Detail FY21'!R22="","",'Employee Detail FY21'!R22)</f>
        <v/>
      </c>
      <c r="S22" s="3" t="str">
        <f>IF('Employee Detail FY21'!S22="","",'Employee Detail FY21'!S22)</f>
        <v/>
      </c>
      <c r="T22" s="263" t="str">
        <f t="shared" si="6"/>
        <v/>
      </c>
      <c r="U22" s="269">
        <f>IF('Employee Detail FY21'!U22="","",'Employee Detail FY21'!U22)</f>
        <v>72768.800000000003</v>
      </c>
      <c r="V22" s="270">
        <f t="shared" si="7"/>
        <v>74951.864000000001</v>
      </c>
      <c r="W22" s="270" t="str">
        <f t="shared" si="8"/>
        <v/>
      </c>
      <c r="X22" s="270">
        <f t="shared" si="9"/>
        <v>74951.864000000001</v>
      </c>
      <c r="Y22" s="62">
        <v>0</v>
      </c>
      <c r="Z22" s="62">
        <v>0</v>
      </c>
      <c r="AA22" s="256">
        <f t="shared" si="10"/>
        <v>74951.864000000001</v>
      </c>
      <c r="AB22" s="3"/>
      <c r="AC22" s="62" t="str">
        <f>IF('Employee Detail FY21'!AC22="","",'Employee Detail FY21'!AC22)</f>
        <v/>
      </c>
      <c r="AD22" s="62" t="str">
        <f t="shared" si="1"/>
        <v/>
      </c>
      <c r="AE22" s="62">
        <f t="shared" si="2"/>
        <v>22110.799879999999</v>
      </c>
      <c r="AF22" s="62">
        <f t="shared" si="3"/>
        <v>1086.8020280000001</v>
      </c>
      <c r="AG22" s="192">
        <v>0</v>
      </c>
      <c r="AH22" s="62">
        <f t="shared" si="4"/>
        <v>682.23705796759282</v>
      </c>
      <c r="AI22" s="62">
        <f t="shared" si="5"/>
        <v>220.74813313978203</v>
      </c>
      <c r="AJ22" s="62"/>
      <c r="AK22" s="62">
        <v>0</v>
      </c>
      <c r="AL22" s="256">
        <f t="shared" si="11"/>
        <v>24100.587099107372</v>
      </c>
      <c r="AM22" s="256">
        <f t="shared" si="12"/>
        <v>74951.864000000001</v>
      </c>
      <c r="AN22" s="256">
        <f t="shared" si="13"/>
        <v>99052.451099107377</v>
      </c>
    </row>
    <row r="23" spans="1:40" x14ac:dyDescent="0.2">
      <c r="A23" s="3" t="str">
        <f>IF('Employee Detail FY21'!A24="","",'Employee Detail FY21'!A24)</f>
        <v/>
      </c>
      <c r="B23" s="278" t="str">
        <f>IF('Employee Detail FY21'!B24="","",'Employee Detail FY21'!B24)</f>
        <v>100</v>
      </c>
      <c r="C23" s="278" t="str">
        <f>IF('Employee Detail FY21'!C24="","",'Employee Detail FY21'!C24)</f>
        <v>000</v>
      </c>
      <c r="D23" s="278"/>
      <c r="E23" s="278" t="str">
        <f>IF('Employee Detail FY21'!E24="","",'Employee Detail FY21'!E24)</f>
        <v>100</v>
      </c>
      <c r="F23" s="278" t="str">
        <f>IF('Employee Detail FY21'!F24="","",'Employee Detail FY21'!F24)</f>
        <v>2110</v>
      </c>
      <c r="G23" s="425" t="str">
        <f>IF('Employee Detail FY21'!G24="","",'Employee Detail FY21'!G24)</f>
        <v>0106</v>
      </c>
      <c r="H23" s="278"/>
      <c r="I23" s="3" t="str">
        <f>IF('Employee Detail FY21'!I24="","",'Employee Detail FY21'!I24)</f>
        <v>Nestor</v>
      </c>
      <c r="J23" s="3" t="str">
        <f>IF('Employee Detail FY21'!J24="","",'Employee Detail FY21'!J24)</f>
        <v>Jill</v>
      </c>
      <c r="K23" s="3" t="str">
        <f>IF('Employee Detail FY21'!K24="","",'Employee Detail FY21'!K24)</f>
        <v>Licensed Support Staff</v>
      </c>
      <c r="L23" s="3" t="str">
        <f>IF('Employee Detail FY21'!L24="","",'Employee Detail FY21'!L24)</f>
        <v>Wrap Around Facilitator (Social Worker)</v>
      </c>
      <c r="M23" s="3">
        <f>IF('Employee Detail FY21'!M24="","",'Employee Detail FY21'!M24)</f>
        <v>0.75</v>
      </c>
      <c r="N23" s="3" t="str">
        <f>IF('Employee Detail FY21'!N24="","",'Employee Detail FY21'!N24)</f>
        <v/>
      </c>
      <c r="O23" s="3">
        <f>IF('Employee Detail FY21'!O24="","",'Employee Detail FY21'!O24)</f>
        <v>1</v>
      </c>
      <c r="P23" s="3" t="str">
        <f>IF('Employee Detail FY21'!P24="","",'Employee Detail FY21'!P24)</f>
        <v>EE</v>
      </c>
      <c r="Q23" s="3" t="str">
        <f>IF('Employee Detail FY21'!Q24="","",'Employee Detail FY21'!Q24)</f>
        <v/>
      </c>
      <c r="R23" s="3">
        <f>IF('Employee Detail FY21'!R24="","",'Employee Detail FY21'!R24)</f>
        <v>170</v>
      </c>
      <c r="S23" s="3">
        <f>IF('Employee Detail FY21'!S24="","",'Employee Detail FY21'!S24)</f>
        <v>8</v>
      </c>
      <c r="T23" s="263">
        <f t="shared" si="6"/>
        <v>1360</v>
      </c>
      <c r="U23" s="269">
        <f>IF('Employee Detail FY21'!U24="","",'Employee Detail FY21'!U24)</f>
        <v>39919</v>
      </c>
      <c r="V23" s="270">
        <f t="shared" si="7"/>
        <v>41116.57</v>
      </c>
      <c r="W23" s="270">
        <f t="shared" si="8"/>
        <v>47313.207148130001</v>
      </c>
      <c r="X23" s="270">
        <f t="shared" si="9"/>
        <v>47313.207148130001</v>
      </c>
      <c r="Y23" s="62">
        <v>0</v>
      </c>
      <c r="Z23" s="62">
        <v>0</v>
      </c>
      <c r="AA23" s="256">
        <f t="shared" si="10"/>
        <v>47313.207148130001</v>
      </c>
      <c r="AB23" s="3"/>
      <c r="AC23" s="62" t="str">
        <f>IF('Employee Detail FY21'!AC24="","",'Employee Detail FY21'!AC24)</f>
        <v/>
      </c>
      <c r="AD23" s="62" t="str">
        <f t="shared" si="1"/>
        <v/>
      </c>
      <c r="AE23" s="62">
        <f t="shared" si="2"/>
        <v>7333.5471079601502</v>
      </c>
      <c r="AF23" s="62">
        <f t="shared" si="3"/>
        <v>686.04150364788507</v>
      </c>
      <c r="AG23" s="192">
        <v>0</v>
      </c>
      <c r="AH23" s="62">
        <f t="shared" si="4"/>
        <v>430.66071375825283</v>
      </c>
      <c r="AI23" s="62">
        <f t="shared" si="5"/>
        <v>139.34679664278246</v>
      </c>
      <c r="AJ23" s="62"/>
      <c r="AK23" s="62">
        <v>0</v>
      </c>
      <c r="AL23" s="256">
        <f t="shared" si="11"/>
        <v>8589.5961220090721</v>
      </c>
      <c r="AM23" s="256">
        <f t="shared" si="12"/>
        <v>47313.207148130001</v>
      </c>
      <c r="AN23" s="256">
        <f t="shared" si="13"/>
        <v>55902.803270139077</v>
      </c>
    </row>
    <row r="24" spans="1:40" x14ac:dyDescent="0.2">
      <c r="A24" s="3" t="str">
        <f>IF('Employee Detail FY21'!A25="","",'Employee Detail FY21'!A25)</f>
        <v/>
      </c>
      <c r="B24" s="278">
        <f>IF('Employee Detail FY21'!B25="","",'Employee Detail FY21'!B25)</f>
        <v>100</v>
      </c>
      <c r="C24" s="278" t="str">
        <f>IF('Employee Detail FY21'!C25="","",'Employee Detail FY21'!C25)</f>
        <v>000</v>
      </c>
      <c r="D24" s="278"/>
      <c r="E24" s="278">
        <f>IF('Employee Detail FY21'!E25="","",'Employee Detail FY21'!E25)</f>
        <v>100</v>
      </c>
      <c r="F24" s="278" t="str">
        <f>IF('Employee Detail FY21'!F25="","",'Employee Detail FY21'!F25)</f>
        <v>2410</v>
      </c>
      <c r="G24" s="278" t="str">
        <f>IF('Employee Detail FY21'!G25="","",'Employee Detail FY21'!G25)</f>
        <v>0107</v>
      </c>
      <c r="H24" s="278"/>
      <c r="I24" s="3" t="str">
        <f>IF('Employee Detail FY21'!I25="","",'Employee Detail FY21'!I25)</f>
        <v>Pinedo</v>
      </c>
      <c r="J24" s="3" t="str">
        <f>IF('Employee Detail FY21'!J25="","",'Employee Detail FY21'!J25)</f>
        <v>Adylene</v>
      </c>
      <c r="K24" s="3" t="str">
        <f>IF('Employee Detail FY21'!K25="","",'Employee Detail FY21'!K25)</f>
        <v>Support Staff</v>
      </c>
      <c r="L24" s="3" t="str">
        <f>IF('Employee Detail FY21'!L25="","",'Employee Detail FY21'!L25)</f>
        <v>Enrollment Specialist</v>
      </c>
      <c r="M24" s="3">
        <f>IF('Employee Detail FY21'!M25="","",'Employee Detail FY21'!M25)</f>
        <v>1</v>
      </c>
      <c r="N24" s="3" t="str">
        <f>IF('Employee Detail FY21'!N25="","",'Employee Detail FY21'!N25)</f>
        <v/>
      </c>
      <c r="O24" s="3">
        <f>IF('Employee Detail FY21'!O25="","",'Employee Detail FY21'!O25)</f>
        <v>1</v>
      </c>
      <c r="P24" s="3" t="str">
        <f>IF('Employee Detail FY21'!P25="","",'Employee Detail FY21'!P25)</f>
        <v>ER</v>
      </c>
      <c r="Q24" s="3">
        <f>IF('Employee Detail FY21'!Q25="","",'Employee Detail FY21'!Q25)</f>
        <v>14.5</v>
      </c>
      <c r="R24" s="3">
        <f>IF('Employee Detail FY21'!R25="","",'Employee Detail FY21'!R25)</f>
        <v>265</v>
      </c>
      <c r="S24" s="3">
        <f>IF('Employee Detail FY21'!S25="","",'Employee Detail FY21'!S25)</f>
        <v>8</v>
      </c>
      <c r="T24" s="263">
        <f t="shared" si="6"/>
        <v>2120</v>
      </c>
      <c r="U24" s="269">
        <f>IF('Employee Detail FY21'!U25="","",'Employee Detail FY21'!U25)</f>
        <v>34000</v>
      </c>
      <c r="V24" s="270">
        <f t="shared" si="7"/>
        <v>35020</v>
      </c>
      <c r="W24" s="270" t="str">
        <f t="shared" si="8"/>
        <v/>
      </c>
      <c r="X24" s="270">
        <f t="shared" si="9"/>
        <v>35020</v>
      </c>
      <c r="Y24" s="62">
        <v>0</v>
      </c>
      <c r="Z24" s="62">
        <v>0</v>
      </c>
      <c r="AA24" s="256">
        <f t="shared" si="10"/>
        <v>35020</v>
      </c>
      <c r="AB24" s="3"/>
      <c r="AC24" s="62">
        <f>IF('Employee Detail FY21'!AC25="","",'Employee Detail FY21'!AC25)</f>
        <v>7943.76</v>
      </c>
      <c r="AD24" s="62" t="str">
        <f t="shared" si="1"/>
        <v/>
      </c>
      <c r="AE24" s="62">
        <f t="shared" si="2"/>
        <v>10330.9</v>
      </c>
      <c r="AF24" s="62">
        <f t="shared" si="3"/>
        <v>507.79</v>
      </c>
      <c r="AG24" s="192">
        <v>0</v>
      </c>
      <c r="AH24" s="62">
        <f t="shared" si="4"/>
        <v>318.76381046407465</v>
      </c>
      <c r="AI24" s="62">
        <f t="shared" si="5"/>
        <v>103.14085881246618</v>
      </c>
      <c r="AJ24" s="62"/>
      <c r="AK24" s="62">
        <v>0</v>
      </c>
      <c r="AL24" s="256">
        <f t="shared" si="11"/>
        <v>19204.354669276541</v>
      </c>
      <c r="AM24" s="256">
        <f t="shared" si="12"/>
        <v>35020</v>
      </c>
      <c r="AN24" s="256">
        <f t="shared" si="13"/>
        <v>54224.354669276538</v>
      </c>
    </row>
    <row r="25" spans="1:40" x14ac:dyDescent="0.2">
      <c r="A25" s="3" t="str">
        <f>IF('Employee Detail FY21'!A26="","",'Employee Detail FY21'!A26)</f>
        <v/>
      </c>
      <c r="B25" s="278" t="str">
        <f>IF('Employee Detail FY21'!B26="","",'Employee Detail FY21'!B26)</f>
        <v>240</v>
      </c>
      <c r="C25" s="424" t="str">
        <f>IF('Employee Detail FY21'!C26="","",'Employee Detail FY21'!C26)</f>
        <v>289</v>
      </c>
      <c r="D25" s="278"/>
      <c r="E25" s="278" t="str">
        <f>IF('Employee Detail FY21'!E26="","",'Employee Detail FY21'!E26)</f>
        <v>420</v>
      </c>
      <c r="F25" s="278">
        <f>IF('Employee Detail FY21'!F26="","",'Employee Detail FY21'!F26)</f>
        <v>1000</v>
      </c>
      <c r="G25" s="278" t="str">
        <f>IF('Employee Detail FY21'!G26="","",'Employee Detail FY21'!G26)</f>
        <v>0102</v>
      </c>
      <c r="H25" s="278"/>
      <c r="I25" s="3" t="str">
        <f>IF('Employee Detail FY21'!I26="","",'Employee Detail FY21'!I26)</f>
        <v>Poles</v>
      </c>
      <c r="J25" s="3" t="str">
        <f>IF('Employee Detail FY21'!J26="","",'Employee Detail FY21'!J26)</f>
        <v>Kevin</v>
      </c>
      <c r="K25" s="3" t="str">
        <f>IF('Employee Detail FY21'!K26="","",'Employee Detail FY21'!K26)</f>
        <v>Licensed Support Staff</v>
      </c>
      <c r="L25" s="3" t="str">
        <f>IF('Employee Detail FY21'!L26="","",'Employee Detail FY21'!L26)</f>
        <v>Licensed Teaching Assistant</v>
      </c>
      <c r="M25" s="3">
        <f>IF('Employee Detail FY21'!M26="","",'Employee Detail FY21'!M26)</f>
        <v>0.49116492146596857</v>
      </c>
      <c r="N25" s="3" t="str">
        <f>IF('Employee Detail FY21'!N26="","",'Employee Detail FY21'!N26)</f>
        <v/>
      </c>
      <c r="O25" s="3">
        <f>IF('Employee Detail FY21'!O26="","",'Employee Detail FY21'!O26)</f>
        <v>1</v>
      </c>
      <c r="P25" s="3" t="str">
        <f>IF('Employee Detail FY21'!P26="","",'Employee Detail FY21'!P26)</f>
        <v>ER</v>
      </c>
      <c r="Q25" s="3">
        <f>IF('Employee Detail FY21'!Q26="","",'Employee Detail FY21'!Q26)</f>
        <v>20</v>
      </c>
      <c r="R25" s="3">
        <f>IF('Employee Detail FY21'!R26="","",'Employee Detail FY21'!R26)</f>
        <v>191</v>
      </c>
      <c r="S25" s="3">
        <f>IF('Employee Detail FY21'!S26="","",'Employee Detail FY21'!S26)</f>
        <v>8</v>
      </c>
      <c r="T25" s="263">
        <f t="shared" si="6"/>
        <v>1528</v>
      </c>
      <c r="U25" s="269">
        <f>IF('Employee Detail FY21'!U26="","",'Employee Detail FY21'!U26)</f>
        <v>30560</v>
      </c>
      <c r="V25" s="270">
        <f t="shared" si="7"/>
        <v>31476.799999999999</v>
      </c>
      <c r="W25" s="270" t="str">
        <f t="shared" si="8"/>
        <v/>
      </c>
      <c r="X25" s="270">
        <f t="shared" si="9"/>
        <v>31476.799999999999</v>
      </c>
      <c r="Y25" s="62">
        <v>0</v>
      </c>
      <c r="Z25" s="62">
        <v>0</v>
      </c>
      <c r="AA25" s="256">
        <f t="shared" si="10"/>
        <v>31476.799999999999</v>
      </c>
      <c r="AB25" s="3"/>
      <c r="AC25" s="62" t="str">
        <f>IF('Employee Detail FY21'!AC26="","",'Employee Detail FY21'!AC26)</f>
        <v/>
      </c>
      <c r="AD25" s="62" t="str">
        <f t="shared" si="1"/>
        <v/>
      </c>
      <c r="AE25" s="62">
        <f t="shared" si="2"/>
        <v>9285.655999999999</v>
      </c>
      <c r="AF25" s="62">
        <f t="shared" si="3"/>
        <v>456.41360000000003</v>
      </c>
      <c r="AG25" s="192">
        <v>0</v>
      </c>
      <c r="AH25" s="62">
        <f t="shared" si="4"/>
        <v>286.51241317006242</v>
      </c>
      <c r="AI25" s="62">
        <f t="shared" si="5"/>
        <v>92.70543074438136</v>
      </c>
      <c r="AJ25" s="62"/>
      <c r="AK25" s="62">
        <v>0</v>
      </c>
      <c r="AL25" s="256">
        <f t="shared" si="11"/>
        <v>10121.287443914443</v>
      </c>
      <c r="AM25" s="256">
        <f t="shared" si="12"/>
        <v>31476.799999999999</v>
      </c>
      <c r="AN25" s="256">
        <f t="shared" si="13"/>
        <v>41598.087443914439</v>
      </c>
    </row>
    <row r="26" spans="1:40" x14ac:dyDescent="0.2">
      <c r="A26" s="3" t="str">
        <f>IF('Employee Detail FY21'!A28="","",'Employee Detail FY21'!A28)</f>
        <v>TERMED</v>
      </c>
      <c r="B26" s="278">
        <f>IF('Employee Detail FY21'!B28="","",'Employee Detail FY21'!B28)</f>
        <v>100</v>
      </c>
      <c r="C26" s="278" t="str">
        <f>IF('Employee Detail FY21'!C28="","",'Employee Detail FY21'!C28)</f>
        <v>000</v>
      </c>
      <c r="D26" s="278"/>
      <c r="E26" s="278">
        <f>IF('Employee Detail FY21'!E28="","",'Employee Detail FY21'!E28)</f>
        <v>100</v>
      </c>
      <c r="F26" s="278" t="str">
        <f>IF('Employee Detail FY21'!F28="","",'Employee Detail FY21'!F28)</f>
        <v>2110</v>
      </c>
      <c r="G26" s="425" t="str">
        <f>IF('Employee Detail FY21'!G28="","",'Employee Detail FY21'!G28)</f>
        <v>0106</v>
      </c>
      <c r="H26" s="278"/>
      <c r="I26" s="3" t="str">
        <f>IF('Employee Detail FY21'!I28="","",'Employee Detail FY21'!I28)</f>
        <v>Ramos</v>
      </c>
      <c r="J26" s="3" t="str">
        <f>IF('Employee Detail FY21'!J28="","",'Employee Detail FY21'!J28)</f>
        <v>Michelle</v>
      </c>
      <c r="K26" s="3" t="str">
        <f>IF('Employee Detail FY21'!K28="","",'Employee Detail FY21'!K28)</f>
        <v>Licensed Support Staff</v>
      </c>
      <c r="L26" s="3" t="str">
        <f>IF('Employee Detail FY21'!L28="","",'Employee Detail FY21'!L28)</f>
        <v>Drop Out Prevention Facilitator</v>
      </c>
      <c r="M26" s="3">
        <f>IF('Employee Detail FY21'!M28="","",'Employee Detail FY21'!M28)</f>
        <v>0.83698920909178331</v>
      </c>
      <c r="N26" s="3" t="str">
        <f>IF('Employee Detail FY21'!N28="","",'Employee Detail FY21'!N28)</f>
        <v/>
      </c>
      <c r="O26" s="3">
        <f>IF('Employee Detail FY21'!O28="","",'Employee Detail FY21'!O28)</f>
        <v>1</v>
      </c>
      <c r="P26" s="3" t="str">
        <f>IF('Employee Detail FY21'!P28="","",'Employee Detail FY21'!P28)</f>
        <v>EE</v>
      </c>
      <c r="Q26" s="3" t="str">
        <f>IF('Employee Detail FY21'!Q28="","",'Employee Detail FY21'!Q28)</f>
        <v/>
      </c>
      <c r="R26" s="3">
        <f>IF('Employee Detail FY21'!R28="","",'Employee Detail FY21'!R28)</f>
        <v>260</v>
      </c>
      <c r="S26" s="3">
        <f>IF('Employee Detail FY21'!S28="","",'Employee Detail FY21'!S28)</f>
        <v>8</v>
      </c>
      <c r="T26" s="263">
        <f t="shared" si="6"/>
        <v>2080</v>
      </c>
      <c r="U26" s="269">
        <f>IF('Employee Detail FY21'!U28="","",'Employee Detail FY21'!U28)</f>
        <v>57704</v>
      </c>
      <c r="V26" s="270">
        <f t="shared" si="7"/>
        <v>59435.12</v>
      </c>
      <c r="W26" s="270">
        <f t="shared" si="8"/>
        <v>68392.527500080003</v>
      </c>
      <c r="X26" s="270">
        <f t="shared" si="9"/>
        <v>68392.527500080003</v>
      </c>
      <c r="Y26" s="62">
        <v>0</v>
      </c>
      <c r="Z26" s="62">
        <v>0</v>
      </c>
      <c r="AA26" s="256">
        <f t="shared" si="10"/>
        <v>68392.527500080003</v>
      </c>
      <c r="AB26" s="3"/>
      <c r="AC26" s="62" t="str">
        <f>IF('Employee Detail FY21'!AC28="","",'Employee Detail FY21'!AC28)</f>
        <v/>
      </c>
      <c r="AD26" s="62" t="str">
        <f t="shared" si="1"/>
        <v/>
      </c>
      <c r="AE26" s="62">
        <f t="shared" si="2"/>
        <v>10600.8417625124</v>
      </c>
      <c r="AF26" s="62">
        <f t="shared" si="3"/>
        <v>991.69164875116007</v>
      </c>
      <c r="AG26" s="192">
        <v>0</v>
      </c>
      <c r="AH26" s="62">
        <f t="shared" si="4"/>
        <v>622.53177250698218</v>
      </c>
      <c r="AI26" s="62">
        <f t="shared" si="5"/>
        <v>201.42958374395948</v>
      </c>
      <c r="AJ26" s="62"/>
      <c r="AK26" s="62">
        <v>0</v>
      </c>
      <c r="AL26" s="256">
        <f t="shared" si="11"/>
        <v>12416.494767514501</v>
      </c>
      <c r="AM26" s="256">
        <f t="shared" si="12"/>
        <v>68392.527500080003</v>
      </c>
      <c r="AN26" s="256">
        <f t="shared" si="13"/>
        <v>80809.022267594497</v>
      </c>
    </row>
    <row r="27" spans="1:40" x14ac:dyDescent="0.2">
      <c r="A27" s="3" t="str">
        <f>IF('Employee Detail FY21'!A29="","",'Employee Detail FY21'!A29)</f>
        <v/>
      </c>
      <c r="B27" s="278">
        <f>IF('Employee Detail FY21'!B29="","",'Employee Detail FY21'!B29)</f>
        <v>280</v>
      </c>
      <c r="C27" s="424">
        <f>IF('Employee Detail FY21'!C29="","",'Employee Detail FY21'!C29)</f>
        <v>633</v>
      </c>
      <c r="D27" s="278"/>
      <c r="E27" s="278">
        <f>IF('Employee Detail FY21'!E29="","",'Employee Detail FY21'!E29)</f>
        <v>430</v>
      </c>
      <c r="F27" s="278" t="str">
        <f>IF('Employee Detail FY21'!F29="","",'Employee Detail FY21'!F29)</f>
        <v>1000</v>
      </c>
      <c r="G27" s="425" t="str">
        <f>IF('Employee Detail FY21'!G29="","",'Employee Detail FY21'!G29)</f>
        <v>0101</v>
      </c>
      <c r="H27" s="278"/>
      <c r="I27" s="3" t="str">
        <f>IF('Employee Detail FY21'!I29="","",'Employee Detail FY21'!I29)</f>
        <v>Rodilosso</v>
      </c>
      <c r="J27" s="3" t="str">
        <f>IF('Employee Detail FY21'!J29="","",'Employee Detail FY21'!J29)</f>
        <v>Kristina</v>
      </c>
      <c r="K27" s="3" t="str">
        <f>IF('Employee Detail FY21'!K29="","",'Employee Detail FY21'!K29)</f>
        <v>Licensed Staff</v>
      </c>
      <c r="L27" s="3" t="str">
        <f>IF('Employee Detail FY21'!L29="","",'Employee Detail FY21'!L29)</f>
        <v>Teacher (STEM Interventionist)</v>
      </c>
      <c r="M27" s="3">
        <f>IF('Employee Detail FY21'!M29="","",'Employee Detail FY21'!M29)</f>
        <v>1</v>
      </c>
      <c r="N27" s="3" t="str">
        <f>IF('Employee Detail FY21'!N29="","",'Employee Detail FY21'!N29)</f>
        <v/>
      </c>
      <c r="O27" s="3">
        <f>IF('Employee Detail FY21'!O29="","",'Employee Detail FY21'!O29)</f>
        <v>1</v>
      </c>
      <c r="P27" s="3" t="str">
        <f>IF('Employee Detail FY21'!P29="","",'Employee Detail FY21'!P29)</f>
        <v>EE</v>
      </c>
      <c r="Q27" s="3" t="str">
        <f>IF('Employee Detail FY21'!Q29="","",'Employee Detail FY21'!Q29)</f>
        <v/>
      </c>
      <c r="R27" s="3">
        <f>IF('Employee Detail FY21'!R29="","",'Employee Detail FY21'!R29)</f>
        <v>191</v>
      </c>
      <c r="S27" s="3">
        <f>IF('Employee Detail FY21'!S29="","",'Employee Detail FY21'!S29)</f>
        <v>8</v>
      </c>
      <c r="T27" s="263">
        <f t="shared" si="6"/>
        <v>1528</v>
      </c>
      <c r="U27" s="269">
        <f>IF('Employee Detail FY21'!U29="","",'Employee Detail FY21'!U29)</f>
        <v>52840</v>
      </c>
      <c r="V27" s="270">
        <f t="shared" si="7"/>
        <v>54425.200000000004</v>
      </c>
      <c r="W27" s="270">
        <f t="shared" si="8"/>
        <v>62627.567466800007</v>
      </c>
      <c r="X27" s="270">
        <f t="shared" si="9"/>
        <v>62627.567466800007</v>
      </c>
      <c r="Y27" s="62">
        <v>0</v>
      </c>
      <c r="Z27" s="62">
        <v>0</v>
      </c>
      <c r="AA27" s="256">
        <f t="shared" si="10"/>
        <v>62627.567466800007</v>
      </c>
      <c r="AB27" s="3"/>
      <c r="AC27" s="62">
        <f>IF('Employee Detail FY21'!AC29="","",'Employee Detail FY21'!AC29)</f>
        <v>7943.76</v>
      </c>
      <c r="AD27" s="62" t="str">
        <f t="shared" si="1"/>
        <v/>
      </c>
      <c r="AE27" s="62">
        <f t="shared" si="2"/>
        <v>9707.2729573540018</v>
      </c>
      <c r="AF27" s="62">
        <f t="shared" si="3"/>
        <v>908.09972826860019</v>
      </c>
      <c r="AG27" s="192">
        <v>0</v>
      </c>
      <c r="AH27" s="62">
        <f t="shared" si="4"/>
        <v>570.05716864115038</v>
      </c>
      <c r="AI27" s="62">
        <f t="shared" si="5"/>
        <v>184.4506308926733</v>
      </c>
      <c r="AJ27" s="62"/>
      <c r="AK27" s="62">
        <v>0</v>
      </c>
      <c r="AL27" s="256">
        <f t="shared" si="11"/>
        <v>19313.640485156422</v>
      </c>
      <c r="AM27" s="256">
        <f t="shared" si="12"/>
        <v>62627.567466800007</v>
      </c>
      <c r="AN27" s="256">
        <f t="shared" si="13"/>
        <v>81941.207951956429</v>
      </c>
    </row>
    <row r="28" spans="1:40" x14ac:dyDescent="0.2">
      <c r="A28" s="3" t="str">
        <f>IF('Employee Detail FY21'!A30="","",'Employee Detail FY21'!A30)</f>
        <v/>
      </c>
      <c r="B28" s="278">
        <f>IF('Employee Detail FY21'!B30="","",'Employee Detail FY21'!B30)</f>
        <v>100</v>
      </c>
      <c r="C28" s="278" t="str">
        <f>IF('Employee Detail FY21'!C30="","",'Employee Detail FY21'!C30)</f>
        <v>000</v>
      </c>
      <c r="D28" s="278"/>
      <c r="E28" s="278">
        <f>IF('Employee Detail FY21'!E30="","",'Employee Detail FY21'!E30)</f>
        <v>100</v>
      </c>
      <c r="F28" s="278">
        <f>IF('Employee Detail FY21'!F30="","",'Employee Detail FY21'!F30)</f>
        <v>1000</v>
      </c>
      <c r="G28" s="425" t="str">
        <f>IF('Employee Detail FY21'!G30="","",'Employee Detail FY21'!G30)</f>
        <v>0101</v>
      </c>
      <c r="H28" s="278"/>
      <c r="I28" s="3" t="str">
        <f>IF('Employee Detail FY21'!I30="","",'Employee Detail FY21'!I30)</f>
        <v>Severin</v>
      </c>
      <c r="J28" s="3" t="str">
        <f>IF('Employee Detail FY21'!J30="","",'Employee Detail FY21'!J30)</f>
        <v>Ryan</v>
      </c>
      <c r="K28" s="3" t="str">
        <f>IF('Employee Detail FY21'!K30="","",'Employee Detail FY21'!K30)</f>
        <v>Licensed Staff</v>
      </c>
      <c r="L28" s="3" t="str">
        <f>IF('Employee Detail FY21'!L30="","",'Employee Detail FY21'!L30)</f>
        <v>Teacher</v>
      </c>
      <c r="M28" s="3">
        <f>IF('Employee Detail FY21'!M30="","",'Employee Detail FY21'!M30)</f>
        <v>1</v>
      </c>
      <c r="N28" s="3" t="str">
        <f>IF('Employee Detail FY21'!N30="","",'Employee Detail FY21'!N30)</f>
        <v/>
      </c>
      <c r="O28" s="3">
        <f>IF('Employee Detail FY21'!O30="","",'Employee Detail FY21'!O30)</f>
        <v>1</v>
      </c>
      <c r="P28" s="3" t="str">
        <f>IF('Employee Detail FY21'!P30="","",'Employee Detail FY21'!P30)</f>
        <v>ER</v>
      </c>
      <c r="Q28" s="3" t="str">
        <f>IF('Employee Detail FY21'!Q30="","",'Employee Detail FY21'!Q30)</f>
        <v/>
      </c>
      <c r="R28" s="3">
        <f>IF('Employee Detail FY21'!R30="","",'Employee Detail FY21'!R30)</f>
        <v>191</v>
      </c>
      <c r="S28" s="3">
        <f>IF('Employee Detail FY21'!S30="","",'Employee Detail FY21'!S30)</f>
        <v>8</v>
      </c>
      <c r="T28" s="263">
        <f t="shared" si="6"/>
        <v>1528</v>
      </c>
      <c r="U28" s="269">
        <f>IF('Employee Detail FY21'!U30="","",'Employee Detail FY21'!U30)</f>
        <v>52840</v>
      </c>
      <c r="V28" s="270">
        <f t="shared" si="7"/>
        <v>54425.200000000004</v>
      </c>
      <c r="W28" s="270" t="str">
        <f t="shared" si="8"/>
        <v/>
      </c>
      <c r="X28" s="270">
        <f t="shared" si="9"/>
        <v>54425.200000000004</v>
      </c>
      <c r="Y28" s="62">
        <v>0</v>
      </c>
      <c r="Z28" s="62">
        <v>0</v>
      </c>
      <c r="AA28" s="256">
        <f t="shared" si="10"/>
        <v>54425.200000000004</v>
      </c>
      <c r="AB28" s="3"/>
      <c r="AC28" s="62">
        <f>IF('Employee Detail FY21'!AC30="","",'Employee Detail FY21'!AC30)</f>
        <v>7943.76</v>
      </c>
      <c r="AD28" s="62" t="str">
        <f t="shared" si="1"/>
        <v/>
      </c>
      <c r="AE28" s="62">
        <f t="shared" si="2"/>
        <v>16055.434000000001</v>
      </c>
      <c r="AF28" s="62">
        <f t="shared" si="3"/>
        <v>789.16540000000009</v>
      </c>
      <c r="AG28" s="192">
        <v>0</v>
      </c>
      <c r="AH28" s="62">
        <f t="shared" si="4"/>
        <v>495.39646308593257</v>
      </c>
      <c r="AI28" s="62">
        <f t="shared" si="5"/>
        <v>160.29302881325626</v>
      </c>
      <c r="AJ28" s="62"/>
      <c r="AK28" s="62">
        <v>0</v>
      </c>
      <c r="AL28" s="256">
        <f t="shared" si="11"/>
        <v>25444.048891899194</v>
      </c>
      <c r="AM28" s="256">
        <f t="shared" si="12"/>
        <v>54425.200000000004</v>
      </c>
      <c r="AN28" s="256">
        <f t="shared" si="13"/>
        <v>79869.248891899202</v>
      </c>
    </row>
    <row r="29" spans="1:40" x14ac:dyDescent="0.2">
      <c r="A29" s="3" t="str">
        <f>IF('Employee Detail FY21'!A31="","",'Employee Detail FY21'!A31)</f>
        <v/>
      </c>
      <c r="B29" s="278" t="str">
        <f>IF('Employee Detail FY21'!B31="","",'Employee Detail FY21'!B31)</f>
        <v>250</v>
      </c>
      <c r="C29" s="278" t="str">
        <f>IF('Employee Detail FY21'!C31="","",'Employee Detail FY21'!C31)</f>
        <v>000</v>
      </c>
      <c r="D29" s="278"/>
      <c r="E29" s="278" t="str">
        <f>IF('Employee Detail FY21'!E31="","",'Employee Detail FY21'!E31)</f>
        <v>200</v>
      </c>
      <c r="F29" s="278" t="str">
        <f>IF('Employee Detail FY21'!F31="","",'Employee Detail FY21'!F31)</f>
        <v>1000</v>
      </c>
      <c r="G29" s="425" t="str">
        <f>IF('Employee Detail FY21'!G31="","",'Employee Detail FY21'!G31)</f>
        <v>0101</v>
      </c>
      <c r="H29" s="278"/>
      <c r="I29" s="3" t="str">
        <f>IF('Employee Detail FY21'!I31="","",'Employee Detail FY21'!I31)</f>
        <v>Simao</v>
      </c>
      <c r="J29" s="3" t="str">
        <f>IF('Employee Detail FY21'!J31="","",'Employee Detail FY21'!J31)</f>
        <v>Michael</v>
      </c>
      <c r="K29" s="3" t="str">
        <f>IF('Employee Detail FY21'!K31="","",'Employee Detail FY21'!K31)</f>
        <v>Licensed Staff</v>
      </c>
      <c r="L29" s="3" t="str">
        <f>IF('Employee Detail FY21'!L31="","",'Employee Detail FY21'!L31)</f>
        <v>SPED Teacher</v>
      </c>
      <c r="M29" s="3">
        <f>IF('Employee Detail FY21'!M31="","",'Employee Detail FY21'!M31)</f>
        <v>1</v>
      </c>
      <c r="N29" s="3" t="str">
        <f>IF('Employee Detail FY21'!N31="","",'Employee Detail FY21'!N31)</f>
        <v/>
      </c>
      <c r="O29" s="3">
        <f>IF('Employee Detail FY21'!O31="","",'Employee Detail FY21'!O31)</f>
        <v>1</v>
      </c>
      <c r="P29" s="3" t="str">
        <f>IF('Employee Detail FY21'!P31="","",'Employee Detail FY21'!P31)</f>
        <v>ER</v>
      </c>
      <c r="Q29" s="3" t="str">
        <f>IF('Employee Detail FY21'!Q31="","",'Employee Detail FY21'!Q31)</f>
        <v/>
      </c>
      <c r="R29" s="3">
        <f>IF('Employee Detail FY21'!R31="","",'Employee Detail FY21'!R31)</f>
        <v>180</v>
      </c>
      <c r="S29" s="3">
        <f>IF('Employee Detail FY21'!S31="","",'Employee Detail FY21'!S31)</f>
        <v>8</v>
      </c>
      <c r="T29" s="263">
        <f t="shared" si="6"/>
        <v>1440</v>
      </c>
      <c r="U29" s="269">
        <f>IF('Employee Detail FY21'!U31="","",'Employee Detail FY21'!U31)</f>
        <v>61910</v>
      </c>
      <c r="V29" s="270">
        <f t="shared" si="7"/>
        <v>63767.3</v>
      </c>
      <c r="W29" s="270" t="str">
        <f t="shared" si="8"/>
        <v/>
      </c>
      <c r="X29" s="270">
        <f t="shared" si="9"/>
        <v>63767.3</v>
      </c>
      <c r="Y29" s="62">
        <v>0</v>
      </c>
      <c r="Z29" s="62">
        <v>0</v>
      </c>
      <c r="AA29" s="256">
        <f t="shared" si="10"/>
        <v>63767.3</v>
      </c>
      <c r="AB29" s="3"/>
      <c r="AC29" s="62">
        <f>IF('Employee Detail FY21'!AC31="","",'Employee Detail FY21'!AC31)</f>
        <v>7943.76</v>
      </c>
      <c r="AD29" s="62" t="str">
        <f t="shared" si="1"/>
        <v/>
      </c>
      <c r="AE29" s="62">
        <f t="shared" si="2"/>
        <v>18811.353500000001</v>
      </c>
      <c r="AF29" s="62">
        <f t="shared" si="3"/>
        <v>924.62585000000013</v>
      </c>
      <c r="AG29" s="192">
        <v>0</v>
      </c>
      <c r="AH29" s="62">
        <f t="shared" si="4"/>
        <v>580.43139723031948</v>
      </c>
      <c r="AI29" s="62">
        <f t="shared" si="5"/>
        <v>187.80736967881708</v>
      </c>
      <c r="AJ29" s="62"/>
      <c r="AK29" s="62">
        <v>0</v>
      </c>
      <c r="AL29" s="256">
        <f t="shared" si="11"/>
        <v>28447.978116909137</v>
      </c>
      <c r="AM29" s="256">
        <f t="shared" si="12"/>
        <v>63767.3</v>
      </c>
      <c r="AN29" s="256">
        <f t="shared" si="13"/>
        <v>92215.278116909147</v>
      </c>
    </row>
    <row r="30" spans="1:40" x14ac:dyDescent="0.2">
      <c r="A30" s="3" t="str">
        <f>IF('Employee Detail FY21'!A32="","",'Employee Detail FY21'!A32)</f>
        <v/>
      </c>
      <c r="B30" s="278">
        <f>IF('Employee Detail FY21'!B32="","",'Employee Detail FY21'!B32)</f>
        <v>100</v>
      </c>
      <c r="C30" s="278" t="str">
        <f>IF('Employee Detail FY21'!C32="","",'Employee Detail FY21'!C32)</f>
        <v>000</v>
      </c>
      <c r="D30" s="278"/>
      <c r="E30" s="278">
        <f>IF('Employee Detail FY21'!E32="","",'Employee Detail FY21'!E32)</f>
        <v>100</v>
      </c>
      <c r="F30" s="278" t="str">
        <f>IF('Employee Detail FY21'!F32="","",'Employee Detail FY21'!F32)</f>
        <v>2320</v>
      </c>
      <c r="G30" s="425" t="str">
        <f>IF('Employee Detail FY21'!G32="","",'Employee Detail FY21'!G32)</f>
        <v>0104</v>
      </c>
      <c r="H30" s="278"/>
      <c r="I30" s="3" t="str">
        <f>IF('Employee Detail FY21'!I32="","",'Employee Detail FY21'!I32)</f>
        <v>Tondryk</v>
      </c>
      <c r="J30" s="3" t="str">
        <f>IF('Employee Detail FY21'!J32="","",'Employee Detail FY21'!J32)</f>
        <v>Tambre</v>
      </c>
      <c r="K30" s="3" t="str">
        <f>IF('Employee Detail FY21'!K32="","",'Employee Detail FY21'!K32)</f>
        <v>Administration</v>
      </c>
      <c r="L30" s="3" t="str">
        <f>IF('Employee Detail FY21'!L32="","",'Employee Detail FY21'!L32)</f>
        <v>Exec. Dir. Operations</v>
      </c>
      <c r="M30" s="3">
        <f>IF('Employee Detail FY21'!M32="","",'Employee Detail FY21'!M32)</f>
        <v>1</v>
      </c>
      <c r="N30" s="3" t="str">
        <f>IF('Employee Detail FY21'!N32="","",'Employee Detail FY21'!N32)</f>
        <v/>
      </c>
      <c r="O30" s="3">
        <f>IF('Employee Detail FY21'!O32="","",'Employee Detail FY21'!O32)</f>
        <v>1</v>
      </c>
      <c r="P30" s="3" t="str">
        <f>IF('Employee Detail FY21'!P32="","",'Employee Detail FY21'!P32)</f>
        <v>ER</v>
      </c>
      <c r="Q30" s="3" t="str">
        <f>IF('Employee Detail FY21'!Q32="","",'Employee Detail FY21'!Q32)</f>
        <v/>
      </c>
      <c r="R30" s="3">
        <f>IF('Employee Detail FY21'!R32="","",'Employee Detail FY21'!R32)</f>
        <v>260</v>
      </c>
      <c r="S30" s="3">
        <f>IF('Employee Detail FY21'!S32="","",'Employee Detail FY21'!S32)</f>
        <v>8</v>
      </c>
      <c r="T30" s="263">
        <f t="shared" si="6"/>
        <v>2080</v>
      </c>
      <c r="U30" s="269">
        <f>IF('Employee Detail FY21'!U32="","",'Employee Detail FY21'!U32)</f>
        <v>135000</v>
      </c>
      <c r="V30" s="270">
        <f t="shared" si="7"/>
        <v>139050</v>
      </c>
      <c r="W30" s="270" t="str">
        <f t="shared" si="8"/>
        <v/>
      </c>
      <c r="X30" s="270">
        <f t="shared" si="9"/>
        <v>139050</v>
      </c>
      <c r="Y30" s="62">
        <v>0</v>
      </c>
      <c r="Z30" s="62">
        <v>0</v>
      </c>
      <c r="AA30" s="256">
        <f t="shared" si="10"/>
        <v>139050</v>
      </c>
      <c r="AB30" s="3"/>
      <c r="AC30" s="62">
        <f>IF('Employee Detail FY21'!AC32="","",'Employee Detail FY21'!AC32)</f>
        <v>7943.76</v>
      </c>
      <c r="AD30" s="62" t="str">
        <f t="shared" si="1"/>
        <v/>
      </c>
      <c r="AE30" s="62">
        <f t="shared" si="2"/>
        <v>41019.75</v>
      </c>
      <c r="AF30" s="62">
        <f t="shared" si="3"/>
        <v>2016.2250000000001</v>
      </c>
      <c r="AG30" s="192">
        <v>0</v>
      </c>
      <c r="AH30" s="62">
        <f t="shared" si="4"/>
        <v>1265.6798356661789</v>
      </c>
      <c r="AI30" s="62">
        <f t="shared" si="5"/>
        <v>409.5298805789098</v>
      </c>
      <c r="AJ30" s="62"/>
      <c r="AK30" s="62">
        <v>0</v>
      </c>
      <c r="AL30" s="256">
        <f t="shared" si="11"/>
        <v>52654.944716245096</v>
      </c>
      <c r="AM30" s="256">
        <f t="shared" si="12"/>
        <v>139050</v>
      </c>
      <c r="AN30" s="256">
        <f t="shared" si="13"/>
        <v>191704.94471624511</v>
      </c>
    </row>
    <row r="31" spans="1:40" x14ac:dyDescent="0.2">
      <c r="A31" s="3" t="str">
        <f>IF('Employee Detail FY21'!A33="","",'Employee Detail FY21'!A33)</f>
        <v/>
      </c>
      <c r="B31" s="278">
        <f>IF('Employee Detail FY21'!B33="","",'Employee Detail FY21'!B33)</f>
        <v>100</v>
      </c>
      <c r="C31" s="278" t="str">
        <f>IF('Employee Detail FY21'!C33="","",'Employee Detail FY21'!C33)</f>
        <v>000</v>
      </c>
      <c r="D31" s="278"/>
      <c r="E31" s="278">
        <f>IF('Employee Detail FY21'!E33="","",'Employee Detail FY21'!E33)</f>
        <v>100</v>
      </c>
      <c r="F31" s="278" t="str">
        <f>IF('Employee Detail FY21'!F33="","",'Employee Detail FY21'!F33)</f>
        <v>2410</v>
      </c>
      <c r="G31" s="278" t="str">
        <f>IF('Employee Detail FY21'!G33="","",'Employee Detail FY21'!G33)</f>
        <v>0107</v>
      </c>
      <c r="H31" s="278"/>
      <c r="I31" s="3" t="str">
        <f>IF('Employee Detail FY21'!I33="","",'Employee Detail FY21'!I33)</f>
        <v>Vasquez</v>
      </c>
      <c r="J31" s="3" t="str">
        <f>IF('Employee Detail FY21'!J33="","",'Employee Detail FY21'!J33)</f>
        <v>Arlene</v>
      </c>
      <c r="K31" s="3" t="str">
        <f>IF('Employee Detail FY21'!K33="","",'Employee Detail FY21'!K33)</f>
        <v>Support Staff</v>
      </c>
      <c r="L31" s="3" t="str">
        <f>IF('Employee Detail FY21'!L33="","",'Employee Detail FY21'!L33)</f>
        <v>Receptionist</v>
      </c>
      <c r="M31" s="3">
        <f>IF('Employee Detail FY21'!M33="","",'Employee Detail FY21'!M33)</f>
        <v>1</v>
      </c>
      <c r="N31" s="3" t="str">
        <f>IF('Employee Detail FY21'!N33="","",'Employee Detail FY21'!N33)</f>
        <v/>
      </c>
      <c r="O31" s="3">
        <f>IF('Employee Detail FY21'!O33="","",'Employee Detail FY21'!O33)</f>
        <v>1</v>
      </c>
      <c r="P31" s="3" t="str">
        <f>IF('Employee Detail FY21'!P33="","",'Employee Detail FY21'!P33)</f>
        <v>EE</v>
      </c>
      <c r="Q31" s="3">
        <f>IF('Employee Detail FY21'!Q33="","",'Employee Detail FY21'!Q33)</f>
        <v>16</v>
      </c>
      <c r="R31" s="3">
        <f>IF('Employee Detail FY21'!R33="","",'Employee Detail FY21'!R33)</f>
        <v>260</v>
      </c>
      <c r="S31" s="3">
        <f>IF('Employee Detail FY21'!S33="","",'Employee Detail FY21'!S33)</f>
        <v>8</v>
      </c>
      <c r="T31" s="263">
        <f t="shared" si="6"/>
        <v>2080</v>
      </c>
      <c r="U31" s="269">
        <f>IF('Employee Detail FY21'!U33="","",'Employee Detail FY21'!U33)</f>
        <v>34000</v>
      </c>
      <c r="V31" s="270">
        <f t="shared" si="7"/>
        <v>35020</v>
      </c>
      <c r="W31" s="270">
        <f t="shared" si="8"/>
        <v>40297.829180000001</v>
      </c>
      <c r="X31" s="270">
        <f t="shared" si="9"/>
        <v>40297.829180000001</v>
      </c>
      <c r="Y31" s="62">
        <v>0</v>
      </c>
      <c r="Z31" s="62">
        <v>0</v>
      </c>
      <c r="AA31" s="256">
        <f t="shared" si="10"/>
        <v>40297.829180000001</v>
      </c>
      <c r="AB31" s="3"/>
      <c r="AC31" s="62">
        <f>IF('Employee Detail FY21'!AC33="","",'Employee Detail FY21'!AC33)</f>
        <v>7943.76</v>
      </c>
      <c r="AD31" s="62" t="str">
        <f t="shared" si="1"/>
        <v/>
      </c>
      <c r="AE31" s="62">
        <f t="shared" si="2"/>
        <v>6246.1635229000003</v>
      </c>
      <c r="AF31" s="62">
        <f t="shared" si="3"/>
        <v>584.31852311</v>
      </c>
      <c r="AG31" s="192">
        <v>0</v>
      </c>
      <c r="AH31" s="62">
        <f t="shared" si="4"/>
        <v>366.80438557530493</v>
      </c>
      <c r="AI31" s="62">
        <f t="shared" si="5"/>
        <v>118.68511450323413</v>
      </c>
      <c r="AJ31" s="62"/>
      <c r="AK31" s="62">
        <v>0</v>
      </c>
      <c r="AL31" s="256">
        <f t="shared" si="11"/>
        <v>15259.73154608854</v>
      </c>
      <c r="AM31" s="256">
        <f t="shared" si="12"/>
        <v>40297.829180000001</v>
      </c>
      <c r="AN31" s="256">
        <f t="shared" si="13"/>
        <v>55557.560726088544</v>
      </c>
    </row>
    <row r="32" spans="1:40" x14ac:dyDescent="0.2">
      <c r="A32" s="3" t="str">
        <f>IF('Employee Detail FY21'!A34="","",'Employee Detail FY21'!A34)</f>
        <v/>
      </c>
      <c r="B32" s="278">
        <f>IF('Employee Detail FY21'!B34="","",'Employee Detail FY21'!B34)</f>
        <v>250</v>
      </c>
      <c r="C32" s="278" t="str">
        <f>IF('Employee Detail FY21'!C34="","",'Employee Detail FY21'!C34)</f>
        <v>000</v>
      </c>
      <c r="D32" s="278"/>
      <c r="E32" s="278">
        <f>IF('Employee Detail FY21'!E34="","",'Employee Detail FY21'!E34)</f>
        <v>200</v>
      </c>
      <c r="F32" s="278">
        <f>IF('Employee Detail FY21'!F34="","",'Employee Detail FY21'!F34)</f>
        <v>1000</v>
      </c>
      <c r="G32" s="425" t="str">
        <f>IF('Employee Detail FY21'!G34="","",'Employee Detail FY21'!G34)</f>
        <v>0101</v>
      </c>
      <c r="H32" s="278"/>
      <c r="I32" s="3" t="str">
        <f>IF('Employee Detail FY21'!I34="","",'Employee Detail FY21'!I34)</f>
        <v>WILLOUGHBY</v>
      </c>
      <c r="J32" s="3" t="str">
        <f>IF('Employee Detail FY21'!J34="","",'Employee Detail FY21'!J34)</f>
        <v>SUSAN</v>
      </c>
      <c r="K32" s="3" t="str">
        <f>IF('Employee Detail FY21'!K34="","",'Employee Detail FY21'!K34)</f>
        <v>Licensed Staff</v>
      </c>
      <c r="L32" s="3" t="str">
        <f>IF('Employee Detail FY21'!L34="","",'Employee Detail FY21'!L34)</f>
        <v>SPED TEACHER</v>
      </c>
      <c r="M32" s="3">
        <f>IF('Employee Detail FY21'!M34="","",'Employee Detail FY21'!M34)</f>
        <v>1</v>
      </c>
      <c r="N32" s="3" t="str">
        <f>IF('Employee Detail FY21'!N34="","",'Employee Detail FY21'!N34)</f>
        <v/>
      </c>
      <c r="O32" s="3">
        <f>IF('Employee Detail FY21'!O34="","",'Employee Detail FY21'!O34)</f>
        <v>1</v>
      </c>
      <c r="P32" s="3" t="str">
        <f>IF('Employee Detail FY21'!P34="","",'Employee Detail FY21'!P34)</f>
        <v>ER</v>
      </c>
      <c r="Q32" s="3" t="str">
        <f>IF('Employee Detail FY21'!Q34="","",'Employee Detail FY21'!Q34)</f>
        <v/>
      </c>
      <c r="R32" s="3">
        <f>IF('Employee Detail FY21'!R34="","",'Employee Detail FY21'!R34)</f>
        <v>220</v>
      </c>
      <c r="S32" s="3">
        <f>IF('Employee Detail FY21'!S34="","",'Employee Detail FY21'!S34)</f>
        <v>8</v>
      </c>
      <c r="T32" s="263">
        <f t="shared" si="6"/>
        <v>1760</v>
      </c>
      <c r="U32" s="269">
        <f>IF('Employee Detail FY21'!U34="","",'Employee Detail FY21'!U34)</f>
        <v>46638</v>
      </c>
      <c r="V32" s="270">
        <f t="shared" si="7"/>
        <v>48037.14</v>
      </c>
      <c r="W32" s="270" t="str">
        <f t="shared" si="8"/>
        <v/>
      </c>
      <c r="X32" s="270">
        <f t="shared" si="9"/>
        <v>48037.14</v>
      </c>
      <c r="Y32" s="62">
        <v>0</v>
      </c>
      <c r="Z32" s="62">
        <v>0</v>
      </c>
      <c r="AA32" s="256">
        <f t="shared" si="10"/>
        <v>48037.14</v>
      </c>
      <c r="AB32" s="3"/>
      <c r="AC32" s="62">
        <f>IF('Employee Detail FY21'!AC34="","",'Employee Detail FY21'!AC34)</f>
        <v>7943.76</v>
      </c>
      <c r="AD32" s="62" t="str">
        <f t="shared" si="1"/>
        <v/>
      </c>
      <c r="AE32" s="62">
        <f t="shared" si="2"/>
        <v>14170.9563</v>
      </c>
      <c r="AF32" s="62">
        <f t="shared" si="3"/>
        <v>696.53853000000004</v>
      </c>
      <c r="AG32" s="192">
        <v>0</v>
      </c>
      <c r="AH32" s="62">
        <f t="shared" si="4"/>
        <v>437.25019389480923</v>
      </c>
      <c r="AI32" s="62">
        <f t="shared" si="5"/>
        <v>141.47892274399405</v>
      </c>
      <c r="AJ32" s="62"/>
      <c r="AK32" s="62">
        <v>0</v>
      </c>
      <c r="AL32" s="256">
        <f t="shared" si="11"/>
        <v>23389.983946638804</v>
      </c>
      <c r="AM32" s="256">
        <f t="shared" si="12"/>
        <v>48037.14</v>
      </c>
      <c r="AN32" s="256">
        <f t="shared" si="13"/>
        <v>71427.123946638807</v>
      </c>
    </row>
    <row r="33" spans="1:40" x14ac:dyDescent="0.2">
      <c r="A33" s="3" t="str">
        <f>IF('Employee Detail FY21'!A35="","",'Employee Detail FY21'!A35)</f>
        <v/>
      </c>
      <c r="B33" s="278">
        <f>IF('Employee Detail FY21'!B35="","",'Employee Detail FY21'!B35)</f>
        <v>280</v>
      </c>
      <c r="C33" s="424">
        <f>IF('Employee Detail FY21'!C35="","",'Employee Detail FY21'!C35)</f>
        <v>633</v>
      </c>
      <c r="D33" s="278"/>
      <c r="E33" s="278">
        <f>IF('Employee Detail FY21'!E35="","",'Employee Detail FY21'!E35)</f>
        <v>430</v>
      </c>
      <c r="F33" s="278">
        <f>IF('Employee Detail FY21'!F35="","",'Employee Detail FY21'!F35)</f>
        <v>2210</v>
      </c>
      <c r="G33" s="425" t="str">
        <f>IF('Employee Detail FY21'!G35="","",'Employee Detail FY21'!G35)</f>
        <v>0101</v>
      </c>
      <c r="H33" s="278"/>
      <c r="I33" s="3" t="str">
        <f>IF('Employee Detail FY21'!I35="","",'Employee Detail FY21'!I35)</f>
        <v>Wilnewic</v>
      </c>
      <c r="J33" s="3" t="str">
        <f>IF('Employee Detail FY21'!J35="","",'Employee Detail FY21'!J35)</f>
        <v>Jennifer</v>
      </c>
      <c r="K33" s="3" t="str">
        <f>IF('Employee Detail FY21'!K35="","",'Employee Detail FY21'!K35)</f>
        <v>Licensed Staff</v>
      </c>
      <c r="L33" s="3" t="str">
        <f>IF('Employee Detail FY21'!L35="","",'Employee Detail FY21'!L35)</f>
        <v>Math Facilitator</v>
      </c>
      <c r="M33" s="3">
        <f>IF('Employee Detail FY21'!M35="","",'Employee Detail FY21'!M35)</f>
        <v>1</v>
      </c>
      <c r="N33" s="3" t="str">
        <f>IF('Employee Detail FY21'!N35="","",'Employee Detail FY21'!N35)</f>
        <v/>
      </c>
      <c r="O33" s="3">
        <f>IF('Employee Detail FY21'!O35="","",'Employee Detail FY21'!O35)</f>
        <v>1</v>
      </c>
      <c r="P33" s="3" t="str">
        <f>IF('Employee Detail FY21'!P35="","",'Employee Detail FY21'!P35)</f>
        <v>ER</v>
      </c>
      <c r="Q33" s="3" t="str">
        <f>IF('Employee Detail FY21'!Q35="","",'Employee Detail FY21'!Q35)</f>
        <v/>
      </c>
      <c r="R33" s="3">
        <f>IF('Employee Detail FY21'!R35="","",'Employee Detail FY21'!R35)</f>
        <v>180</v>
      </c>
      <c r="S33" s="3">
        <f>IF('Employee Detail FY21'!S35="","",'Employee Detail FY21'!S35)</f>
        <v>32</v>
      </c>
      <c r="T33" s="263">
        <f t="shared" si="6"/>
        <v>5760</v>
      </c>
      <c r="U33" s="269">
        <f>IF('Employee Detail FY21'!U35="","",'Employee Detail FY21'!U35)</f>
        <v>64411</v>
      </c>
      <c r="V33" s="270">
        <f t="shared" si="7"/>
        <v>66343.33</v>
      </c>
      <c r="W33" s="270" t="str">
        <f t="shared" si="8"/>
        <v/>
      </c>
      <c r="X33" s="270">
        <f t="shared" si="9"/>
        <v>66343.33</v>
      </c>
      <c r="Y33" s="62">
        <v>0</v>
      </c>
      <c r="Z33" s="62">
        <v>0</v>
      </c>
      <c r="AA33" s="256">
        <f t="shared" si="10"/>
        <v>66343.33</v>
      </c>
      <c r="AB33" s="3"/>
      <c r="AC33" s="62">
        <f>IF('Employee Detail FY21'!AC35="","",'Employee Detail FY21'!AC35)</f>
        <v>7943.76</v>
      </c>
      <c r="AD33" s="62" t="str">
        <f t="shared" si="1"/>
        <v/>
      </c>
      <c r="AE33" s="62">
        <f t="shared" si="2"/>
        <v>19571.282349999998</v>
      </c>
      <c r="AF33" s="62">
        <f t="shared" si="3"/>
        <v>961.97828500000003</v>
      </c>
      <c r="AG33" s="192">
        <v>0</v>
      </c>
      <c r="AH33" s="62">
        <f t="shared" si="4"/>
        <v>603.87928811180927</v>
      </c>
      <c r="AI33" s="62">
        <f t="shared" si="5"/>
        <v>195.39428991087524</v>
      </c>
      <c r="AJ33" s="62"/>
      <c r="AK33" s="62">
        <v>0</v>
      </c>
      <c r="AL33" s="256">
        <f t="shared" si="11"/>
        <v>29276.294213022684</v>
      </c>
      <c r="AM33" s="256">
        <f t="shared" si="12"/>
        <v>66343.33</v>
      </c>
      <c r="AN33" s="256">
        <f t="shared" si="13"/>
        <v>95619.624213022689</v>
      </c>
    </row>
    <row r="34" spans="1:40" x14ac:dyDescent="0.2">
      <c r="A34" s="3" t="str">
        <f>IF('Employee Detail FY21'!A36="","",'Employee Detail FY21'!A36)</f>
        <v/>
      </c>
      <c r="B34" s="278">
        <f>IF('Employee Detail FY21'!B36="","",'Employee Detail FY21'!B36)</f>
        <v>100</v>
      </c>
      <c r="C34" s="278" t="str">
        <f>IF('Employee Detail FY21'!C36="","",'Employee Detail FY21'!C36)</f>
        <v>000</v>
      </c>
      <c r="D34" s="278"/>
      <c r="E34" s="278">
        <f>IF('Employee Detail FY21'!E36="","",'Employee Detail FY21'!E36)</f>
        <v>100</v>
      </c>
      <c r="F34" s="278" t="str">
        <f>IF('Employee Detail FY21'!F36="","",'Employee Detail FY21'!F36)</f>
        <v>2110</v>
      </c>
      <c r="G34" s="278" t="str">
        <f>IF('Employee Detail FY21'!G36="","",'Employee Detail FY21'!G36)</f>
        <v>0107</v>
      </c>
      <c r="H34" s="278"/>
      <c r="I34" s="3" t="str">
        <f>IF('Employee Detail FY21'!I36="","",'Employee Detail FY21'!I36)</f>
        <v>Zeidler</v>
      </c>
      <c r="J34" s="3" t="str">
        <f>IF('Employee Detail FY21'!J36="","",'Employee Detail FY21'!J36)</f>
        <v>Linda</v>
      </c>
      <c r="K34" s="3" t="str">
        <f>IF('Employee Detail FY21'!K36="","",'Employee Detail FY21'!K36)</f>
        <v>Support Staff</v>
      </c>
      <c r="L34" s="3" t="str">
        <f>IF('Employee Detail FY21'!L36="","",'Employee Detail FY21'!L36)</f>
        <v>Attendance Clerk</v>
      </c>
      <c r="M34" s="3">
        <f>IF('Employee Detail FY21'!M36="","",'Employee Detail FY21'!M36)</f>
        <v>1</v>
      </c>
      <c r="N34" s="3" t="str">
        <f>IF('Employee Detail FY21'!N36="","",'Employee Detail FY21'!N36)</f>
        <v/>
      </c>
      <c r="O34" s="3">
        <f>IF('Employee Detail FY21'!O36="","",'Employee Detail FY21'!O36)</f>
        <v>1</v>
      </c>
      <c r="P34" s="3" t="str">
        <f>IF('Employee Detail FY21'!P36="","",'Employee Detail FY21'!P36)</f>
        <v>ER</v>
      </c>
      <c r="Q34" s="3" t="str">
        <f>IF('Employee Detail FY21'!Q36="","",'Employee Detail FY21'!Q36)</f>
        <v/>
      </c>
      <c r="R34" s="3">
        <f>IF('Employee Detail FY21'!R36="","",'Employee Detail FY21'!R36)</f>
        <v>191</v>
      </c>
      <c r="S34" s="3">
        <f>IF('Employee Detail FY21'!S36="","",'Employee Detail FY21'!S36)</f>
        <v>8</v>
      </c>
      <c r="T34" s="263">
        <f t="shared" si="6"/>
        <v>1528</v>
      </c>
      <c r="U34" s="269">
        <f>IF('Employee Detail FY21'!U36="","",'Employee Detail FY21'!U36)</f>
        <v>45000</v>
      </c>
      <c r="V34" s="270">
        <f t="shared" si="7"/>
        <v>46350</v>
      </c>
      <c r="W34" s="270" t="str">
        <f t="shared" si="8"/>
        <v/>
      </c>
      <c r="X34" s="270">
        <f t="shared" si="9"/>
        <v>46350</v>
      </c>
      <c r="Y34" s="62">
        <v>0</v>
      </c>
      <c r="Z34" s="62">
        <v>0</v>
      </c>
      <c r="AA34" s="256">
        <f t="shared" si="10"/>
        <v>46350</v>
      </c>
      <c r="AB34" s="3"/>
      <c r="AC34" s="62">
        <f>IF('Employee Detail FY21'!AC36="","",'Employee Detail FY21'!AC36)</f>
        <v>7943.76</v>
      </c>
      <c r="AD34" s="62" t="str">
        <f t="shared" si="1"/>
        <v/>
      </c>
      <c r="AE34" s="62">
        <f t="shared" si="2"/>
        <v>13673.25</v>
      </c>
      <c r="AF34" s="62">
        <f t="shared" si="3"/>
        <v>672.07500000000005</v>
      </c>
      <c r="AG34" s="192">
        <v>0</v>
      </c>
      <c r="AH34" s="62">
        <f t="shared" si="4"/>
        <v>421.89327855539295</v>
      </c>
      <c r="AI34" s="62">
        <f t="shared" si="5"/>
        <v>136.50996019296994</v>
      </c>
      <c r="AJ34" s="62"/>
      <c r="AK34" s="62">
        <v>0</v>
      </c>
      <c r="AL34" s="256">
        <f t="shared" si="11"/>
        <v>22847.488238748363</v>
      </c>
      <c r="AM34" s="256">
        <f t="shared" si="12"/>
        <v>46350</v>
      </c>
      <c r="AN34" s="256">
        <f t="shared" si="13"/>
        <v>69197.488238748367</v>
      </c>
    </row>
    <row r="35" spans="1:40" x14ac:dyDescent="0.2">
      <c r="A35" s="311" t="str">
        <f>IF('Employee Detail FY21'!A37="","",'Employee Detail FY21'!A37)</f>
        <v/>
      </c>
      <c r="B35" s="351" t="str">
        <f>IF('Employee Detail FY21'!B37="","",'Employee Detail FY21'!B37)</f>
        <v/>
      </c>
      <c r="C35" s="351" t="str">
        <f>IF('Employee Detail FY21'!C37="","",'Employee Detail FY21'!C37)</f>
        <v/>
      </c>
      <c r="D35" s="351"/>
      <c r="E35" s="351" t="str">
        <f>IF('Employee Detail FY21'!E37="","",'Employee Detail FY21'!E37)</f>
        <v/>
      </c>
      <c r="F35" s="351" t="str">
        <f>IF('Employee Detail FY21'!F37="","",'Employee Detail FY21'!F37)</f>
        <v/>
      </c>
      <c r="G35" s="351" t="str">
        <f>IF('Employee Detail FY21'!G37="","",'Employee Detail FY21'!G37)</f>
        <v/>
      </c>
      <c r="H35" s="351"/>
      <c r="I35" s="311" t="str">
        <f>IF('Employee Detail FY21'!I37="","",'Employee Detail FY21'!I37)</f>
        <v/>
      </c>
      <c r="J35" s="311" t="str">
        <f>IF('Employee Detail FY21'!J37="","",'Employee Detail FY21'!J37)</f>
        <v/>
      </c>
      <c r="K35" s="311" t="str">
        <f>IF('Employee Detail FY21'!K37="","",'Employee Detail FY21'!K37)</f>
        <v/>
      </c>
      <c r="L35" s="311" t="str">
        <f>IF('Employee Detail FY21'!L37="","",'Employee Detail FY21'!L37)</f>
        <v/>
      </c>
      <c r="M35" s="311" t="str">
        <f>IF('Employee Detail FY21'!M37="","",'Employee Detail FY21'!M37)</f>
        <v/>
      </c>
      <c r="N35" s="311" t="str">
        <f>IF('Employee Detail FY21'!N37="","",'Employee Detail FY21'!N37)</f>
        <v/>
      </c>
      <c r="O35" s="311" t="str">
        <f>IF('Employee Detail FY21'!O37="","",'Employee Detail FY21'!O37)</f>
        <v/>
      </c>
      <c r="P35" s="311" t="str">
        <f>IF('Employee Detail FY21'!P37="","",'Employee Detail FY21'!P37)</f>
        <v/>
      </c>
      <c r="Q35" s="311" t="str">
        <f>IF('Employee Detail FY21'!Q37="","",'Employee Detail FY21'!Q37)</f>
        <v/>
      </c>
      <c r="R35" s="311" t="str">
        <f>IF('Employee Detail FY21'!R37="","",'Employee Detail FY21'!R37)</f>
        <v/>
      </c>
      <c r="S35" s="311" t="str">
        <f>IF('Employee Detail FY21'!S37="","",'Employee Detail FY21'!S37)</f>
        <v/>
      </c>
      <c r="T35" s="263" t="str">
        <f t="shared" si="6"/>
        <v/>
      </c>
      <c r="U35" s="269" t="str">
        <f>IF('Employee Detail FY21'!U37="","",'Employee Detail FY21'!U37)</f>
        <v/>
      </c>
      <c r="V35" s="270" t="str">
        <f t="shared" si="7"/>
        <v/>
      </c>
      <c r="W35" s="270" t="str">
        <f t="shared" si="8"/>
        <v/>
      </c>
      <c r="X35" s="270" t="str">
        <f t="shared" si="9"/>
        <v/>
      </c>
      <c r="Y35" s="62">
        <v>0</v>
      </c>
      <c r="Z35" s="62">
        <v>0</v>
      </c>
      <c r="AA35" s="256">
        <f t="shared" si="10"/>
        <v>0</v>
      </c>
      <c r="AB35" s="3"/>
      <c r="AC35" s="62" t="str">
        <f>IF('Employee Detail FY21'!AC37="","",'Employee Detail FY21'!AC37)</f>
        <v/>
      </c>
      <c r="AD35" s="62" t="str">
        <f t="shared" si="1"/>
        <v/>
      </c>
      <c r="AE35" s="62" t="str">
        <f t="shared" si="2"/>
        <v/>
      </c>
      <c r="AF35" s="62" t="str">
        <f t="shared" si="3"/>
        <v/>
      </c>
      <c r="AG35" s="192">
        <v>0</v>
      </c>
      <c r="AH35" s="62" t="str">
        <f t="shared" si="4"/>
        <v/>
      </c>
      <c r="AI35" s="62">
        <f t="shared" si="5"/>
        <v>0</v>
      </c>
      <c r="AJ35" s="62"/>
      <c r="AK35" s="62">
        <v>0</v>
      </c>
      <c r="AL35" s="256">
        <f t="shared" si="11"/>
        <v>0</v>
      </c>
      <c r="AM35" s="256">
        <f t="shared" si="12"/>
        <v>0</v>
      </c>
      <c r="AN35" s="256">
        <f t="shared" si="13"/>
        <v>0</v>
      </c>
    </row>
    <row r="36" spans="1:40" x14ac:dyDescent="0.2">
      <c r="A36" s="3" t="str">
        <f>IF('Employee Detail FY21'!A38="","",'Employee Detail FY21'!A38)</f>
        <v/>
      </c>
      <c r="B36" s="278" t="str">
        <f>IF('Employee Detail FY21'!B38="","",'Employee Detail FY21'!B38)</f>
        <v>100</v>
      </c>
      <c r="C36" s="278" t="str">
        <f>IF('Employee Detail FY21'!C38="","",'Employee Detail FY21'!C38)</f>
        <v>000</v>
      </c>
      <c r="D36" s="278"/>
      <c r="E36" s="278" t="str">
        <f>IF('Employee Detail FY21'!E38="","",'Employee Detail FY21'!E38)</f>
        <v>140</v>
      </c>
      <c r="F36" s="278" t="str">
        <f>IF('Employee Detail FY21'!F38="","",'Employee Detail FY21'!F38)</f>
        <v>1000</v>
      </c>
      <c r="G36" s="425" t="str">
        <f>IF('Employee Detail FY21'!G38="","",'Employee Detail FY21'!G38)</f>
        <v>0101</v>
      </c>
      <c r="H36" s="278"/>
      <c r="I36" s="3" t="str">
        <f>IF('Employee Detail FY21'!I38="","",'Employee Detail FY21'!I38)</f>
        <v>SUMMER SCHOOL</v>
      </c>
      <c r="J36" s="3" t="str">
        <f>IF('Employee Detail FY21'!J38="","",'Employee Detail FY21'!J38)</f>
        <v>SUMMER SCHOOL</v>
      </c>
      <c r="K36" s="3" t="str">
        <f>IF('Employee Detail FY21'!K38="","",'Employee Detail FY21'!K38)</f>
        <v>Licensed Staff</v>
      </c>
      <c r="L36" s="3" t="str">
        <f>IF('Employee Detail FY21'!L38="","",'Employee Detail FY21'!L38)</f>
        <v>SUMMER SCHOOL</v>
      </c>
      <c r="M36" s="3" t="str">
        <f>IF('Employee Detail FY21'!M38="","",'Employee Detail FY21'!M38)</f>
        <v/>
      </c>
      <c r="N36" s="3" t="str">
        <f>IF('Employee Detail FY21'!N38="","",'Employee Detail FY21'!N38)</f>
        <v/>
      </c>
      <c r="O36" s="3" t="str">
        <f>IF('Employee Detail FY21'!O38="","",'Employee Detail FY21'!O38)</f>
        <v/>
      </c>
      <c r="P36" s="3" t="str">
        <f>IF('Employee Detail FY21'!P38="","",'Employee Detail FY21'!P38)</f>
        <v/>
      </c>
      <c r="Q36" s="3" t="str">
        <f>IF('Employee Detail FY21'!Q38="","",'Employee Detail FY21'!Q38)</f>
        <v/>
      </c>
      <c r="R36" s="3" t="str">
        <f>IF('Employee Detail FY21'!R38="","",'Employee Detail FY21'!R38)</f>
        <v/>
      </c>
      <c r="S36" s="3" t="str">
        <f>IF('Employee Detail FY21'!S38="","",'Employee Detail FY21'!S38)</f>
        <v/>
      </c>
      <c r="T36" s="263" t="str">
        <f t="shared" si="6"/>
        <v/>
      </c>
      <c r="U36" s="269" t="str">
        <f>IF('Employee Detail FY21'!U38="","",'Employee Detail FY21'!U38)</f>
        <v/>
      </c>
      <c r="V36" s="270" t="str">
        <f t="shared" si="7"/>
        <v/>
      </c>
      <c r="W36" s="270" t="str">
        <f t="shared" si="8"/>
        <v/>
      </c>
      <c r="X36" s="270" t="str">
        <f t="shared" si="9"/>
        <v/>
      </c>
      <c r="Y36" s="62">
        <v>0</v>
      </c>
      <c r="Z36" s="62">
        <v>0</v>
      </c>
      <c r="AA36" s="256">
        <f t="shared" si="10"/>
        <v>0</v>
      </c>
      <c r="AB36" s="3"/>
      <c r="AC36" s="62" t="str">
        <f>IF('Employee Detail FY21'!AC38="","",'Employee Detail FY21'!AC38)</f>
        <v/>
      </c>
      <c r="AD36" s="62" t="str">
        <f t="shared" si="1"/>
        <v/>
      </c>
      <c r="AE36" s="62" t="str">
        <f t="shared" si="2"/>
        <v/>
      </c>
      <c r="AF36" s="62" t="str">
        <f t="shared" si="3"/>
        <v/>
      </c>
      <c r="AG36" s="192">
        <v>0</v>
      </c>
      <c r="AH36" s="62" t="str">
        <f t="shared" si="4"/>
        <v/>
      </c>
      <c r="AI36" s="62">
        <f t="shared" si="5"/>
        <v>0</v>
      </c>
      <c r="AJ36" s="62"/>
      <c r="AK36" s="62">
        <v>0</v>
      </c>
      <c r="AL36" s="256">
        <f t="shared" si="11"/>
        <v>0</v>
      </c>
      <c r="AM36" s="256">
        <f t="shared" si="12"/>
        <v>0</v>
      </c>
      <c r="AN36" s="256">
        <f t="shared" si="13"/>
        <v>0</v>
      </c>
    </row>
    <row r="37" spans="1:40" x14ac:dyDescent="0.2">
      <c r="A37" s="3" t="str">
        <f>IF('Employee Detail FY21'!A39="","",'Employee Detail FY21'!A39)</f>
        <v/>
      </c>
      <c r="B37" s="278" t="str">
        <f>IF('Employee Detail FY21'!B39="","",'Employee Detail FY21'!B39)</f>
        <v>280</v>
      </c>
      <c r="C37" s="278" t="str">
        <f>IF('Employee Detail FY21'!C39="","",'Employee Detail FY21'!C39)</f>
        <v>639</v>
      </c>
      <c r="D37" s="278"/>
      <c r="E37" s="278" t="str">
        <f>IF('Employee Detail FY21'!E39="","",'Employee Detail FY21'!E39)</f>
        <v>240</v>
      </c>
      <c r="F37" s="278" t="str">
        <f>IF('Employee Detail FY21'!F39="","",'Employee Detail FY21'!F39)</f>
        <v>1000</v>
      </c>
      <c r="G37" s="425" t="str">
        <f>IF('Employee Detail FY21'!G39="","",'Employee Detail FY21'!G39)</f>
        <v>0101</v>
      </c>
      <c r="H37" s="278"/>
      <c r="I37" s="3" t="str">
        <f>IF('Employee Detail FY21'!I39="","",'Employee Detail FY21'!I39)</f>
        <v>SUMMER SCHOOL</v>
      </c>
      <c r="J37" s="3" t="str">
        <f>IF('Employee Detail FY21'!J39="","",'Employee Detail FY21'!J39)</f>
        <v>EXTENDED SCHOOL YEAR</v>
      </c>
      <c r="K37" s="3" t="str">
        <f>IF('Employee Detail FY21'!K39="","",'Employee Detail FY21'!K39)</f>
        <v>Licensed Staff</v>
      </c>
      <c r="L37" s="3" t="str">
        <f>IF('Employee Detail FY21'!L39="","",'Employee Detail FY21'!L39)</f>
        <v>SUMMER SCHOOL EXTENDED SCHOOL YEAR</v>
      </c>
      <c r="M37" s="3" t="str">
        <f>IF('Employee Detail FY21'!M39="","",'Employee Detail FY21'!M39)</f>
        <v/>
      </c>
      <c r="N37" s="3" t="str">
        <f>IF('Employee Detail FY21'!N39="","",'Employee Detail FY21'!N39)</f>
        <v/>
      </c>
      <c r="O37" s="3" t="str">
        <f>IF('Employee Detail FY21'!O39="","",'Employee Detail FY21'!O39)</f>
        <v/>
      </c>
      <c r="P37" s="3" t="str">
        <f>IF('Employee Detail FY21'!P39="","",'Employee Detail FY21'!P39)</f>
        <v/>
      </c>
      <c r="Q37" s="3" t="str">
        <f>IF('Employee Detail FY21'!Q39="","",'Employee Detail FY21'!Q39)</f>
        <v/>
      </c>
      <c r="R37" s="3" t="str">
        <f>IF('Employee Detail FY21'!R39="","",'Employee Detail FY21'!R39)</f>
        <v/>
      </c>
      <c r="S37" s="3" t="str">
        <f>IF('Employee Detail FY21'!S39="","",'Employee Detail FY21'!S39)</f>
        <v/>
      </c>
      <c r="T37" s="263" t="str">
        <f t="shared" si="6"/>
        <v/>
      </c>
      <c r="U37" s="269" t="str">
        <f>IF('Employee Detail FY21'!U39="","",'Employee Detail FY21'!U39)</f>
        <v/>
      </c>
      <c r="V37" s="270" t="str">
        <f t="shared" si="7"/>
        <v/>
      </c>
      <c r="W37" s="270" t="str">
        <f t="shared" si="8"/>
        <v/>
      </c>
      <c r="X37" s="270" t="str">
        <f t="shared" si="9"/>
        <v/>
      </c>
      <c r="Y37" s="62">
        <v>0</v>
      </c>
      <c r="Z37" s="62">
        <v>0</v>
      </c>
      <c r="AA37" s="256">
        <f t="shared" si="10"/>
        <v>0</v>
      </c>
      <c r="AB37" s="3"/>
      <c r="AC37" s="62" t="str">
        <f>IF('Employee Detail FY21'!AC39="","",'Employee Detail FY21'!AC39)</f>
        <v/>
      </c>
      <c r="AD37" s="62" t="str">
        <f t="shared" si="1"/>
        <v/>
      </c>
      <c r="AE37" s="62" t="str">
        <f t="shared" si="2"/>
        <v/>
      </c>
      <c r="AF37" s="62" t="str">
        <f t="shared" si="3"/>
        <v/>
      </c>
      <c r="AG37" s="192">
        <v>0</v>
      </c>
      <c r="AH37" s="62" t="str">
        <f t="shared" si="4"/>
        <v/>
      </c>
      <c r="AI37" s="62">
        <f t="shared" si="5"/>
        <v>0</v>
      </c>
      <c r="AJ37" s="62"/>
      <c r="AK37" s="62">
        <v>0</v>
      </c>
      <c r="AL37" s="256">
        <f t="shared" si="11"/>
        <v>0</v>
      </c>
      <c r="AM37" s="256">
        <f t="shared" si="12"/>
        <v>0</v>
      </c>
      <c r="AN37" s="256">
        <f t="shared" si="13"/>
        <v>0</v>
      </c>
    </row>
    <row r="38" spans="1:40" x14ac:dyDescent="0.2">
      <c r="A38" s="3" t="str">
        <f>IF('Employee Detail FY21'!A40="","",'Employee Detail FY21'!A40)</f>
        <v/>
      </c>
      <c r="B38" s="278" t="str">
        <f>IF('Employee Detail FY21'!B40="","",'Employee Detail FY21'!B40)</f>
        <v>100</v>
      </c>
      <c r="C38" s="278" t="str">
        <f>IF('Employee Detail FY21'!C40="","",'Employee Detail FY21'!C40)</f>
        <v>000</v>
      </c>
      <c r="D38" s="278"/>
      <c r="E38" s="278" t="str">
        <f>IF('Employee Detail FY21'!E40="","",'Employee Detail FY21'!E40)</f>
        <v>100</v>
      </c>
      <c r="F38" s="278" t="str">
        <f>IF('Employee Detail FY21'!F40="","",'Employee Detail FY21'!F40)</f>
        <v>1000</v>
      </c>
      <c r="G38" s="425" t="str">
        <f>IF('Employee Detail FY21'!G40="","",'Employee Detail FY21'!G40)</f>
        <v>0103</v>
      </c>
      <c r="H38" s="278"/>
      <c r="I38" s="3" t="str">
        <f>IF('Employee Detail FY21'!I40="","",'Employee Detail FY21'!I40)</f>
        <v>SUBSTITUTE</v>
      </c>
      <c r="J38" s="3" t="str">
        <f>IF('Employee Detail FY21'!J40="","",'Employee Detail FY21'!J40)</f>
        <v>SUBSTITUTE</v>
      </c>
      <c r="K38" s="3" t="str">
        <f>IF('Employee Detail FY21'!K40="","",'Employee Detail FY21'!K40)</f>
        <v>Licensed Staff</v>
      </c>
      <c r="L38" s="3" t="str">
        <f>IF('Employee Detail FY21'!L40="","",'Employee Detail FY21'!L40)</f>
        <v>SUBSTITUTE</v>
      </c>
      <c r="M38" s="3">
        <f>IF('Employee Detail FY21'!M40="","",'Employee Detail FY21'!M40)</f>
        <v>0</v>
      </c>
      <c r="N38" s="3" t="str">
        <f>IF('Employee Detail FY21'!N40="","",'Employee Detail FY21'!N40)</f>
        <v/>
      </c>
      <c r="O38" s="3" t="str">
        <f>IF('Employee Detail FY21'!O40="","",'Employee Detail FY21'!O40)</f>
        <v/>
      </c>
      <c r="P38" s="3" t="str">
        <f>IF('Employee Detail FY21'!P40="","",'Employee Detail FY21'!P40)</f>
        <v>N</v>
      </c>
      <c r="Q38" s="3" t="str">
        <f>IF('Employee Detail FY21'!Q40="","",'Employee Detail FY21'!Q40)</f>
        <v/>
      </c>
      <c r="R38" s="3" t="str">
        <f>IF('Employee Detail FY21'!R40="","",'Employee Detail FY21'!R40)</f>
        <v/>
      </c>
      <c r="S38" s="3" t="str">
        <f>IF('Employee Detail FY21'!S40="","",'Employee Detail FY21'!S40)</f>
        <v/>
      </c>
      <c r="T38" s="263" t="str">
        <f t="shared" si="6"/>
        <v/>
      </c>
      <c r="U38" s="269">
        <f>IF('Employee Detail FY21'!U40="","",'Employee Detail FY21'!U40)</f>
        <v>431.25</v>
      </c>
      <c r="V38" s="270">
        <f t="shared" si="7"/>
        <v>444.1875</v>
      </c>
      <c r="W38" s="270" t="str">
        <f t="shared" si="8"/>
        <v/>
      </c>
      <c r="X38" s="270">
        <f t="shared" si="9"/>
        <v>444.1875</v>
      </c>
      <c r="Y38" s="62">
        <v>0</v>
      </c>
      <c r="Z38" s="62">
        <v>0</v>
      </c>
      <c r="AA38" s="256">
        <f t="shared" si="10"/>
        <v>444.1875</v>
      </c>
      <c r="AB38" s="3"/>
      <c r="AC38" s="62" t="str">
        <f>IF('Employee Detail FY21'!AC40="","",'Employee Detail FY21'!AC40)</f>
        <v/>
      </c>
      <c r="AD38" s="62">
        <f t="shared" si="1"/>
        <v>27.539625000000001</v>
      </c>
      <c r="AE38" s="62" t="str">
        <f t="shared" si="2"/>
        <v/>
      </c>
      <c r="AF38" s="62">
        <f t="shared" si="3"/>
        <v>6.4407187500000003</v>
      </c>
      <c r="AG38" s="192">
        <v>0</v>
      </c>
      <c r="AH38" s="62">
        <f t="shared" si="4"/>
        <v>4.0431439194891823</v>
      </c>
      <c r="AI38" s="62">
        <f t="shared" si="5"/>
        <v>1.3082204518492953</v>
      </c>
      <c r="AJ38" s="62"/>
      <c r="AK38" s="62">
        <v>0</v>
      </c>
      <c r="AL38" s="256">
        <f t="shared" si="11"/>
        <v>39.33170812133848</v>
      </c>
      <c r="AM38" s="256">
        <f t="shared" si="12"/>
        <v>444.1875</v>
      </c>
      <c r="AN38" s="256">
        <f t="shared" si="13"/>
        <v>483.51920812133847</v>
      </c>
    </row>
    <row r="39" spans="1:40" x14ac:dyDescent="0.2">
      <c r="A39" s="311" t="str">
        <f>IF('Employee Detail FY21'!A41="","",'Employee Detail FY21'!A41)</f>
        <v/>
      </c>
      <c r="B39" s="351" t="str">
        <f>IF('Employee Detail FY21'!B41="","",'Employee Detail FY21'!B41)</f>
        <v/>
      </c>
      <c r="C39" s="351" t="str">
        <f>IF('Employee Detail FY21'!C41="","",'Employee Detail FY21'!C41)</f>
        <v/>
      </c>
      <c r="D39" s="351"/>
      <c r="E39" s="351" t="str">
        <f>IF('Employee Detail FY21'!E41="","",'Employee Detail FY21'!E41)</f>
        <v/>
      </c>
      <c r="F39" s="351" t="str">
        <f>IF('Employee Detail FY21'!F41="","",'Employee Detail FY21'!F41)</f>
        <v/>
      </c>
      <c r="G39" s="351" t="str">
        <f>IF('Employee Detail FY21'!G41="","",'Employee Detail FY21'!G41)</f>
        <v/>
      </c>
      <c r="H39" s="351"/>
      <c r="I39" s="311" t="str">
        <f>IF('Employee Detail FY21'!I41="","",'Employee Detail FY21'!I41)</f>
        <v/>
      </c>
      <c r="J39" s="311" t="str">
        <f>IF('Employee Detail FY21'!J41="","",'Employee Detail FY21'!J41)</f>
        <v/>
      </c>
      <c r="K39" s="311" t="str">
        <f>IF('Employee Detail FY21'!K41="","",'Employee Detail FY21'!K41)</f>
        <v/>
      </c>
      <c r="L39" s="311" t="str">
        <f>IF('Employee Detail FY21'!L41="","",'Employee Detail FY21'!L41)</f>
        <v/>
      </c>
      <c r="M39" s="311" t="str">
        <f>IF('Employee Detail FY21'!M41="","",'Employee Detail FY21'!M41)</f>
        <v/>
      </c>
      <c r="N39" s="311" t="str">
        <f>IF('Employee Detail FY21'!N41="","",'Employee Detail FY21'!N41)</f>
        <v/>
      </c>
      <c r="O39" s="311" t="str">
        <f>IF('Employee Detail FY21'!O41="","",'Employee Detail FY21'!O41)</f>
        <v/>
      </c>
      <c r="P39" s="311" t="str">
        <f>IF('Employee Detail FY21'!P41="","",'Employee Detail FY21'!P41)</f>
        <v/>
      </c>
      <c r="Q39" s="311" t="str">
        <f>IF('Employee Detail FY21'!Q41="","",'Employee Detail FY21'!Q41)</f>
        <v/>
      </c>
      <c r="R39" s="311" t="str">
        <f>IF('Employee Detail FY21'!R41="","",'Employee Detail FY21'!R41)</f>
        <v/>
      </c>
      <c r="S39" s="311" t="str">
        <f>IF('Employee Detail FY21'!S41="","",'Employee Detail FY21'!S41)</f>
        <v/>
      </c>
      <c r="T39" s="263" t="str">
        <f t="shared" si="6"/>
        <v/>
      </c>
      <c r="U39" s="269" t="str">
        <f>IF('Employee Detail FY21'!U41="","",'Employee Detail FY21'!U41)</f>
        <v/>
      </c>
      <c r="V39" s="270" t="str">
        <f t="shared" si="7"/>
        <v/>
      </c>
      <c r="W39" s="270" t="str">
        <f t="shared" si="8"/>
        <v/>
      </c>
      <c r="X39" s="270" t="str">
        <f t="shared" si="9"/>
        <v/>
      </c>
      <c r="Y39" s="62">
        <v>0</v>
      </c>
      <c r="Z39" s="62">
        <v>0</v>
      </c>
      <c r="AA39" s="256">
        <f t="shared" si="10"/>
        <v>0</v>
      </c>
      <c r="AB39" s="3"/>
      <c r="AC39" s="62" t="str">
        <f>IF('Employee Detail FY21'!AC41="","",'Employee Detail FY21'!AC41)</f>
        <v/>
      </c>
      <c r="AD39" s="62" t="str">
        <f t="shared" si="1"/>
        <v/>
      </c>
      <c r="AE39" s="62" t="str">
        <f t="shared" si="2"/>
        <v/>
      </c>
      <c r="AF39" s="62" t="str">
        <f t="shared" si="3"/>
        <v/>
      </c>
      <c r="AG39" s="192">
        <v>0</v>
      </c>
      <c r="AH39" s="62" t="str">
        <f t="shared" si="4"/>
        <v/>
      </c>
      <c r="AI39" s="62">
        <f t="shared" si="5"/>
        <v>0</v>
      </c>
      <c r="AJ39" s="62"/>
      <c r="AK39" s="62">
        <v>0</v>
      </c>
      <c r="AL39" s="256">
        <f t="shared" si="11"/>
        <v>0</v>
      </c>
      <c r="AM39" s="256">
        <f t="shared" si="12"/>
        <v>0</v>
      </c>
      <c r="AN39" s="256">
        <f t="shared" si="13"/>
        <v>0</v>
      </c>
    </row>
    <row r="40" spans="1:40" x14ac:dyDescent="0.2">
      <c r="A40" s="3" t="str">
        <f>IF('Employee Detail FY21'!A60="","",'Employee Detail FY21'!A60)</f>
        <v>TERMED</v>
      </c>
      <c r="B40" s="278">
        <f>IF('Employee Detail FY21'!B60="","",'Employee Detail FY21'!B60)</f>
        <v>100</v>
      </c>
      <c r="C40" s="278" t="str">
        <f>IF('Employee Detail FY21'!C60="","",'Employee Detail FY21'!C60)</f>
        <v>000</v>
      </c>
      <c r="D40" s="278"/>
      <c r="E40" s="278">
        <f>IF('Employee Detail FY21'!E60="","",'Employee Detail FY21'!E60)</f>
        <v>100</v>
      </c>
      <c r="F40" s="278" t="str">
        <f>IF('Employee Detail FY21'!F60="","",'Employee Detail FY21'!F60)</f>
        <v>2410</v>
      </c>
      <c r="G40" s="278" t="str">
        <f>IF('Employee Detail FY21'!G60="","",'Employee Detail FY21'!G60)</f>
        <v>0107</v>
      </c>
      <c r="H40" s="278"/>
      <c r="I40" s="3" t="str">
        <f>IF('Employee Detail FY21'!I60="","",'Employee Detail FY21'!I60)</f>
        <v>TBD</v>
      </c>
      <c r="J40" s="3" t="str">
        <f>IF('Employee Detail FY21'!J60="","",'Employee Detail FY21'!J60)</f>
        <v>TBD</v>
      </c>
      <c r="K40" s="3" t="str">
        <f>IF('Employee Detail FY21'!K60="","",'Employee Detail FY21'!K60)</f>
        <v>Support Staff</v>
      </c>
      <c r="L40" s="3" t="str">
        <f>IF('Employee Detail FY21'!L60="","",'Employee Detail FY21'!L60)</f>
        <v>Enrollment Specialist</v>
      </c>
      <c r="M40" s="3">
        <f>IF('Employee Detail FY21'!M60="","",'Employee Detail FY21'!M60)</f>
        <v>1</v>
      </c>
      <c r="N40" s="3" t="str">
        <f>IF('Employee Detail FY21'!N60="","",'Employee Detail FY21'!N60)</f>
        <v/>
      </c>
      <c r="O40" s="3">
        <f>IF('Employee Detail FY21'!O60="","",'Employee Detail FY21'!O60)</f>
        <v>1</v>
      </c>
      <c r="P40" s="3" t="str">
        <f>IF('Employee Detail FY21'!P60="","",'Employee Detail FY21'!P60)</f>
        <v>ER</v>
      </c>
      <c r="Q40" s="3">
        <f>IF('Employee Detail FY21'!Q60="","",'Employee Detail FY21'!Q60)</f>
        <v>14.5</v>
      </c>
      <c r="R40" s="3">
        <f>IF('Employee Detail FY21'!R60="","",'Employee Detail FY21'!R60)</f>
        <v>265</v>
      </c>
      <c r="S40" s="3">
        <f>IF('Employee Detail FY21'!S60="","",'Employee Detail FY21'!S60)</f>
        <v>8</v>
      </c>
      <c r="T40" s="263">
        <f t="shared" si="6"/>
        <v>2120</v>
      </c>
      <c r="U40" s="269">
        <f>IF('Employee Detail FY21'!U60="","",'Employee Detail FY21'!U60)</f>
        <v>22500</v>
      </c>
      <c r="V40" s="270">
        <f t="shared" si="7"/>
        <v>23175</v>
      </c>
      <c r="W40" s="270" t="str">
        <f t="shared" si="8"/>
        <v/>
      </c>
      <c r="X40" s="270">
        <f t="shared" si="9"/>
        <v>23175</v>
      </c>
      <c r="Y40" s="62">
        <v>0</v>
      </c>
      <c r="Z40" s="62">
        <v>0</v>
      </c>
      <c r="AA40" s="256">
        <f t="shared" si="10"/>
        <v>23175</v>
      </c>
      <c r="AB40" s="3"/>
      <c r="AC40" s="62">
        <f>IF('Employee Detail FY21'!AC60="","",'Employee Detail FY21'!AC60)</f>
        <v>7943.76</v>
      </c>
      <c r="AD40" s="62" t="str">
        <f t="shared" si="1"/>
        <v/>
      </c>
      <c r="AE40" s="62">
        <f t="shared" si="2"/>
        <v>6836.625</v>
      </c>
      <c r="AF40" s="62">
        <f t="shared" si="3"/>
        <v>336.03750000000002</v>
      </c>
      <c r="AG40" s="192">
        <v>0</v>
      </c>
      <c r="AH40" s="62">
        <f t="shared" si="4"/>
        <v>210.94663927769648</v>
      </c>
      <c r="AI40" s="62">
        <f t="shared" si="5"/>
        <v>68.254980096484971</v>
      </c>
      <c r="AJ40" s="62"/>
      <c r="AK40" s="62">
        <v>0</v>
      </c>
      <c r="AL40" s="256">
        <f t="shared" si="11"/>
        <v>15395.624119374181</v>
      </c>
      <c r="AM40" s="256">
        <f t="shared" si="12"/>
        <v>23175</v>
      </c>
      <c r="AN40" s="256">
        <f t="shared" si="13"/>
        <v>38570.624119374181</v>
      </c>
    </row>
    <row r="41" spans="1:40" x14ac:dyDescent="0.2">
      <c r="A41" s="3"/>
      <c r="B41" s="278"/>
      <c r="C41" s="278"/>
      <c r="D41" s="278"/>
      <c r="E41" s="278"/>
      <c r="F41" s="278"/>
      <c r="G41" s="278"/>
      <c r="H41" s="278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263"/>
      <c r="U41" s="269"/>
      <c r="V41" s="270"/>
      <c r="W41" s="270"/>
      <c r="X41" s="270"/>
      <c r="Y41" s="62"/>
      <c r="Z41" s="62"/>
      <c r="AA41" s="256">
        <f t="shared" si="10"/>
        <v>0</v>
      </c>
      <c r="AB41" s="3"/>
      <c r="AC41" s="62" t="str">
        <f>IF('Employee Detail FY21'!AC61="","",'Employee Detail FY21'!AC61)</f>
        <v/>
      </c>
      <c r="AD41" s="62" t="str">
        <f t="shared" si="1"/>
        <v/>
      </c>
      <c r="AE41" s="62" t="str">
        <f t="shared" si="2"/>
        <v/>
      </c>
      <c r="AF41" s="62" t="str">
        <f t="shared" si="3"/>
        <v/>
      </c>
      <c r="AG41" s="192">
        <v>0</v>
      </c>
      <c r="AH41" s="62" t="str">
        <f t="shared" si="4"/>
        <v/>
      </c>
      <c r="AI41" s="62">
        <f t="shared" si="5"/>
        <v>0</v>
      </c>
      <c r="AJ41" s="62"/>
      <c r="AK41" s="62">
        <v>0</v>
      </c>
      <c r="AL41" s="256">
        <f t="shared" si="11"/>
        <v>0</v>
      </c>
      <c r="AM41" s="256">
        <f t="shared" si="12"/>
        <v>0</v>
      </c>
      <c r="AN41" s="256">
        <f t="shared" si="13"/>
        <v>0</v>
      </c>
    </row>
    <row r="42" spans="1:40" x14ac:dyDescent="0.2">
      <c r="A42" s="3"/>
      <c r="B42" s="278"/>
      <c r="C42" s="278"/>
      <c r="D42" s="278"/>
      <c r="E42" s="278"/>
      <c r="F42" s="278"/>
      <c r="G42" s="278"/>
      <c r="H42" s="278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263"/>
      <c r="U42" s="269"/>
      <c r="V42" s="270"/>
      <c r="W42" s="270"/>
      <c r="X42" s="270"/>
      <c r="Y42" s="62"/>
      <c r="Z42" s="62"/>
      <c r="AA42" s="256">
        <f t="shared" si="10"/>
        <v>0</v>
      </c>
      <c r="AB42" s="3"/>
      <c r="AC42" s="62" t="str">
        <f>IF('Employee Detail FY21'!AC62="","",'Employee Detail FY21'!AC62)</f>
        <v/>
      </c>
      <c r="AD42" s="62" t="str">
        <f t="shared" si="1"/>
        <v/>
      </c>
      <c r="AE42" s="62" t="str">
        <f t="shared" si="2"/>
        <v/>
      </c>
      <c r="AF42" s="62" t="str">
        <f t="shared" si="3"/>
        <v/>
      </c>
      <c r="AG42" s="192">
        <v>0</v>
      </c>
      <c r="AH42" s="62" t="str">
        <f t="shared" si="4"/>
        <v/>
      </c>
      <c r="AI42" s="62">
        <f t="shared" si="5"/>
        <v>0</v>
      </c>
      <c r="AJ42" s="62"/>
      <c r="AK42" s="62">
        <v>0</v>
      </c>
      <c r="AL42" s="256">
        <f t="shared" si="11"/>
        <v>0</v>
      </c>
      <c r="AM42" s="256">
        <f t="shared" si="12"/>
        <v>0</v>
      </c>
      <c r="AN42" s="256">
        <f t="shared" si="13"/>
        <v>0</v>
      </c>
    </row>
    <row r="43" spans="1:40" x14ac:dyDescent="0.2">
      <c r="A43" s="311" t="str">
        <f>IF('Employee Detail FY21'!A45="","",'Employee Detail FY21'!A45)</f>
        <v/>
      </c>
      <c r="B43" s="351" t="str">
        <f>IF('Employee Detail FY21'!B45="","",'Employee Detail FY21'!B45)</f>
        <v/>
      </c>
      <c r="C43" s="351" t="str">
        <f>IF('Employee Detail FY21'!C45="","",'Employee Detail FY21'!C45)</f>
        <v/>
      </c>
      <c r="D43" s="351"/>
      <c r="E43" s="351" t="str">
        <f>IF('Employee Detail FY21'!E45="","",'Employee Detail FY21'!E45)</f>
        <v/>
      </c>
      <c r="F43" s="351" t="str">
        <f>IF('Employee Detail FY21'!F45="","",'Employee Detail FY21'!F45)</f>
        <v/>
      </c>
      <c r="G43" s="351" t="str">
        <f>IF('Employee Detail FY21'!G45="","",'Employee Detail FY21'!G45)</f>
        <v/>
      </c>
      <c r="H43" s="351"/>
      <c r="I43" s="311" t="str">
        <f>IF('Employee Detail FY21'!I45="","",'Employee Detail FY21'!I45)</f>
        <v/>
      </c>
      <c r="J43" s="311" t="str">
        <f>IF('Employee Detail FY21'!J45="","",'Employee Detail FY21'!J45)</f>
        <v/>
      </c>
      <c r="K43" s="311" t="str">
        <f>IF('Employee Detail FY21'!K45="","",'Employee Detail FY21'!K45)</f>
        <v/>
      </c>
      <c r="L43" s="311" t="str">
        <f>IF('Employee Detail FY21'!L45="","",'Employee Detail FY21'!L45)</f>
        <v/>
      </c>
      <c r="M43" s="311" t="str">
        <f>IF('Employee Detail FY21'!M45="","",'Employee Detail FY21'!M45)</f>
        <v/>
      </c>
      <c r="N43" s="311" t="str">
        <f>IF('Employee Detail FY21'!N45="","",'Employee Detail FY21'!N45)</f>
        <v/>
      </c>
      <c r="O43" s="311" t="str">
        <f>IF('Employee Detail FY21'!O45="","",'Employee Detail FY21'!O45)</f>
        <v/>
      </c>
      <c r="P43" s="311" t="str">
        <f>IF('Employee Detail FY21'!P45="","",'Employee Detail FY21'!P45)</f>
        <v/>
      </c>
      <c r="Q43" s="311" t="str">
        <f>IF('Employee Detail FY21'!Q45="","",'Employee Detail FY21'!Q45)</f>
        <v/>
      </c>
      <c r="R43" s="311" t="str">
        <f>IF('Employee Detail FY21'!R45="","",'Employee Detail FY21'!R45)</f>
        <v/>
      </c>
      <c r="S43" s="311" t="str">
        <f>IF('Employee Detail FY21'!S45="","",'Employee Detail FY21'!S45)</f>
        <v/>
      </c>
      <c r="T43" s="263" t="str">
        <f t="shared" ref="T43:T51" si="14">+IF(R43="","",R43*S43)</f>
        <v/>
      </c>
      <c r="U43" s="269" t="str">
        <f>IF('Employee Detail FY21'!U45="","",'Employee Detail FY21'!U45)</f>
        <v/>
      </c>
      <c r="V43" s="270" t="str">
        <f t="shared" si="7"/>
        <v/>
      </c>
      <c r="W43" s="270" t="str">
        <f t="shared" ref="W43:W51" si="15">+IF(P43="EE",+V43*$W$1,"")</f>
        <v/>
      </c>
      <c r="X43" s="270" t="str">
        <f t="shared" ref="X43:X51" si="16">_xlfn.IFS(P43="ER",V43,P43="EE",W43,P43="N",V43,P43="","")</f>
        <v/>
      </c>
      <c r="Y43" s="62">
        <v>0</v>
      </c>
      <c r="Z43" s="62">
        <v>0</v>
      </c>
      <c r="AA43" s="256">
        <f t="shared" si="10"/>
        <v>0</v>
      </c>
      <c r="AB43" s="3"/>
      <c r="AC43" s="62" t="str">
        <f>IF('Employee Detail FY21'!AC45="","",'Employee Detail FY21'!AC45)</f>
        <v/>
      </c>
      <c r="AD43" s="62" t="str">
        <f t="shared" si="1"/>
        <v/>
      </c>
      <c r="AE43" s="62" t="str">
        <f t="shared" si="2"/>
        <v/>
      </c>
      <c r="AF43" s="62" t="str">
        <f t="shared" si="3"/>
        <v/>
      </c>
      <c r="AG43" s="192">
        <v>0</v>
      </c>
      <c r="AH43" s="62" t="str">
        <f t="shared" si="4"/>
        <v/>
      </c>
      <c r="AI43" s="62">
        <f t="shared" si="5"/>
        <v>0</v>
      </c>
      <c r="AJ43" s="62"/>
      <c r="AK43" s="62">
        <v>0</v>
      </c>
      <c r="AL43" s="256">
        <f t="shared" si="11"/>
        <v>0</v>
      </c>
      <c r="AM43" s="256">
        <f t="shared" si="12"/>
        <v>0</v>
      </c>
      <c r="AN43" s="256">
        <f t="shared" si="13"/>
        <v>0</v>
      </c>
    </row>
    <row r="44" spans="1:40" x14ac:dyDescent="0.2">
      <c r="A44" s="386" t="str">
        <f>IF('Employee Detail FY21'!A46="","",'Employee Detail FY21'!A46)</f>
        <v/>
      </c>
      <c r="B44" s="437" t="str">
        <f>IF('Employee Detail FY21'!B46="","",'Employee Detail FY21'!B46)</f>
        <v>280</v>
      </c>
      <c r="C44" s="437" t="str">
        <f>IF('Employee Detail FY21'!C46="","",'Employee Detail FY21'!C46)</f>
        <v>624</v>
      </c>
      <c r="D44" s="437"/>
      <c r="E44" s="437" t="str">
        <f>IF('Employee Detail FY21'!E46="","",'Employee Detail FY21'!E46)</f>
        <v>430</v>
      </c>
      <c r="F44" s="437" t="str">
        <f>IF('Employee Detail FY21'!F46="","",'Employee Detail FY21'!F46)</f>
        <v>1000</v>
      </c>
      <c r="G44" s="437" t="str">
        <f>IF('Employee Detail FY21'!G46="","",'Employee Detail FY21'!G46)</f>
        <v>0101</v>
      </c>
      <c r="H44" s="437"/>
      <c r="I44" s="386" t="str">
        <f>IF('Employee Detail FY21'!I46="","",'Employee Detail FY21'!I46)</f>
        <v>TITLE I 1003A</v>
      </c>
      <c r="J44" s="386" t="str">
        <f>IF('Employee Detail FY21'!J46="","",'Employee Detail FY21'!J46)</f>
        <v>PD</v>
      </c>
      <c r="K44" s="386" t="str">
        <f>IF('Employee Detail FY21'!K46="","",'Employee Detail FY21'!K46)</f>
        <v/>
      </c>
      <c r="L44" s="386" t="str">
        <f>IF('Employee Detail FY21'!L46="","",'Employee Detail FY21'!L46)</f>
        <v>TITLE I 1003A PD</v>
      </c>
      <c r="M44" s="386" t="str">
        <f>IF('Employee Detail FY21'!M46="","",'Employee Detail FY21'!M46)</f>
        <v/>
      </c>
      <c r="N44" s="386" t="str">
        <f>IF('Employee Detail FY21'!N46="","",'Employee Detail FY21'!N46)</f>
        <v/>
      </c>
      <c r="O44" s="386" t="str">
        <f>IF('Employee Detail FY21'!O46="","",'Employee Detail FY21'!O46)</f>
        <v/>
      </c>
      <c r="P44" s="386" t="str">
        <f>IF('Employee Detail FY21'!P46="","",'Employee Detail FY21'!P46)</f>
        <v/>
      </c>
      <c r="Q44" s="386" t="str">
        <f>IF('Employee Detail FY21'!Q46="","",'Employee Detail FY21'!Q46)</f>
        <v/>
      </c>
      <c r="R44" s="386" t="str">
        <f>IF('Employee Detail FY21'!R46="","",'Employee Detail FY21'!R46)</f>
        <v/>
      </c>
      <c r="S44" s="386" t="str">
        <f>IF('Employee Detail FY21'!S46="","",'Employee Detail FY21'!S46)</f>
        <v/>
      </c>
      <c r="T44" s="263" t="str">
        <f t="shared" si="14"/>
        <v/>
      </c>
      <c r="U44" s="269" t="str">
        <f>IF('Employee Detail FY21'!U46="","",'Employee Detail FY21'!U46)</f>
        <v/>
      </c>
      <c r="V44" s="270" t="str">
        <f t="shared" si="7"/>
        <v/>
      </c>
      <c r="W44" s="270" t="str">
        <f t="shared" si="15"/>
        <v/>
      </c>
      <c r="X44" s="270" t="str">
        <f t="shared" si="16"/>
        <v/>
      </c>
      <c r="Y44" s="62"/>
      <c r="Z44" s="62">
        <v>31500</v>
      </c>
      <c r="AA44" s="256">
        <f t="shared" si="10"/>
        <v>31500</v>
      </c>
      <c r="AB44" s="3"/>
      <c r="AC44" s="62" t="str">
        <f>IF('Employee Detail FY21'!AC46="","",'Employee Detail FY21'!AC46)</f>
        <v/>
      </c>
      <c r="AD44" s="62" t="str">
        <f t="shared" si="1"/>
        <v/>
      </c>
      <c r="AE44" s="62" t="str">
        <f t="shared" si="2"/>
        <v/>
      </c>
      <c r="AF44" s="62">
        <f t="shared" si="3"/>
        <v>456.75</v>
      </c>
      <c r="AG44" s="192">
        <v>0</v>
      </c>
      <c r="AH44" s="62">
        <f t="shared" si="4"/>
        <v>286.72358736774277</v>
      </c>
      <c r="AI44" s="62">
        <f t="shared" si="5"/>
        <v>92.773759354445588</v>
      </c>
      <c r="AJ44" s="62"/>
      <c r="AK44" s="62">
        <v>0</v>
      </c>
      <c r="AL44" s="256">
        <f t="shared" si="11"/>
        <v>836.24734672218835</v>
      </c>
      <c r="AM44" s="256">
        <f t="shared" si="12"/>
        <v>31500</v>
      </c>
      <c r="AN44" s="256">
        <f t="shared" si="13"/>
        <v>32336.24734672219</v>
      </c>
    </row>
    <row r="45" spans="1:40" x14ac:dyDescent="0.2">
      <c r="A45" s="386" t="str">
        <f>IF('Employee Detail FY21'!A47="","",'Employee Detail FY21'!A47)</f>
        <v/>
      </c>
      <c r="B45" s="437" t="str">
        <f>IF('Employee Detail FY21'!B47="","",'Employee Detail FY21'!B47)</f>
        <v>280</v>
      </c>
      <c r="C45" s="437" t="str">
        <f>IF('Employee Detail FY21'!C47="","",'Employee Detail FY21'!C47)</f>
        <v>624</v>
      </c>
      <c r="D45" s="437"/>
      <c r="E45" s="437" t="str">
        <f>IF('Employee Detail FY21'!E47="","",'Employee Detail FY21'!E47)</f>
        <v>430</v>
      </c>
      <c r="F45" s="437" t="str">
        <f>IF('Employee Detail FY21'!F47="","",'Employee Detail FY21'!F47)</f>
        <v>2210</v>
      </c>
      <c r="G45" s="437" t="str">
        <f>IF('Employee Detail FY21'!G47="","",'Employee Detail FY21'!G47)</f>
        <v>0101</v>
      </c>
      <c r="H45" s="437"/>
      <c r="I45" s="386" t="str">
        <f>IF('Employee Detail FY21'!I47="","",'Employee Detail FY21'!I47)</f>
        <v>TITLE I 1003A</v>
      </c>
      <c r="J45" s="386" t="str">
        <f>IF('Employee Detail FY21'!J47="","",'Employee Detail FY21'!J47)</f>
        <v>PD</v>
      </c>
      <c r="K45" s="386" t="str">
        <f>IF('Employee Detail FY21'!K47="","",'Employee Detail FY21'!K47)</f>
        <v/>
      </c>
      <c r="L45" s="386" t="str">
        <f>IF('Employee Detail FY21'!L47="","",'Employee Detail FY21'!L47)</f>
        <v>TITLE I 1003A PD</v>
      </c>
      <c r="M45" s="386" t="str">
        <f>IF('Employee Detail FY21'!M47="","",'Employee Detail FY21'!M47)</f>
        <v/>
      </c>
      <c r="N45" s="386" t="str">
        <f>IF('Employee Detail FY21'!N47="","",'Employee Detail FY21'!N47)</f>
        <v/>
      </c>
      <c r="O45" s="386" t="str">
        <f>IF('Employee Detail FY21'!O47="","",'Employee Detail FY21'!O47)</f>
        <v/>
      </c>
      <c r="P45" s="386" t="str">
        <f>IF('Employee Detail FY21'!P47="","",'Employee Detail FY21'!P47)</f>
        <v/>
      </c>
      <c r="Q45" s="386" t="str">
        <f>IF('Employee Detail FY21'!Q47="","",'Employee Detail FY21'!Q47)</f>
        <v/>
      </c>
      <c r="R45" s="386" t="str">
        <f>IF('Employee Detail FY21'!R47="","",'Employee Detail FY21'!R47)</f>
        <v/>
      </c>
      <c r="S45" s="386" t="str">
        <f>IF('Employee Detail FY21'!S47="","",'Employee Detail FY21'!S47)</f>
        <v/>
      </c>
      <c r="T45" s="263" t="str">
        <f t="shared" si="14"/>
        <v/>
      </c>
      <c r="U45" s="269" t="str">
        <f>IF('Employee Detail FY21'!U47="","",'Employee Detail FY21'!U47)</f>
        <v/>
      </c>
      <c r="V45" s="270" t="str">
        <f t="shared" si="7"/>
        <v/>
      </c>
      <c r="W45" s="270" t="str">
        <f t="shared" si="15"/>
        <v/>
      </c>
      <c r="X45" s="270" t="str">
        <f t="shared" si="16"/>
        <v/>
      </c>
      <c r="Y45" s="62"/>
      <c r="Z45" s="62">
        <v>2250</v>
      </c>
      <c r="AA45" s="256">
        <f t="shared" si="10"/>
        <v>2250</v>
      </c>
      <c r="AB45" s="3"/>
      <c r="AC45" s="62" t="str">
        <f>IF('Employee Detail FY21'!AC47="","",'Employee Detail FY21'!AC47)</f>
        <v/>
      </c>
      <c r="AD45" s="62" t="str">
        <f t="shared" si="1"/>
        <v/>
      </c>
      <c r="AE45" s="62" t="str">
        <f t="shared" si="2"/>
        <v/>
      </c>
      <c r="AF45" s="62">
        <f t="shared" si="3"/>
        <v>32.625</v>
      </c>
      <c r="AG45" s="192">
        <v>0</v>
      </c>
      <c r="AH45" s="62">
        <f t="shared" si="4"/>
        <v>20.480256240553057</v>
      </c>
      <c r="AI45" s="62">
        <f t="shared" si="5"/>
        <v>6.6266970967461134</v>
      </c>
      <c r="AJ45" s="62"/>
      <c r="AK45" s="62">
        <v>0</v>
      </c>
      <c r="AL45" s="256">
        <f t="shared" si="11"/>
        <v>59.731953337299174</v>
      </c>
      <c r="AM45" s="256">
        <f t="shared" si="12"/>
        <v>2250</v>
      </c>
      <c r="AN45" s="256">
        <f t="shared" si="13"/>
        <v>2309.7319533372993</v>
      </c>
    </row>
    <row r="46" spans="1:40" x14ac:dyDescent="0.2">
      <c r="A46" s="386" t="str">
        <f>IF('Employee Detail FY21'!A48="","",'Employee Detail FY21'!A48)</f>
        <v/>
      </c>
      <c r="B46" s="437" t="str">
        <f>IF('Employee Detail FY21'!B48="","",'Employee Detail FY21'!B48)</f>
        <v>280</v>
      </c>
      <c r="C46" s="437" t="str">
        <f>IF('Employee Detail FY21'!C48="","",'Employee Detail FY21'!C48)</f>
        <v>624</v>
      </c>
      <c r="D46" s="437"/>
      <c r="E46" s="437" t="str">
        <f>IF('Employee Detail FY21'!E48="","",'Employee Detail FY21'!E48)</f>
        <v>430</v>
      </c>
      <c r="F46" s="437" t="str">
        <f>IF('Employee Detail FY21'!F48="","",'Employee Detail FY21'!F48)</f>
        <v>1000</v>
      </c>
      <c r="G46" s="437" t="str">
        <f>IF('Employee Detail FY21'!G48="","",'Employee Detail FY21'!G48)</f>
        <v>0102</v>
      </c>
      <c r="H46" s="437"/>
      <c r="I46" s="386" t="str">
        <f>IF('Employee Detail FY21'!I48="","",'Employee Detail FY21'!I48)</f>
        <v>TITLE I 1003A</v>
      </c>
      <c r="J46" s="386" t="str">
        <f>IF('Employee Detail FY21'!J48="","",'Employee Detail FY21'!J48)</f>
        <v>PD</v>
      </c>
      <c r="K46" s="386" t="str">
        <f>IF('Employee Detail FY21'!K48="","",'Employee Detail FY21'!K48)</f>
        <v/>
      </c>
      <c r="L46" s="386" t="str">
        <f>IF('Employee Detail FY21'!L48="","",'Employee Detail FY21'!L48)</f>
        <v>TITLE I 1003A PD</v>
      </c>
      <c r="M46" s="386" t="str">
        <f>IF('Employee Detail FY21'!M48="","",'Employee Detail FY21'!M48)</f>
        <v/>
      </c>
      <c r="N46" s="386" t="str">
        <f>IF('Employee Detail FY21'!N48="","",'Employee Detail FY21'!N48)</f>
        <v/>
      </c>
      <c r="O46" s="386" t="str">
        <f>IF('Employee Detail FY21'!O48="","",'Employee Detail FY21'!O48)</f>
        <v/>
      </c>
      <c r="P46" s="386" t="str">
        <f>IF('Employee Detail FY21'!P48="","",'Employee Detail FY21'!P48)</f>
        <v/>
      </c>
      <c r="Q46" s="386" t="str">
        <f>IF('Employee Detail FY21'!Q48="","",'Employee Detail FY21'!Q48)</f>
        <v/>
      </c>
      <c r="R46" s="386" t="str">
        <f>IF('Employee Detail FY21'!R48="","",'Employee Detail FY21'!R48)</f>
        <v/>
      </c>
      <c r="S46" s="386" t="str">
        <f>IF('Employee Detail FY21'!S48="","",'Employee Detail FY21'!S48)</f>
        <v/>
      </c>
      <c r="T46" s="263" t="str">
        <f t="shared" si="14"/>
        <v/>
      </c>
      <c r="U46" s="269" t="str">
        <f>IF('Employee Detail FY21'!U48="","",'Employee Detail FY21'!U48)</f>
        <v/>
      </c>
      <c r="V46" s="270" t="str">
        <f t="shared" si="7"/>
        <v/>
      </c>
      <c r="W46" s="270" t="str">
        <f t="shared" si="15"/>
        <v/>
      </c>
      <c r="X46" s="270" t="str">
        <f t="shared" si="16"/>
        <v/>
      </c>
      <c r="Y46" s="62"/>
      <c r="Z46" s="62">
        <v>1350</v>
      </c>
      <c r="AA46" s="256">
        <f t="shared" si="10"/>
        <v>1350</v>
      </c>
      <c r="AB46" s="3"/>
      <c r="AC46" s="62" t="str">
        <f>IF('Employee Detail FY21'!AC48="","",'Employee Detail FY21'!AC48)</f>
        <v/>
      </c>
      <c r="AD46" s="62" t="str">
        <f t="shared" si="1"/>
        <v/>
      </c>
      <c r="AE46" s="62" t="str">
        <f t="shared" si="2"/>
        <v/>
      </c>
      <c r="AF46" s="62">
        <f t="shared" si="3"/>
        <v>19.574999999999999</v>
      </c>
      <c r="AG46" s="192">
        <v>0</v>
      </c>
      <c r="AH46" s="62">
        <f t="shared" si="4"/>
        <v>12.288153744331833</v>
      </c>
      <c r="AI46" s="62">
        <f t="shared" si="5"/>
        <v>3.976018258047668</v>
      </c>
      <c r="AJ46" s="62"/>
      <c r="AK46" s="62">
        <v>0</v>
      </c>
      <c r="AL46" s="256">
        <f t="shared" si="11"/>
        <v>35.839172002379499</v>
      </c>
      <c r="AM46" s="256">
        <f t="shared" si="12"/>
        <v>1350</v>
      </c>
      <c r="AN46" s="256">
        <f t="shared" si="13"/>
        <v>1385.8391720023794</v>
      </c>
    </row>
    <row r="47" spans="1:40" x14ac:dyDescent="0.2">
      <c r="A47" s="386" t="str">
        <f>IF('Employee Detail FY21'!A49="","",'Employee Detail FY21'!A49)</f>
        <v/>
      </c>
      <c r="B47" s="437" t="str">
        <f>IF('Employee Detail FY21'!B49="","",'Employee Detail FY21'!B49)</f>
        <v>280</v>
      </c>
      <c r="C47" s="437" t="str">
        <f>IF('Employee Detail FY21'!C49="","",'Employee Detail FY21'!C49)</f>
        <v>624</v>
      </c>
      <c r="D47" s="437"/>
      <c r="E47" s="437" t="str">
        <f>IF('Employee Detail FY21'!E49="","",'Employee Detail FY21'!E49)</f>
        <v>430</v>
      </c>
      <c r="F47" s="437" t="str">
        <f>IF('Employee Detail FY21'!F49="","",'Employee Detail FY21'!F49)</f>
        <v>2320</v>
      </c>
      <c r="G47" s="437" t="str">
        <f>IF('Employee Detail FY21'!G49="","",'Employee Detail FY21'!G49)</f>
        <v>0104</v>
      </c>
      <c r="H47" s="437"/>
      <c r="I47" s="386" t="str">
        <f>IF('Employee Detail FY21'!I49="","",'Employee Detail FY21'!I49)</f>
        <v>TITLE I 1003A</v>
      </c>
      <c r="J47" s="386" t="str">
        <f>IF('Employee Detail FY21'!J49="","",'Employee Detail FY21'!J49)</f>
        <v>PD</v>
      </c>
      <c r="K47" s="386" t="str">
        <f>IF('Employee Detail FY21'!K49="","",'Employee Detail FY21'!K49)</f>
        <v/>
      </c>
      <c r="L47" s="386" t="str">
        <f>IF('Employee Detail FY21'!L49="","",'Employee Detail FY21'!L49)</f>
        <v>TITLE I 1003A PD</v>
      </c>
      <c r="M47" s="386" t="str">
        <f>IF('Employee Detail FY21'!M49="","",'Employee Detail FY21'!M49)</f>
        <v/>
      </c>
      <c r="N47" s="386" t="str">
        <f>IF('Employee Detail FY21'!N49="","",'Employee Detail FY21'!N49)</f>
        <v/>
      </c>
      <c r="O47" s="386" t="str">
        <f>IF('Employee Detail FY21'!O49="","",'Employee Detail FY21'!O49)</f>
        <v/>
      </c>
      <c r="P47" s="386" t="str">
        <f>IF('Employee Detail FY21'!P49="","",'Employee Detail FY21'!P49)</f>
        <v/>
      </c>
      <c r="Q47" s="386" t="str">
        <f>IF('Employee Detail FY21'!Q49="","",'Employee Detail FY21'!Q49)</f>
        <v/>
      </c>
      <c r="R47" s="386" t="str">
        <f>IF('Employee Detail FY21'!R49="","",'Employee Detail FY21'!R49)</f>
        <v/>
      </c>
      <c r="S47" s="386" t="str">
        <f>IF('Employee Detail FY21'!S49="","",'Employee Detail FY21'!S49)</f>
        <v/>
      </c>
      <c r="T47" s="263" t="str">
        <f t="shared" si="14"/>
        <v/>
      </c>
      <c r="U47" s="269" t="str">
        <f>IF('Employee Detail FY21'!U49="","",'Employee Detail FY21'!U49)</f>
        <v/>
      </c>
      <c r="V47" s="270" t="str">
        <f t="shared" si="7"/>
        <v/>
      </c>
      <c r="W47" s="270" t="str">
        <f t="shared" si="15"/>
        <v/>
      </c>
      <c r="X47" s="270" t="str">
        <f t="shared" si="16"/>
        <v/>
      </c>
      <c r="Y47" s="62"/>
      <c r="Z47" s="62">
        <v>5100</v>
      </c>
      <c r="AA47" s="256">
        <f t="shared" si="10"/>
        <v>5100</v>
      </c>
      <c r="AB47" s="3"/>
      <c r="AC47" s="62" t="str">
        <f>IF('Employee Detail FY21'!AC49="","",'Employee Detail FY21'!AC49)</f>
        <v/>
      </c>
      <c r="AD47" s="62" t="str">
        <f t="shared" si="1"/>
        <v/>
      </c>
      <c r="AE47" s="62" t="str">
        <f t="shared" si="2"/>
        <v/>
      </c>
      <c r="AF47" s="62">
        <f t="shared" si="3"/>
        <v>73.95</v>
      </c>
      <c r="AG47" s="192">
        <v>0</v>
      </c>
      <c r="AH47" s="62">
        <f t="shared" si="4"/>
        <v>46.421914145253595</v>
      </c>
      <c r="AI47" s="62">
        <f t="shared" si="5"/>
        <v>15.02051341929119</v>
      </c>
      <c r="AJ47" s="62"/>
      <c r="AK47" s="62">
        <v>0</v>
      </c>
      <c r="AL47" s="256">
        <f t="shared" si="11"/>
        <v>135.39242756454479</v>
      </c>
      <c r="AM47" s="256">
        <f t="shared" si="12"/>
        <v>5100</v>
      </c>
      <c r="AN47" s="256">
        <f t="shared" si="13"/>
        <v>5235.392427564545</v>
      </c>
    </row>
    <row r="48" spans="1:40" x14ac:dyDescent="0.2">
      <c r="A48" s="386" t="str">
        <f>IF('Employee Detail FY21'!A50="","",'Employee Detail FY21'!A50)</f>
        <v/>
      </c>
      <c r="B48" s="437" t="str">
        <f>IF('Employee Detail FY21'!B50="","",'Employee Detail FY21'!B50)</f>
        <v>280</v>
      </c>
      <c r="C48" s="437" t="str">
        <f>IF('Employee Detail FY21'!C50="","",'Employee Detail FY21'!C50)</f>
        <v>624</v>
      </c>
      <c r="D48" s="437"/>
      <c r="E48" s="437" t="str">
        <f>IF('Employee Detail FY21'!E50="","",'Employee Detail FY21'!E50)</f>
        <v>430</v>
      </c>
      <c r="F48" s="437" t="str">
        <f>IF('Employee Detail FY21'!F50="","",'Employee Detail FY21'!F50)</f>
        <v>2120</v>
      </c>
      <c r="G48" s="437" t="str">
        <f>IF('Employee Detail FY21'!G50="","",'Employee Detail FY21'!G50)</f>
        <v>0106</v>
      </c>
      <c r="H48" s="437"/>
      <c r="I48" s="386" t="str">
        <f>IF('Employee Detail FY21'!I50="","",'Employee Detail FY21'!I50)</f>
        <v>TITLE I 1003A</v>
      </c>
      <c r="J48" s="386" t="str">
        <f>IF('Employee Detail FY21'!J50="","",'Employee Detail FY21'!J50)</f>
        <v>PD</v>
      </c>
      <c r="K48" s="386" t="str">
        <f>IF('Employee Detail FY21'!K50="","",'Employee Detail FY21'!K50)</f>
        <v/>
      </c>
      <c r="L48" s="386" t="str">
        <f>IF('Employee Detail FY21'!L50="","",'Employee Detail FY21'!L50)</f>
        <v>TITLE I 1003A PD</v>
      </c>
      <c r="M48" s="386" t="str">
        <f>IF('Employee Detail FY21'!M50="","",'Employee Detail FY21'!M50)</f>
        <v/>
      </c>
      <c r="N48" s="386" t="str">
        <f>IF('Employee Detail FY21'!N50="","",'Employee Detail FY21'!N50)</f>
        <v/>
      </c>
      <c r="O48" s="386" t="str">
        <f>IF('Employee Detail FY21'!O50="","",'Employee Detail FY21'!O50)</f>
        <v/>
      </c>
      <c r="P48" s="386" t="str">
        <f>IF('Employee Detail FY21'!P50="","",'Employee Detail FY21'!P50)</f>
        <v/>
      </c>
      <c r="Q48" s="386" t="str">
        <f>IF('Employee Detail FY21'!Q50="","",'Employee Detail FY21'!Q50)</f>
        <v/>
      </c>
      <c r="R48" s="386" t="str">
        <f>IF('Employee Detail FY21'!R50="","",'Employee Detail FY21'!R50)</f>
        <v/>
      </c>
      <c r="S48" s="386" t="str">
        <f>IF('Employee Detail FY21'!S50="","",'Employee Detail FY21'!S50)</f>
        <v/>
      </c>
      <c r="T48" s="263" t="str">
        <f t="shared" si="14"/>
        <v/>
      </c>
      <c r="U48" s="269" t="str">
        <f>IF('Employee Detail FY21'!U50="","",'Employee Detail FY21'!U50)</f>
        <v/>
      </c>
      <c r="V48" s="270" t="str">
        <f t="shared" si="7"/>
        <v/>
      </c>
      <c r="W48" s="270" t="str">
        <f t="shared" si="15"/>
        <v/>
      </c>
      <c r="X48" s="270" t="str">
        <f t="shared" si="16"/>
        <v/>
      </c>
      <c r="Y48" s="62"/>
      <c r="Z48" s="62">
        <v>2250</v>
      </c>
      <c r="AA48" s="256">
        <f t="shared" si="10"/>
        <v>2250</v>
      </c>
      <c r="AB48" s="3"/>
      <c r="AC48" s="62" t="str">
        <f>IF('Employee Detail FY21'!AC50="","",'Employee Detail FY21'!AC50)</f>
        <v/>
      </c>
      <c r="AD48" s="62" t="str">
        <f t="shared" si="1"/>
        <v/>
      </c>
      <c r="AE48" s="62" t="str">
        <f t="shared" si="2"/>
        <v/>
      </c>
      <c r="AF48" s="62">
        <f t="shared" si="3"/>
        <v>32.625</v>
      </c>
      <c r="AG48" s="192">
        <v>0</v>
      </c>
      <c r="AH48" s="62">
        <f t="shared" si="4"/>
        <v>20.480256240553057</v>
      </c>
      <c r="AI48" s="62">
        <f t="shared" si="5"/>
        <v>6.6266970967461134</v>
      </c>
      <c r="AJ48" s="62"/>
      <c r="AK48" s="62">
        <v>0</v>
      </c>
      <c r="AL48" s="256">
        <f t="shared" si="11"/>
        <v>59.731953337299174</v>
      </c>
      <c r="AM48" s="256">
        <f t="shared" si="12"/>
        <v>2250</v>
      </c>
      <c r="AN48" s="256">
        <f t="shared" si="13"/>
        <v>2309.7319533372993</v>
      </c>
    </row>
    <row r="49" spans="1:40" x14ac:dyDescent="0.2">
      <c r="A49" s="386" t="str">
        <f>IF('Employee Detail FY21'!A51="","",'Employee Detail FY21'!A51)</f>
        <v/>
      </c>
      <c r="B49" s="437" t="str">
        <f>IF('Employee Detail FY21'!B51="","",'Employee Detail FY21'!B51)</f>
        <v>280</v>
      </c>
      <c r="C49" s="437" t="str">
        <f>IF('Employee Detail FY21'!C51="","",'Employee Detail FY21'!C51)</f>
        <v>624</v>
      </c>
      <c r="D49" s="437"/>
      <c r="E49" s="437" t="str">
        <f>IF('Employee Detail FY21'!E51="","",'Employee Detail FY21'!E51)</f>
        <v>430</v>
      </c>
      <c r="F49" s="437" t="str">
        <f>IF('Employee Detail FY21'!F51="","",'Employee Detail FY21'!F51)</f>
        <v>2140</v>
      </c>
      <c r="G49" s="437" t="str">
        <f>IF('Employee Detail FY21'!G51="","",'Employee Detail FY21'!G51)</f>
        <v>0106</v>
      </c>
      <c r="H49" s="437"/>
      <c r="I49" s="386" t="str">
        <f>IF('Employee Detail FY21'!I51="","",'Employee Detail FY21'!I51)</f>
        <v>TITLE I 1003A</v>
      </c>
      <c r="J49" s="386" t="str">
        <f>IF('Employee Detail FY21'!J51="","",'Employee Detail FY21'!J51)</f>
        <v>PD</v>
      </c>
      <c r="K49" s="386" t="str">
        <f>IF('Employee Detail FY21'!K51="","",'Employee Detail FY21'!K51)</f>
        <v/>
      </c>
      <c r="L49" s="386" t="str">
        <f>IF('Employee Detail FY21'!L51="","",'Employee Detail FY21'!L51)</f>
        <v>TITLE I 1003A PD</v>
      </c>
      <c r="M49" s="386" t="str">
        <f>IF('Employee Detail FY21'!M51="","",'Employee Detail FY21'!M51)</f>
        <v/>
      </c>
      <c r="N49" s="386" t="str">
        <f>IF('Employee Detail FY21'!N51="","",'Employee Detail FY21'!N51)</f>
        <v/>
      </c>
      <c r="O49" s="386" t="str">
        <f>IF('Employee Detail FY21'!O51="","",'Employee Detail FY21'!O51)</f>
        <v/>
      </c>
      <c r="P49" s="386" t="str">
        <f>IF('Employee Detail FY21'!P51="","",'Employee Detail FY21'!P51)</f>
        <v/>
      </c>
      <c r="Q49" s="386" t="str">
        <f>IF('Employee Detail FY21'!Q51="","",'Employee Detail FY21'!Q51)</f>
        <v/>
      </c>
      <c r="R49" s="386" t="str">
        <f>IF('Employee Detail FY21'!R51="","",'Employee Detail FY21'!R51)</f>
        <v/>
      </c>
      <c r="S49" s="386" t="str">
        <f>IF('Employee Detail FY21'!S51="","",'Employee Detail FY21'!S51)</f>
        <v/>
      </c>
      <c r="T49" s="263" t="str">
        <f t="shared" si="14"/>
        <v/>
      </c>
      <c r="U49" s="269"/>
      <c r="V49" s="270" t="str">
        <f t="shared" si="7"/>
        <v/>
      </c>
      <c r="W49" s="270" t="str">
        <f t="shared" si="15"/>
        <v/>
      </c>
      <c r="X49" s="270" t="str">
        <f t="shared" si="16"/>
        <v/>
      </c>
      <c r="Y49" s="62"/>
      <c r="Z49" s="62">
        <v>2250</v>
      </c>
      <c r="AA49" s="256">
        <f t="shared" si="10"/>
        <v>2250</v>
      </c>
      <c r="AB49" s="3"/>
      <c r="AC49" s="62" t="str">
        <f>IF('Employee Detail FY21'!AC51="","",'Employee Detail FY21'!AC51)</f>
        <v/>
      </c>
      <c r="AD49" s="62" t="str">
        <f t="shared" si="1"/>
        <v/>
      </c>
      <c r="AE49" s="62" t="str">
        <f t="shared" si="2"/>
        <v/>
      </c>
      <c r="AF49" s="62">
        <f t="shared" si="3"/>
        <v>32.625</v>
      </c>
      <c r="AG49" s="192">
        <v>0</v>
      </c>
      <c r="AH49" s="62">
        <f t="shared" si="4"/>
        <v>20.480256240553057</v>
      </c>
      <c r="AI49" s="62">
        <f t="shared" si="5"/>
        <v>6.6266970967461134</v>
      </c>
      <c r="AJ49" s="62"/>
      <c r="AK49" s="62">
        <v>0</v>
      </c>
      <c r="AL49" s="256">
        <f t="shared" si="11"/>
        <v>59.731953337299174</v>
      </c>
      <c r="AM49" s="256">
        <f t="shared" si="12"/>
        <v>2250</v>
      </c>
      <c r="AN49" s="256">
        <f t="shared" si="13"/>
        <v>2309.7319533372993</v>
      </c>
    </row>
    <row r="50" spans="1:40" x14ac:dyDescent="0.2">
      <c r="A50" s="386" t="str">
        <f>IF('Employee Detail FY21'!A52="","",'Employee Detail FY21'!A52)</f>
        <v/>
      </c>
      <c r="B50" s="437" t="str">
        <f>IF('Employee Detail FY21'!B52="","",'Employee Detail FY21'!B52)</f>
        <v>280</v>
      </c>
      <c r="C50" s="437" t="str">
        <f>IF('Employee Detail FY21'!C52="","",'Employee Detail FY21'!C52)</f>
        <v>624</v>
      </c>
      <c r="D50" s="437"/>
      <c r="E50" s="437" t="str">
        <f>IF('Employee Detail FY21'!E52="","",'Employee Detail FY21'!E52)</f>
        <v>430</v>
      </c>
      <c r="F50" s="437" t="str">
        <f>IF('Employee Detail FY21'!F52="","",'Employee Detail FY21'!F52)</f>
        <v>2110</v>
      </c>
      <c r="G50" s="437" t="str">
        <f>IF('Employee Detail FY21'!G52="","",'Employee Detail FY21'!G52)</f>
        <v>0107</v>
      </c>
      <c r="H50" s="437"/>
      <c r="I50" s="386" t="str">
        <f>IF('Employee Detail FY21'!I52="","",'Employee Detail FY21'!I52)</f>
        <v>TITLE I 1003A</v>
      </c>
      <c r="J50" s="386" t="str">
        <f>IF('Employee Detail FY21'!J52="","",'Employee Detail FY21'!J52)</f>
        <v>PD</v>
      </c>
      <c r="K50" s="386" t="str">
        <f>IF('Employee Detail FY21'!K52="","",'Employee Detail FY21'!K52)</f>
        <v/>
      </c>
      <c r="L50" s="386" t="str">
        <f>IF('Employee Detail FY21'!L52="","",'Employee Detail FY21'!L52)</f>
        <v>TITLE I 1003A PD</v>
      </c>
      <c r="M50" s="386" t="str">
        <f>IF('Employee Detail FY21'!M52="","",'Employee Detail FY21'!M52)</f>
        <v/>
      </c>
      <c r="N50" s="386" t="str">
        <f>IF('Employee Detail FY21'!N52="","",'Employee Detail FY21'!N52)</f>
        <v/>
      </c>
      <c r="O50" s="386" t="str">
        <f>IF('Employee Detail FY21'!O52="","",'Employee Detail FY21'!O52)</f>
        <v/>
      </c>
      <c r="P50" s="386" t="str">
        <f>IF('Employee Detail FY21'!P52="","",'Employee Detail FY21'!P52)</f>
        <v/>
      </c>
      <c r="Q50" s="386" t="str">
        <f>IF('Employee Detail FY21'!Q52="","",'Employee Detail FY21'!Q52)</f>
        <v/>
      </c>
      <c r="R50" s="386" t="str">
        <f>IF('Employee Detail FY21'!R52="","",'Employee Detail FY21'!R52)</f>
        <v/>
      </c>
      <c r="S50" s="386" t="str">
        <f>IF('Employee Detail FY21'!S52="","",'Employee Detail FY21'!S52)</f>
        <v/>
      </c>
      <c r="T50" s="263" t="str">
        <f t="shared" si="14"/>
        <v/>
      </c>
      <c r="U50" s="269" t="str">
        <f>IF('Employee Detail FY21'!U52="","",'Employee Detail FY21'!U52)</f>
        <v/>
      </c>
      <c r="V50" s="270" t="str">
        <f t="shared" si="7"/>
        <v/>
      </c>
      <c r="W50" s="270" t="str">
        <f t="shared" si="15"/>
        <v/>
      </c>
      <c r="X50" s="270" t="str">
        <f t="shared" si="16"/>
        <v/>
      </c>
      <c r="Y50" s="62"/>
      <c r="Z50" s="62">
        <v>0</v>
      </c>
      <c r="AA50" s="256">
        <f t="shared" si="10"/>
        <v>0</v>
      </c>
      <c r="AB50" s="3"/>
      <c r="AC50" s="62" t="str">
        <f>IF('Employee Detail FY21'!AC52="","",'Employee Detail FY21'!AC52)</f>
        <v/>
      </c>
      <c r="AD50" s="62" t="str">
        <f t="shared" si="1"/>
        <v/>
      </c>
      <c r="AE50" s="62" t="str">
        <f t="shared" si="2"/>
        <v/>
      </c>
      <c r="AF50" s="62" t="str">
        <f t="shared" si="3"/>
        <v/>
      </c>
      <c r="AG50" s="192">
        <v>0</v>
      </c>
      <c r="AH50" s="62" t="str">
        <f t="shared" si="4"/>
        <v/>
      </c>
      <c r="AI50" s="62">
        <f t="shared" si="5"/>
        <v>0</v>
      </c>
      <c r="AJ50" s="62"/>
      <c r="AK50" s="62">
        <v>0</v>
      </c>
      <c r="AL50" s="256">
        <f t="shared" si="11"/>
        <v>0</v>
      </c>
      <c r="AM50" s="256">
        <f t="shared" si="12"/>
        <v>0</v>
      </c>
      <c r="AN50" s="256">
        <f t="shared" si="13"/>
        <v>0</v>
      </c>
    </row>
    <row r="51" spans="1:40" x14ac:dyDescent="0.2">
      <c r="A51" s="386" t="str">
        <f>IF('Employee Detail FY21'!A53="","",'Employee Detail FY21'!A53)</f>
        <v/>
      </c>
      <c r="B51" s="437" t="str">
        <f>IF('Employee Detail FY21'!B53="","",'Employee Detail FY21'!B53)</f>
        <v>280</v>
      </c>
      <c r="C51" s="437" t="str">
        <f>IF('Employee Detail FY21'!C53="","",'Employee Detail FY21'!C53)</f>
        <v>624</v>
      </c>
      <c r="D51" s="437"/>
      <c r="E51" s="437" t="str">
        <f>IF('Employee Detail FY21'!E53="","",'Employee Detail FY21'!E53)</f>
        <v>430</v>
      </c>
      <c r="F51" s="437" t="str">
        <f>IF('Employee Detail FY21'!F53="","",'Employee Detail FY21'!F53)</f>
        <v>2212</v>
      </c>
      <c r="G51" s="438" t="str">
        <f>IF('Employee Detail FY21'!G53="","",'Employee Detail FY21'!G53)</f>
        <v>0107</v>
      </c>
      <c r="H51" s="437"/>
      <c r="I51" s="386" t="str">
        <f>IF('Employee Detail FY21'!I53="","",'Employee Detail FY21'!I53)</f>
        <v>TITLE I 1003A</v>
      </c>
      <c r="J51" s="386" t="str">
        <f>IF('Employee Detail FY21'!J53="","",'Employee Detail FY21'!J53)</f>
        <v>PD</v>
      </c>
      <c r="K51" s="386" t="str">
        <f>IF('Employee Detail FY21'!K53="","",'Employee Detail FY21'!K53)</f>
        <v/>
      </c>
      <c r="L51" s="386" t="str">
        <f>IF('Employee Detail FY21'!L53="","",'Employee Detail FY21'!L53)</f>
        <v>TITLE I 1003A PD</v>
      </c>
      <c r="M51" s="386" t="str">
        <f>IF('Employee Detail FY21'!M53="","",'Employee Detail FY21'!M53)</f>
        <v/>
      </c>
      <c r="N51" s="386" t="str">
        <f>IF('Employee Detail FY21'!N53="","",'Employee Detail FY21'!N53)</f>
        <v/>
      </c>
      <c r="O51" s="386" t="str">
        <f>IF('Employee Detail FY21'!O53="","",'Employee Detail FY21'!O53)</f>
        <v/>
      </c>
      <c r="P51" s="386" t="str">
        <f>IF('Employee Detail FY21'!P53="","",'Employee Detail FY21'!P53)</f>
        <v/>
      </c>
      <c r="Q51" s="386" t="str">
        <f>IF('Employee Detail FY21'!Q53="","",'Employee Detail FY21'!Q53)</f>
        <v/>
      </c>
      <c r="R51" s="386" t="str">
        <f>IF('Employee Detail FY21'!R53="","",'Employee Detail FY21'!R53)</f>
        <v/>
      </c>
      <c r="S51" s="386" t="str">
        <f>IF('Employee Detail FY21'!S53="","",'Employee Detail FY21'!S53)</f>
        <v/>
      </c>
      <c r="T51" s="263" t="str">
        <f t="shared" si="14"/>
        <v/>
      </c>
      <c r="U51" s="269" t="str">
        <f>IF('Employee Detail FY21'!U53="","",'Employee Detail FY21'!U53)</f>
        <v/>
      </c>
      <c r="V51" s="270" t="str">
        <f t="shared" si="7"/>
        <v/>
      </c>
      <c r="W51" s="270" t="str">
        <f t="shared" si="15"/>
        <v/>
      </c>
      <c r="X51" s="270" t="str">
        <f t="shared" si="16"/>
        <v/>
      </c>
      <c r="Y51" s="62"/>
      <c r="Z51" s="62">
        <v>1350</v>
      </c>
      <c r="AA51" s="256">
        <f t="shared" si="10"/>
        <v>1350</v>
      </c>
      <c r="AB51" s="3"/>
      <c r="AC51" s="62" t="str">
        <f>IF('Employee Detail FY21'!AC53="","",'Employee Detail FY21'!AC53)</f>
        <v/>
      </c>
      <c r="AD51" s="62" t="str">
        <f t="shared" si="1"/>
        <v/>
      </c>
      <c r="AE51" s="62" t="str">
        <f t="shared" si="2"/>
        <v/>
      </c>
      <c r="AF51" s="62">
        <f t="shared" si="3"/>
        <v>19.574999999999999</v>
      </c>
      <c r="AG51" s="192">
        <v>0</v>
      </c>
      <c r="AH51" s="62">
        <f t="shared" si="4"/>
        <v>12.288153744331833</v>
      </c>
      <c r="AI51" s="62">
        <f t="shared" si="5"/>
        <v>3.976018258047668</v>
      </c>
      <c r="AJ51" s="62"/>
      <c r="AK51" s="62">
        <v>0</v>
      </c>
      <c r="AL51" s="256">
        <f t="shared" si="11"/>
        <v>35.839172002379499</v>
      </c>
      <c r="AM51" s="256">
        <f t="shared" si="12"/>
        <v>1350</v>
      </c>
      <c r="AN51" s="256">
        <f t="shared" si="13"/>
        <v>1385.8391720023794</v>
      </c>
    </row>
    <row r="52" spans="1:40" x14ac:dyDescent="0.2">
      <c r="A52" s="311"/>
      <c r="B52" s="351"/>
      <c r="C52" s="351"/>
      <c r="D52" s="351"/>
      <c r="E52" s="351"/>
      <c r="F52" s="351"/>
      <c r="G52" s="351"/>
      <c r="H52" s="351"/>
      <c r="I52" s="311"/>
      <c r="J52" s="311"/>
      <c r="K52" s="311"/>
      <c r="L52" s="311"/>
      <c r="M52" s="311"/>
      <c r="N52" s="311"/>
      <c r="O52" s="311"/>
      <c r="P52" s="311"/>
      <c r="Q52" s="311"/>
      <c r="R52" s="311"/>
      <c r="S52" s="311"/>
      <c r="T52" s="263"/>
      <c r="U52" s="269"/>
      <c r="V52" s="270"/>
      <c r="W52" s="270"/>
      <c r="X52" s="270"/>
      <c r="Y52" s="62"/>
      <c r="Z52" s="62"/>
      <c r="AA52" s="256"/>
      <c r="AB52" s="3"/>
      <c r="AC52" s="62"/>
      <c r="AD52" s="62"/>
      <c r="AE52" s="62"/>
      <c r="AF52" s="62"/>
      <c r="AG52" s="192"/>
      <c r="AH52" s="62"/>
      <c r="AI52" s="62"/>
      <c r="AJ52" s="62"/>
      <c r="AK52" s="62"/>
      <c r="AL52" s="256"/>
      <c r="AM52" s="256"/>
      <c r="AN52" s="256"/>
    </row>
    <row r="53" spans="1:40" x14ac:dyDescent="0.2">
      <c r="A53" s="386" t="str">
        <f>IF('Employee Detail FY21'!A23="","",'Employee Detail FY21'!A23)</f>
        <v/>
      </c>
      <c r="B53" s="437" t="str">
        <f>IF('Employee Detail FY21'!B23="","",'Employee Detail FY21'!B23)</f>
        <v>280</v>
      </c>
      <c r="C53" s="437" t="str">
        <f>IF('Employee Detail FY21'!C23="","",'Employee Detail FY21'!C23)</f>
        <v>639</v>
      </c>
      <c r="D53" s="437"/>
      <c r="E53" s="437" t="str">
        <f>IF('Employee Detail FY21'!E23="","",'Employee Detail FY21'!E23)</f>
        <v>200</v>
      </c>
      <c r="F53" s="437" t="str">
        <f>IF('Employee Detail FY21'!F23="","",'Employee Detail FY21'!F23)</f>
        <v>2140</v>
      </c>
      <c r="G53" s="437" t="str">
        <f>IF('Employee Detail FY21'!G23="","",'Employee Detail FY21'!G23)</f>
        <v>0106</v>
      </c>
      <c r="H53" s="437"/>
      <c r="I53" s="386" t="str">
        <f>IF('Employee Detail FY21'!I23="","",'Employee Detail FY21'!I23)</f>
        <v>Nash</v>
      </c>
      <c r="J53" s="386" t="str">
        <f>IF('Employee Detail FY21'!J23="","",'Employee Detail FY21'!J23)</f>
        <v>Mala</v>
      </c>
      <c r="K53" s="386" t="str">
        <f>IF('Employee Detail FY21'!K23="","",'Employee Detail FY21'!K23)</f>
        <v>Licensed Support Staff</v>
      </c>
      <c r="L53" s="386" t="str">
        <f>IF('Employee Detail FY21'!L23="","",'Employee Detail FY21'!L23)</f>
        <v>PSYCHOLOGIST</v>
      </c>
      <c r="M53" s="386">
        <f>IF('Employee Detail FY21'!M23="","",'Employee Detail FY21'!M23)</f>
        <v>0.19</v>
      </c>
      <c r="N53" s="386" t="str">
        <f>IF('Employee Detail FY21'!N23="","",'Employee Detail FY21'!N23)</f>
        <v/>
      </c>
      <c r="O53" s="386">
        <f>IF('Employee Detail FY21'!O23="","",'Employee Detail FY21'!O23)</f>
        <v>1</v>
      </c>
      <c r="P53" s="386" t="str">
        <f>IF('Employee Detail FY21'!P23="","",'Employee Detail FY21'!P23)</f>
        <v>ER</v>
      </c>
      <c r="Q53" s="386" t="str">
        <f>IF('Employee Detail FY21'!Q23="","",'Employee Detail FY21'!Q23)</f>
        <v/>
      </c>
      <c r="R53" s="386" t="str">
        <f>IF('Employee Detail FY21'!R23="","",'Employee Detail FY21'!R23)</f>
        <v/>
      </c>
      <c r="S53" s="386" t="str">
        <f>IF('Employee Detail FY21'!S23="","",'Employee Detail FY21'!S23)</f>
        <v/>
      </c>
      <c r="T53" s="263" t="str">
        <f t="shared" ref="T53" si="17">+IF(R53="","",R53*S53)</f>
        <v/>
      </c>
      <c r="U53" s="269">
        <f>IF('Employee Detail FY21'!U23="","",'Employee Detail FY21'!U23)</f>
        <v>72768.800000000003</v>
      </c>
      <c r="V53" s="270">
        <f t="shared" si="7"/>
        <v>74951.864000000001</v>
      </c>
      <c r="W53" s="270" t="str">
        <f t="shared" ref="W53" si="18">+IF(P53="EE",+V53*$W$1,"")</f>
        <v/>
      </c>
      <c r="X53" s="270">
        <f t="shared" ref="X53" si="19">_xlfn.IFS(P53="ER",V53,P53="EE",W53,P53="N",V53,P53="","")</f>
        <v>74951.864000000001</v>
      </c>
      <c r="Y53" s="62">
        <v>-68026.42</v>
      </c>
      <c r="Z53" s="62"/>
      <c r="AA53" s="256">
        <f t="shared" ref="AA53" si="20">SUM(X53:Z53)</f>
        <v>6925.4440000000031</v>
      </c>
      <c r="AB53" s="3"/>
      <c r="AC53" s="62" t="str">
        <f>IF('Employee Detail FY21'!AC23="","",'Employee Detail FY21'!AC23)</f>
        <v/>
      </c>
      <c r="AD53" s="62" t="str">
        <f t="shared" ref="AD53" si="21">_xlfn.IFS(P53="N",$AD$1*AA53,P53="EE","",P53="ER","",P53="","")</f>
        <v/>
      </c>
      <c r="AE53" s="62">
        <f t="shared" ref="AE53" si="22">_xlfn.IFS(P53="EE",X53*$AE$1,P53="ER",X53*$AE$2,P53="N","",P53="","")</f>
        <v>22110.799879999999</v>
      </c>
      <c r="AF53" s="62">
        <f t="shared" ref="AF53" si="23">+IF(AA53&gt;1,AA53*$AF$1,"")</f>
        <v>100.41893800000005</v>
      </c>
      <c r="AG53" s="192">
        <v>0</v>
      </c>
      <c r="AH53" s="62">
        <f t="shared" ref="AH53" si="24">+IF(AA53&gt;1,AA53*$AH$1,"")</f>
        <v>63.037718977600349</v>
      </c>
      <c r="AI53" s="62">
        <f t="shared" ref="AI53" si="25">+_xlfn.IFS(F53&lt;2300,(AA53*$AI$1),F53&gt;=2300,(AA53*$AI$2),F53="","")</f>
        <v>20.396808732656805</v>
      </c>
      <c r="AJ53" s="62"/>
      <c r="AK53" s="62">
        <v>0</v>
      </c>
      <c r="AL53" s="256">
        <f t="shared" ref="AL53" si="26">SUM(AC53:AK53)</f>
        <v>22294.653345710256</v>
      </c>
      <c r="AM53" s="256">
        <f t="shared" ref="AM53" si="27">AA53</f>
        <v>6925.4440000000031</v>
      </c>
      <c r="AN53" s="256">
        <f t="shared" ref="AN53" si="28">SUM(AL53:AM53)</f>
        <v>29220.097345710259</v>
      </c>
    </row>
    <row r="54" spans="1:40" x14ac:dyDescent="0.2">
      <c r="A54" s="311"/>
      <c r="B54" s="351"/>
      <c r="C54" s="351"/>
      <c r="D54" s="351"/>
      <c r="E54" s="351"/>
      <c r="F54" s="351"/>
      <c r="G54" s="351"/>
      <c r="H54" s="351"/>
      <c r="I54" s="311"/>
      <c r="J54" s="311"/>
      <c r="K54" s="311"/>
      <c r="L54" s="311"/>
      <c r="M54" s="311"/>
      <c r="N54" s="311"/>
      <c r="O54" s="311"/>
      <c r="P54" s="311"/>
      <c r="Q54" s="311"/>
      <c r="R54" s="311"/>
      <c r="S54" s="311"/>
      <c r="T54" s="263"/>
      <c r="U54" s="269"/>
      <c r="V54" s="270"/>
      <c r="W54" s="270"/>
      <c r="X54" s="270"/>
      <c r="Y54" s="62"/>
      <c r="Z54" s="62"/>
      <c r="AA54" s="256"/>
      <c r="AB54" s="3"/>
      <c r="AC54" s="62"/>
      <c r="AD54" s="62"/>
      <c r="AE54" s="62"/>
      <c r="AF54" s="62"/>
      <c r="AG54" s="192"/>
      <c r="AH54" s="62"/>
      <c r="AI54" s="62"/>
      <c r="AJ54" s="62"/>
      <c r="AK54" s="62"/>
      <c r="AL54" s="256"/>
      <c r="AM54" s="256"/>
      <c r="AN54" s="256"/>
    </row>
    <row r="55" spans="1:40" x14ac:dyDescent="0.2">
      <c r="A55" s="386" t="str">
        <f>IF('Employee Detail FY21'!A27="","",'Employee Detail FY21'!A27)</f>
        <v/>
      </c>
      <c r="B55" s="437" t="str">
        <f>IF('Employee Detail FY21'!B27="","",'Employee Detail FY21'!B27)</f>
        <v>100</v>
      </c>
      <c r="C55" s="437" t="str">
        <f>IF('Employee Detail FY21'!C27="","",'Employee Detail FY21'!C27)</f>
        <v>000</v>
      </c>
      <c r="D55" s="437"/>
      <c r="E55" s="437" t="str">
        <f>IF('Employee Detail FY21'!E27="","",'Employee Detail FY21'!E27)</f>
        <v>100</v>
      </c>
      <c r="F55" s="437" t="str">
        <f>IF('Employee Detail FY21'!F27="","",'Employee Detail FY21'!F27)</f>
        <v>1000</v>
      </c>
      <c r="G55" s="437" t="str">
        <f>IF('Employee Detail FY21'!G27="","",'Employee Detail FY21'!G27)</f>
        <v>0102</v>
      </c>
      <c r="H55" s="437"/>
      <c r="I55" s="386" t="str">
        <f>IF('Employee Detail FY21'!I27="","",'Employee Detail FY21'!I27)</f>
        <v>Poles</v>
      </c>
      <c r="J55" s="386" t="str">
        <f>IF('Employee Detail FY21'!J27="","",'Employee Detail FY21'!J27)</f>
        <v>Kevin</v>
      </c>
      <c r="K55" s="386" t="str">
        <f>IF('Employee Detail FY21'!K27="","",'Employee Detail FY21'!K27)</f>
        <v>Licensed Support Staff</v>
      </c>
      <c r="L55" s="386" t="str">
        <f>IF('Employee Detail FY21'!L27="","",'Employee Detail FY21'!L27)</f>
        <v>Licensed Teaching Assistant</v>
      </c>
      <c r="M55" s="386">
        <f>IF('Employee Detail FY21'!M27="","",'Employee Detail FY21'!M27)</f>
        <v>0.25883507853403143</v>
      </c>
      <c r="N55" s="386" t="str">
        <f>IF('Employee Detail FY21'!N27="","",'Employee Detail FY21'!N27)</f>
        <v/>
      </c>
      <c r="O55" s="386">
        <f>IF('Employee Detail FY21'!O27="","",'Employee Detail FY21'!O27)</f>
        <v>1</v>
      </c>
      <c r="P55" s="386" t="str">
        <f>IF('Employee Detail FY21'!P27="","",'Employee Detail FY21'!P27)</f>
        <v>ER</v>
      </c>
      <c r="Q55" s="386">
        <f>IF('Employee Detail FY21'!Q27="","",'Employee Detail FY21'!Q27)</f>
        <v>20</v>
      </c>
      <c r="R55" s="386">
        <f>IF('Employee Detail FY21'!R27="","",'Employee Detail FY21'!R27)</f>
        <v>191</v>
      </c>
      <c r="S55" s="386">
        <f>IF('Employee Detail FY21'!S27="","",'Employee Detail FY21'!S27)</f>
        <v>8</v>
      </c>
      <c r="T55" s="263">
        <f t="shared" ref="T55" si="29">+IF(R55="","",R55*S55)</f>
        <v>1528</v>
      </c>
      <c r="U55" s="269">
        <f>IF('Employee Detail FY21'!U27="","",'Employee Detail FY21'!U27)</f>
        <v>30560</v>
      </c>
      <c r="V55" s="270">
        <f t="shared" si="7"/>
        <v>31476.799999999999</v>
      </c>
      <c r="W55" s="270" t="str">
        <f t="shared" ref="W55" si="30">+IF(P55="EE",+V55*$W$1,"")</f>
        <v/>
      </c>
      <c r="X55" s="270">
        <f t="shared" ref="X55" si="31">_xlfn.IFS(P55="ER",V55,P55="EE",W55,P55="N",V55,P55="","")</f>
        <v>31476.799999999999</v>
      </c>
      <c r="Y55" s="62">
        <v>-22649.999999999996</v>
      </c>
      <c r="Z55" s="62"/>
      <c r="AA55" s="256">
        <f t="shared" ref="AA55" si="32">SUM(X55:Z55)</f>
        <v>8826.8000000000029</v>
      </c>
      <c r="AB55" s="3"/>
      <c r="AC55" s="62" t="str">
        <f>IF('Employee Detail FY21'!AC27="","",'Employee Detail FY21'!AC27)</f>
        <v/>
      </c>
      <c r="AD55" s="62" t="str">
        <f t="shared" ref="AD55" si="33">_xlfn.IFS(P55="N",$AD$1*AA55,P55="EE","",P55="ER","",P55="","")</f>
        <v/>
      </c>
      <c r="AE55" s="62">
        <f t="shared" ref="AE55" si="34">_xlfn.IFS(P55="EE",X55*$AE$1,P55="ER",X55*$AE$2,P55="N","",P55="","")</f>
        <v>9285.655999999999</v>
      </c>
      <c r="AF55" s="62">
        <f t="shared" ref="AF55" si="35">+IF(AA55&gt;1,AA55*$AF$1,"")</f>
        <v>127.98860000000005</v>
      </c>
      <c r="AG55" s="192">
        <v>0</v>
      </c>
      <c r="AH55" s="62">
        <f t="shared" ref="AH55" si="36">+IF(AA55&gt;1,AA55*$AH$1,"")</f>
        <v>80.344500348495004</v>
      </c>
      <c r="AI55" s="62">
        <f t="shared" ref="AI55" si="37">+_xlfn.IFS(F55&lt;2300,(AA55*$AI$1),F55&gt;=2300,(AA55*$AI$2),F55="","")</f>
        <v>25.996679970470495</v>
      </c>
      <c r="AJ55" s="62"/>
      <c r="AK55" s="62">
        <v>0</v>
      </c>
      <c r="AL55" s="256">
        <f t="shared" ref="AL55" si="38">SUM(AC55:AK55)</f>
        <v>9519.9857803189661</v>
      </c>
      <c r="AM55" s="256">
        <f t="shared" ref="AM55" si="39">AA55</f>
        <v>8826.8000000000029</v>
      </c>
      <c r="AN55" s="256">
        <f t="shared" ref="AN55" si="40">SUM(AL55:AM55)</f>
        <v>18346.785780318969</v>
      </c>
    </row>
    <row r="56" spans="1:40" x14ac:dyDescent="0.2">
      <c r="A56" s="311"/>
      <c r="B56" s="351"/>
      <c r="C56" s="351"/>
      <c r="D56" s="351"/>
      <c r="E56" s="351"/>
      <c r="F56" s="351"/>
      <c r="G56" s="351"/>
      <c r="H56" s="35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263"/>
      <c r="U56" s="269"/>
      <c r="V56" s="270"/>
      <c r="W56" s="270"/>
      <c r="X56" s="270"/>
      <c r="Y56" s="62"/>
      <c r="Z56" s="62"/>
      <c r="AA56" s="256"/>
      <c r="AB56" s="3"/>
      <c r="AC56" s="62"/>
      <c r="AD56" s="62"/>
      <c r="AE56" s="62"/>
      <c r="AF56" s="62"/>
      <c r="AG56" s="192"/>
      <c r="AH56" s="62"/>
      <c r="AI56" s="62"/>
      <c r="AJ56" s="62"/>
      <c r="AK56" s="62"/>
      <c r="AL56" s="256"/>
      <c r="AM56" s="256"/>
      <c r="AN56" s="256"/>
    </row>
    <row r="57" spans="1:40" x14ac:dyDescent="0.2">
      <c r="A57" s="386" t="str">
        <f>IF('Employee Detail FY21'!A59="","",'Employee Detail FY21'!A59)</f>
        <v>TERMED</v>
      </c>
      <c r="B57" s="437" t="str">
        <f>IF('Employee Detail FY21'!B59="","",'Employee Detail FY21'!B59)</f>
        <v>280</v>
      </c>
      <c r="C57" s="437" t="str">
        <f>IF('Employee Detail FY21'!C59="","",'Employee Detail FY21'!C59)</f>
        <v>715</v>
      </c>
      <c r="D57" s="437"/>
      <c r="E57" s="437" t="str">
        <f>IF('Employee Detail FY21'!E59="","",'Employee Detail FY21'!E59)</f>
        <v>430</v>
      </c>
      <c r="F57" s="437" t="str">
        <f>IF('Employee Detail FY21'!F59="","",'Employee Detail FY21'!F59)</f>
        <v>2110</v>
      </c>
      <c r="G57" s="437" t="str">
        <f>IF('Employee Detail FY21'!G59="","",'Employee Detail FY21'!G59)</f>
        <v>0106</v>
      </c>
      <c r="H57" s="437"/>
      <c r="I57" s="386" t="str">
        <f>IF('Employee Detail FY21'!I59="","",'Employee Detail FY21'!I59)</f>
        <v>Ramos</v>
      </c>
      <c r="J57" s="386" t="str">
        <f>IF('Employee Detail FY21'!J59="","",'Employee Detail FY21'!J59)</f>
        <v>Michelle</v>
      </c>
      <c r="K57" s="386" t="str">
        <f>IF('Employee Detail FY21'!K59="","",'Employee Detail FY21'!K59)</f>
        <v>Licensed Support Staff</v>
      </c>
      <c r="L57" s="386" t="str">
        <f>IF('Employee Detail FY21'!L59="","",'Employee Detail FY21'!L59)</f>
        <v>Drop Out Prevention Facilitator</v>
      </c>
      <c r="M57" s="386">
        <f>IF('Employee Detail FY21'!M59="","",'Employee Detail FY21'!M59)</f>
        <v>0.16301079090821666</v>
      </c>
      <c r="N57" s="386" t="str">
        <f>IF('Employee Detail FY21'!N59="","",'Employee Detail FY21'!N59)</f>
        <v/>
      </c>
      <c r="O57" s="386" t="str">
        <f>IF('Employee Detail FY21'!O59="","",'Employee Detail FY21'!O59)</f>
        <v/>
      </c>
      <c r="P57" s="386" t="str">
        <f>IF('Employee Detail FY21'!P59="","",'Employee Detail FY21'!P59)</f>
        <v>ER</v>
      </c>
      <c r="Q57" s="386" t="str">
        <f>IF('Employee Detail FY21'!Q59="","",'Employee Detail FY21'!Q59)</f>
        <v/>
      </c>
      <c r="R57" s="386" t="str">
        <f>IF('Employee Detail FY21'!R59="","",'Employee Detail FY21'!R59)</f>
        <v/>
      </c>
      <c r="S57" s="386" t="str">
        <f>IF('Employee Detail FY21'!S59="","",'Employee Detail FY21'!S59)</f>
        <v/>
      </c>
      <c r="T57" s="263" t="str">
        <f t="shared" ref="T57:T60" si="41">+IF(R57="","",R57*S57)</f>
        <v/>
      </c>
      <c r="U57" s="269">
        <f>IF('Employee Detail FY21'!U59="","",'Employee Detail FY21'!U59)</f>
        <v>57704</v>
      </c>
      <c r="V57" s="270">
        <f t="shared" si="7"/>
        <v>59435.12</v>
      </c>
      <c r="W57" s="270" t="str">
        <f t="shared" ref="W57:W60" si="42">+IF(P57="EE",+V57*$W$1,"")</f>
        <v/>
      </c>
      <c r="X57" s="270">
        <f t="shared" ref="X57:X60" si="43">_xlfn.IFS(P57="ER",V57,P57="EE",W57,P57="N",V57,P57="","")</f>
        <v>59435.12</v>
      </c>
      <c r="Y57" s="62">
        <v>-46880</v>
      </c>
      <c r="Z57" s="62"/>
      <c r="AA57" s="256">
        <f t="shared" ref="AA57:AA60" si="44">SUM(X57:Z57)</f>
        <v>12555.120000000003</v>
      </c>
      <c r="AB57" s="3"/>
      <c r="AC57" s="62" t="str">
        <f>IF('Employee Detail FY21'!AC59="","",'Employee Detail FY21'!AC59)</f>
        <v/>
      </c>
      <c r="AD57" s="62" t="str">
        <f t="shared" ref="AD57:AD60" si="45">_xlfn.IFS(P57="N",$AD$1*AA57,P57="EE","",P57="ER","",P57="","")</f>
        <v/>
      </c>
      <c r="AE57" s="62">
        <f t="shared" ref="AE57:AE60" si="46">_xlfn.IFS(P57="EE",X57*$AE$1,P57="ER",X57*$AE$2,P57="N","",P57="","")</f>
        <v>17533.360400000001</v>
      </c>
      <c r="AF57" s="62">
        <f t="shared" ref="AF57:AF60" si="47">+IF(AA57&gt;1,AA57*$AF$1,"")</f>
        <v>182.04924000000005</v>
      </c>
      <c r="AG57" s="192">
        <v>0</v>
      </c>
      <c r="AH57" s="62">
        <f t="shared" ref="AH57:AH60" si="48">+IF(AA57&gt;1,AA57*$AH$1,"")</f>
        <v>114.2809221026189</v>
      </c>
      <c r="AI57" s="62">
        <f t="shared" ref="AI57:AI60" si="49">+_xlfn.IFS(F57&lt;2300,(AA57*$AI$1),F57&gt;=2300,(AA57*$AI$2),F57="","")</f>
        <v>36.977323223688479</v>
      </c>
      <c r="AJ57" s="62"/>
      <c r="AK57" s="62">
        <v>0</v>
      </c>
      <c r="AL57" s="256">
        <f t="shared" ref="AL57:AL60" si="50">SUM(AC57:AK57)</f>
        <v>17866.667885326307</v>
      </c>
      <c r="AM57" s="256">
        <f t="shared" ref="AM57:AM60" si="51">AA57</f>
        <v>12555.120000000003</v>
      </c>
      <c r="AN57" s="256">
        <f t="shared" ref="AN57:AN60" si="52">SUM(AL57:AM57)</f>
        <v>30421.78788532631</v>
      </c>
    </row>
    <row r="58" spans="1:40" x14ac:dyDescent="0.2">
      <c r="A58" s="386" t="str">
        <f>IF('Employee Detail FY21'!A42="","",'Employee Detail FY21'!A42)</f>
        <v/>
      </c>
      <c r="B58" s="437" t="str">
        <f>IF('Employee Detail FY21'!B42="","",'Employee Detail FY21'!B42)</f>
        <v>280</v>
      </c>
      <c r="C58" s="437" t="str">
        <f>IF('Employee Detail FY21'!C42="","",'Employee Detail FY21'!C42)</f>
        <v>709</v>
      </c>
      <c r="D58" s="437"/>
      <c r="E58" s="437" t="str">
        <f>IF('Employee Detail FY21'!E42="","",'Employee Detail FY21'!E42)</f>
        <v>100</v>
      </c>
      <c r="F58" s="437" t="str">
        <f>IF('Employee Detail FY21'!F42="","",'Employee Detail FY21'!F42)</f>
        <v>1000</v>
      </c>
      <c r="G58" s="437" t="str">
        <f>IF('Employee Detail FY21'!G42="","",'Employee Detail FY21'!G42)</f>
        <v>0101</v>
      </c>
      <c r="H58" s="437"/>
      <c r="I58" s="386" t="str">
        <f>IF('Employee Detail FY21'!I42="","",'Employee Detail FY21'!I42)</f>
        <v>TITLE IIA</v>
      </c>
      <c r="J58" s="386" t="str">
        <f>IF('Employee Detail FY21'!J42="","",'Employee Detail FY21'!J42)</f>
        <v/>
      </c>
      <c r="K58" s="386" t="str">
        <f>IF('Employee Detail FY21'!K42="","",'Employee Detail FY21'!K42)</f>
        <v/>
      </c>
      <c r="L58" s="386" t="str">
        <f>IF('Employee Detail FY21'!L42="","",'Employee Detail FY21'!L42)</f>
        <v>TITLE IIA</v>
      </c>
      <c r="M58" s="386" t="str">
        <f>IF('Employee Detail FY21'!M42="","",'Employee Detail FY21'!M42)</f>
        <v/>
      </c>
      <c r="N58" s="386" t="str">
        <f>IF('Employee Detail FY21'!N42="","",'Employee Detail FY21'!N42)</f>
        <v/>
      </c>
      <c r="O58" s="386" t="str">
        <f>IF('Employee Detail FY21'!O42="","",'Employee Detail FY21'!O42)</f>
        <v/>
      </c>
      <c r="P58" s="386" t="str">
        <f>IF('Employee Detail FY21'!P42="","",'Employee Detail FY21'!P42)</f>
        <v/>
      </c>
      <c r="Q58" s="386" t="str">
        <f>IF('Employee Detail FY21'!Q42="","",'Employee Detail FY21'!Q42)</f>
        <v/>
      </c>
      <c r="R58" s="386" t="str">
        <f>IF('Employee Detail FY21'!R42="","",'Employee Detail FY21'!R42)</f>
        <v/>
      </c>
      <c r="S58" s="386" t="str">
        <f>IF('Employee Detail FY21'!S42="","",'Employee Detail FY21'!S42)</f>
        <v/>
      </c>
      <c r="T58" s="263" t="str">
        <f t="shared" si="41"/>
        <v/>
      </c>
      <c r="U58" s="269" t="str">
        <f>IF('Employee Detail FY21'!U42="","",'Employee Detail FY21'!U42)</f>
        <v/>
      </c>
      <c r="V58" s="270" t="str">
        <f t="shared" si="7"/>
        <v/>
      </c>
      <c r="W58" s="270" t="str">
        <f t="shared" si="42"/>
        <v/>
      </c>
      <c r="X58" s="270" t="str">
        <f t="shared" si="43"/>
        <v/>
      </c>
      <c r="Y58" s="62">
        <v>0</v>
      </c>
      <c r="Z58" s="62">
        <v>0</v>
      </c>
      <c r="AA58" s="256">
        <f t="shared" si="44"/>
        <v>0</v>
      </c>
      <c r="AB58" s="3"/>
      <c r="AC58" s="62" t="str">
        <f>IF('Employee Detail FY21'!AC42="","",'Employee Detail FY21'!AC42)</f>
        <v/>
      </c>
      <c r="AD58" s="62" t="str">
        <f t="shared" si="45"/>
        <v/>
      </c>
      <c r="AE58" s="62" t="str">
        <f t="shared" si="46"/>
        <v/>
      </c>
      <c r="AF58" s="62" t="str">
        <f t="shared" si="47"/>
        <v/>
      </c>
      <c r="AG58" s="192">
        <v>0</v>
      </c>
      <c r="AH58" s="62" t="str">
        <f t="shared" si="48"/>
        <v/>
      </c>
      <c r="AI58" s="62">
        <f t="shared" si="49"/>
        <v>0</v>
      </c>
      <c r="AJ58" s="62"/>
      <c r="AK58" s="62">
        <v>0</v>
      </c>
      <c r="AL58" s="256">
        <f t="shared" si="50"/>
        <v>0</v>
      </c>
      <c r="AM58" s="256">
        <f t="shared" si="51"/>
        <v>0</v>
      </c>
      <c r="AN58" s="256">
        <f t="shared" si="52"/>
        <v>0</v>
      </c>
    </row>
    <row r="59" spans="1:40" x14ac:dyDescent="0.2">
      <c r="A59" s="386" t="str">
        <f>IF('Employee Detail FY21'!A43="","",'Employee Detail FY21'!A43)</f>
        <v/>
      </c>
      <c r="B59" s="437" t="str">
        <f>IF('Employee Detail FY21'!B43="","",'Employee Detail FY21'!B43)</f>
        <v>280</v>
      </c>
      <c r="C59" s="437" t="str">
        <f>IF('Employee Detail FY21'!C43="","",'Employee Detail FY21'!C43)</f>
        <v>658</v>
      </c>
      <c r="D59" s="437"/>
      <c r="E59" s="437" t="str">
        <f>IF('Employee Detail FY21'!E43="","",'Employee Detail FY21'!E43)</f>
        <v>420</v>
      </c>
      <c r="F59" s="437" t="str">
        <f>IF('Employee Detail FY21'!F43="","",'Employee Detail FY21'!F43)</f>
        <v>2212</v>
      </c>
      <c r="G59" s="437" t="str">
        <f>IF('Employee Detail FY21'!G43="","",'Employee Detail FY21'!G43)</f>
        <v>0107</v>
      </c>
      <c r="H59" s="437"/>
      <c r="I59" s="386" t="str">
        <f>IF('Employee Detail FY21'!I43="","",'Employee Detail FY21'!I43)</f>
        <v>TITLE III</v>
      </c>
      <c r="J59" s="386" t="str">
        <f>IF('Employee Detail FY21'!J43="","",'Employee Detail FY21'!J43)</f>
        <v/>
      </c>
      <c r="K59" s="386" t="str">
        <f>IF('Employee Detail FY21'!K43="","",'Employee Detail FY21'!K43)</f>
        <v/>
      </c>
      <c r="L59" s="386" t="str">
        <f>IF('Employee Detail FY21'!L43="","",'Employee Detail FY21'!L43)</f>
        <v>TITLE III</v>
      </c>
      <c r="M59" s="386" t="str">
        <f>IF('Employee Detail FY21'!M43="","",'Employee Detail FY21'!M43)</f>
        <v/>
      </c>
      <c r="N59" s="386" t="str">
        <f>IF('Employee Detail FY21'!N43="","",'Employee Detail FY21'!N43)</f>
        <v/>
      </c>
      <c r="O59" s="386" t="str">
        <f>IF('Employee Detail FY21'!O43="","",'Employee Detail FY21'!O43)</f>
        <v/>
      </c>
      <c r="P59" s="386" t="str">
        <f>IF('Employee Detail FY21'!P43="","",'Employee Detail FY21'!P43)</f>
        <v/>
      </c>
      <c r="Q59" s="386" t="str">
        <f>IF('Employee Detail FY21'!Q43="","",'Employee Detail FY21'!Q43)</f>
        <v/>
      </c>
      <c r="R59" s="386" t="str">
        <f>IF('Employee Detail FY21'!R43="","",'Employee Detail FY21'!R43)</f>
        <v/>
      </c>
      <c r="S59" s="386" t="str">
        <f>IF('Employee Detail FY21'!S43="","",'Employee Detail FY21'!S43)</f>
        <v/>
      </c>
      <c r="T59" s="263" t="str">
        <f t="shared" si="41"/>
        <v/>
      </c>
      <c r="U59" s="269" t="str">
        <f>IF('Employee Detail FY21'!U43="","",'Employee Detail FY21'!U43)</f>
        <v/>
      </c>
      <c r="V59" s="270" t="str">
        <f t="shared" si="7"/>
        <v/>
      </c>
      <c r="W59" s="270" t="str">
        <f t="shared" si="42"/>
        <v/>
      </c>
      <c r="X59" s="270" t="str">
        <f t="shared" si="43"/>
        <v/>
      </c>
      <c r="Y59" s="62">
        <v>0</v>
      </c>
      <c r="Z59" s="62">
        <v>0</v>
      </c>
      <c r="AA59" s="256">
        <f t="shared" si="44"/>
        <v>0</v>
      </c>
      <c r="AB59" s="3"/>
      <c r="AC59" s="62" t="str">
        <f>IF('Employee Detail FY21'!AC43="","",'Employee Detail FY21'!AC43)</f>
        <v/>
      </c>
      <c r="AD59" s="62" t="str">
        <f t="shared" si="45"/>
        <v/>
      </c>
      <c r="AE59" s="62" t="str">
        <f t="shared" si="46"/>
        <v/>
      </c>
      <c r="AF59" s="62" t="str">
        <f t="shared" si="47"/>
        <v/>
      </c>
      <c r="AG59" s="192">
        <v>0</v>
      </c>
      <c r="AH59" s="62" t="str">
        <f t="shared" si="48"/>
        <v/>
      </c>
      <c r="AI59" s="62">
        <f t="shared" si="49"/>
        <v>0</v>
      </c>
      <c r="AJ59" s="62"/>
      <c r="AK59" s="62">
        <v>0</v>
      </c>
      <c r="AL59" s="256">
        <f t="shared" si="50"/>
        <v>0</v>
      </c>
      <c r="AM59" s="256">
        <f t="shared" si="51"/>
        <v>0</v>
      </c>
      <c r="AN59" s="256">
        <f t="shared" si="52"/>
        <v>0</v>
      </c>
    </row>
    <row r="60" spans="1:40" x14ac:dyDescent="0.2">
      <c r="A60" s="386" t="str">
        <f>IF('Employee Detail FY21'!A44="","",'Employee Detail FY21'!A44)</f>
        <v/>
      </c>
      <c r="B60" s="437" t="str">
        <f>IF('Employee Detail FY21'!B44="","",'Employee Detail FY21'!B44)</f>
        <v>280</v>
      </c>
      <c r="C60" s="437" t="str">
        <f>IF('Employee Detail FY21'!C44="","",'Employee Detail FY21'!C44)</f>
        <v>658</v>
      </c>
      <c r="D60" s="437"/>
      <c r="E60" s="437" t="str">
        <f>IF('Employee Detail FY21'!E44="","",'Employee Detail FY21'!E44)</f>
        <v>420</v>
      </c>
      <c r="F60" s="437" t="str">
        <f>IF('Employee Detail FY21'!F44="","",'Employee Detail FY21'!F44)</f>
        <v>2110</v>
      </c>
      <c r="G60" s="437" t="str">
        <f>IF('Employee Detail FY21'!G44="","",'Employee Detail FY21'!G44)</f>
        <v>0107</v>
      </c>
      <c r="H60" s="437"/>
      <c r="I60" s="386" t="str">
        <f>IF('Employee Detail FY21'!I44="","",'Employee Detail FY21'!I44)</f>
        <v>TITLE III</v>
      </c>
      <c r="J60" s="386" t="str">
        <f>IF('Employee Detail FY21'!J44="","",'Employee Detail FY21'!J44)</f>
        <v/>
      </c>
      <c r="K60" s="386" t="str">
        <f>IF('Employee Detail FY21'!K44="","",'Employee Detail FY21'!K44)</f>
        <v/>
      </c>
      <c r="L60" s="386" t="str">
        <f>IF('Employee Detail FY21'!L44="","",'Employee Detail FY21'!L44)</f>
        <v>TITLE III</v>
      </c>
      <c r="M60" s="386" t="str">
        <f>IF('Employee Detail FY21'!M44="","",'Employee Detail FY21'!M44)</f>
        <v/>
      </c>
      <c r="N60" s="386" t="str">
        <f>IF('Employee Detail FY21'!N44="","",'Employee Detail FY21'!N44)</f>
        <v/>
      </c>
      <c r="O60" s="386" t="str">
        <f>IF('Employee Detail FY21'!O44="","",'Employee Detail FY21'!O44)</f>
        <v/>
      </c>
      <c r="P60" s="386" t="str">
        <f>IF('Employee Detail FY21'!P44="","",'Employee Detail FY21'!P44)</f>
        <v/>
      </c>
      <c r="Q60" s="386" t="str">
        <f>IF('Employee Detail FY21'!Q44="","",'Employee Detail FY21'!Q44)</f>
        <v/>
      </c>
      <c r="R60" s="386" t="str">
        <f>IF('Employee Detail FY21'!R44="","",'Employee Detail FY21'!R44)</f>
        <v/>
      </c>
      <c r="S60" s="386" t="str">
        <f>IF('Employee Detail FY21'!S44="","",'Employee Detail FY21'!S44)</f>
        <v/>
      </c>
      <c r="T60" s="263" t="str">
        <f t="shared" si="41"/>
        <v/>
      </c>
      <c r="U60" s="269" t="str">
        <f>IF('Employee Detail FY21'!U44="","",'Employee Detail FY21'!U44)</f>
        <v/>
      </c>
      <c r="V60" s="270" t="str">
        <f t="shared" si="7"/>
        <v/>
      </c>
      <c r="W60" s="270" t="str">
        <f t="shared" si="42"/>
        <v/>
      </c>
      <c r="X60" s="270" t="str">
        <f t="shared" si="43"/>
        <v/>
      </c>
      <c r="Y60" s="62">
        <v>0</v>
      </c>
      <c r="Z60" s="62">
        <v>0</v>
      </c>
      <c r="AA60" s="256">
        <f t="shared" si="44"/>
        <v>0</v>
      </c>
      <c r="AB60" s="3"/>
      <c r="AC60" s="62" t="str">
        <f>IF('Employee Detail FY21'!AC44="","",'Employee Detail FY21'!AC44)</f>
        <v/>
      </c>
      <c r="AD60" s="62" t="str">
        <f t="shared" si="45"/>
        <v/>
      </c>
      <c r="AE60" s="62" t="str">
        <f t="shared" si="46"/>
        <v/>
      </c>
      <c r="AF60" s="62" t="str">
        <f t="shared" si="47"/>
        <v/>
      </c>
      <c r="AG60" s="192">
        <v>0</v>
      </c>
      <c r="AH60" s="62" t="str">
        <f t="shared" si="48"/>
        <v/>
      </c>
      <c r="AI60" s="62">
        <f t="shared" si="49"/>
        <v>0</v>
      </c>
      <c r="AJ60" s="62"/>
      <c r="AK60" s="62">
        <v>0</v>
      </c>
      <c r="AL60" s="256">
        <f t="shared" si="50"/>
        <v>0</v>
      </c>
      <c r="AM60" s="256">
        <f t="shared" si="51"/>
        <v>0</v>
      </c>
      <c r="AN60" s="256">
        <f t="shared" si="52"/>
        <v>0</v>
      </c>
    </row>
    <row r="61" spans="1:40" x14ac:dyDescent="0.2">
      <c r="A61" s="439"/>
      <c r="B61" s="440"/>
      <c r="C61" s="440"/>
      <c r="D61" s="440"/>
      <c r="E61" s="440"/>
      <c r="F61" s="440"/>
      <c r="G61" s="440"/>
      <c r="H61" s="440"/>
      <c r="I61" s="439"/>
      <c r="J61" s="439"/>
      <c r="K61" s="439"/>
      <c r="L61" s="439"/>
      <c r="M61" s="439"/>
      <c r="N61" s="439"/>
      <c r="O61" s="439"/>
      <c r="P61" s="439"/>
      <c r="Q61" s="439"/>
      <c r="R61" s="439"/>
      <c r="S61" s="439"/>
      <c r="T61" s="263"/>
      <c r="U61" s="269"/>
      <c r="V61" s="270"/>
      <c r="W61" s="270"/>
      <c r="X61" s="270"/>
      <c r="Y61" s="62"/>
      <c r="Z61" s="62"/>
      <c r="AA61" s="256"/>
      <c r="AB61" s="3"/>
      <c r="AC61" s="62"/>
      <c r="AD61" s="62"/>
      <c r="AE61" s="62"/>
      <c r="AF61" s="62"/>
      <c r="AG61" s="192"/>
      <c r="AH61" s="62"/>
      <c r="AI61" s="62"/>
      <c r="AJ61" s="62"/>
      <c r="AK61" s="62"/>
      <c r="AL61" s="256"/>
      <c r="AM61" s="256"/>
      <c r="AN61" s="256"/>
    </row>
    <row r="62" spans="1:40" x14ac:dyDescent="0.2">
      <c r="A62" s="3"/>
      <c r="B62" s="278">
        <v>100</v>
      </c>
      <c r="C62" s="278" t="s">
        <v>145</v>
      </c>
      <c r="D62" s="278"/>
      <c r="E62" s="278">
        <v>100</v>
      </c>
      <c r="F62" s="351">
        <v>2410</v>
      </c>
      <c r="G62" s="278" t="s">
        <v>173</v>
      </c>
      <c r="H62" s="278" t="s">
        <v>497</v>
      </c>
      <c r="I62" s="3" t="s">
        <v>432</v>
      </c>
      <c r="J62" s="3" t="s">
        <v>433</v>
      </c>
      <c r="K62" s="3" t="s">
        <v>384</v>
      </c>
      <c r="L62" s="3" t="s">
        <v>434</v>
      </c>
      <c r="M62" s="3">
        <v>1</v>
      </c>
      <c r="N62" s="3" t="s">
        <v>386</v>
      </c>
      <c r="O62" s="3">
        <v>1</v>
      </c>
      <c r="P62" s="3" t="s">
        <v>342</v>
      </c>
      <c r="Q62" s="3">
        <v>14.5</v>
      </c>
      <c r="R62" s="3">
        <v>265</v>
      </c>
      <c r="S62" s="3">
        <v>8</v>
      </c>
      <c r="T62" s="263">
        <v>2120</v>
      </c>
      <c r="U62" s="269">
        <v>45000</v>
      </c>
      <c r="V62" s="270">
        <v>45000</v>
      </c>
      <c r="W62" s="270" t="str">
        <f>+IF(P62="EE",+V62*$W$1,"")</f>
        <v/>
      </c>
      <c r="X62" s="270">
        <f>_xlfn.IFS(P62="ER",V62,P62="EE",W62,P62="N",V62,P62="","")</f>
        <v>45000</v>
      </c>
      <c r="Y62" s="62">
        <v>0</v>
      </c>
      <c r="Z62" s="62">
        <v>0</v>
      </c>
      <c r="AA62" s="256">
        <f>SUM(X62:Z62)</f>
        <v>45000</v>
      </c>
      <c r="AB62" s="3"/>
      <c r="AC62" s="363">
        <f>IF('Employee Detail FY21'!AC60="","",'Employee Detail FY21'!AC60)*2</f>
        <v>15887.52</v>
      </c>
      <c r="AD62" s="62" t="str">
        <f>_xlfn.IFS(P62="N",$AD$1*AA62,P62="EE","",P62="ER","",P62="","")</f>
        <v/>
      </c>
      <c r="AE62" s="62">
        <f>_xlfn.IFS(P62="EE",X62*$AE$1,P62="ER",X62*$AE$2,P62="N","",P62="","")</f>
        <v>13275</v>
      </c>
      <c r="AF62" s="62">
        <f>+IF(AA62&gt;1,AA62*$AF$1,"")</f>
        <v>652.5</v>
      </c>
      <c r="AG62" s="192">
        <v>0</v>
      </c>
      <c r="AH62" s="62">
        <f>+IF(AA62&gt;1,AA62*$AH$1,"")</f>
        <v>409.6051248110611</v>
      </c>
      <c r="AI62" s="62">
        <f>+_xlfn.IFS(F62&lt;2300,(AA62*$AI$1),F62&gt;=2300,(AA62*$AI$2),F62="","")</f>
        <v>132.53394193492227</v>
      </c>
      <c r="AJ62" s="62"/>
      <c r="AK62" s="62">
        <v>0</v>
      </c>
      <c r="AL62" s="256">
        <f>SUM(AC62:AK62)</f>
        <v>30357.159066745982</v>
      </c>
      <c r="AM62" s="256">
        <f>AA62</f>
        <v>45000</v>
      </c>
      <c r="AN62" s="256">
        <f>SUM(AL62:AM62)</f>
        <v>75357.159066745982</v>
      </c>
    </row>
    <row r="63" spans="1:40" x14ac:dyDescent="0.2">
      <c r="A63" s="311"/>
      <c r="B63" s="351"/>
      <c r="C63" s="351"/>
      <c r="D63" s="351"/>
      <c r="E63" s="351"/>
      <c r="F63" s="351"/>
      <c r="G63" s="351"/>
      <c r="H63" s="351"/>
      <c r="I63" s="311"/>
      <c r="J63" s="311"/>
      <c r="K63" s="311"/>
      <c r="L63" s="311"/>
      <c r="M63" s="311"/>
      <c r="N63" s="311"/>
      <c r="O63" s="311"/>
      <c r="P63" s="311"/>
      <c r="Q63" s="311"/>
      <c r="R63" s="311"/>
      <c r="S63" s="311"/>
      <c r="T63" s="263"/>
      <c r="U63" s="269"/>
      <c r="V63" s="270"/>
      <c r="W63" s="270"/>
      <c r="X63" s="270"/>
      <c r="Y63" s="62"/>
      <c r="Z63" s="62"/>
      <c r="AA63" s="256"/>
      <c r="AB63" s="3"/>
      <c r="AC63" s="62"/>
      <c r="AD63" s="62"/>
      <c r="AE63" s="62"/>
      <c r="AF63" s="62"/>
      <c r="AG63" s="192"/>
      <c r="AH63" s="62"/>
      <c r="AI63" s="62"/>
      <c r="AJ63" s="62"/>
      <c r="AK63" s="62"/>
      <c r="AL63" s="256"/>
      <c r="AM63" s="256"/>
      <c r="AN63" s="256"/>
    </row>
    <row r="64" spans="1:40" x14ac:dyDescent="0.2">
      <c r="A64" s="3"/>
      <c r="B64" s="278">
        <v>100</v>
      </c>
      <c r="C64" s="278" t="s">
        <v>145</v>
      </c>
      <c r="D64" s="278"/>
      <c r="E64" s="278">
        <v>100</v>
      </c>
      <c r="F64" s="278">
        <v>1000</v>
      </c>
      <c r="G64" s="425" t="s">
        <v>161</v>
      </c>
      <c r="H64" s="278" t="s">
        <v>497</v>
      </c>
      <c r="I64" s="3" t="s">
        <v>498</v>
      </c>
      <c r="J64" s="3" t="s">
        <v>499</v>
      </c>
      <c r="K64" s="3" t="s">
        <v>389</v>
      </c>
      <c r="L64" s="3" t="s">
        <v>498</v>
      </c>
      <c r="M64" s="3">
        <v>1</v>
      </c>
      <c r="N64" s="3" t="s">
        <v>386</v>
      </c>
      <c r="O64" s="3">
        <v>26</v>
      </c>
      <c r="P64" s="3" t="s">
        <v>342</v>
      </c>
      <c r="Q64" s="3" t="s">
        <v>386</v>
      </c>
      <c r="R64" s="3" t="s">
        <v>386</v>
      </c>
      <c r="S64" s="3" t="s">
        <v>386</v>
      </c>
      <c r="T64" s="263" t="s">
        <v>386</v>
      </c>
      <c r="U64" s="269">
        <v>45000</v>
      </c>
      <c r="V64" s="270">
        <f>IF($U64="","",$U64*(1+$V$1))</f>
        <v>46350</v>
      </c>
      <c r="W64" s="270" t="str">
        <f>+IF(P64="EE",+V64*$W$1,"")</f>
        <v/>
      </c>
      <c r="X64" s="270">
        <f>_xlfn.IFS(P64="ER",V64,P64="EE",W64,P64="N",V64,P64="","")</f>
        <v>46350</v>
      </c>
      <c r="Y64" s="62">
        <v>0</v>
      </c>
      <c r="Z64" s="62">
        <v>0</v>
      </c>
      <c r="AA64" s="256">
        <f>SUM(X64:Z64)</f>
        <v>46350</v>
      </c>
      <c r="AB64" s="3"/>
      <c r="AC64" s="62">
        <f>$AC$1</f>
        <v>7943.76</v>
      </c>
      <c r="AD64" s="62" t="str">
        <f>_xlfn.IFS(P64="N",$AD$1*AA64,P64="EE","",P64="ER","",P64="","")</f>
        <v/>
      </c>
      <c r="AE64" s="62">
        <f>_xlfn.IFS(P64="EE",X64*$AE$1,P64="ER",X64*$AE$2,P64="N","",P64="","")</f>
        <v>13673.25</v>
      </c>
      <c r="AF64" s="62">
        <f>+IF(AA64&gt;1,AA64*$AF$1,"")</f>
        <v>672.07500000000005</v>
      </c>
      <c r="AG64" s="192">
        <v>0</v>
      </c>
      <c r="AH64" s="62">
        <f>+IF(AA64&gt;1,AA64*$AH$1,"")</f>
        <v>421.89327855539295</v>
      </c>
      <c r="AI64" s="62">
        <f>+_xlfn.IFS(F64&lt;2300,(AA64*$AI$1),F64&gt;=2300,(AA64*$AI$2),F64="","")</f>
        <v>136.50996019296994</v>
      </c>
      <c r="AJ64" s="62"/>
      <c r="AK64" s="62">
        <v>0</v>
      </c>
      <c r="AL64" s="256">
        <f>SUM(AC64:AK64)</f>
        <v>22847.488238748363</v>
      </c>
      <c r="AM64" s="256">
        <f>AA64</f>
        <v>46350</v>
      </c>
      <c r="AN64" s="256">
        <f>SUM(AL64:AM64)</f>
        <v>69197.488238748367</v>
      </c>
    </row>
    <row r="65" spans="1:40" x14ac:dyDescent="0.2">
      <c r="A65" s="311"/>
      <c r="B65" s="351"/>
      <c r="C65" s="351"/>
      <c r="D65" s="351"/>
      <c r="E65" s="351"/>
      <c r="F65" s="351"/>
      <c r="G65" s="351"/>
      <c r="H65" s="351"/>
      <c r="I65" s="311"/>
      <c r="J65" s="311"/>
      <c r="K65" s="311"/>
      <c r="L65" s="311"/>
      <c r="M65" s="311"/>
      <c r="N65" s="311"/>
      <c r="O65" s="311"/>
      <c r="P65" s="311"/>
      <c r="Q65" s="311"/>
      <c r="R65" s="311"/>
      <c r="S65" s="311"/>
      <c r="T65" s="263"/>
      <c r="U65" s="269"/>
      <c r="V65" s="270"/>
      <c r="W65" s="270"/>
      <c r="X65" s="270"/>
      <c r="Y65" s="62"/>
      <c r="Z65" s="62"/>
      <c r="AA65" s="256"/>
      <c r="AB65" s="3"/>
      <c r="AC65" s="62"/>
      <c r="AD65" s="62"/>
      <c r="AE65" s="62"/>
      <c r="AF65" s="62"/>
      <c r="AG65" s="192"/>
      <c r="AH65" s="62"/>
      <c r="AI65" s="62"/>
      <c r="AJ65" s="62"/>
      <c r="AK65" s="62"/>
      <c r="AL65" s="256"/>
      <c r="AM65" s="256"/>
      <c r="AN65" s="256"/>
    </row>
    <row r="66" spans="1:40" x14ac:dyDescent="0.2">
      <c r="A66" s="311"/>
      <c r="B66" s="351"/>
      <c r="C66" s="351"/>
      <c r="D66" s="351"/>
      <c r="E66" s="351"/>
      <c r="F66" s="351"/>
      <c r="G66" s="351"/>
      <c r="H66" s="35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311"/>
      <c r="T66" s="263"/>
      <c r="U66" s="269"/>
      <c r="V66" s="270"/>
      <c r="W66" s="270"/>
      <c r="X66" s="270"/>
      <c r="Y66" s="62"/>
      <c r="Z66" s="62"/>
      <c r="AA66" s="256"/>
      <c r="AB66" s="3"/>
      <c r="AC66" s="62"/>
      <c r="AD66" s="62"/>
      <c r="AE66" s="62"/>
      <c r="AF66" s="62"/>
      <c r="AG66" s="192"/>
      <c r="AH66" s="62"/>
      <c r="AI66" s="62"/>
      <c r="AJ66" s="62"/>
      <c r="AK66" s="62"/>
      <c r="AL66" s="256"/>
      <c r="AM66" s="256"/>
      <c r="AN66" s="256"/>
    </row>
    <row r="67" spans="1:40" x14ac:dyDescent="0.2">
      <c r="A67" s="311"/>
      <c r="B67" s="351"/>
      <c r="C67" s="351"/>
      <c r="D67" s="351"/>
      <c r="E67" s="351"/>
      <c r="F67" s="351"/>
      <c r="G67" s="351"/>
      <c r="H67" s="35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311"/>
      <c r="T67" s="263"/>
      <c r="U67" s="269"/>
      <c r="V67" s="270"/>
      <c r="W67" s="270"/>
      <c r="X67" s="270"/>
      <c r="Y67" s="62"/>
      <c r="Z67" s="62"/>
      <c r="AA67" s="256"/>
      <c r="AB67" s="3"/>
      <c r="AC67" s="62"/>
      <c r="AD67" s="62"/>
      <c r="AE67" s="62"/>
      <c r="AF67" s="62"/>
      <c r="AG67" s="192"/>
      <c r="AH67" s="62"/>
      <c r="AI67" s="62"/>
      <c r="AJ67" s="62"/>
      <c r="AK67" s="62"/>
      <c r="AL67" s="256"/>
      <c r="AM67" s="256"/>
      <c r="AN67" s="256"/>
    </row>
    <row r="68" spans="1:40" x14ac:dyDescent="0.2">
      <c r="A68" s="311"/>
      <c r="B68" s="351"/>
      <c r="C68" s="351"/>
      <c r="D68" s="351"/>
      <c r="E68" s="351"/>
      <c r="F68" s="351"/>
      <c r="G68" s="351"/>
      <c r="H68" s="351"/>
      <c r="I68" s="311"/>
      <c r="J68" s="311"/>
      <c r="K68" s="311"/>
      <c r="L68" s="311"/>
      <c r="M68" s="311"/>
      <c r="N68" s="311"/>
      <c r="O68" s="311"/>
      <c r="P68" s="311"/>
      <c r="Q68" s="311"/>
      <c r="R68" s="311"/>
      <c r="S68" s="311"/>
      <c r="T68" s="263"/>
      <c r="U68" s="269"/>
      <c r="V68" s="270"/>
      <c r="W68" s="270"/>
      <c r="X68" s="270"/>
      <c r="Y68" s="62"/>
      <c r="Z68" s="62"/>
      <c r="AA68" s="256"/>
      <c r="AB68" s="3"/>
      <c r="AC68" s="62"/>
      <c r="AD68" s="62"/>
      <c r="AE68" s="62"/>
      <c r="AF68" s="62"/>
      <c r="AG68" s="192"/>
      <c r="AH68" s="62"/>
      <c r="AI68" s="62"/>
      <c r="AJ68" s="62"/>
      <c r="AK68" s="62"/>
      <c r="AL68" s="256"/>
      <c r="AM68" s="256"/>
      <c r="AN68" s="256"/>
    </row>
    <row r="69" spans="1:40" x14ac:dyDescent="0.2">
      <c r="A69" s="311"/>
      <c r="B69" s="351"/>
      <c r="C69" s="351"/>
      <c r="D69" s="351"/>
      <c r="E69" s="351"/>
      <c r="F69" s="351"/>
      <c r="G69" s="351"/>
      <c r="H69" s="351"/>
      <c r="I69" s="311"/>
      <c r="J69" s="311"/>
      <c r="K69" s="311"/>
      <c r="L69" s="311"/>
      <c r="M69" s="311"/>
      <c r="N69" s="311"/>
      <c r="O69" s="311"/>
      <c r="P69" s="311"/>
      <c r="Q69" s="311"/>
      <c r="R69" s="311"/>
      <c r="S69" s="311"/>
      <c r="T69" s="263"/>
      <c r="U69" s="269"/>
      <c r="V69" s="270"/>
      <c r="W69" s="270"/>
      <c r="X69" s="270"/>
      <c r="Y69" s="62"/>
      <c r="Z69" s="62"/>
      <c r="AA69" s="256"/>
      <c r="AB69" s="3"/>
      <c r="AC69" s="62"/>
      <c r="AD69" s="62"/>
      <c r="AE69" s="62"/>
      <c r="AF69" s="62"/>
      <c r="AG69" s="192"/>
      <c r="AH69" s="62"/>
      <c r="AI69" s="62"/>
      <c r="AJ69" s="62"/>
      <c r="AK69" s="62"/>
      <c r="AL69" s="256"/>
      <c r="AM69" s="256"/>
      <c r="AN69" s="256"/>
    </row>
    <row r="70" spans="1:40" x14ac:dyDescent="0.2">
      <c r="A70" s="311"/>
      <c r="B70" s="351"/>
      <c r="C70" s="351"/>
      <c r="D70" s="351"/>
      <c r="E70" s="351"/>
      <c r="F70" s="351"/>
      <c r="G70" s="351"/>
      <c r="H70" s="351"/>
      <c r="I70" s="311"/>
      <c r="J70" s="311"/>
      <c r="K70" s="311"/>
      <c r="L70" s="311"/>
      <c r="M70" s="311"/>
      <c r="N70" s="311"/>
      <c r="O70" s="311"/>
      <c r="P70" s="311"/>
      <c r="Q70" s="311"/>
      <c r="R70" s="311"/>
      <c r="S70" s="311"/>
      <c r="T70" s="263"/>
      <c r="U70" s="269"/>
      <c r="V70" s="270"/>
      <c r="W70" s="270"/>
      <c r="X70" s="270"/>
      <c r="Y70" s="62"/>
      <c r="Z70" s="62"/>
      <c r="AA70" s="256"/>
      <c r="AB70" s="3"/>
      <c r="AC70" s="62"/>
      <c r="AD70" s="62"/>
      <c r="AE70" s="62"/>
      <c r="AF70" s="62"/>
      <c r="AG70" s="192"/>
      <c r="AH70" s="62"/>
      <c r="AI70" s="62"/>
      <c r="AJ70" s="62"/>
      <c r="AK70" s="62"/>
      <c r="AL70" s="256"/>
      <c r="AM70" s="256"/>
      <c r="AN70" s="256"/>
    </row>
    <row r="71" spans="1:40" x14ac:dyDescent="0.2">
      <c r="A71" s="311"/>
      <c r="B71" s="351"/>
      <c r="C71" s="351"/>
      <c r="D71" s="351"/>
      <c r="E71" s="351"/>
      <c r="F71" s="351"/>
      <c r="G71" s="351"/>
      <c r="H71" s="351"/>
      <c r="I71" s="311"/>
      <c r="J71" s="311"/>
      <c r="K71" s="311"/>
      <c r="L71" s="311"/>
      <c r="M71" s="311"/>
      <c r="N71" s="311"/>
      <c r="O71" s="311"/>
      <c r="P71" s="311"/>
      <c r="Q71" s="311"/>
      <c r="R71" s="311"/>
      <c r="S71" s="311"/>
      <c r="T71" s="263"/>
      <c r="U71" s="269"/>
      <c r="V71" s="270"/>
      <c r="W71" s="270"/>
      <c r="X71" s="270"/>
      <c r="Y71" s="62"/>
      <c r="Z71" s="62"/>
      <c r="AA71" s="256"/>
      <c r="AB71" s="3"/>
      <c r="AC71" s="62"/>
      <c r="AD71" s="62"/>
      <c r="AE71" s="62"/>
      <c r="AF71" s="62"/>
      <c r="AG71" s="192"/>
      <c r="AH71" s="62"/>
      <c r="AI71" s="62"/>
      <c r="AJ71" s="62"/>
      <c r="AK71" s="62"/>
      <c r="AL71" s="256"/>
      <c r="AM71" s="256"/>
      <c r="AN71" s="256"/>
    </row>
    <row r="72" spans="1:40" x14ac:dyDescent="0.2">
      <c r="A72" s="311"/>
      <c r="B72" s="351"/>
      <c r="C72" s="351"/>
      <c r="D72" s="351"/>
      <c r="E72" s="351"/>
      <c r="F72" s="351"/>
      <c r="G72" s="351"/>
      <c r="H72" s="351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263"/>
      <c r="U72" s="269"/>
      <c r="V72" s="270"/>
      <c r="W72" s="270"/>
      <c r="X72" s="270"/>
      <c r="Y72" s="62"/>
      <c r="Z72" s="62"/>
      <c r="AA72" s="256"/>
      <c r="AB72" s="3"/>
      <c r="AC72" s="62"/>
      <c r="AD72" s="62"/>
      <c r="AE72" s="62"/>
      <c r="AF72" s="62"/>
      <c r="AG72" s="192"/>
      <c r="AH72" s="62"/>
      <c r="AI72" s="62"/>
      <c r="AJ72" s="62"/>
      <c r="AK72" s="62"/>
      <c r="AL72" s="256"/>
      <c r="AM72" s="256"/>
      <c r="AN72" s="256"/>
    </row>
    <row r="73" spans="1:40" x14ac:dyDescent="0.2">
      <c r="A73" s="311"/>
      <c r="B73" s="351"/>
      <c r="C73" s="351"/>
      <c r="D73" s="351"/>
      <c r="E73" s="351"/>
      <c r="F73" s="351"/>
      <c r="G73" s="351"/>
      <c r="H73" s="351"/>
      <c r="I73" s="311"/>
      <c r="J73" s="311"/>
      <c r="K73" s="311"/>
      <c r="L73" s="311"/>
      <c r="M73" s="311"/>
      <c r="N73" s="311"/>
      <c r="O73" s="311"/>
      <c r="P73" s="311"/>
      <c r="Q73" s="311"/>
      <c r="R73" s="311"/>
      <c r="S73" s="311"/>
      <c r="T73" s="263"/>
      <c r="U73" s="269"/>
      <c r="V73" s="270"/>
      <c r="W73" s="270"/>
      <c r="X73" s="270"/>
      <c r="Y73" s="62"/>
      <c r="Z73" s="62"/>
      <c r="AA73" s="256"/>
      <c r="AB73" s="3"/>
      <c r="AC73" s="62"/>
      <c r="AD73" s="62"/>
      <c r="AE73" s="62"/>
      <c r="AF73" s="62"/>
      <c r="AG73" s="192"/>
      <c r="AH73" s="62"/>
      <c r="AI73" s="62"/>
      <c r="AJ73" s="62"/>
      <c r="AK73" s="62"/>
      <c r="AL73" s="256"/>
      <c r="AM73" s="256"/>
      <c r="AN73" s="256"/>
    </row>
    <row r="74" spans="1:40" x14ac:dyDescent="0.2">
      <c r="A74" s="311"/>
      <c r="B74" s="351"/>
      <c r="C74" s="351"/>
      <c r="D74" s="351"/>
      <c r="E74" s="351"/>
      <c r="F74" s="351"/>
      <c r="G74" s="351"/>
      <c r="H74" s="351"/>
      <c r="I74" s="311"/>
      <c r="J74" s="311"/>
      <c r="K74" s="311"/>
      <c r="L74" s="311"/>
      <c r="M74" s="311"/>
      <c r="N74" s="311"/>
      <c r="O74" s="311"/>
      <c r="P74" s="311"/>
      <c r="Q74" s="311"/>
      <c r="R74" s="311"/>
      <c r="S74" s="311"/>
      <c r="T74" s="263"/>
      <c r="U74" s="269"/>
      <c r="V74" s="270"/>
      <c r="W74" s="270"/>
      <c r="X74" s="270"/>
      <c r="Y74" s="62"/>
      <c r="Z74" s="62"/>
      <c r="AA74" s="256"/>
      <c r="AB74" s="3"/>
      <c r="AC74" s="62"/>
      <c r="AD74" s="62"/>
      <c r="AE74" s="62"/>
      <c r="AF74" s="62"/>
      <c r="AG74" s="192"/>
      <c r="AH74" s="62"/>
      <c r="AI74" s="62"/>
      <c r="AJ74" s="62"/>
      <c r="AK74" s="62"/>
      <c r="AL74" s="256"/>
      <c r="AM74" s="256"/>
      <c r="AN74" s="256"/>
    </row>
    <row r="75" spans="1:40" x14ac:dyDescent="0.2">
      <c r="A75" s="311"/>
      <c r="B75" s="351"/>
      <c r="C75" s="351"/>
      <c r="D75" s="351"/>
      <c r="E75" s="351"/>
      <c r="F75" s="351"/>
      <c r="G75" s="351"/>
      <c r="H75" s="351"/>
      <c r="I75" s="311"/>
      <c r="J75" s="311"/>
      <c r="K75" s="311"/>
      <c r="L75" s="311"/>
      <c r="M75" s="311"/>
      <c r="N75" s="311"/>
      <c r="O75" s="311"/>
      <c r="P75" s="311"/>
      <c r="Q75" s="311"/>
      <c r="R75" s="311"/>
      <c r="S75" s="311"/>
      <c r="T75" s="263"/>
      <c r="U75" s="269"/>
      <c r="V75" s="270"/>
      <c r="W75" s="270"/>
      <c r="X75" s="270"/>
      <c r="Y75" s="62"/>
      <c r="Z75" s="62"/>
      <c r="AA75" s="256"/>
      <c r="AB75" s="3"/>
      <c r="AC75" s="62"/>
      <c r="AD75" s="62"/>
      <c r="AE75" s="62"/>
      <c r="AF75" s="62"/>
      <c r="AG75" s="192"/>
      <c r="AH75" s="62"/>
      <c r="AI75" s="62"/>
      <c r="AJ75" s="62"/>
      <c r="AK75" s="62"/>
      <c r="AL75" s="256"/>
      <c r="AM75" s="256"/>
      <c r="AN75" s="256"/>
    </row>
    <row r="76" spans="1:40" x14ac:dyDescent="0.2">
      <c r="A76" s="3"/>
      <c r="B76" s="278"/>
      <c r="C76" s="424" t="s">
        <v>145</v>
      </c>
      <c r="D76" s="278"/>
      <c r="E76" s="278">
        <v>200</v>
      </c>
      <c r="F76" s="278">
        <v>1000</v>
      </c>
      <c r="G76" s="425" t="s">
        <v>161</v>
      </c>
      <c r="H76" s="278" t="s">
        <v>497</v>
      </c>
      <c r="I76" s="3" t="s">
        <v>495</v>
      </c>
      <c r="J76" s="3" t="s">
        <v>499</v>
      </c>
      <c r="K76" s="3" t="s">
        <v>389</v>
      </c>
      <c r="L76" s="3" t="s">
        <v>495</v>
      </c>
      <c r="M76" s="3">
        <v>1</v>
      </c>
      <c r="N76" s="3" t="s">
        <v>386</v>
      </c>
      <c r="O76" s="3">
        <v>26</v>
      </c>
      <c r="P76" s="3" t="s">
        <v>342</v>
      </c>
      <c r="Q76" s="3" t="s">
        <v>386</v>
      </c>
      <c r="R76" s="3" t="s">
        <v>386</v>
      </c>
      <c r="S76" s="3" t="s">
        <v>386</v>
      </c>
      <c r="T76" s="263" t="s">
        <v>386</v>
      </c>
      <c r="U76" s="269">
        <v>45000</v>
      </c>
      <c r="V76" s="270">
        <f t="shared" si="7"/>
        <v>46350</v>
      </c>
      <c r="W76" s="270" t="str">
        <f t="shared" si="8"/>
        <v/>
      </c>
      <c r="X76" s="270">
        <f t="shared" si="9"/>
        <v>46350</v>
      </c>
      <c r="Y76" s="62">
        <v>0</v>
      </c>
      <c r="Z76" s="62">
        <v>0</v>
      </c>
      <c r="AA76" s="256">
        <f t="shared" ref="AA76:AA130" si="53">SUM(X76:Z76)</f>
        <v>46350</v>
      </c>
      <c r="AB76" s="3"/>
      <c r="AC76" s="62">
        <f t="shared" ref="AC76:AC102" si="54">$AC$1</f>
        <v>7943.76</v>
      </c>
      <c r="AD76" s="62" t="str">
        <f t="shared" ref="AD76:AD131" si="55">_xlfn.IFS(P76="N",$AD$1*AA76,P76="EE","",P76="ER","",P76="","")</f>
        <v/>
      </c>
      <c r="AE76" s="62">
        <f t="shared" ref="AE76:AE131" si="56">_xlfn.IFS(P76="EE",X76*$AE$1,P76="ER",X76*$AE$2,P76="N","",P76="","")</f>
        <v>13673.25</v>
      </c>
      <c r="AF76" s="62">
        <f t="shared" ref="AF76:AF131" si="57">+IF(AA76&gt;1,AA76*$AF$1,"")</f>
        <v>672.07500000000005</v>
      </c>
      <c r="AG76" s="192">
        <v>0</v>
      </c>
      <c r="AH76" s="62">
        <f t="shared" ref="AH76:AH131" si="58">+IF(AA76&gt;1,AA76*$AH$1,"")</f>
        <v>421.89327855539295</v>
      </c>
      <c r="AI76" s="62">
        <f t="shared" ref="AI76:AI131" si="59">+_xlfn.IFS(F76&lt;2300,(AA76*$AI$1),F76&gt;=2300,(AA76*$AI$2),F76="","")</f>
        <v>136.50996019296994</v>
      </c>
      <c r="AJ76" s="62"/>
      <c r="AK76" s="62">
        <v>0</v>
      </c>
      <c r="AL76" s="256">
        <f t="shared" ref="AL76:AL130" si="60">SUM(AC76:AK76)</f>
        <v>22847.488238748363</v>
      </c>
      <c r="AM76" s="256">
        <f t="shared" ref="AM76:AM130" si="61">AA76</f>
        <v>46350</v>
      </c>
      <c r="AN76" s="256">
        <f t="shared" ref="AN76:AN130" si="62">SUM(AL76:AM76)</f>
        <v>69197.488238748367</v>
      </c>
    </row>
    <row r="77" spans="1:40" x14ac:dyDescent="0.2">
      <c r="A77" s="3"/>
      <c r="B77" s="278">
        <v>100</v>
      </c>
      <c r="C77" s="278" t="s">
        <v>145</v>
      </c>
      <c r="D77" s="278"/>
      <c r="E77" s="278">
        <v>100</v>
      </c>
      <c r="F77" s="278">
        <v>2110</v>
      </c>
      <c r="G77" s="425" t="s">
        <v>167</v>
      </c>
      <c r="H77" s="278" t="s">
        <v>497</v>
      </c>
      <c r="I77" s="3" t="s">
        <v>425</v>
      </c>
      <c r="J77" s="3" t="s">
        <v>499</v>
      </c>
      <c r="K77" s="3" t="s">
        <v>389</v>
      </c>
      <c r="L77" s="3" t="s">
        <v>425</v>
      </c>
      <c r="M77" s="3">
        <v>1</v>
      </c>
      <c r="N77" s="3" t="s">
        <v>386</v>
      </c>
      <c r="O77" s="3">
        <v>26</v>
      </c>
      <c r="P77" s="3" t="s">
        <v>342</v>
      </c>
      <c r="Q77" s="3" t="s">
        <v>386</v>
      </c>
      <c r="R77" s="3" t="s">
        <v>386</v>
      </c>
      <c r="S77" s="3" t="s">
        <v>386</v>
      </c>
      <c r="T77" s="263" t="s">
        <v>386</v>
      </c>
      <c r="U77" s="269">
        <v>50000</v>
      </c>
      <c r="V77" s="270">
        <f t="shared" si="7"/>
        <v>51500</v>
      </c>
      <c r="W77" s="270" t="str">
        <f t="shared" si="8"/>
        <v/>
      </c>
      <c r="X77" s="270">
        <f t="shared" si="9"/>
        <v>51500</v>
      </c>
      <c r="Y77" s="62">
        <v>0</v>
      </c>
      <c r="Z77" s="62">
        <v>0</v>
      </c>
      <c r="AA77" s="256">
        <f t="shared" si="53"/>
        <v>51500</v>
      </c>
      <c r="AB77" s="3"/>
      <c r="AC77" s="62">
        <f t="shared" si="54"/>
        <v>7943.76</v>
      </c>
      <c r="AD77" s="62" t="str">
        <f t="shared" si="55"/>
        <v/>
      </c>
      <c r="AE77" s="62">
        <f t="shared" si="56"/>
        <v>15192.5</v>
      </c>
      <c r="AF77" s="62">
        <f t="shared" si="57"/>
        <v>746.75</v>
      </c>
      <c r="AG77" s="192">
        <v>0</v>
      </c>
      <c r="AH77" s="62">
        <f t="shared" si="58"/>
        <v>468.77030950599215</v>
      </c>
      <c r="AI77" s="62">
        <f t="shared" si="59"/>
        <v>151.67773354774437</v>
      </c>
      <c r="AJ77" s="62"/>
      <c r="AK77" s="62">
        <v>0</v>
      </c>
      <c r="AL77" s="256">
        <f t="shared" si="60"/>
        <v>24503.458043053739</v>
      </c>
      <c r="AM77" s="256">
        <f t="shared" si="61"/>
        <v>51500</v>
      </c>
      <c r="AN77" s="256">
        <f t="shared" si="62"/>
        <v>76003.458043053746</v>
      </c>
    </row>
    <row r="78" spans="1:40" x14ac:dyDescent="0.2">
      <c r="A78" s="3"/>
      <c r="B78" s="278">
        <v>100</v>
      </c>
      <c r="C78" s="278" t="s">
        <v>145</v>
      </c>
      <c r="D78" s="278"/>
      <c r="E78" s="278">
        <v>100</v>
      </c>
      <c r="F78" s="278">
        <v>2120</v>
      </c>
      <c r="G78" s="425" t="s">
        <v>167</v>
      </c>
      <c r="H78" s="278" t="s">
        <v>497</v>
      </c>
      <c r="I78" s="3" t="s">
        <v>394</v>
      </c>
      <c r="J78" s="3" t="s">
        <v>499</v>
      </c>
      <c r="K78" s="3" t="s">
        <v>389</v>
      </c>
      <c r="L78" s="3" t="s">
        <v>394</v>
      </c>
      <c r="M78" s="3">
        <v>1</v>
      </c>
      <c r="N78" s="3" t="s">
        <v>386</v>
      </c>
      <c r="O78" s="3">
        <v>26</v>
      </c>
      <c r="P78" s="3" t="s">
        <v>342</v>
      </c>
      <c r="Q78" s="3" t="s">
        <v>386</v>
      </c>
      <c r="R78" s="3" t="s">
        <v>386</v>
      </c>
      <c r="S78" s="3" t="s">
        <v>386</v>
      </c>
      <c r="T78" s="263" t="s">
        <v>386</v>
      </c>
      <c r="U78" s="269">
        <v>45000</v>
      </c>
      <c r="V78" s="270">
        <f t="shared" si="7"/>
        <v>46350</v>
      </c>
      <c r="W78" s="270" t="str">
        <f t="shared" si="8"/>
        <v/>
      </c>
      <c r="X78" s="270">
        <f t="shared" si="9"/>
        <v>46350</v>
      </c>
      <c r="Y78" s="62">
        <v>0</v>
      </c>
      <c r="Z78" s="62">
        <v>0</v>
      </c>
      <c r="AA78" s="256">
        <f t="shared" si="53"/>
        <v>46350</v>
      </c>
      <c r="AB78" s="3"/>
      <c r="AC78" s="62">
        <f t="shared" si="54"/>
        <v>7943.76</v>
      </c>
      <c r="AD78" s="62" t="str">
        <f t="shared" si="55"/>
        <v/>
      </c>
      <c r="AE78" s="62">
        <f t="shared" si="56"/>
        <v>13673.25</v>
      </c>
      <c r="AF78" s="62">
        <f t="shared" si="57"/>
        <v>672.07500000000005</v>
      </c>
      <c r="AG78" s="192">
        <v>0</v>
      </c>
      <c r="AH78" s="62">
        <f t="shared" si="58"/>
        <v>421.89327855539295</v>
      </c>
      <c r="AI78" s="62">
        <f t="shared" si="59"/>
        <v>136.50996019296994</v>
      </c>
      <c r="AJ78" s="62"/>
      <c r="AK78" s="62">
        <v>0</v>
      </c>
      <c r="AL78" s="256">
        <f t="shared" si="60"/>
        <v>22847.488238748363</v>
      </c>
      <c r="AM78" s="256">
        <f t="shared" si="61"/>
        <v>46350</v>
      </c>
      <c r="AN78" s="256">
        <f t="shared" si="62"/>
        <v>69197.488238748367</v>
      </c>
    </row>
    <row r="79" spans="1:40" x14ac:dyDescent="0.2">
      <c r="A79" s="3"/>
      <c r="B79" s="278"/>
      <c r="C79" s="278"/>
      <c r="D79" s="278"/>
      <c r="E79" s="278"/>
      <c r="F79" s="278"/>
      <c r="G79" s="278"/>
      <c r="H79" s="278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263"/>
      <c r="U79" s="269"/>
      <c r="V79" s="270" t="str">
        <f t="shared" si="7"/>
        <v/>
      </c>
      <c r="W79" s="270" t="str">
        <f t="shared" si="8"/>
        <v/>
      </c>
      <c r="X79" s="270" t="str">
        <f t="shared" si="9"/>
        <v/>
      </c>
      <c r="Y79" s="62">
        <v>0</v>
      </c>
      <c r="Z79" s="62">
        <v>0</v>
      </c>
      <c r="AA79" s="256">
        <f t="shared" si="53"/>
        <v>0</v>
      </c>
      <c r="AB79" s="3"/>
      <c r="AC79" s="62"/>
      <c r="AD79" s="62" t="str">
        <f t="shared" si="55"/>
        <v/>
      </c>
      <c r="AE79" s="62" t="str">
        <f t="shared" si="56"/>
        <v/>
      </c>
      <c r="AF79" s="62" t="str">
        <f t="shared" si="57"/>
        <v/>
      </c>
      <c r="AG79" s="192">
        <v>0</v>
      </c>
      <c r="AH79" s="62" t="str">
        <f t="shared" si="58"/>
        <v/>
      </c>
      <c r="AI79" s="62">
        <f t="shared" si="59"/>
        <v>0</v>
      </c>
      <c r="AJ79" s="62"/>
      <c r="AK79" s="62">
        <v>0</v>
      </c>
      <c r="AL79" s="256">
        <f t="shared" si="60"/>
        <v>0</v>
      </c>
      <c r="AM79" s="256">
        <f t="shared" si="61"/>
        <v>0</v>
      </c>
      <c r="AN79" s="256">
        <f t="shared" si="62"/>
        <v>0</v>
      </c>
    </row>
    <row r="80" spans="1:40" x14ac:dyDescent="0.2">
      <c r="A80" s="3"/>
      <c r="B80" s="278">
        <v>100</v>
      </c>
      <c r="C80" s="278" t="s">
        <v>145</v>
      </c>
      <c r="D80" s="278"/>
      <c r="E80" s="278">
        <v>100</v>
      </c>
      <c r="F80" s="278">
        <v>1000</v>
      </c>
      <c r="G80" s="278" t="s">
        <v>169</v>
      </c>
      <c r="H80" s="278" t="s">
        <v>497</v>
      </c>
      <c r="I80" s="3" t="s">
        <v>500</v>
      </c>
      <c r="J80" s="3" t="s">
        <v>499</v>
      </c>
      <c r="K80" s="3" t="s">
        <v>384</v>
      </c>
      <c r="L80" s="3" t="s">
        <v>500</v>
      </c>
      <c r="M80" s="3">
        <v>0.75</v>
      </c>
      <c r="N80" s="3" t="s">
        <v>386</v>
      </c>
      <c r="O80" s="3">
        <v>20</v>
      </c>
      <c r="P80" s="3" t="s">
        <v>342</v>
      </c>
      <c r="Q80" s="3">
        <v>20</v>
      </c>
      <c r="R80" s="3">
        <v>40</v>
      </c>
      <c r="S80" s="3">
        <v>32</v>
      </c>
      <c r="T80" s="263">
        <v>1280</v>
      </c>
      <c r="U80" s="269">
        <v>25600</v>
      </c>
      <c r="V80" s="270">
        <f t="shared" si="7"/>
        <v>26368</v>
      </c>
      <c r="W80" s="270" t="str">
        <f t="shared" si="8"/>
        <v/>
      </c>
      <c r="X80" s="270">
        <f t="shared" si="9"/>
        <v>26368</v>
      </c>
      <c r="Y80" s="62">
        <v>0</v>
      </c>
      <c r="Z80" s="62">
        <v>0</v>
      </c>
      <c r="AA80" s="256">
        <f t="shared" si="53"/>
        <v>26368</v>
      </c>
      <c r="AB80" s="3"/>
      <c r="AC80" s="62">
        <f t="shared" si="54"/>
        <v>7943.76</v>
      </c>
      <c r="AD80" s="62" t="str">
        <f t="shared" si="55"/>
        <v/>
      </c>
      <c r="AE80" s="62">
        <f t="shared" si="56"/>
        <v>7778.5599999999995</v>
      </c>
      <c r="AF80" s="62">
        <f t="shared" si="57"/>
        <v>382.33600000000001</v>
      </c>
      <c r="AG80" s="192">
        <v>0</v>
      </c>
      <c r="AH80" s="62">
        <f t="shared" si="58"/>
        <v>240.010398467068</v>
      </c>
      <c r="AI80" s="62">
        <f t="shared" si="59"/>
        <v>77.658999576445112</v>
      </c>
      <c r="AJ80" s="62"/>
      <c r="AK80" s="62">
        <v>0</v>
      </c>
      <c r="AL80" s="256">
        <f t="shared" si="60"/>
        <v>16422.325398043511</v>
      </c>
      <c r="AM80" s="256">
        <f t="shared" si="61"/>
        <v>26368</v>
      </c>
      <c r="AN80" s="256">
        <f t="shared" si="62"/>
        <v>42790.325398043511</v>
      </c>
    </row>
    <row r="81" spans="1:51" x14ac:dyDescent="0.2">
      <c r="A81" s="3"/>
      <c r="B81" s="278"/>
      <c r="C81" s="278"/>
      <c r="D81" s="278"/>
      <c r="E81" s="278"/>
      <c r="F81" s="278"/>
      <c r="G81" s="425"/>
      <c r="H81" s="278"/>
      <c r="I81" s="3"/>
      <c r="J81" s="3" t="s">
        <v>499</v>
      </c>
      <c r="K81" s="3" t="s">
        <v>384</v>
      </c>
      <c r="L81" s="3" t="s">
        <v>500</v>
      </c>
      <c r="M81" s="3">
        <v>0.75</v>
      </c>
      <c r="N81" s="3" t="s">
        <v>386</v>
      </c>
      <c r="O81" s="3">
        <v>20</v>
      </c>
      <c r="P81" s="3" t="s">
        <v>342</v>
      </c>
      <c r="Q81" s="3">
        <v>20</v>
      </c>
      <c r="R81" s="3">
        <v>40</v>
      </c>
      <c r="S81" s="3">
        <v>32</v>
      </c>
      <c r="T81" s="263">
        <v>1280</v>
      </c>
      <c r="U81" s="269">
        <v>25600</v>
      </c>
      <c r="V81" s="270">
        <f t="shared" si="7"/>
        <v>26368</v>
      </c>
      <c r="W81" s="270" t="str">
        <f t="shared" si="8"/>
        <v/>
      </c>
      <c r="X81" s="270">
        <f t="shared" si="9"/>
        <v>26368</v>
      </c>
      <c r="Y81" s="62">
        <v>0</v>
      </c>
      <c r="Z81" s="62">
        <v>0</v>
      </c>
      <c r="AA81" s="256">
        <f t="shared" si="53"/>
        <v>26368</v>
      </c>
      <c r="AB81" s="3"/>
      <c r="AC81" s="62">
        <f t="shared" si="54"/>
        <v>7943.76</v>
      </c>
      <c r="AD81" s="62" t="str">
        <f t="shared" si="55"/>
        <v/>
      </c>
      <c r="AE81" s="62">
        <f t="shared" si="56"/>
        <v>7778.5599999999995</v>
      </c>
      <c r="AF81" s="62">
        <f t="shared" si="57"/>
        <v>382.33600000000001</v>
      </c>
      <c r="AG81" s="192">
        <v>0</v>
      </c>
      <c r="AH81" s="62">
        <f t="shared" si="58"/>
        <v>240.010398467068</v>
      </c>
      <c r="AI81" s="62">
        <f t="shared" si="59"/>
        <v>77.658999576445112</v>
      </c>
      <c r="AJ81" s="62"/>
      <c r="AK81" s="62">
        <v>0</v>
      </c>
      <c r="AL81" s="256">
        <f t="shared" si="60"/>
        <v>16422.325398043511</v>
      </c>
      <c r="AM81" s="256">
        <f t="shared" si="61"/>
        <v>26368</v>
      </c>
      <c r="AN81" s="256">
        <f t="shared" si="62"/>
        <v>42790.325398043511</v>
      </c>
    </row>
    <row r="82" spans="1:51" x14ac:dyDescent="0.2">
      <c r="A82" s="3"/>
      <c r="B82" s="278">
        <v>100</v>
      </c>
      <c r="C82" s="278" t="s">
        <v>145</v>
      </c>
      <c r="D82" s="278"/>
      <c r="E82" s="278">
        <v>100</v>
      </c>
      <c r="F82" s="351">
        <v>2410</v>
      </c>
      <c r="G82" s="278" t="s">
        <v>173</v>
      </c>
      <c r="H82" s="278" t="s">
        <v>497</v>
      </c>
      <c r="I82" s="3" t="s">
        <v>501</v>
      </c>
      <c r="J82" s="3" t="s">
        <v>499</v>
      </c>
      <c r="K82" s="3" t="s">
        <v>384</v>
      </c>
      <c r="L82" s="3" t="s">
        <v>501</v>
      </c>
      <c r="M82" s="3">
        <v>1</v>
      </c>
      <c r="N82" s="3" t="s">
        <v>386</v>
      </c>
      <c r="O82" s="3">
        <v>26</v>
      </c>
      <c r="P82" s="3" t="s">
        <v>342</v>
      </c>
      <c r="Q82" s="3" t="s">
        <v>386</v>
      </c>
      <c r="R82" s="3" t="s">
        <v>386</v>
      </c>
      <c r="S82" s="3" t="s">
        <v>386</v>
      </c>
      <c r="T82" s="263" t="s">
        <v>386</v>
      </c>
      <c r="U82" s="269">
        <v>32000</v>
      </c>
      <c r="V82" s="270">
        <f t="shared" si="7"/>
        <v>32960</v>
      </c>
      <c r="W82" s="270" t="str">
        <f t="shared" si="8"/>
        <v/>
      </c>
      <c r="X82" s="270">
        <f t="shared" si="9"/>
        <v>32960</v>
      </c>
      <c r="Y82" s="62">
        <v>0</v>
      </c>
      <c r="Z82" s="62">
        <v>0</v>
      </c>
      <c r="AA82" s="256">
        <f t="shared" si="53"/>
        <v>32960</v>
      </c>
      <c r="AB82" s="3"/>
      <c r="AC82" s="62">
        <f t="shared" si="54"/>
        <v>7943.76</v>
      </c>
      <c r="AD82" s="62" t="str">
        <f t="shared" si="55"/>
        <v/>
      </c>
      <c r="AE82" s="62">
        <f t="shared" si="56"/>
        <v>9723.1999999999989</v>
      </c>
      <c r="AF82" s="62">
        <f t="shared" si="57"/>
        <v>477.92</v>
      </c>
      <c r="AG82" s="192">
        <v>0</v>
      </c>
      <c r="AH82" s="62">
        <f t="shared" si="58"/>
        <v>300.01299808383499</v>
      </c>
      <c r="AI82" s="62">
        <f t="shared" si="59"/>
        <v>97.073749470556393</v>
      </c>
      <c r="AJ82" s="62"/>
      <c r="AK82" s="62">
        <v>0</v>
      </c>
      <c r="AL82" s="256">
        <f t="shared" si="60"/>
        <v>18541.96674755439</v>
      </c>
      <c r="AM82" s="256">
        <f t="shared" si="61"/>
        <v>32960</v>
      </c>
      <c r="AN82" s="256">
        <f t="shared" si="62"/>
        <v>51501.96674755439</v>
      </c>
    </row>
    <row r="83" spans="1:51" x14ac:dyDescent="0.2">
      <c r="A83" s="3"/>
      <c r="B83" s="278"/>
      <c r="C83" s="278"/>
      <c r="D83" s="278"/>
      <c r="E83" s="278"/>
      <c r="F83" s="351"/>
      <c r="G83" s="278"/>
      <c r="H83" s="278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263"/>
      <c r="U83" s="269"/>
      <c r="V83" s="270"/>
      <c r="W83" s="270"/>
      <c r="X83" s="270"/>
      <c r="Y83" s="62"/>
      <c r="Z83" s="62"/>
      <c r="AA83" s="256"/>
      <c r="AB83" s="3"/>
      <c r="AC83" s="62"/>
      <c r="AD83" s="62"/>
      <c r="AE83" s="62"/>
      <c r="AF83" s="62"/>
      <c r="AG83" s="192"/>
      <c r="AH83" s="62"/>
      <c r="AI83" s="62"/>
      <c r="AJ83" s="62"/>
      <c r="AK83" s="62"/>
      <c r="AL83" s="256"/>
      <c r="AM83" s="256"/>
      <c r="AN83" s="256"/>
    </row>
    <row r="84" spans="1:51" x14ac:dyDescent="0.2">
      <c r="A84" s="3"/>
      <c r="B84" s="278"/>
      <c r="C84" s="278"/>
      <c r="D84" s="278"/>
      <c r="E84" s="278"/>
      <c r="F84" s="351"/>
      <c r="G84" s="278"/>
      <c r="H84" s="278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263"/>
      <c r="U84" s="269"/>
      <c r="V84" s="270"/>
      <c r="W84" s="270"/>
      <c r="X84" s="270"/>
      <c r="Y84" s="62"/>
      <c r="Z84" s="62"/>
      <c r="AA84" s="256"/>
      <c r="AB84" s="3"/>
      <c r="AC84" s="62"/>
      <c r="AD84" s="62"/>
      <c r="AE84" s="62"/>
      <c r="AF84" s="62"/>
      <c r="AG84" s="192"/>
      <c r="AH84" s="62"/>
      <c r="AI84" s="62"/>
      <c r="AJ84" s="62"/>
      <c r="AK84" s="62"/>
      <c r="AL84" s="256"/>
      <c r="AM84" s="256"/>
      <c r="AN84" s="256"/>
    </row>
    <row r="85" spans="1:51" x14ac:dyDescent="0.2">
      <c r="A85" s="3"/>
      <c r="B85" s="278"/>
      <c r="C85" s="278"/>
      <c r="D85" s="278"/>
      <c r="E85" s="278"/>
      <c r="F85" s="351"/>
      <c r="G85" s="278"/>
      <c r="H85" s="278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263"/>
      <c r="U85" s="269"/>
      <c r="V85" s="270"/>
      <c r="W85" s="270"/>
      <c r="X85" s="270"/>
      <c r="Y85" s="62"/>
      <c r="Z85" s="62"/>
      <c r="AA85" s="256"/>
      <c r="AB85" s="3"/>
      <c r="AC85" s="62"/>
      <c r="AD85" s="62"/>
      <c r="AE85" s="62"/>
      <c r="AF85" s="62"/>
      <c r="AG85" s="192"/>
      <c r="AH85" s="62"/>
      <c r="AI85" s="62"/>
      <c r="AJ85" s="62"/>
      <c r="AK85" s="62"/>
      <c r="AL85" s="256"/>
      <c r="AM85" s="256"/>
      <c r="AN85" s="256"/>
    </row>
    <row r="86" spans="1:51" x14ac:dyDescent="0.2">
      <c r="A86" s="3"/>
      <c r="B86" s="278"/>
      <c r="C86" s="278"/>
      <c r="D86" s="278"/>
      <c r="E86" s="278"/>
      <c r="F86" s="351"/>
      <c r="G86" s="278"/>
      <c r="H86" s="278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263"/>
      <c r="U86" s="269"/>
      <c r="V86" s="270"/>
      <c r="W86" s="270"/>
      <c r="X86" s="270"/>
      <c r="Y86" s="62"/>
      <c r="Z86" s="62"/>
      <c r="AA86" s="256"/>
      <c r="AB86" s="3"/>
      <c r="AC86" s="62"/>
      <c r="AD86" s="62"/>
      <c r="AE86" s="62"/>
      <c r="AF86" s="62"/>
      <c r="AG86" s="192"/>
      <c r="AH86" s="62"/>
      <c r="AI86" s="62"/>
      <c r="AJ86" s="62"/>
      <c r="AK86" s="62"/>
      <c r="AL86" s="256"/>
      <c r="AM86" s="256"/>
      <c r="AN86" s="256"/>
    </row>
    <row r="87" spans="1:51" x14ac:dyDescent="0.2">
      <c r="A87" s="3"/>
      <c r="B87" s="278"/>
      <c r="C87" s="278"/>
      <c r="D87" s="278"/>
      <c r="E87" s="278"/>
      <c r="F87" s="351"/>
      <c r="G87" s="278"/>
      <c r="H87" s="278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263"/>
      <c r="U87" s="269"/>
      <c r="V87" s="270"/>
      <c r="W87" s="270"/>
      <c r="X87" s="270"/>
      <c r="Y87" s="62"/>
      <c r="Z87" s="62"/>
      <c r="AA87" s="256"/>
      <c r="AB87" s="3"/>
      <c r="AC87" s="62"/>
      <c r="AD87" s="62"/>
      <c r="AE87" s="62"/>
      <c r="AF87" s="62"/>
      <c r="AG87" s="192"/>
      <c r="AH87" s="62"/>
      <c r="AI87" s="62"/>
      <c r="AJ87" s="62"/>
      <c r="AK87" s="62"/>
      <c r="AL87" s="256"/>
      <c r="AM87" s="256"/>
      <c r="AN87" s="256"/>
    </row>
    <row r="88" spans="1:51" x14ac:dyDescent="0.2">
      <c r="A88" s="3"/>
      <c r="B88" s="278"/>
      <c r="C88" s="278"/>
      <c r="D88" s="278"/>
      <c r="E88" s="278"/>
      <c r="F88" s="351"/>
      <c r="G88" s="278"/>
      <c r="H88" s="278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263"/>
      <c r="U88" s="269"/>
      <c r="V88" s="270"/>
      <c r="W88" s="270"/>
      <c r="X88" s="270"/>
      <c r="Y88" s="62"/>
      <c r="Z88" s="62"/>
      <c r="AA88" s="256"/>
      <c r="AB88" s="3"/>
      <c r="AC88" s="62"/>
      <c r="AD88" s="62"/>
      <c r="AE88" s="62"/>
      <c r="AF88" s="62"/>
      <c r="AG88" s="192"/>
      <c r="AH88" s="62"/>
      <c r="AI88" s="62"/>
      <c r="AJ88" s="62"/>
      <c r="AK88" s="62"/>
      <c r="AL88" s="256"/>
      <c r="AM88" s="256"/>
      <c r="AN88" s="256"/>
    </row>
    <row r="89" spans="1:51" x14ac:dyDescent="0.2">
      <c r="A89" s="3"/>
      <c r="B89" s="278"/>
      <c r="C89" s="278"/>
      <c r="D89" s="278"/>
      <c r="E89" s="278"/>
      <c r="F89" s="351"/>
      <c r="G89" s="278"/>
      <c r="H89" s="278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263"/>
      <c r="U89" s="269"/>
      <c r="V89" s="270"/>
      <c r="W89" s="270"/>
      <c r="X89" s="270"/>
      <c r="Y89" s="62"/>
      <c r="Z89" s="62"/>
      <c r="AA89" s="256"/>
      <c r="AB89" s="3"/>
      <c r="AC89" s="62"/>
      <c r="AD89" s="62"/>
      <c r="AE89" s="62"/>
      <c r="AF89" s="62"/>
      <c r="AG89" s="192"/>
      <c r="AH89" s="62"/>
      <c r="AI89" s="62"/>
      <c r="AJ89" s="62"/>
      <c r="AK89" s="62"/>
      <c r="AL89" s="256"/>
      <c r="AM89" s="256"/>
      <c r="AN89" s="256"/>
    </row>
    <row r="90" spans="1:51" x14ac:dyDescent="0.2">
      <c r="A90" s="3"/>
      <c r="B90" s="278"/>
      <c r="C90" s="278"/>
      <c r="D90" s="278"/>
      <c r="E90" s="278"/>
      <c r="F90" s="351"/>
      <c r="G90" s="278"/>
      <c r="H90" s="278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263"/>
      <c r="U90" s="269"/>
      <c r="V90" s="270"/>
      <c r="W90" s="270"/>
      <c r="X90" s="270"/>
      <c r="Y90" s="62"/>
      <c r="Z90" s="62"/>
      <c r="AA90" s="256"/>
      <c r="AB90" s="3"/>
      <c r="AC90" s="62"/>
      <c r="AD90" s="62"/>
      <c r="AE90" s="62"/>
      <c r="AF90" s="62"/>
      <c r="AG90" s="192"/>
      <c r="AH90" s="62"/>
      <c r="AI90" s="62"/>
      <c r="AJ90" s="62"/>
      <c r="AK90" s="62"/>
      <c r="AL90" s="256"/>
      <c r="AM90" s="256"/>
      <c r="AN90" s="256"/>
    </row>
    <row r="91" spans="1:51" x14ac:dyDescent="0.2">
      <c r="A91" s="3"/>
      <c r="B91" s="278"/>
      <c r="C91" s="278"/>
      <c r="D91" s="278"/>
      <c r="E91" s="278"/>
      <c r="F91" s="351"/>
      <c r="G91" s="278"/>
      <c r="H91" s="278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263"/>
      <c r="U91" s="269"/>
      <c r="V91" s="270"/>
      <c r="W91" s="270"/>
      <c r="X91" s="270"/>
      <c r="Y91" s="62"/>
      <c r="Z91" s="62"/>
      <c r="AA91" s="256"/>
      <c r="AB91" s="3"/>
      <c r="AC91" s="62"/>
      <c r="AD91" s="62"/>
      <c r="AE91" s="62"/>
      <c r="AF91" s="62"/>
      <c r="AG91" s="192"/>
      <c r="AH91" s="62"/>
      <c r="AI91" s="62"/>
      <c r="AJ91" s="62"/>
      <c r="AK91" s="62"/>
      <c r="AL91" s="256"/>
      <c r="AM91" s="256"/>
      <c r="AN91" s="256"/>
    </row>
    <row r="92" spans="1:51" x14ac:dyDescent="0.2">
      <c r="A92" s="3"/>
      <c r="B92" s="278"/>
      <c r="C92" s="278"/>
      <c r="D92" s="278"/>
      <c r="E92" s="278"/>
      <c r="F92" s="351"/>
      <c r="G92" s="278"/>
      <c r="H92" s="278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263"/>
      <c r="U92" s="269"/>
      <c r="V92" s="270"/>
      <c r="W92" s="270"/>
      <c r="X92" s="270"/>
      <c r="Y92" s="62"/>
      <c r="Z92" s="62"/>
      <c r="AA92" s="256"/>
      <c r="AB92" s="3"/>
      <c r="AC92" s="62"/>
      <c r="AD92" s="62"/>
      <c r="AE92" s="62"/>
      <c r="AF92" s="62"/>
      <c r="AG92" s="192"/>
      <c r="AH92" s="62"/>
      <c r="AI92" s="62"/>
      <c r="AJ92" s="62"/>
      <c r="AK92" s="62"/>
      <c r="AL92" s="256"/>
      <c r="AM92" s="256"/>
      <c r="AN92" s="256"/>
    </row>
    <row r="93" spans="1:51" x14ac:dyDescent="0.2">
      <c r="A93" s="3"/>
      <c r="B93" s="278">
        <v>100</v>
      </c>
      <c r="C93" s="278" t="s">
        <v>145</v>
      </c>
      <c r="D93" s="278"/>
      <c r="E93" s="278">
        <v>100</v>
      </c>
      <c r="F93" s="351">
        <v>2410</v>
      </c>
      <c r="G93" s="278" t="s">
        <v>173</v>
      </c>
      <c r="H93" s="278" t="s">
        <v>497</v>
      </c>
      <c r="I93" s="3" t="s">
        <v>501</v>
      </c>
      <c r="J93" s="3" t="s">
        <v>499</v>
      </c>
      <c r="K93" s="3" t="s">
        <v>384</v>
      </c>
      <c r="L93" s="3" t="s">
        <v>501</v>
      </c>
      <c r="M93" s="3">
        <v>1</v>
      </c>
      <c r="N93" s="3" t="s">
        <v>386</v>
      </c>
      <c r="O93" s="3">
        <v>26</v>
      </c>
      <c r="P93" s="3" t="s">
        <v>342</v>
      </c>
      <c r="Q93" s="3" t="s">
        <v>386</v>
      </c>
      <c r="R93" s="3" t="s">
        <v>386</v>
      </c>
      <c r="S93" s="3" t="s">
        <v>386</v>
      </c>
      <c r="T93" s="263" t="s">
        <v>386</v>
      </c>
      <c r="U93" s="269">
        <v>36000</v>
      </c>
      <c r="V93" s="270">
        <f t="shared" si="7"/>
        <v>37080</v>
      </c>
      <c r="W93" s="270" t="str">
        <f t="shared" si="8"/>
        <v/>
      </c>
      <c r="X93" s="270">
        <f t="shared" si="9"/>
        <v>37080</v>
      </c>
      <c r="Y93" s="62">
        <v>0</v>
      </c>
      <c r="Z93" s="62">
        <v>0</v>
      </c>
      <c r="AA93" s="256">
        <f t="shared" si="53"/>
        <v>37080</v>
      </c>
      <c r="AB93" s="3"/>
      <c r="AC93" s="62">
        <f t="shared" si="54"/>
        <v>7943.76</v>
      </c>
      <c r="AD93" s="62" t="str">
        <f t="shared" si="55"/>
        <v/>
      </c>
      <c r="AE93" s="62">
        <f t="shared" si="56"/>
        <v>10938.599999999999</v>
      </c>
      <c r="AF93" s="62">
        <f t="shared" si="57"/>
        <v>537.66000000000008</v>
      </c>
      <c r="AG93" s="192">
        <v>0</v>
      </c>
      <c r="AH93" s="62">
        <f t="shared" si="58"/>
        <v>337.51462284431437</v>
      </c>
      <c r="AI93" s="62">
        <f t="shared" si="59"/>
        <v>109.20796815437595</v>
      </c>
      <c r="AJ93" s="62"/>
      <c r="AK93" s="62">
        <v>0</v>
      </c>
      <c r="AL93" s="256">
        <f t="shared" si="60"/>
        <v>19866.742590998692</v>
      </c>
      <c r="AM93" s="256">
        <f t="shared" si="61"/>
        <v>37080</v>
      </c>
      <c r="AN93" s="256">
        <f t="shared" si="62"/>
        <v>56946.742590998692</v>
      </c>
    </row>
    <row r="94" spans="1:51" x14ac:dyDescent="0.2">
      <c r="A94" s="3"/>
      <c r="B94" s="278"/>
      <c r="C94" s="278"/>
      <c r="D94" s="278"/>
      <c r="E94" s="278"/>
      <c r="F94" s="278"/>
      <c r="G94" s="278"/>
      <c r="H94" s="278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263"/>
      <c r="U94" s="269"/>
      <c r="V94" s="270"/>
      <c r="W94" s="270"/>
      <c r="X94" s="270"/>
      <c r="Y94" s="62"/>
      <c r="Z94" s="62"/>
      <c r="AA94" s="256"/>
      <c r="AB94" s="3"/>
      <c r="AC94" s="62"/>
      <c r="AD94" s="62"/>
      <c r="AE94" s="62"/>
      <c r="AF94" s="62"/>
      <c r="AG94" s="192"/>
      <c r="AH94" s="62"/>
      <c r="AI94" s="62"/>
      <c r="AJ94" s="62"/>
      <c r="AK94" s="62"/>
      <c r="AL94" s="256"/>
      <c r="AM94" s="256"/>
      <c r="AN94" s="256"/>
      <c r="AQ94">
        <v>210</v>
      </c>
      <c r="AR94">
        <v>220</v>
      </c>
      <c r="AS94">
        <v>230</v>
      </c>
      <c r="AT94">
        <v>240</v>
      </c>
      <c r="AU94">
        <v>250</v>
      </c>
      <c r="AV94">
        <v>260</v>
      </c>
      <c r="AW94">
        <v>270</v>
      </c>
      <c r="AX94">
        <v>280</v>
      </c>
      <c r="AY94">
        <v>290</v>
      </c>
    </row>
    <row r="95" spans="1:51" x14ac:dyDescent="0.2">
      <c r="A95" s="3"/>
      <c r="B95" s="440"/>
      <c r="C95" s="440"/>
      <c r="D95" s="440"/>
      <c r="E95" s="440"/>
      <c r="F95" s="440">
        <v>1000</v>
      </c>
      <c r="G95" s="472" t="s">
        <v>161</v>
      </c>
      <c r="H95" s="440" t="s">
        <v>497</v>
      </c>
      <c r="I95" s="439" t="s">
        <v>889</v>
      </c>
      <c r="J95" s="439"/>
      <c r="K95" s="439"/>
      <c r="L95" s="439" t="s">
        <v>889</v>
      </c>
      <c r="M95" s="439"/>
      <c r="N95" s="439"/>
      <c r="O95" s="439"/>
      <c r="P95" s="439" t="s">
        <v>342</v>
      </c>
      <c r="Q95" s="439"/>
      <c r="R95" s="439"/>
      <c r="S95" s="439"/>
      <c r="T95" s="263"/>
      <c r="U95" s="269"/>
      <c r="V95" s="270">
        <v>53896</v>
      </c>
      <c r="W95" s="270" t="str">
        <f>+IF(P95="EE",+V95*$W$1,"")</f>
        <v/>
      </c>
      <c r="X95" s="270">
        <f>_xlfn.IFS(P95="ER",V95,P95="EE",W95,P95="N",V95,P95="","")</f>
        <v>53896</v>
      </c>
      <c r="Y95" s="62">
        <v>0</v>
      </c>
      <c r="Z95" s="62">
        <v>4000</v>
      </c>
      <c r="AA95" s="256">
        <f>SUM(X95:Z95)</f>
        <v>57896</v>
      </c>
      <c r="AB95" s="3"/>
      <c r="AC95" s="62">
        <f t="shared" si="54"/>
        <v>7943.76</v>
      </c>
      <c r="AD95" s="62" t="str">
        <f>_xlfn.IFS(P95="N",$AD$1*AA95,P95="EE","",P95="ER","",P95="","")</f>
        <v/>
      </c>
      <c r="AE95" s="62">
        <f>_xlfn.IFS(P95="EE",X95*$AE$1,P95="ER",X95*$AE$2,P95="N","",P95="","")</f>
        <v>15899.32</v>
      </c>
      <c r="AF95" s="62">
        <f>+IF(AA95&gt;1,AA95*$AF$1,"")</f>
        <v>839.49200000000008</v>
      </c>
      <c r="AG95" s="192">
        <v>0</v>
      </c>
      <c r="AH95" s="62">
        <f>+IF(AA95&gt;1,AA95*$AH$1,"")</f>
        <v>526.98885124580431</v>
      </c>
      <c r="AI95" s="62">
        <f>+_xlfn.IFS(F95&lt;2300,(AA95*$AI$1),F95&gt;=2300,(AA95*$AI$2),F95="","")</f>
        <v>170.51522449476133</v>
      </c>
      <c r="AJ95" s="62"/>
      <c r="AK95" s="62">
        <v>0</v>
      </c>
      <c r="AL95" s="256">
        <f>SUM(AC95:AK95)</f>
        <v>25380.076075740566</v>
      </c>
      <c r="AM95" s="256">
        <f>AA95</f>
        <v>57896</v>
      </c>
      <c r="AN95" s="256">
        <f>SUM(AL95:AM95)</f>
        <v>83276.076075740566</v>
      </c>
    </row>
    <row r="96" spans="1:51" x14ac:dyDescent="0.2">
      <c r="A96" s="3"/>
      <c r="B96" s="440"/>
      <c r="C96" s="440"/>
      <c r="D96" s="440"/>
      <c r="E96" s="440"/>
      <c r="F96" s="440">
        <v>1000</v>
      </c>
      <c r="G96" s="472" t="s">
        <v>161</v>
      </c>
      <c r="H96" s="440" t="s">
        <v>497</v>
      </c>
      <c r="I96" s="439" t="s">
        <v>341</v>
      </c>
      <c r="J96" s="439"/>
      <c r="K96" s="439"/>
      <c r="L96" s="439" t="s">
        <v>341</v>
      </c>
      <c r="M96" s="439"/>
      <c r="N96" s="439"/>
      <c r="O96" s="439"/>
      <c r="P96" s="439" t="s">
        <v>342</v>
      </c>
      <c r="Q96" s="439"/>
      <c r="R96" s="439"/>
      <c r="S96" s="439"/>
      <c r="T96" s="263"/>
      <c r="U96" s="269"/>
      <c r="V96" s="270">
        <v>50788</v>
      </c>
      <c r="W96" s="270" t="str">
        <f>+IF(P96="EE",+V96*$W$1,"")</f>
        <v/>
      </c>
      <c r="X96" s="270">
        <f>_xlfn.IFS(P96="ER",V96,P96="EE",W96,P96="N",V96,P96="","")</f>
        <v>50788</v>
      </c>
      <c r="Y96" s="62">
        <v>0</v>
      </c>
      <c r="Z96" s="62">
        <v>0</v>
      </c>
      <c r="AA96" s="256">
        <f>SUM(X96:Z96)</f>
        <v>50788</v>
      </c>
      <c r="AB96" s="3"/>
      <c r="AC96" s="62">
        <f t="shared" si="54"/>
        <v>7943.76</v>
      </c>
      <c r="AD96" s="62" t="str">
        <f>_xlfn.IFS(P96="N",$AD$1*AA96,P96="EE","",P96="ER","",P96="","")</f>
        <v/>
      </c>
      <c r="AE96" s="62">
        <f>_xlfn.IFS(P96="EE",X96*$AE$1,P96="ER",X96*$AE$2,P96="N","",P96="","")</f>
        <v>14982.46</v>
      </c>
      <c r="AF96" s="62">
        <f>+IF(AA96&gt;1,AA96*$AF$1,"")</f>
        <v>736.42600000000004</v>
      </c>
      <c r="AG96" s="192">
        <v>0</v>
      </c>
      <c r="AH96" s="62">
        <f>+IF(AA96&gt;1,AA96*$AH$1,"")</f>
        <v>462.28944619787046</v>
      </c>
      <c r="AI96" s="62">
        <f>+_xlfn.IFS(F96&lt;2300,(AA96*$AI$1),F96&gt;=2300,(AA96*$AI$2),F96="","")</f>
        <v>149.58075206646294</v>
      </c>
      <c r="AJ96" s="62"/>
      <c r="AK96" s="62">
        <v>0</v>
      </c>
      <c r="AL96" s="256">
        <f>SUM(AC96:AK96)</f>
        <v>24274.516198264337</v>
      </c>
      <c r="AM96" s="256">
        <f>AA96</f>
        <v>50788</v>
      </c>
      <c r="AN96" s="256">
        <f>SUM(AL96:AM96)</f>
        <v>75062.516198264333</v>
      </c>
      <c r="AO96" s="329">
        <f>+AA95+AA96</f>
        <v>108684</v>
      </c>
      <c r="AP96" s="329">
        <f t="shared" ref="AP96:AY96" si="63">+AB95+AB96</f>
        <v>0</v>
      </c>
      <c r="AQ96" s="329">
        <f>+AC95+AC96</f>
        <v>15887.52</v>
      </c>
      <c r="AR96" s="329"/>
      <c r="AS96" s="329">
        <f t="shared" si="63"/>
        <v>30881.78</v>
      </c>
      <c r="AT96" s="329">
        <f t="shared" si="63"/>
        <v>1575.9180000000001</v>
      </c>
      <c r="AU96" s="329">
        <f t="shared" si="63"/>
        <v>0</v>
      </c>
      <c r="AV96" s="329">
        <f t="shared" si="63"/>
        <v>989.27829744367477</v>
      </c>
      <c r="AW96" s="329">
        <f t="shared" si="63"/>
        <v>320.09597656122423</v>
      </c>
      <c r="AX96" s="329">
        <f t="shared" si="63"/>
        <v>0</v>
      </c>
      <c r="AY96" s="329">
        <f t="shared" si="63"/>
        <v>0</v>
      </c>
    </row>
    <row r="97" spans="1:48" x14ac:dyDescent="0.2">
      <c r="A97" s="3"/>
      <c r="B97" s="278"/>
      <c r="C97" s="278"/>
      <c r="D97" s="278"/>
      <c r="E97" s="278"/>
      <c r="F97" s="278"/>
      <c r="G97" s="278"/>
      <c r="H97" s="278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263"/>
      <c r="U97" s="269"/>
      <c r="V97" s="270"/>
      <c r="W97" s="270"/>
      <c r="X97" s="270"/>
      <c r="Y97" s="62"/>
      <c r="Z97" s="62"/>
      <c r="AA97" s="256"/>
      <c r="AB97" s="3"/>
      <c r="AC97" s="62"/>
      <c r="AD97" s="62"/>
      <c r="AE97" s="62"/>
      <c r="AF97" s="62"/>
      <c r="AG97" s="192"/>
      <c r="AH97" s="62"/>
      <c r="AI97" s="62"/>
      <c r="AJ97" s="62"/>
      <c r="AK97" s="62"/>
      <c r="AL97" s="256"/>
      <c r="AM97" s="256"/>
      <c r="AN97" s="256"/>
    </row>
    <row r="98" spans="1:48" x14ac:dyDescent="0.2">
      <c r="A98" s="3"/>
      <c r="B98" s="440"/>
      <c r="C98" s="440"/>
      <c r="D98" s="440"/>
      <c r="E98" s="440"/>
      <c r="F98" s="440">
        <v>2110</v>
      </c>
      <c r="G98" s="472" t="s">
        <v>173</v>
      </c>
      <c r="H98" s="440" t="s">
        <v>497</v>
      </c>
      <c r="I98" s="439" t="s">
        <v>890</v>
      </c>
      <c r="J98" s="439"/>
      <c r="K98" s="439"/>
      <c r="L98" s="439" t="s">
        <v>890</v>
      </c>
      <c r="M98" s="439"/>
      <c r="N98" s="439"/>
      <c r="O98" s="439"/>
      <c r="P98" s="439" t="s">
        <v>342</v>
      </c>
      <c r="Q98" s="439"/>
      <c r="R98" s="439"/>
      <c r="S98" s="439"/>
      <c r="T98" s="263"/>
      <c r="U98" s="269"/>
      <c r="V98" s="270">
        <v>34500</v>
      </c>
      <c r="W98" s="270" t="str">
        <f>+IF(P98="EE",+V98*$W$1,"")</f>
        <v/>
      </c>
      <c r="X98" s="270">
        <f>_xlfn.IFS(P98="ER",V98,P98="EE",W98,P98="N",V98,P98="","")</f>
        <v>34500</v>
      </c>
      <c r="Y98" s="62">
        <v>0</v>
      </c>
      <c r="Z98" s="62">
        <v>0</v>
      </c>
      <c r="AA98" s="256">
        <f>SUM(X98:Z98)</f>
        <v>34500</v>
      </c>
      <c r="AB98" s="3"/>
      <c r="AC98" s="62">
        <f t="shared" si="54"/>
        <v>7943.76</v>
      </c>
      <c r="AD98" s="62" t="str">
        <f>_xlfn.IFS(P98="N",$AD$1*AA98,P98="EE","",P98="ER","",P98="","")</f>
        <v/>
      </c>
      <c r="AE98" s="62">
        <f>_xlfn.IFS(P98="EE",X98*$AE$1,P98="ER",X98*$AE$2,P98="N","",P98="","")</f>
        <v>10177.5</v>
      </c>
      <c r="AF98" s="62">
        <f>+IF(AA98&gt;1,AA98*$AF$1,"")</f>
        <v>500.25</v>
      </c>
      <c r="AG98" s="192">
        <v>0</v>
      </c>
      <c r="AH98" s="62">
        <f>+IF(AA98&gt;1,AA98*$AH$1,"")</f>
        <v>314.03059568848016</v>
      </c>
      <c r="AI98" s="62">
        <f>+_xlfn.IFS(F98&lt;2300,(AA98*$AI$1),F98&gt;=2300,(AA98*$AI$2),F98="","")</f>
        <v>101.60935548344041</v>
      </c>
      <c r="AJ98" s="62"/>
      <c r="AK98" s="62">
        <v>0</v>
      </c>
      <c r="AL98" s="256">
        <f>SUM(AC98:AK98)</f>
        <v>19037.149951171923</v>
      </c>
      <c r="AM98" s="256">
        <f>AA98</f>
        <v>34500</v>
      </c>
      <c r="AN98" s="256">
        <f>SUM(AL98:AM98)</f>
        <v>53537.149951171923</v>
      </c>
    </row>
    <row r="99" spans="1:48" x14ac:dyDescent="0.2">
      <c r="A99" s="3"/>
      <c r="B99" s="278"/>
      <c r="C99" s="278"/>
      <c r="D99" s="278"/>
      <c r="E99" s="278"/>
      <c r="F99" s="278"/>
      <c r="G99" s="278"/>
      <c r="H99" s="278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263"/>
      <c r="U99" s="269"/>
      <c r="V99" s="270"/>
      <c r="W99" s="270"/>
      <c r="X99" s="270"/>
      <c r="Y99" s="62"/>
      <c r="Z99" s="62"/>
      <c r="AA99" s="256"/>
      <c r="AB99" s="3"/>
      <c r="AC99" s="62"/>
      <c r="AD99" s="62"/>
      <c r="AE99" s="62"/>
      <c r="AF99" s="62"/>
      <c r="AG99" s="192"/>
      <c r="AH99" s="62"/>
      <c r="AI99" s="62"/>
      <c r="AJ99" s="62"/>
      <c r="AK99" s="62"/>
      <c r="AL99" s="256"/>
      <c r="AM99" s="256"/>
      <c r="AN99" s="256"/>
    </row>
    <row r="100" spans="1:48" x14ac:dyDescent="0.2">
      <c r="A100" s="3"/>
      <c r="B100" s="440"/>
      <c r="C100" s="440"/>
      <c r="D100" s="440"/>
      <c r="E100" s="440"/>
      <c r="F100" s="440">
        <v>2210</v>
      </c>
      <c r="G100" s="472" t="s">
        <v>161</v>
      </c>
      <c r="H100" s="440" t="s">
        <v>497</v>
      </c>
      <c r="I100" s="439" t="s">
        <v>887</v>
      </c>
      <c r="J100" s="439"/>
      <c r="K100" s="439"/>
      <c r="L100" s="439" t="s">
        <v>887</v>
      </c>
      <c r="M100" s="439"/>
      <c r="N100" s="439"/>
      <c r="O100" s="439"/>
      <c r="P100" s="439" t="s">
        <v>342</v>
      </c>
      <c r="Q100" s="439"/>
      <c r="R100" s="439"/>
      <c r="S100" s="439"/>
      <c r="T100" s="263"/>
      <c r="U100" s="269"/>
      <c r="V100" s="270">
        <v>86000</v>
      </c>
      <c r="W100" s="270" t="str">
        <f>+IF(P100="EE",+V100*$W$1,"")</f>
        <v/>
      </c>
      <c r="X100" s="270">
        <f>_xlfn.IFS(P100="ER",V100,P100="EE",W100,P100="N",V100,P100="","")</f>
        <v>86000</v>
      </c>
      <c r="Y100" s="62">
        <v>0</v>
      </c>
      <c r="Z100" s="62">
        <v>0</v>
      </c>
      <c r="AA100" s="256">
        <f>SUM(X100:Z100)</f>
        <v>86000</v>
      </c>
      <c r="AB100" s="3"/>
      <c r="AC100" s="62">
        <f t="shared" si="54"/>
        <v>7943.76</v>
      </c>
      <c r="AD100" s="62" t="str">
        <f>_xlfn.IFS(P100="N",$AD$1*AA100,P100="EE","",P100="ER","",P100="","")</f>
        <v/>
      </c>
      <c r="AE100" s="62">
        <f>_xlfn.IFS(P100="EE",X100*$AE$1,P100="ER",X100*$AE$2,P100="N","",P100="","")</f>
        <v>25370</v>
      </c>
      <c r="AF100" s="62">
        <f>+IF(AA100&gt;1,AA100*$AF$1,"")</f>
        <v>1247</v>
      </c>
      <c r="AG100" s="192">
        <v>0</v>
      </c>
      <c r="AH100" s="62">
        <f>+IF(AA100&gt;1,AA100*$AH$1,"")</f>
        <v>782.80090519447231</v>
      </c>
      <c r="AI100" s="62">
        <f>+_xlfn.IFS(F100&lt;2300,(AA100*$AI$1),F100&gt;=2300,(AA100*$AI$2),F100="","")</f>
        <v>253.28708903118476</v>
      </c>
      <c r="AJ100" s="62"/>
      <c r="AK100" s="62">
        <v>0</v>
      </c>
      <c r="AL100" s="256">
        <f>SUM(AC100:AK100)</f>
        <v>35596.84799422566</v>
      </c>
      <c r="AM100" s="256">
        <f>AA100</f>
        <v>86000</v>
      </c>
      <c r="AN100" s="256">
        <f>SUM(AL100:AM100)</f>
        <v>121596.84799422565</v>
      </c>
    </row>
    <row r="101" spans="1:48" x14ac:dyDescent="0.2">
      <c r="A101" s="3"/>
      <c r="B101" s="440"/>
      <c r="C101" s="440"/>
      <c r="D101" s="440"/>
      <c r="E101" s="440"/>
      <c r="F101" s="440"/>
      <c r="G101" s="440"/>
      <c r="H101" s="440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263"/>
      <c r="U101" s="269"/>
      <c r="V101" s="270"/>
      <c r="W101" s="270"/>
      <c r="X101" s="270"/>
      <c r="Y101" s="62"/>
      <c r="Z101" s="62"/>
      <c r="AA101" s="256"/>
      <c r="AB101" s="3"/>
      <c r="AC101" s="62"/>
      <c r="AD101" s="62"/>
      <c r="AE101" s="62"/>
      <c r="AF101" s="62"/>
      <c r="AG101" s="192"/>
      <c r="AH101" s="62"/>
      <c r="AI101" s="62"/>
      <c r="AJ101" s="62"/>
      <c r="AK101" s="62"/>
      <c r="AL101" s="256"/>
      <c r="AM101" s="256"/>
      <c r="AN101" s="256"/>
    </row>
    <row r="102" spans="1:48" x14ac:dyDescent="0.2">
      <c r="A102" s="3"/>
      <c r="B102" s="440"/>
      <c r="C102" s="440"/>
      <c r="D102" s="440"/>
      <c r="E102" s="440"/>
      <c r="F102" s="440">
        <v>2410</v>
      </c>
      <c r="G102" s="472" t="s">
        <v>173</v>
      </c>
      <c r="H102" s="440" t="s">
        <v>497</v>
      </c>
      <c r="I102" s="439" t="s">
        <v>888</v>
      </c>
      <c r="J102" s="439"/>
      <c r="K102" s="439"/>
      <c r="L102" s="439" t="s">
        <v>888</v>
      </c>
      <c r="M102" s="439"/>
      <c r="N102" s="439"/>
      <c r="O102" s="439"/>
      <c r="P102" s="439" t="s">
        <v>342</v>
      </c>
      <c r="Q102" s="439"/>
      <c r="R102" s="439"/>
      <c r="S102" s="439"/>
      <c r="T102" s="263"/>
      <c r="U102" s="269"/>
      <c r="V102" s="270">
        <v>70000</v>
      </c>
      <c r="W102" s="270" t="str">
        <f t="shared" si="8"/>
        <v/>
      </c>
      <c r="X102" s="270">
        <f t="shared" ref="X102" si="64">_xlfn.IFS(P102="ER",V102,P102="EE",W102,P102="N",V102,P102="","")</f>
        <v>70000</v>
      </c>
      <c r="Y102" s="62">
        <v>0</v>
      </c>
      <c r="Z102" s="62">
        <v>0</v>
      </c>
      <c r="AA102" s="256">
        <f t="shared" ref="AA102" si="65">SUM(X102:Z102)</f>
        <v>70000</v>
      </c>
      <c r="AB102" s="3"/>
      <c r="AC102" s="62">
        <f t="shared" si="54"/>
        <v>7943.76</v>
      </c>
      <c r="AD102" s="62" t="str">
        <f t="shared" ref="AD102" si="66">_xlfn.IFS(P102="N",$AD$1*AA102,P102="EE","",P102="ER","",P102="","")</f>
        <v/>
      </c>
      <c r="AE102" s="62">
        <f t="shared" ref="AE102" si="67">_xlfn.IFS(P102="EE",X102*$AE$1,P102="ER",X102*$AE$2,P102="N","",P102="","")</f>
        <v>20650</v>
      </c>
      <c r="AF102" s="62">
        <f t="shared" ref="AF102" si="68">+IF(AA102&gt;1,AA102*$AF$1,"")</f>
        <v>1015</v>
      </c>
      <c r="AG102" s="192">
        <v>0</v>
      </c>
      <c r="AH102" s="62">
        <f t="shared" ref="AH102" si="69">+IF(AA102&gt;1,AA102*$AH$1,"")</f>
        <v>637.16352748387283</v>
      </c>
      <c r="AI102" s="62">
        <f t="shared" ref="AI102" si="70">+_xlfn.IFS(F102&lt;2300,(AA102*$AI$1),F102&gt;=2300,(AA102*$AI$2),F102="","")</f>
        <v>206.16390967654576</v>
      </c>
      <c r="AJ102" s="62"/>
      <c r="AK102" s="62">
        <v>0</v>
      </c>
      <c r="AL102" s="256">
        <f t="shared" ref="AL102" si="71">SUM(AC102:AK102)</f>
        <v>30452.087437160422</v>
      </c>
      <c r="AM102" s="256">
        <f t="shared" ref="AM102" si="72">AA102</f>
        <v>70000</v>
      </c>
      <c r="AN102" s="256">
        <f t="shared" ref="AN102" si="73">SUM(AL102:AM102)</f>
        <v>100452.08743716043</v>
      </c>
    </row>
    <row r="103" spans="1:48" x14ac:dyDescent="0.2">
      <c r="A103" s="3"/>
      <c r="B103" s="278"/>
      <c r="C103" s="278"/>
      <c r="D103" s="278"/>
      <c r="E103" s="278"/>
      <c r="F103" s="278"/>
      <c r="G103" s="278"/>
      <c r="H103" s="278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263"/>
      <c r="U103" s="269"/>
      <c r="V103" s="270"/>
      <c r="W103" s="270"/>
      <c r="X103" s="270"/>
      <c r="Y103" s="62"/>
      <c r="Z103" s="62"/>
      <c r="AA103" s="256"/>
      <c r="AB103" s="3"/>
      <c r="AC103" s="62"/>
      <c r="AD103" s="62"/>
      <c r="AE103" s="62"/>
      <c r="AF103" s="62"/>
      <c r="AG103" s="192"/>
      <c r="AH103" s="62"/>
      <c r="AI103" s="62"/>
      <c r="AJ103" s="62"/>
      <c r="AK103" s="62"/>
      <c r="AL103" s="256"/>
      <c r="AM103" s="256"/>
      <c r="AN103" s="256"/>
    </row>
    <row r="104" spans="1:48" x14ac:dyDescent="0.2">
      <c r="A104" s="3"/>
      <c r="B104" s="440"/>
      <c r="C104" s="440"/>
      <c r="D104" s="440"/>
      <c r="E104" s="440"/>
      <c r="F104" s="440">
        <v>2120</v>
      </c>
      <c r="G104" s="472" t="s">
        <v>203</v>
      </c>
      <c r="H104" s="472" t="s">
        <v>497</v>
      </c>
      <c r="I104" s="439" t="s">
        <v>891</v>
      </c>
      <c r="J104" s="439"/>
      <c r="K104" s="439"/>
      <c r="L104" s="439" t="s">
        <v>891</v>
      </c>
      <c r="M104" s="439"/>
      <c r="N104" s="439"/>
      <c r="O104" s="439"/>
      <c r="P104" s="439" t="s">
        <v>7</v>
      </c>
      <c r="Q104" s="439"/>
      <c r="R104" s="439"/>
      <c r="S104" s="439"/>
      <c r="T104" s="263"/>
      <c r="U104" s="269"/>
      <c r="V104" s="270">
        <v>65000</v>
      </c>
      <c r="W104" s="270" t="str">
        <f>+IF(P104="EE",+V104*$W$1,"")</f>
        <v/>
      </c>
      <c r="X104" s="270">
        <f>_xlfn.IFS(P104="ER",V104,P104="EE",W104,P104="N",V104,P104="","")</f>
        <v>65000</v>
      </c>
      <c r="Y104" s="62">
        <v>0</v>
      </c>
      <c r="Z104" s="62">
        <v>0</v>
      </c>
      <c r="AA104" s="256">
        <f>SUM(X104:Z104)</f>
        <v>65000</v>
      </c>
      <c r="AB104" s="3"/>
      <c r="AC104" s="62"/>
      <c r="AD104" s="62"/>
      <c r="AE104" s="62"/>
      <c r="AF104" s="62"/>
      <c r="AG104" s="192"/>
      <c r="AH104" s="62"/>
      <c r="AI104" s="62"/>
      <c r="AJ104" s="62"/>
      <c r="AK104" s="62"/>
      <c r="AL104" s="256">
        <f>SUM(AC104:AK104)</f>
        <v>0</v>
      </c>
      <c r="AM104" s="256">
        <f>AA104</f>
        <v>65000</v>
      </c>
      <c r="AN104" s="256">
        <f>SUM(AL104:AM104)</f>
        <v>65000</v>
      </c>
    </row>
    <row r="105" spans="1:48" x14ac:dyDescent="0.2">
      <c r="A105" s="3"/>
      <c r="B105" s="278"/>
      <c r="C105" s="278"/>
      <c r="D105" s="278"/>
      <c r="E105" s="278"/>
      <c r="F105" s="278"/>
      <c r="G105" s="278"/>
      <c r="H105" s="278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263"/>
      <c r="U105" s="269"/>
      <c r="V105" s="270"/>
      <c r="W105" s="270"/>
      <c r="X105" s="270"/>
      <c r="Y105" s="62"/>
      <c r="Z105" s="62"/>
      <c r="AA105" s="256"/>
      <c r="AB105" s="3"/>
      <c r="AC105" s="62"/>
      <c r="AD105" s="62"/>
      <c r="AE105" s="62"/>
      <c r="AF105" s="62"/>
      <c r="AG105" s="192"/>
      <c r="AH105" s="62"/>
      <c r="AI105" s="62"/>
      <c r="AJ105" s="62"/>
      <c r="AK105" s="62"/>
      <c r="AL105" s="256"/>
      <c r="AM105" s="256"/>
      <c r="AN105" s="256"/>
    </row>
    <row r="106" spans="1:48" x14ac:dyDescent="0.2">
      <c r="A106" s="3"/>
      <c r="B106" s="440"/>
      <c r="C106" s="440"/>
      <c r="D106" s="440"/>
      <c r="E106" s="440"/>
      <c r="F106" s="440">
        <v>2110</v>
      </c>
      <c r="G106" s="472" t="s">
        <v>167</v>
      </c>
      <c r="H106" s="472" t="s">
        <v>497</v>
      </c>
      <c r="I106" s="439" t="s">
        <v>891</v>
      </c>
      <c r="J106" s="439"/>
      <c r="K106" s="439"/>
      <c r="L106" s="439" t="s">
        <v>891</v>
      </c>
      <c r="M106" s="439"/>
      <c r="N106" s="439"/>
      <c r="O106" s="439"/>
      <c r="P106" s="439" t="s">
        <v>342</v>
      </c>
      <c r="Q106" s="439"/>
      <c r="R106" s="439"/>
      <c r="S106" s="439"/>
      <c r="T106" s="263"/>
      <c r="U106" s="269"/>
      <c r="V106" s="270">
        <v>50788</v>
      </c>
      <c r="W106" s="270" t="str">
        <f>+IF(P106="EE",+V106*$W$1,"")</f>
        <v/>
      </c>
      <c r="X106" s="270">
        <f>_xlfn.IFS(P106="ER",V106,P106="EE",W106,P106="N",V106,P106="","")</f>
        <v>50788</v>
      </c>
      <c r="Y106" s="62">
        <v>0</v>
      </c>
      <c r="Z106" s="62">
        <v>0</v>
      </c>
      <c r="AA106" s="256">
        <f>SUM(X106:Z106)</f>
        <v>50788</v>
      </c>
      <c r="AB106" s="3"/>
      <c r="AC106" s="62">
        <f t="shared" ref="AC106" si="74">$AC$1</f>
        <v>7943.76</v>
      </c>
      <c r="AD106" s="62" t="str">
        <f t="shared" ref="AD106" si="75">_xlfn.IFS(P106="N",$AD$1*AA106,P106="EE","",P106="ER","",P106="","")</f>
        <v/>
      </c>
      <c r="AE106" s="62">
        <f t="shared" ref="AE106" si="76">_xlfn.IFS(P106="EE",X106*$AE$1,P106="ER",X106*$AE$2,P106="N","",P106="","")</f>
        <v>14982.46</v>
      </c>
      <c r="AF106" s="62">
        <f t="shared" ref="AF106" si="77">+IF(AA106&gt;1,AA106*$AF$1,"")</f>
        <v>736.42600000000004</v>
      </c>
      <c r="AG106" s="192">
        <v>0</v>
      </c>
      <c r="AH106" s="62">
        <f t="shared" ref="AH106" si="78">+IF(AA106&gt;1,AA106*$AH$1,"")</f>
        <v>462.28944619787046</v>
      </c>
      <c r="AI106" s="62">
        <f t="shared" ref="AI106" si="79">+_xlfn.IFS(F106&lt;2300,(AA106*$AI$1),F106&gt;=2300,(AA106*$AI$2),F106="","")</f>
        <v>149.58075206646294</v>
      </c>
      <c r="AJ106" s="62"/>
      <c r="AK106" s="62">
        <v>0</v>
      </c>
      <c r="AL106" s="256">
        <f t="shared" ref="AL106" si="80">SUM(AC106:AK106)</f>
        <v>24274.516198264337</v>
      </c>
      <c r="AM106" s="256">
        <f t="shared" ref="AM106" si="81">AA106</f>
        <v>50788</v>
      </c>
      <c r="AN106" s="256">
        <f t="shared" ref="AN106" si="82">SUM(AL106:AM106)</f>
        <v>75062.516198264333</v>
      </c>
      <c r="AO106">
        <v>50788</v>
      </c>
      <c r="AQ106">
        <v>7943.76</v>
      </c>
      <c r="AR106" t="s">
        <v>386</v>
      </c>
      <c r="AS106">
        <v>14982.46</v>
      </c>
      <c r="AT106">
        <v>736.42600000000004</v>
      </c>
      <c r="AU106">
        <v>462.28944619787046</v>
      </c>
      <c r="AV106">
        <v>149.58075206646294</v>
      </c>
    </row>
    <row r="107" spans="1:48" x14ac:dyDescent="0.2">
      <c r="A107" s="3"/>
      <c r="B107" s="278"/>
      <c r="C107" s="278"/>
      <c r="D107" s="278"/>
      <c r="E107" s="278"/>
      <c r="F107" s="278"/>
      <c r="G107" s="278"/>
      <c r="H107" s="278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263"/>
      <c r="U107" s="269"/>
      <c r="V107" s="270"/>
      <c r="W107" s="270"/>
      <c r="X107" s="270"/>
      <c r="Y107" s="62"/>
      <c r="Z107" s="62"/>
      <c r="AA107" s="256"/>
      <c r="AB107" s="3"/>
      <c r="AC107" s="62"/>
      <c r="AD107" s="62"/>
      <c r="AE107" s="62"/>
      <c r="AF107" s="62"/>
      <c r="AG107" s="192"/>
      <c r="AH107" s="62"/>
      <c r="AI107" s="62"/>
      <c r="AJ107" s="62"/>
      <c r="AK107" s="62"/>
      <c r="AL107" s="256"/>
      <c r="AM107" s="256"/>
      <c r="AN107" s="256"/>
      <c r="AP107">
        <v>50788</v>
      </c>
    </row>
    <row r="108" spans="1:48" x14ac:dyDescent="0.2">
      <c r="A108" s="3"/>
      <c r="B108" s="278"/>
      <c r="C108" s="278"/>
      <c r="D108" s="278"/>
      <c r="E108" s="278"/>
      <c r="F108" s="278"/>
      <c r="G108" s="278"/>
      <c r="H108" s="278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263"/>
      <c r="U108" s="269"/>
      <c r="V108" s="270"/>
      <c r="W108" s="270"/>
      <c r="X108" s="270"/>
      <c r="Y108" s="62"/>
      <c r="Z108" s="62"/>
      <c r="AA108" s="256"/>
      <c r="AB108" s="3"/>
      <c r="AC108" s="62"/>
      <c r="AD108" s="62"/>
      <c r="AE108" s="62"/>
      <c r="AF108" s="62"/>
      <c r="AG108" s="192"/>
      <c r="AH108" s="62"/>
      <c r="AI108" s="62"/>
      <c r="AJ108" s="62"/>
      <c r="AK108" s="62"/>
      <c r="AL108" s="256"/>
      <c r="AM108" s="256"/>
      <c r="AN108" s="256"/>
    </row>
    <row r="109" spans="1:48" x14ac:dyDescent="0.2">
      <c r="A109" s="3"/>
      <c r="B109" s="278"/>
      <c r="C109" s="278"/>
      <c r="D109" s="278"/>
      <c r="E109" s="278"/>
      <c r="F109" s="278"/>
      <c r="G109" s="278"/>
      <c r="H109" s="278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263"/>
      <c r="U109" s="269"/>
      <c r="V109" s="270"/>
      <c r="W109" s="270"/>
      <c r="X109" s="270"/>
      <c r="Y109" s="62"/>
      <c r="Z109" s="62"/>
      <c r="AA109" s="256"/>
      <c r="AB109" s="3"/>
      <c r="AC109" s="62"/>
      <c r="AD109" s="62"/>
      <c r="AE109" s="62"/>
      <c r="AF109" s="62"/>
      <c r="AG109" s="192"/>
      <c r="AH109" s="62"/>
      <c r="AI109" s="62"/>
      <c r="AJ109" s="62"/>
      <c r="AK109" s="62"/>
      <c r="AL109" s="256"/>
      <c r="AM109" s="256"/>
      <c r="AN109" s="256"/>
      <c r="AP109">
        <v>7943.76</v>
      </c>
    </row>
    <row r="110" spans="1:48" x14ac:dyDescent="0.2">
      <c r="A110" s="3"/>
      <c r="B110" s="278"/>
      <c r="C110" s="278"/>
      <c r="D110" s="278"/>
      <c r="E110" s="278"/>
      <c r="F110" s="278"/>
      <c r="G110" s="278"/>
      <c r="H110" s="278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263"/>
      <c r="U110" s="269"/>
      <c r="V110" s="270" t="str">
        <f t="shared" si="7"/>
        <v/>
      </c>
      <c r="W110" s="270" t="str">
        <f t="shared" si="8"/>
        <v/>
      </c>
      <c r="X110" s="270" t="str">
        <f t="shared" si="9"/>
        <v/>
      </c>
      <c r="Y110" s="62">
        <v>0</v>
      </c>
      <c r="Z110" s="62">
        <v>0</v>
      </c>
      <c r="AA110" s="256">
        <f t="shared" si="53"/>
        <v>0</v>
      </c>
      <c r="AB110" s="3"/>
      <c r="AC110" s="62" t="str">
        <f>IF('Employee Detail FY21'!AC75="","",'Employee Detail FY21'!AC75)</f>
        <v/>
      </c>
      <c r="AD110" s="62" t="str">
        <f t="shared" si="55"/>
        <v/>
      </c>
      <c r="AE110" s="62" t="str">
        <f t="shared" si="56"/>
        <v/>
      </c>
      <c r="AF110" s="62" t="str">
        <f t="shared" si="57"/>
        <v/>
      </c>
      <c r="AG110" s="192">
        <v>0</v>
      </c>
      <c r="AH110" s="62" t="str">
        <f t="shared" si="58"/>
        <v/>
      </c>
      <c r="AI110" s="62">
        <f t="shared" si="59"/>
        <v>0</v>
      </c>
      <c r="AJ110" s="62"/>
      <c r="AK110" s="62">
        <v>0</v>
      </c>
      <c r="AL110" s="256">
        <f t="shared" si="60"/>
        <v>0</v>
      </c>
      <c r="AM110" s="256">
        <f t="shared" si="61"/>
        <v>0</v>
      </c>
      <c r="AN110" s="256">
        <f t="shared" si="62"/>
        <v>0</v>
      </c>
      <c r="AP110" t="s">
        <v>386</v>
      </c>
    </row>
    <row r="111" spans="1:48" x14ac:dyDescent="0.2">
      <c r="A111" s="311"/>
      <c r="B111" s="351">
        <v>100</v>
      </c>
      <c r="C111" s="351" t="s">
        <v>145</v>
      </c>
      <c r="D111" s="351"/>
      <c r="E111" s="351">
        <v>100</v>
      </c>
      <c r="F111" s="351">
        <v>2120</v>
      </c>
      <c r="G111" s="351" t="s">
        <v>167</v>
      </c>
      <c r="H111" s="351" t="s">
        <v>497</v>
      </c>
      <c r="I111" s="311" t="s">
        <v>502</v>
      </c>
      <c r="J111" s="311" t="s">
        <v>503</v>
      </c>
      <c r="K111" s="311" t="s">
        <v>389</v>
      </c>
      <c r="L111" s="311" t="s">
        <v>502</v>
      </c>
      <c r="M111" s="311"/>
      <c r="N111" s="311" t="s">
        <v>386</v>
      </c>
      <c r="O111" s="311" t="s">
        <v>386</v>
      </c>
      <c r="P111" s="311"/>
      <c r="Q111" s="311" t="s">
        <v>386</v>
      </c>
      <c r="R111" s="311" t="s">
        <v>386</v>
      </c>
      <c r="S111" s="311" t="s">
        <v>386</v>
      </c>
      <c r="T111" s="263" t="s">
        <v>386</v>
      </c>
      <c r="U111" s="269">
        <v>0</v>
      </c>
      <c r="V111" s="270">
        <f t="shared" si="7"/>
        <v>0</v>
      </c>
      <c r="W111" s="270" t="str">
        <f t="shared" si="8"/>
        <v/>
      </c>
      <c r="X111" s="270" t="str">
        <f t="shared" si="9"/>
        <v/>
      </c>
      <c r="Y111" s="62">
        <v>0</v>
      </c>
      <c r="Z111" s="62">
        <v>0</v>
      </c>
      <c r="AA111" s="256">
        <f t="shared" si="53"/>
        <v>0</v>
      </c>
      <c r="AB111" s="3"/>
      <c r="AC111" s="62" t="str">
        <f>IF('Employee Detail FY21'!AC76="","",'Employee Detail FY21'!AC76)</f>
        <v/>
      </c>
      <c r="AD111" s="62" t="str">
        <f t="shared" si="55"/>
        <v/>
      </c>
      <c r="AE111" s="62" t="str">
        <f t="shared" si="56"/>
        <v/>
      </c>
      <c r="AF111" s="62" t="str">
        <f t="shared" si="57"/>
        <v/>
      </c>
      <c r="AG111" s="192">
        <v>0</v>
      </c>
      <c r="AH111" s="62" t="str">
        <f t="shared" si="58"/>
        <v/>
      </c>
      <c r="AI111" s="62">
        <f t="shared" si="59"/>
        <v>0</v>
      </c>
      <c r="AJ111" s="62"/>
      <c r="AK111" s="62">
        <v>0</v>
      </c>
      <c r="AL111" s="256">
        <f t="shared" si="60"/>
        <v>0</v>
      </c>
      <c r="AM111" s="256">
        <f t="shared" si="61"/>
        <v>0</v>
      </c>
      <c r="AN111" s="256">
        <f t="shared" si="62"/>
        <v>0</v>
      </c>
      <c r="AP111">
        <v>14982.46</v>
      </c>
    </row>
    <row r="112" spans="1:48" x14ac:dyDescent="0.2">
      <c r="A112" s="311"/>
      <c r="B112" s="351">
        <v>100</v>
      </c>
      <c r="C112" s="351" t="s">
        <v>145</v>
      </c>
      <c r="D112" s="351"/>
      <c r="E112" s="351">
        <v>100</v>
      </c>
      <c r="F112" s="351">
        <v>1000</v>
      </c>
      <c r="G112" s="351" t="s">
        <v>161</v>
      </c>
      <c r="H112" s="351" t="s">
        <v>497</v>
      </c>
      <c r="I112" s="311" t="s">
        <v>498</v>
      </c>
      <c r="J112" s="311" t="s">
        <v>503</v>
      </c>
      <c r="K112" s="311" t="s">
        <v>389</v>
      </c>
      <c r="L112" s="311" t="s">
        <v>498</v>
      </c>
      <c r="M112" s="311"/>
      <c r="N112" s="311" t="s">
        <v>386</v>
      </c>
      <c r="O112" s="311"/>
      <c r="P112" s="311"/>
      <c r="Q112" s="311" t="s">
        <v>386</v>
      </c>
      <c r="R112" s="311" t="s">
        <v>386</v>
      </c>
      <c r="S112" s="311" t="s">
        <v>386</v>
      </c>
      <c r="T112" s="263" t="s">
        <v>386</v>
      </c>
      <c r="U112" s="269">
        <v>0</v>
      </c>
      <c r="V112" s="270">
        <f t="shared" si="7"/>
        <v>0</v>
      </c>
      <c r="W112" s="270" t="str">
        <f t="shared" si="8"/>
        <v/>
      </c>
      <c r="X112" s="270" t="str">
        <f t="shared" si="9"/>
        <v/>
      </c>
      <c r="Y112" s="62">
        <v>0</v>
      </c>
      <c r="Z112" s="62">
        <v>0</v>
      </c>
      <c r="AA112" s="256">
        <f t="shared" si="53"/>
        <v>0</v>
      </c>
      <c r="AB112" s="3"/>
      <c r="AC112" s="62" t="str">
        <f>IF('Employee Detail FY21'!AC77="","",'Employee Detail FY21'!AC77)</f>
        <v/>
      </c>
      <c r="AD112" s="62" t="str">
        <f t="shared" si="55"/>
        <v/>
      </c>
      <c r="AE112" s="62" t="str">
        <f t="shared" si="56"/>
        <v/>
      </c>
      <c r="AF112" s="62" t="str">
        <f t="shared" si="57"/>
        <v/>
      </c>
      <c r="AG112" s="192">
        <v>0</v>
      </c>
      <c r="AH112" s="62" t="str">
        <f t="shared" si="58"/>
        <v/>
      </c>
      <c r="AI112" s="62">
        <f t="shared" si="59"/>
        <v>0</v>
      </c>
      <c r="AJ112" s="62"/>
      <c r="AK112" s="62">
        <v>0</v>
      </c>
      <c r="AL112" s="256">
        <f t="shared" si="60"/>
        <v>0</v>
      </c>
      <c r="AM112" s="256">
        <f t="shared" si="61"/>
        <v>0</v>
      </c>
      <c r="AN112" s="256">
        <f t="shared" si="62"/>
        <v>0</v>
      </c>
      <c r="AP112">
        <v>736.42600000000004</v>
      </c>
    </row>
    <row r="113" spans="1:42" x14ac:dyDescent="0.2">
      <c r="A113" s="311"/>
      <c r="B113" s="351">
        <v>100</v>
      </c>
      <c r="C113" s="351" t="s">
        <v>145</v>
      </c>
      <c r="D113" s="351"/>
      <c r="E113" s="351">
        <v>100</v>
      </c>
      <c r="F113" s="351">
        <v>1000</v>
      </c>
      <c r="G113" s="351" t="s">
        <v>161</v>
      </c>
      <c r="H113" s="351" t="s">
        <v>497</v>
      </c>
      <c r="I113" s="311" t="s">
        <v>498</v>
      </c>
      <c r="J113" s="311" t="s">
        <v>503</v>
      </c>
      <c r="K113" s="311" t="s">
        <v>389</v>
      </c>
      <c r="L113" s="311" t="s">
        <v>498</v>
      </c>
      <c r="M113" s="311"/>
      <c r="N113" s="311" t="s">
        <v>386</v>
      </c>
      <c r="O113" s="311"/>
      <c r="P113" s="311"/>
      <c r="Q113" s="311" t="s">
        <v>386</v>
      </c>
      <c r="R113" s="311" t="s">
        <v>386</v>
      </c>
      <c r="S113" s="311" t="s">
        <v>386</v>
      </c>
      <c r="T113" s="263" t="s">
        <v>386</v>
      </c>
      <c r="U113" s="269">
        <v>0</v>
      </c>
      <c r="V113" s="270">
        <f t="shared" si="7"/>
        <v>0</v>
      </c>
      <c r="W113" s="270" t="str">
        <f t="shared" si="8"/>
        <v/>
      </c>
      <c r="X113" s="270" t="str">
        <f t="shared" si="9"/>
        <v/>
      </c>
      <c r="Y113" s="62">
        <v>0</v>
      </c>
      <c r="Z113" s="62">
        <v>0</v>
      </c>
      <c r="AA113" s="256">
        <f t="shared" si="53"/>
        <v>0</v>
      </c>
      <c r="AB113" s="3"/>
      <c r="AC113" s="62" t="str">
        <f>IF('Employee Detail FY21'!AC78="","",'Employee Detail FY21'!AC78)</f>
        <v/>
      </c>
      <c r="AD113" s="62" t="str">
        <f t="shared" si="55"/>
        <v/>
      </c>
      <c r="AE113" s="62" t="str">
        <f t="shared" si="56"/>
        <v/>
      </c>
      <c r="AF113" s="62" t="str">
        <f t="shared" si="57"/>
        <v/>
      </c>
      <c r="AG113" s="192">
        <v>0</v>
      </c>
      <c r="AH113" s="62" t="str">
        <f t="shared" si="58"/>
        <v/>
      </c>
      <c r="AI113" s="62">
        <f t="shared" si="59"/>
        <v>0</v>
      </c>
      <c r="AJ113" s="62"/>
      <c r="AK113" s="62">
        <v>0</v>
      </c>
      <c r="AL113" s="256">
        <f t="shared" si="60"/>
        <v>0</v>
      </c>
      <c r="AM113" s="256">
        <f t="shared" si="61"/>
        <v>0</v>
      </c>
      <c r="AN113" s="256">
        <f t="shared" si="62"/>
        <v>0</v>
      </c>
      <c r="AP113">
        <v>462.28944619787046</v>
      </c>
    </row>
    <row r="114" spans="1:42" x14ac:dyDescent="0.2">
      <c r="A114" s="311"/>
      <c r="B114" s="351">
        <v>250</v>
      </c>
      <c r="C114" s="392" t="s">
        <v>145</v>
      </c>
      <c r="D114" s="351"/>
      <c r="E114" s="351">
        <v>200</v>
      </c>
      <c r="F114" s="351">
        <v>1000</v>
      </c>
      <c r="G114" s="351" t="s">
        <v>161</v>
      </c>
      <c r="H114" s="351" t="s">
        <v>497</v>
      </c>
      <c r="I114" s="311" t="s">
        <v>495</v>
      </c>
      <c r="J114" s="311" t="s">
        <v>503</v>
      </c>
      <c r="K114" s="311" t="s">
        <v>389</v>
      </c>
      <c r="L114" s="311" t="s">
        <v>495</v>
      </c>
      <c r="M114" s="311"/>
      <c r="N114" s="311" t="s">
        <v>386</v>
      </c>
      <c r="O114" s="311"/>
      <c r="P114" s="311"/>
      <c r="Q114" s="311" t="s">
        <v>386</v>
      </c>
      <c r="R114" s="311" t="s">
        <v>386</v>
      </c>
      <c r="S114" s="311" t="s">
        <v>386</v>
      </c>
      <c r="T114" s="263" t="s">
        <v>386</v>
      </c>
      <c r="U114" s="269">
        <v>0</v>
      </c>
      <c r="V114" s="270">
        <f t="shared" si="7"/>
        <v>0</v>
      </c>
      <c r="W114" s="270" t="str">
        <f t="shared" si="8"/>
        <v/>
      </c>
      <c r="X114" s="270" t="str">
        <f t="shared" si="9"/>
        <v/>
      </c>
      <c r="Y114" s="62">
        <v>0</v>
      </c>
      <c r="Z114" s="62">
        <v>0</v>
      </c>
      <c r="AA114" s="256">
        <f t="shared" si="53"/>
        <v>0</v>
      </c>
      <c r="AB114" s="3"/>
      <c r="AC114" s="62" t="str">
        <f>IF('Employee Detail FY21'!AC79="","",'Employee Detail FY21'!AC79)</f>
        <v/>
      </c>
      <c r="AD114" s="62" t="str">
        <f t="shared" si="55"/>
        <v/>
      </c>
      <c r="AE114" s="62" t="str">
        <f t="shared" si="56"/>
        <v/>
      </c>
      <c r="AF114" s="62" t="str">
        <f t="shared" si="57"/>
        <v/>
      </c>
      <c r="AG114" s="192">
        <v>0</v>
      </c>
      <c r="AH114" s="62" t="str">
        <f t="shared" si="58"/>
        <v/>
      </c>
      <c r="AI114" s="62">
        <f t="shared" si="59"/>
        <v>0</v>
      </c>
      <c r="AJ114" s="62"/>
      <c r="AK114" s="62">
        <v>0</v>
      </c>
      <c r="AL114" s="256">
        <f t="shared" si="60"/>
        <v>0</v>
      </c>
      <c r="AM114" s="256">
        <f t="shared" si="61"/>
        <v>0</v>
      </c>
      <c r="AN114" s="256">
        <f t="shared" si="62"/>
        <v>0</v>
      </c>
      <c r="AP114">
        <v>149.58075206646294</v>
      </c>
    </row>
    <row r="115" spans="1:42" x14ac:dyDescent="0.2">
      <c r="A115" s="311"/>
      <c r="B115" s="351">
        <v>100</v>
      </c>
      <c r="C115" s="351" t="s">
        <v>145</v>
      </c>
      <c r="D115" s="351"/>
      <c r="E115" s="351">
        <v>100</v>
      </c>
      <c r="F115" s="351">
        <v>2110</v>
      </c>
      <c r="G115" s="351" t="s">
        <v>167</v>
      </c>
      <c r="H115" s="351" t="s">
        <v>497</v>
      </c>
      <c r="I115" s="311" t="s">
        <v>504</v>
      </c>
      <c r="J115" s="311" t="s">
        <v>503</v>
      </c>
      <c r="K115" s="311" t="s">
        <v>389</v>
      </c>
      <c r="L115" s="311" t="s">
        <v>504</v>
      </c>
      <c r="M115" s="311"/>
      <c r="N115" s="311" t="s">
        <v>386</v>
      </c>
      <c r="O115" s="311"/>
      <c r="P115" s="311"/>
      <c r="Q115" s="311" t="s">
        <v>386</v>
      </c>
      <c r="R115" s="311" t="s">
        <v>386</v>
      </c>
      <c r="S115" s="311" t="s">
        <v>386</v>
      </c>
      <c r="T115" s="263" t="s">
        <v>386</v>
      </c>
      <c r="U115" s="269">
        <v>0</v>
      </c>
      <c r="V115" s="270">
        <f t="shared" si="7"/>
        <v>0</v>
      </c>
      <c r="W115" s="270" t="str">
        <f t="shared" si="8"/>
        <v/>
      </c>
      <c r="X115" s="270" t="str">
        <f t="shared" si="9"/>
        <v/>
      </c>
      <c r="Y115" s="62">
        <v>0</v>
      </c>
      <c r="Z115" s="62">
        <v>0</v>
      </c>
      <c r="AA115" s="256">
        <f t="shared" si="53"/>
        <v>0</v>
      </c>
      <c r="AB115" s="3"/>
      <c r="AC115" s="62" t="str">
        <f>IF('Employee Detail FY21'!AC80="","",'Employee Detail FY21'!AC80)</f>
        <v/>
      </c>
      <c r="AD115" s="62" t="str">
        <f t="shared" si="55"/>
        <v/>
      </c>
      <c r="AE115" s="62" t="str">
        <f t="shared" si="56"/>
        <v/>
      </c>
      <c r="AF115" s="62" t="str">
        <f t="shared" si="57"/>
        <v/>
      </c>
      <c r="AG115" s="192">
        <v>0</v>
      </c>
      <c r="AH115" s="62" t="str">
        <f t="shared" si="58"/>
        <v/>
      </c>
      <c r="AI115" s="62">
        <f t="shared" si="59"/>
        <v>0</v>
      </c>
      <c r="AJ115" s="62"/>
      <c r="AK115" s="62">
        <v>0</v>
      </c>
      <c r="AL115" s="256">
        <f t="shared" si="60"/>
        <v>0</v>
      </c>
      <c r="AM115" s="256">
        <f t="shared" si="61"/>
        <v>0</v>
      </c>
      <c r="AN115" s="256">
        <f t="shared" si="62"/>
        <v>0</v>
      </c>
    </row>
    <row r="116" spans="1:42" x14ac:dyDescent="0.2">
      <c r="A116" s="311"/>
      <c r="B116" s="351">
        <v>250</v>
      </c>
      <c r="C116" s="351" t="s">
        <v>145</v>
      </c>
      <c r="D116" s="351"/>
      <c r="E116" s="351">
        <v>200</v>
      </c>
      <c r="F116" s="351">
        <v>1000</v>
      </c>
      <c r="G116" s="351" t="s">
        <v>161</v>
      </c>
      <c r="H116" s="351" t="s">
        <v>497</v>
      </c>
      <c r="I116" s="311" t="s">
        <v>505</v>
      </c>
      <c r="J116" s="311" t="s">
        <v>503</v>
      </c>
      <c r="K116" s="311" t="s">
        <v>389</v>
      </c>
      <c r="L116" s="311" t="s">
        <v>505</v>
      </c>
      <c r="M116" s="311"/>
      <c r="N116" s="311" t="s">
        <v>386</v>
      </c>
      <c r="O116" s="311"/>
      <c r="P116" s="311"/>
      <c r="Q116" s="311" t="s">
        <v>386</v>
      </c>
      <c r="R116" s="311" t="s">
        <v>386</v>
      </c>
      <c r="S116" s="311" t="s">
        <v>386</v>
      </c>
      <c r="T116" s="263" t="s">
        <v>386</v>
      </c>
      <c r="U116" s="269">
        <v>0</v>
      </c>
      <c r="V116" s="270">
        <f t="shared" si="7"/>
        <v>0</v>
      </c>
      <c r="W116" s="270" t="str">
        <f t="shared" si="8"/>
        <v/>
      </c>
      <c r="X116" s="270" t="str">
        <f t="shared" si="9"/>
        <v/>
      </c>
      <c r="Y116" s="62">
        <v>0</v>
      </c>
      <c r="Z116" s="62">
        <v>0</v>
      </c>
      <c r="AA116" s="256">
        <f t="shared" si="53"/>
        <v>0</v>
      </c>
      <c r="AB116" s="3"/>
      <c r="AC116" s="62" t="str">
        <f>IF('Employee Detail FY21'!AC81="","",'Employee Detail FY21'!AC81)</f>
        <v/>
      </c>
      <c r="AD116" s="62" t="str">
        <f t="shared" si="55"/>
        <v/>
      </c>
      <c r="AE116" s="62" t="str">
        <f t="shared" si="56"/>
        <v/>
      </c>
      <c r="AF116" s="62" t="str">
        <f t="shared" si="57"/>
        <v/>
      </c>
      <c r="AG116" s="192">
        <v>0</v>
      </c>
      <c r="AH116" s="62" t="str">
        <f t="shared" si="58"/>
        <v/>
      </c>
      <c r="AI116" s="62">
        <f t="shared" si="59"/>
        <v>0</v>
      </c>
      <c r="AJ116" s="62"/>
      <c r="AK116" s="62">
        <v>0</v>
      </c>
      <c r="AL116" s="256">
        <f t="shared" si="60"/>
        <v>0</v>
      </c>
      <c r="AM116" s="256">
        <f t="shared" si="61"/>
        <v>0</v>
      </c>
      <c r="AN116" s="256">
        <f t="shared" si="62"/>
        <v>0</v>
      </c>
    </row>
    <row r="117" spans="1:42" x14ac:dyDescent="0.2">
      <c r="A117" s="311"/>
      <c r="B117" s="351">
        <v>100</v>
      </c>
      <c r="C117" s="351" t="s">
        <v>145</v>
      </c>
      <c r="D117" s="351"/>
      <c r="E117" s="351">
        <v>100</v>
      </c>
      <c r="F117" s="351">
        <v>2410</v>
      </c>
      <c r="G117" s="351" t="s">
        <v>173</v>
      </c>
      <c r="H117" s="351" t="s">
        <v>497</v>
      </c>
      <c r="I117" s="311" t="s">
        <v>501</v>
      </c>
      <c r="J117" s="311" t="s">
        <v>503</v>
      </c>
      <c r="K117" s="311" t="s">
        <v>384</v>
      </c>
      <c r="L117" s="311" t="s">
        <v>501</v>
      </c>
      <c r="M117" s="311"/>
      <c r="N117" s="311" t="s">
        <v>386</v>
      </c>
      <c r="O117" s="311"/>
      <c r="P117" s="311"/>
      <c r="Q117" s="311" t="s">
        <v>386</v>
      </c>
      <c r="R117" s="311" t="s">
        <v>386</v>
      </c>
      <c r="S117" s="311" t="s">
        <v>386</v>
      </c>
      <c r="T117" s="263" t="s">
        <v>386</v>
      </c>
      <c r="U117" s="269">
        <v>0</v>
      </c>
      <c r="V117" s="270">
        <f t="shared" si="7"/>
        <v>0</v>
      </c>
      <c r="W117" s="270" t="str">
        <f t="shared" si="8"/>
        <v/>
      </c>
      <c r="X117" s="270" t="str">
        <f t="shared" si="9"/>
        <v/>
      </c>
      <c r="Y117" s="62">
        <v>0</v>
      </c>
      <c r="Z117" s="62">
        <v>0</v>
      </c>
      <c r="AA117" s="256">
        <f t="shared" si="53"/>
        <v>0</v>
      </c>
      <c r="AB117" s="3"/>
      <c r="AC117" s="62" t="str">
        <f>IF('Employee Detail FY21'!AC82="","",'Employee Detail FY21'!AC82)</f>
        <v/>
      </c>
      <c r="AD117" s="62" t="str">
        <f t="shared" si="55"/>
        <v/>
      </c>
      <c r="AE117" s="62" t="str">
        <f t="shared" si="56"/>
        <v/>
      </c>
      <c r="AF117" s="62" t="str">
        <f t="shared" si="57"/>
        <v/>
      </c>
      <c r="AG117" s="192">
        <v>0</v>
      </c>
      <c r="AH117" s="62" t="str">
        <f t="shared" si="58"/>
        <v/>
      </c>
      <c r="AI117" s="62">
        <f t="shared" si="59"/>
        <v>0</v>
      </c>
      <c r="AJ117" s="62"/>
      <c r="AK117" s="62">
        <v>0</v>
      </c>
      <c r="AL117" s="256">
        <f t="shared" si="60"/>
        <v>0</v>
      </c>
      <c r="AM117" s="256">
        <f t="shared" si="61"/>
        <v>0</v>
      </c>
      <c r="AN117" s="256">
        <f t="shared" si="62"/>
        <v>0</v>
      </c>
    </row>
    <row r="118" spans="1:42" x14ac:dyDescent="0.2">
      <c r="A118" s="311"/>
      <c r="B118" s="351"/>
      <c r="C118" s="351"/>
      <c r="D118" s="351"/>
      <c r="E118" s="351"/>
      <c r="F118" s="351"/>
      <c r="G118" s="351"/>
      <c r="H118" s="35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263"/>
      <c r="U118" s="269">
        <v>0</v>
      </c>
      <c r="V118" s="270">
        <f t="shared" si="7"/>
        <v>0</v>
      </c>
      <c r="W118" s="270" t="str">
        <f t="shared" si="8"/>
        <v/>
      </c>
      <c r="X118" s="270" t="str">
        <f t="shared" si="9"/>
        <v/>
      </c>
      <c r="Y118" s="62">
        <v>0</v>
      </c>
      <c r="Z118" s="62">
        <v>0</v>
      </c>
      <c r="AA118" s="256">
        <f t="shared" si="53"/>
        <v>0</v>
      </c>
      <c r="AB118" s="3"/>
      <c r="AC118" s="62" t="str">
        <f>IF('Employee Detail FY21'!AC83="","",'Employee Detail FY21'!AC83)</f>
        <v/>
      </c>
      <c r="AD118" s="62" t="str">
        <f t="shared" si="55"/>
        <v/>
      </c>
      <c r="AE118" s="62" t="str">
        <f t="shared" si="56"/>
        <v/>
      </c>
      <c r="AF118" s="62" t="str">
        <f t="shared" si="57"/>
        <v/>
      </c>
      <c r="AG118" s="192">
        <v>0</v>
      </c>
      <c r="AH118" s="62" t="str">
        <f t="shared" si="58"/>
        <v/>
      </c>
      <c r="AI118" s="62">
        <f t="shared" si="59"/>
        <v>0</v>
      </c>
      <c r="AJ118" s="62"/>
      <c r="AK118" s="62">
        <v>0</v>
      </c>
      <c r="AL118" s="256">
        <f t="shared" si="60"/>
        <v>0</v>
      </c>
      <c r="AM118" s="256">
        <f t="shared" si="61"/>
        <v>0</v>
      </c>
      <c r="AN118" s="256">
        <f t="shared" si="62"/>
        <v>0</v>
      </c>
    </row>
    <row r="119" spans="1:42" x14ac:dyDescent="0.2">
      <c r="A119" s="311"/>
      <c r="B119" s="351">
        <v>100</v>
      </c>
      <c r="C119" s="351" t="s">
        <v>145</v>
      </c>
      <c r="D119" s="351"/>
      <c r="E119" s="351">
        <v>100</v>
      </c>
      <c r="F119" s="351">
        <v>1000</v>
      </c>
      <c r="G119" s="351" t="s">
        <v>161</v>
      </c>
      <c r="H119" s="351" t="s">
        <v>497</v>
      </c>
      <c r="I119" s="311" t="s">
        <v>498</v>
      </c>
      <c r="J119" s="311" t="s">
        <v>506</v>
      </c>
      <c r="K119" s="311" t="s">
        <v>389</v>
      </c>
      <c r="L119" s="311" t="s">
        <v>498</v>
      </c>
      <c r="M119" s="311"/>
      <c r="N119" s="311" t="s">
        <v>386</v>
      </c>
      <c r="O119" s="311"/>
      <c r="P119" s="311"/>
      <c r="Q119" s="311" t="s">
        <v>386</v>
      </c>
      <c r="R119" s="311" t="s">
        <v>386</v>
      </c>
      <c r="S119" s="311" t="s">
        <v>386</v>
      </c>
      <c r="T119" s="263" t="s">
        <v>386</v>
      </c>
      <c r="U119" s="269">
        <v>0</v>
      </c>
      <c r="V119" s="270">
        <f t="shared" si="7"/>
        <v>0</v>
      </c>
      <c r="W119" s="270" t="str">
        <f t="shared" si="8"/>
        <v/>
      </c>
      <c r="X119" s="270" t="str">
        <f t="shared" si="9"/>
        <v/>
      </c>
      <c r="Y119" s="62">
        <v>0</v>
      </c>
      <c r="Z119" s="62">
        <v>0</v>
      </c>
      <c r="AA119" s="256">
        <f t="shared" si="53"/>
        <v>0</v>
      </c>
      <c r="AB119" s="3"/>
      <c r="AC119" s="62" t="str">
        <f>IF('Employee Detail FY21'!AC84="","",'Employee Detail FY21'!AC84)</f>
        <v/>
      </c>
      <c r="AD119" s="62" t="str">
        <f t="shared" si="55"/>
        <v/>
      </c>
      <c r="AE119" s="62" t="str">
        <f t="shared" si="56"/>
        <v/>
      </c>
      <c r="AF119" s="62" t="str">
        <f t="shared" si="57"/>
        <v/>
      </c>
      <c r="AG119" s="192">
        <v>0</v>
      </c>
      <c r="AH119" s="62" t="str">
        <f t="shared" si="58"/>
        <v/>
      </c>
      <c r="AI119" s="62">
        <f t="shared" si="59"/>
        <v>0</v>
      </c>
      <c r="AJ119" s="62"/>
      <c r="AK119" s="62">
        <v>0</v>
      </c>
      <c r="AL119" s="256">
        <f t="shared" si="60"/>
        <v>0</v>
      </c>
      <c r="AM119" s="256">
        <f t="shared" si="61"/>
        <v>0</v>
      </c>
      <c r="AN119" s="256">
        <f t="shared" si="62"/>
        <v>0</v>
      </c>
    </row>
    <row r="120" spans="1:42" x14ac:dyDescent="0.2">
      <c r="A120" s="311"/>
      <c r="B120" s="351">
        <v>100</v>
      </c>
      <c r="C120" s="351" t="s">
        <v>145</v>
      </c>
      <c r="D120" s="351"/>
      <c r="E120" s="351">
        <v>100</v>
      </c>
      <c r="F120" s="351">
        <v>1000</v>
      </c>
      <c r="G120" s="351" t="s">
        <v>161</v>
      </c>
      <c r="H120" s="351" t="s">
        <v>497</v>
      </c>
      <c r="I120" s="311" t="s">
        <v>498</v>
      </c>
      <c r="J120" s="311" t="s">
        <v>506</v>
      </c>
      <c r="K120" s="311" t="s">
        <v>389</v>
      </c>
      <c r="L120" s="311" t="s">
        <v>498</v>
      </c>
      <c r="M120" s="311"/>
      <c r="N120" s="311" t="s">
        <v>386</v>
      </c>
      <c r="O120" s="311"/>
      <c r="P120" s="311"/>
      <c r="Q120" s="311" t="s">
        <v>386</v>
      </c>
      <c r="R120" s="311" t="s">
        <v>386</v>
      </c>
      <c r="S120" s="311" t="s">
        <v>386</v>
      </c>
      <c r="T120" s="263" t="s">
        <v>386</v>
      </c>
      <c r="U120" s="269">
        <v>0</v>
      </c>
      <c r="V120" s="270">
        <f t="shared" si="7"/>
        <v>0</v>
      </c>
      <c r="W120" s="270" t="str">
        <f t="shared" si="8"/>
        <v/>
      </c>
      <c r="X120" s="270" t="str">
        <f t="shared" si="9"/>
        <v/>
      </c>
      <c r="Y120" s="62">
        <v>0</v>
      </c>
      <c r="Z120" s="62">
        <v>0</v>
      </c>
      <c r="AA120" s="256">
        <f t="shared" si="53"/>
        <v>0</v>
      </c>
      <c r="AB120" s="3"/>
      <c r="AC120" s="62" t="str">
        <f>IF('Employee Detail FY21'!AC85="","",'Employee Detail FY21'!AC85)</f>
        <v/>
      </c>
      <c r="AD120" s="62" t="str">
        <f t="shared" si="55"/>
        <v/>
      </c>
      <c r="AE120" s="62" t="str">
        <f t="shared" si="56"/>
        <v/>
      </c>
      <c r="AF120" s="62" t="str">
        <f t="shared" si="57"/>
        <v/>
      </c>
      <c r="AG120" s="192">
        <v>0</v>
      </c>
      <c r="AH120" s="62" t="str">
        <f t="shared" si="58"/>
        <v/>
      </c>
      <c r="AI120" s="62">
        <f t="shared" si="59"/>
        <v>0</v>
      </c>
      <c r="AJ120" s="62"/>
      <c r="AK120" s="62">
        <v>0</v>
      </c>
      <c r="AL120" s="256">
        <f t="shared" si="60"/>
        <v>0</v>
      </c>
      <c r="AM120" s="256">
        <f t="shared" si="61"/>
        <v>0</v>
      </c>
      <c r="AN120" s="256">
        <f t="shared" si="62"/>
        <v>0</v>
      </c>
    </row>
    <row r="121" spans="1:42" x14ac:dyDescent="0.2">
      <c r="A121" s="311"/>
      <c r="B121" s="351">
        <v>250</v>
      </c>
      <c r="C121" s="351" t="s">
        <v>145</v>
      </c>
      <c r="D121" s="351"/>
      <c r="E121" s="351">
        <v>200</v>
      </c>
      <c r="F121" s="351">
        <v>1000</v>
      </c>
      <c r="G121" s="351" t="s">
        <v>161</v>
      </c>
      <c r="H121" s="351" t="s">
        <v>497</v>
      </c>
      <c r="I121" s="311" t="s">
        <v>495</v>
      </c>
      <c r="J121" s="311" t="s">
        <v>506</v>
      </c>
      <c r="K121" s="311" t="s">
        <v>389</v>
      </c>
      <c r="L121" s="311" t="s">
        <v>495</v>
      </c>
      <c r="M121" s="311"/>
      <c r="N121" s="311" t="s">
        <v>386</v>
      </c>
      <c r="O121" s="311"/>
      <c r="P121" s="311"/>
      <c r="Q121" s="311" t="s">
        <v>386</v>
      </c>
      <c r="R121" s="311" t="s">
        <v>386</v>
      </c>
      <c r="S121" s="311" t="s">
        <v>386</v>
      </c>
      <c r="T121" s="263" t="s">
        <v>386</v>
      </c>
      <c r="U121" s="269">
        <v>0</v>
      </c>
      <c r="V121" s="270">
        <f t="shared" si="7"/>
        <v>0</v>
      </c>
      <c r="W121" s="270" t="str">
        <f t="shared" si="8"/>
        <v/>
      </c>
      <c r="X121" s="270" t="str">
        <f t="shared" si="9"/>
        <v/>
      </c>
      <c r="Y121" s="62">
        <v>0</v>
      </c>
      <c r="Z121" s="62">
        <v>0</v>
      </c>
      <c r="AA121" s="256">
        <f t="shared" si="53"/>
        <v>0</v>
      </c>
      <c r="AB121" s="3"/>
      <c r="AC121" s="62" t="str">
        <f>IF('Employee Detail FY21'!AC86="","",'Employee Detail FY21'!AC86)</f>
        <v/>
      </c>
      <c r="AD121" s="62" t="str">
        <f t="shared" si="55"/>
        <v/>
      </c>
      <c r="AE121" s="62" t="str">
        <f t="shared" si="56"/>
        <v/>
      </c>
      <c r="AF121" s="62" t="str">
        <f t="shared" si="57"/>
        <v/>
      </c>
      <c r="AG121" s="192">
        <v>0</v>
      </c>
      <c r="AH121" s="62" t="str">
        <f t="shared" si="58"/>
        <v/>
      </c>
      <c r="AI121" s="62">
        <f t="shared" si="59"/>
        <v>0</v>
      </c>
      <c r="AJ121" s="62"/>
      <c r="AK121" s="62">
        <v>0</v>
      </c>
      <c r="AL121" s="256">
        <f t="shared" si="60"/>
        <v>0</v>
      </c>
      <c r="AM121" s="256">
        <f t="shared" si="61"/>
        <v>0</v>
      </c>
      <c r="AN121" s="256">
        <f t="shared" si="62"/>
        <v>0</v>
      </c>
    </row>
    <row r="122" spans="1:42" x14ac:dyDescent="0.2">
      <c r="A122" s="311"/>
      <c r="B122" s="351">
        <v>100</v>
      </c>
      <c r="C122" s="351" t="s">
        <v>145</v>
      </c>
      <c r="D122" s="351"/>
      <c r="E122" s="351">
        <v>100</v>
      </c>
      <c r="F122" s="351">
        <v>2110</v>
      </c>
      <c r="G122" s="351" t="s">
        <v>167</v>
      </c>
      <c r="H122" s="351" t="s">
        <v>497</v>
      </c>
      <c r="I122" s="311" t="s">
        <v>507</v>
      </c>
      <c r="J122" s="311" t="s">
        <v>506</v>
      </c>
      <c r="K122" s="311" t="s">
        <v>389</v>
      </c>
      <c r="L122" s="311" t="s">
        <v>507</v>
      </c>
      <c r="M122" s="311"/>
      <c r="N122" s="311" t="s">
        <v>386</v>
      </c>
      <c r="O122" s="311"/>
      <c r="P122" s="311"/>
      <c r="Q122" s="311" t="s">
        <v>386</v>
      </c>
      <c r="R122" s="311" t="s">
        <v>386</v>
      </c>
      <c r="S122" s="311" t="s">
        <v>386</v>
      </c>
      <c r="T122" s="263" t="s">
        <v>386</v>
      </c>
      <c r="U122" s="269">
        <v>0</v>
      </c>
      <c r="V122" s="270">
        <f t="shared" si="7"/>
        <v>0</v>
      </c>
      <c r="W122" s="270" t="str">
        <f t="shared" si="8"/>
        <v/>
      </c>
      <c r="X122" s="270" t="str">
        <f t="shared" si="9"/>
        <v/>
      </c>
      <c r="Y122" s="62">
        <v>0</v>
      </c>
      <c r="Z122" s="62">
        <v>0</v>
      </c>
      <c r="AA122" s="256">
        <f t="shared" si="53"/>
        <v>0</v>
      </c>
      <c r="AB122" s="3"/>
      <c r="AC122" s="62" t="str">
        <f>IF('Employee Detail FY21'!AC87="","",'Employee Detail FY21'!AC87)</f>
        <v/>
      </c>
      <c r="AD122" s="62" t="str">
        <f t="shared" si="55"/>
        <v/>
      </c>
      <c r="AE122" s="62" t="str">
        <f t="shared" si="56"/>
        <v/>
      </c>
      <c r="AF122" s="62" t="str">
        <f t="shared" si="57"/>
        <v/>
      </c>
      <c r="AG122" s="192">
        <v>0</v>
      </c>
      <c r="AH122" s="62" t="str">
        <f t="shared" si="58"/>
        <v/>
      </c>
      <c r="AI122" s="62">
        <f t="shared" si="59"/>
        <v>0</v>
      </c>
      <c r="AJ122" s="62"/>
      <c r="AK122" s="62">
        <v>0</v>
      </c>
      <c r="AL122" s="256">
        <f t="shared" si="60"/>
        <v>0</v>
      </c>
      <c r="AM122" s="256">
        <f t="shared" si="61"/>
        <v>0</v>
      </c>
      <c r="AN122" s="256">
        <f t="shared" si="62"/>
        <v>0</v>
      </c>
    </row>
    <row r="123" spans="1:42" x14ac:dyDescent="0.2">
      <c r="A123" s="311"/>
      <c r="B123" s="351"/>
      <c r="C123" s="351"/>
      <c r="D123" s="351"/>
      <c r="E123" s="351"/>
      <c r="F123" s="351"/>
      <c r="G123" s="351"/>
      <c r="H123" s="351"/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263"/>
      <c r="U123" s="269">
        <v>0</v>
      </c>
      <c r="V123" s="270">
        <f t="shared" si="7"/>
        <v>0</v>
      </c>
      <c r="W123" s="270" t="str">
        <f t="shared" si="8"/>
        <v/>
      </c>
      <c r="X123" s="270" t="str">
        <f t="shared" si="9"/>
        <v/>
      </c>
      <c r="Y123" s="62">
        <v>0</v>
      </c>
      <c r="Z123" s="62">
        <v>0</v>
      </c>
      <c r="AA123" s="256">
        <f t="shared" si="53"/>
        <v>0</v>
      </c>
      <c r="AB123" s="3"/>
      <c r="AC123" s="62" t="str">
        <f>IF('Employee Detail FY21'!AC88="","",'Employee Detail FY21'!AC88)</f>
        <v/>
      </c>
      <c r="AD123" s="62" t="str">
        <f t="shared" si="55"/>
        <v/>
      </c>
      <c r="AE123" s="62" t="str">
        <f t="shared" si="56"/>
        <v/>
      </c>
      <c r="AF123" s="62" t="str">
        <f t="shared" si="57"/>
        <v/>
      </c>
      <c r="AG123" s="192">
        <v>0</v>
      </c>
      <c r="AH123" s="62" t="str">
        <f t="shared" si="58"/>
        <v/>
      </c>
      <c r="AI123" s="62">
        <f t="shared" si="59"/>
        <v>0</v>
      </c>
      <c r="AJ123" s="62"/>
      <c r="AK123" s="62">
        <v>0</v>
      </c>
      <c r="AL123" s="256">
        <f t="shared" si="60"/>
        <v>0</v>
      </c>
      <c r="AM123" s="256">
        <f t="shared" si="61"/>
        <v>0</v>
      </c>
      <c r="AN123" s="256">
        <f t="shared" si="62"/>
        <v>0</v>
      </c>
    </row>
    <row r="124" spans="1:42" x14ac:dyDescent="0.2">
      <c r="A124" s="311"/>
      <c r="B124" s="351">
        <v>100</v>
      </c>
      <c r="C124" s="351" t="s">
        <v>145</v>
      </c>
      <c r="D124" s="351"/>
      <c r="E124" s="351">
        <v>100</v>
      </c>
      <c r="F124" s="351">
        <v>1000</v>
      </c>
      <c r="G124" s="351" t="s">
        <v>169</v>
      </c>
      <c r="H124" s="351" t="s">
        <v>497</v>
      </c>
      <c r="I124" s="311" t="s">
        <v>500</v>
      </c>
      <c r="J124" s="311" t="s">
        <v>506</v>
      </c>
      <c r="K124" s="311" t="s">
        <v>384</v>
      </c>
      <c r="L124" s="311" t="s">
        <v>500</v>
      </c>
      <c r="M124" s="311"/>
      <c r="N124" s="311" t="s">
        <v>386</v>
      </c>
      <c r="O124" s="311"/>
      <c r="P124" s="311"/>
      <c r="Q124" s="311" t="s">
        <v>386</v>
      </c>
      <c r="R124" s="311" t="s">
        <v>386</v>
      </c>
      <c r="S124" s="311" t="s">
        <v>386</v>
      </c>
      <c r="T124" s="263">
        <v>1280</v>
      </c>
      <c r="U124" s="269">
        <v>0</v>
      </c>
      <c r="V124" s="270">
        <f t="shared" si="7"/>
        <v>0</v>
      </c>
      <c r="W124" s="270" t="str">
        <f t="shared" si="8"/>
        <v/>
      </c>
      <c r="X124" s="270" t="str">
        <f t="shared" si="9"/>
        <v/>
      </c>
      <c r="Y124" s="62">
        <v>0</v>
      </c>
      <c r="Z124" s="62">
        <v>0</v>
      </c>
      <c r="AA124" s="256">
        <f t="shared" si="53"/>
        <v>0</v>
      </c>
      <c r="AB124" s="3"/>
      <c r="AC124" s="62" t="str">
        <f>IF('Employee Detail FY21'!AC89="","",'Employee Detail FY21'!AC89)</f>
        <v/>
      </c>
      <c r="AD124" s="62" t="str">
        <f t="shared" si="55"/>
        <v/>
      </c>
      <c r="AE124" s="62" t="str">
        <f t="shared" si="56"/>
        <v/>
      </c>
      <c r="AF124" s="62" t="str">
        <f t="shared" si="57"/>
        <v/>
      </c>
      <c r="AG124" s="192">
        <v>0</v>
      </c>
      <c r="AH124" s="62" t="str">
        <f t="shared" si="58"/>
        <v/>
      </c>
      <c r="AI124" s="62">
        <f t="shared" si="59"/>
        <v>0</v>
      </c>
      <c r="AJ124" s="62"/>
      <c r="AK124" s="62">
        <v>0</v>
      </c>
      <c r="AL124" s="256">
        <f t="shared" si="60"/>
        <v>0</v>
      </c>
      <c r="AM124" s="256">
        <f t="shared" si="61"/>
        <v>0</v>
      </c>
      <c r="AN124" s="256">
        <f t="shared" si="62"/>
        <v>0</v>
      </c>
    </row>
    <row r="125" spans="1:42" x14ac:dyDescent="0.2">
      <c r="A125" s="311"/>
      <c r="B125" s="351">
        <v>100</v>
      </c>
      <c r="C125" s="351" t="s">
        <v>145</v>
      </c>
      <c r="D125" s="351"/>
      <c r="E125" s="351">
        <v>100</v>
      </c>
      <c r="F125" s="351">
        <v>2410</v>
      </c>
      <c r="G125" s="351" t="s">
        <v>173</v>
      </c>
      <c r="H125" s="351" t="s">
        <v>497</v>
      </c>
      <c r="I125" s="311" t="s">
        <v>501</v>
      </c>
      <c r="J125" s="311" t="s">
        <v>506</v>
      </c>
      <c r="K125" s="311" t="s">
        <v>384</v>
      </c>
      <c r="L125" s="311" t="s">
        <v>501</v>
      </c>
      <c r="M125" s="311"/>
      <c r="N125" s="311" t="s">
        <v>386</v>
      </c>
      <c r="O125" s="311"/>
      <c r="P125" s="311"/>
      <c r="Q125" s="311" t="s">
        <v>386</v>
      </c>
      <c r="R125" s="311" t="s">
        <v>386</v>
      </c>
      <c r="S125" s="311" t="s">
        <v>386</v>
      </c>
      <c r="T125" s="263" t="s">
        <v>386</v>
      </c>
      <c r="U125" s="269">
        <v>0</v>
      </c>
      <c r="V125" s="270">
        <f t="shared" si="7"/>
        <v>0</v>
      </c>
      <c r="W125" s="270" t="str">
        <f t="shared" si="8"/>
        <v/>
      </c>
      <c r="X125" s="270" t="str">
        <f t="shared" si="9"/>
        <v/>
      </c>
      <c r="Y125" s="62">
        <v>0</v>
      </c>
      <c r="Z125" s="62">
        <v>0</v>
      </c>
      <c r="AA125" s="256">
        <f t="shared" si="53"/>
        <v>0</v>
      </c>
      <c r="AB125" s="3"/>
      <c r="AC125" s="62" t="str">
        <f>IF('Employee Detail FY21'!AC90="","",'Employee Detail FY21'!AC90)</f>
        <v/>
      </c>
      <c r="AD125" s="62" t="str">
        <f t="shared" si="55"/>
        <v/>
      </c>
      <c r="AE125" s="62" t="str">
        <f t="shared" si="56"/>
        <v/>
      </c>
      <c r="AF125" s="62" t="str">
        <f t="shared" si="57"/>
        <v/>
      </c>
      <c r="AG125" s="192">
        <v>0</v>
      </c>
      <c r="AH125" s="62" t="str">
        <f t="shared" si="58"/>
        <v/>
      </c>
      <c r="AI125" s="62">
        <f t="shared" si="59"/>
        <v>0</v>
      </c>
      <c r="AJ125" s="62"/>
      <c r="AK125" s="62">
        <v>0</v>
      </c>
      <c r="AL125" s="256">
        <f t="shared" si="60"/>
        <v>0</v>
      </c>
      <c r="AM125" s="256">
        <f t="shared" si="61"/>
        <v>0</v>
      </c>
      <c r="AN125" s="256">
        <f t="shared" si="62"/>
        <v>0</v>
      </c>
    </row>
    <row r="126" spans="1:42" x14ac:dyDescent="0.2">
      <c r="A126" s="311"/>
      <c r="B126" s="351"/>
      <c r="C126" s="351"/>
      <c r="D126" s="351"/>
      <c r="E126" s="351"/>
      <c r="F126" s="351"/>
      <c r="G126" s="351"/>
      <c r="H126" s="35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263"/>
      <c r="U126" s="269">
        <v>0</v>
      </c>
      <c r="V126" s="270">
        <f t="shared" si="7"/>
        <v>0</v>
      </c>
      <c r="W126" s="270" t="str">
        <f t="shared" si="8"/>
        <v/>
      </c>
      <c r="X126" s="270" t="str">
        <f t="shared" si="9"/>
        <v/>
      </c>
      <c r="Y126" s="62">
        <v>0</v>
      </c>
      <c r="Z126" s="62">
        <v>0</v>
      </c>
      <c r="AA126" s="256">
        <f t="shared" si="53"/>
        <v>0</v>
      </c>
      <c r="AB126" s="3"/>
      <c r="AC126" s="62" t="str">
        <f>IF('Employee Detail FY21'!AC91="","",'Employee Detail FY21'!AC91)</f>
        <v/>
      </c>
      <c r="AD126" s="62" t="str">
        <f t="shared" si="55"/>
        <v/>
      </c>
      <c r="AE126" s="62" t="str">
        <f t="shared" si="56"/>
        <v/>
      </c>
      <c r="AF126" s="62" t="str">
        <f t="shared" si="57"/>
        <v/>
      </c>
      <c r="AG126" s="192">
        <v>0</v>
      </c>
      <c r="AH126" s="62" t="str">
        <f t="shared" si="58"/>
        <v/>
      </c>
      <c r="AI126" s="62">
        <f t="shared" si="59"/>
        <v>0</v>
      </c>
      <c r="AJ126" s="62"/>
      <c r="AK126" s="62">
        <v>0</v>
      </c>
      <c r="AL126" s="256">
        <f t="shared" si="60"/>
        <v>0</v>
      </c>
      <c r="AM126" s="256">
        <f t="shared" si="61"/>
        <v>0</v>
      </c>
      <c r="AN126" s="256">
        <f t="shared" si="62"/>
        <v>0</v>
      </c>
    </row>
    <row r="127" spans="1:42" x14ac:dyDescent="0.2">
      <c r="A127" s="311"/>
      <c r="B127" s="351">
        <v>100</v>
      </c>
      <c r="C127" s="351" t="s">
        <v>145</v>
      </c>
      <c r="D127" s="351"/>
      <c r="E127" s="351">
        <v>100</v>
      </c>
      <c r="F127" s="351">
        <v>1000</v>
      </c>
      <c r="G127" s="351" t="s">
        <v>161</v>
      </c>
      <c r="H127" s="351" t="s">
        <v>497</v>
      </c>
      <c r="I127" s="311" t="s">
        <v>498</v>
      </c>
      <c r="J127" s="311" t="s">
        <v>508</v>
      </c>
      <c r="K127" s="311" t="s">
        <v>389</v>
      </c>
      <c r="L127" s="311" t="s">
        <v>498</v>
      </c>
      <c r="M127" s="311"/>
      <c r="N127" s="311" t="s">
        <v>386</v>
      </c>
      <c r="O127" s="311"/>
      <c r="P127" s="311"/>
      <c r="Q127" s="311" t="s">
        <v>386</v>
      </c>
      <c r="R127" s="311" t="s">
        <v>386</v>
      </c>
      <c r="S127" s="311" t="s">
        <v>386</v>
      </c>
      <c r="T127" s="263" t="s">
        <v>386</v>
      </c>
      <c r="U127" s="269">
        <v>0</v>
      </c>
      <c r="V127" s="270">
        <f t="shared" si="7"/>
        <v>0</v>
      </c>
      <c r="W127" s="270" t="str">
        <f t="shared" si="8"/>
        <v/>
      </c>
      <c r="X127" s="270" t="str">
        <f t="shared" si="9"/>
        <v/>
      </c>
      <c r="Y127" s="62">
        <v>0</v>
      </c>
      <c r="Z127" s="62">
        <v>0</v>
      </c>
      <c r="AA127" s="256">
        <f t="shared" si="53"/>
        <v>0</v>
      </c>
      <c r="AB127" s="3"/>
      <c r="AC127" s="62" t="str">
        <f>IF('Employee Detail FY21'!AC92="","",'Employee Detail FY21'!AC92)</f>
        <v/>
      </c>
      <c r="AD127" s="62" t="str">
        <f t="shared" si="55"/>
        <v/>
      </c>
      <c r="AE127" s="62" t="str">
        <f t="shared" si="56"/>
        <v/>
      </c>
      <c r="AF127" s="62" t="str">
        <f t="shared" si="57"/>
        <v/>
      </c>
      <c r="AG127" s="192">
        <v>0</v>
      </c>
      <c r="AH127" s="62" t="str">
        <f t="shared" si="58"/>
        <v/>
      </c>
      <c r="AI127" s="62">
        <f t="shared" si="59"/>
        <v>0</v>
      </c>
      <c r="AJ127" s="62"/>
      <c r="AK127" s="62">
        <v>0</v>
      </c>
      <c r="AL127" s="256">
        <f t="shared" si="60"/>
        <v>0</v>
      </c>
      <c r="AM127" s="256">
        <f t="shared" si="61"/>
        <v>0</v>
      </c>
      <c r="AN127" s="256">
        <f t="shared" si="62"/>
        <v>0</v>
      </c>
    </row>
    <row r="128" spans="1:42" x14ac:dyDescent="0.2">
      <c r="A128" s="311"/>
      <c r="B128" s="351"/>
      <c r="C128" s="351"/>
      <c r="D128" s="351"/>
      <c r="E128" s="351"/>
      <c r="F128" s="351"/>
      <c r="G128" s="351"/>
      <c r="H128" s="35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263"/>
      <c r="U128" s="269">
        <v>0</v>
      </c>
      <c r="V128" s="270">
        <f t="shared" si="7"/>
        <v>0</v>
      </c>
      <c r="W128" s="270" t="str">
        <f t="shared" si="8"/>
        <v/>
      </c>
      <c r="X128" s="270" t="str">
        <f t="shared" si="9"/>
        <v/>
      </c>
      <c r="Y128" s="62">
        <v>0</v>
      </c>
      <c r="Z128" s="62">
        <v>0</v>
      </c>
      <c r="AA128" s="256">
        <f t="shared" si="53"/>
        <v>0</v>
      </c>
      <c r="AB128" s="3"/>
      <c r="AC128" s="62" t="str">
        <f>IF('Employee Detail FY21'!AC93="","",'Employee Detail FY21'!AC93)</f>
        <v/>
      </c>
      <c r="AD128" s="62" t="str">
        <f t="shared" si="55"/>
        <v/>
      </c>
      <c r="AE128" s="62" t="str">
        <f t="shared" si="56"/>
        <v/>
      </c>
      <c r="AF128" s="62" t="str">
        <f t="shared" si="57"/>
        <v/>
      </c>
      <c r="AG128" s="192">
        <v>0</v>
      </c>
      <c r="AH128" s="62" t="str">
        <f t="shared" si="58"/>
        <v/>
      </c>
      <c r="AI128" s="62">
        <f t="shared" si="59"/>
        <v>0</v>
      </c>
      <c r="AJ128" s="62"/>
      <c r="AK128" s="62">
        <v>0</v>
      </c>
      <c r="AL128" s="256">
        <f t="shared" si="60"/>
        <v>0</v>
      </c>
      <c r="AM128" s="256">
        <f t="shared" si="61"/>
        <v>0</v>
      </c>
      <c r="AN128" s="256">
        <f t="shared" si="62"/>
        <v>0</v>
      </c>
    </row>
    <row r="129" spans="1:40" x14ac:dyDescent="0.2">
      <c r="A129" s="311"/>
      <c r="B129" s="351">
        <v>250</v>
      </c>
      <c r="C129" s="351" t="s">
        <v>145</v>
      </c>
      <c r="D129" s="351"/>
      <c r="E129" s="351">
        <v>200</v>
      </c>
      <c r="F129" s="351">
        <v>1000</v>
      </c>
      <c r="G129" s="351" t="s">
        <v>161</v>
      </c>
      <c r="H129" s="351" t="s">
        <v>497</v>
      </c>
      <c r="I129" s="311" t="s">
        <v>495</v>
      </c>
      <c r="J129" s="311" t="s">
        <v>508</v>
      </c>
      <c r="K129" s="311" t="s">
        <v>389</v>
      </c>
      <c r="L129" s="311" t="s">
        <v>495</v>
      </c>
      <c r="M129" s="311"/>
      <c r="N129" s="311" t="s">
        <v>386</v>
      </c>
      <c r="O129" s="311"/>
      <c r="P129" s="311"/>
      <c r="Q129" s="311" t="s">
        <v>386</v>
      </c>
      <c r="R129" s="311" t="s">
        <v>386</v>
      </c>
      <c r="S129" s="311" t="s">
        <v>386</v>
      </c>
      <c r="T129" s="263" t="s">
        <v>386</v>
      </c>
      <c r="U129" s="269">
        <v>0</v>
      </c>
      <c r="V129" s="270">
        <f t="shared" si="7"/>
        <v>0</v>
      </c>
      <c r="W129" s="270" t="str">
        <f t="shared" si="8"/>
        <v/>
      </c>
      <c r="X129" s="270" t="str">
        <f t="shared" si="9"/>
        <v/>
      </c>
      <c r="Y129" s="62">
        <v>0</v>
      </c>
      <c r="Z129" s="62">
        <v>0</v>
      </c>
      <c r="AA129" s="256">
        <f t="shared" si="53"/>
        <v>0</v>
      </c>
      <c r="AB129" s="3"/>
      <c r="AC129" s="62" t="str">
        <f>IF('Employee Detail FY21'!AC94="","",'Employee Detail FY21'!AC94)</f>
        <v/>
      </c>
      <c r="AD129" s="62" t="str">
        <f t="shared" si="55"/>
        <v/>
      </c>
      <c r="AE129" s="62" t="str">
        <f t="shared" si="56"/>
        <v/>
      </c>
      <c r="AF129" s="62" t="str">
        <f t="shared" si="57"/>
        <v/>
      </c>
      <c r="AG129" s="192">
        <v>0</v>
      </c>
      <c r="AH129" s="62" t="str">
        <f t="shared" si="58"/>
        <v/>
      </c>
      <c r="AI129" s="62">
        <f t="shared" si="59"/>
        <v>0</v>
      </c>
      <c r="AJ129" s="62"/>
      <c r="AK129" s="62">
        <v>0</v>
      </c>
      <c r="AL129" s="256">
        <f t="shared" si="60"/>
        <v>0</v>
      </c>
      <c r="AM129" s="256">
        <f t="shared" si="61"/>
        <v>0</v>
      </c>
      <c r="AN129" s="256">
        <f t="shared" si="62"/>
        <v>0</v>
      </c>
    </row>
    <row r="130" spans="1:40" x14ac:dyDescent="0.2">
      <c r="A130" s="311"/>
      <c r="B130" s="351">
        <v>100</v>
      </c>
      <c r="C130" s="351" t="s">
        <v>145</v>
      </c>
      <c r="D130" s="351"/>
      <c r="E130" s="351">
        <v>100</v>
      </c>
      <c r="F130" s="351">
        <v>1000</v>
      </c>
      <c r="G130" s="351" t="s">
        <v>169</v>
      </c>
      <c r="H130" s="351" t="s">
        <v>497</v>
      </c>
      <c r="I130" s="311" t="s">
        <v>500</v>
      </c>
      <c r="J130" s="311" t="s">
        <v>508</v>
      </c>
      <c r="K130" s="311" t="s">
        <v>384</v>
      </c>
      <c r="L130" s="311" t="s">
        <v>500</v>
      </c>
      <c r="M130" s="311"/>
      <c r="N130" s="311" t="s">
        <v>386</v>
      </c>
      <c r="O130" s="311"/>
      <c r="P130" s="311"/>
      <c r="Q130" s="311" t="s">
        <v>386</v>
      </c>
      <c r="R130" s="311" t="s">
        <v>386</v>
      </c>
      <c r="S130" s="311" t="s">
        <v>386</v>
      </c>
      <c r="T130" s="263">
        <v>1280</v>
      </c>
      <c r="U130" s="269">
        <v>0</v>
      </c>
      <c r="V130" s="270">
        <f t="shared" si="7"/>
        <v>0</v>
      </c>
      <c r="W130" s="270" t="str">
        <f t="shared" si="8"/>
        <v/>
      </c>
      <c r="X130" s="270" t="str">
        <f t="shared" si="9"/>
        <v/>
      </c>
      <c r="Y130" s="62">
        <v>0</v>
      </c>
      <c r="Z130" s="62">
        <v>0</v>
      </c>
      <c r="AA130" s="256">
        <f t="shared" si="53"/>
        <v>0</v>
      </c>
      <c r="AB130" s="3"/>
      <c r="AC130" s="62" t="str">
        <f>IF('Employee Detail FY21'!AC95="","",'Employee Detail FY21'!AC95)</f>
        <v/>
      </c>
      <c r="AD130" s="62" t="str">
        <f t="shared" si="55"/>
        <v/>
      </c>
      <c r="AE130" s="62" t="str">
        <f t="shared" si="56"/>
        <v/>
      </c>
      <c r="AF130" s="62" t="str">
        <f t="shared" si="57"/>
        <v/>
      </c>
      <c r="AG130" s="192">
        <v>0</v>
      </c>
      <c r="AH130" s="62" t="str">
        <f t="shared" si="58"/>
        <v/>
      </c>
      <c r="AI130" s="62">
        <f t="shared" si="59"/>
        <v>0</v>
      </c>
      <c r="AJ130" s="62"/>
      <c r="AK130" s="62">
        <v>0</v>
      </c>
      <c r="AL130" s="256">
        <f t="shared" si="60"/>
        <v>0</v>
      </c>
      <c r="AM130" s="256">
        <f t="shared" si="61"/>
        <v>0</v>
      </c>
      <c r="AN130" s="256">
        <f t="shared" si="62"/>
        <v>0</v>
      </c>
    </row>
    <row r="131" spans="1:40" x14ac:dyDescent="0.2">
      <c r="A131" s="264" t="str">
        <f>IF('Employee Detail FY21'!A96="","",'Employee Detail FY21'!A96)</f>
        <v/>
      </c>
      <c r="B131" s="350" t="str">
        <f>IF('Employee Detail FY21'!B96="","",'Employee Detail FY21'!B96)</f>
        <v/>
      </c>
      <c r="C131" s="350" t="str">
        <f>IF('Employee Detail FY21'!C96="","",'Employee Detail FY21'!C96)</f>
        <v/>
      </c>
      <c r="D131" s="350"/>
      <c r="E131" s="350" t="str">
        <f>IF('Employee Detail FY21'!E96="","",'Employee Detail FY21'!E96)</f>
        <v/>
      </c>
      <c r="F131" s="350" t="str">
        <f>IF('Employee Detail FY21'!F96="","",'Employee Detail FY21'!F96)</f>
        <v/>
      </c>
      <c r="G131" s="350" t="str">
        <f>IF('Employee Detail FY21'!G96="","",'Employee Detail FY21'!G96)</f>
        <v/>
      </c>
      <c r="H131" s="350"/>
      <c r="I131" s="265" t="str">
        <f>IF('Employee Detail FY21'!I96="","",'Employee Detail FY21'!I96)</f>
        <v/>
      </c>
      <c r="J131" s="265" t="str">
        <f>IF('Employee Detail FY21'!J96="","",'Employee Detail FY21'!J96)</f>
        <v/>
      </c>
      <c r="K131" s="265" t="str">
        <f>IF('Employee Detail FY21'!K96="","",'Employee Detail FY21'!K96)</f>
        <v/>
      </c>
      <c r="L131" s="265" t="str">
        <f>IF('Employee Detail FY21'!L96="","",'Employee Detail FY21'!L96)</f>
        <v/>
      </c>
      <c r="M131" s="267" t="str">
        <f>IF('Employee Detail FY21'!M96="","",'Employee Detail FY21'!M96)</f>
        <v/>
      </c>
      <c r="N131" s="264" t="str">
        <f>IF('Employee Detail FY21'!N96="","",'Employee Detail FY21'!N96)</f>
        <v/>
      </c>
      <c r="O131" s="264" t="str">
        <f>IF('Employee Detail FY21'!O96="","",'Employee Detail FY21'!O96)</f>
        <v/>
      </c>
      <c r="P131" s="264" t="str">
        <f>IF('Employee Detail FY21'!P96="","",'Employee Detail FY21'!P96)</f>
        <v/>
      </c>
      <c r="Q131" s="264" t="str">
        <f>IF('Employee Detail FY21'!Q96="","",'Employee Detail FY21'!Q96)</f>
        <v/>
      </c>
      <c r="R131" s="264" t="str">
        <f>IF('Employee Detail FY21'!R96="","",'Employee Detail FY21'!R96)</f>
        <v/>
      </c>
      <c r="S131" s="264" t="str">
        <f>IF('Employee Detail FY21'!S96="","",'Employee Detail FY21'!S96)</f>
        <v/>
      </c>
      <c r="T131" s="263" t="str">
        <f t="shared" si="6"/>
        <v/>
      </c>
      <c r="U131" s="269" t="str">
        <f>IF('Employee Detail FY21'!U96="","",'Employee Detail FY21'!U96)</f>
        <v/>
      </c>
      <c r="V131" s="270" t="str">
        <f t="shared" si="7"/>
        <v/>
      </c>
      <c r="W131" s="270" t="str">
        <f t="shared" si="8"/>
        <v/>
      </c>
      <c r="X131" s="270" t="str">
        <f t="shared" si="9"/>
        <v/>
      </c>
      <c r="Y131" s="62">
        <v>0</v>
      </c>
      <c r="Z131" s="62">
        <v>0</v>
      </c>
      <c r="AA131" s="256">
        <f t="shared" si="10"/>
        <v>0</v>
      </c>
      <c r="AB131" s="3"/>
      <c r="AC131" s="62" t="str">
        <f>IF('Employee Detail FY21'!AC96="","",'Employee Detail FY21'!AC96)</f>
        <v/>
      </c>
      <c r="AD131" s="62" t="str">
        <f t="shared" si="55"/>
        <v/>
      </c>
      <c r="AE131" s="62" t="str">
        <f t="shared" si="56"/>
        <v/>
      </c>
      <c r="AF131" s="62" t="str">
        <f t="shared" si="57"/>
        <v/>
      </c>
      <c r="AG131" s="192">
        <v>0</v>
      </c>
      <c r="AH131" s="62" t="str">
        <f t="shared" si="58"/>
        <v/>
      </c>
      <c r="AI131" s="62">
        <f t="shared" si="59"/>
        <v>0</v>
      </c>
      <c r="AJ131" s="62"/>
      <c r="AK131" s="62">
        <v>0</v>
      </c>
      <c r="AL131" s="256">
        <f t="shared" si="11"/>
        <v>0</v>
      </c>
      <c r="AM131" s="256">
        <f t="shared" si="12"/>
        <v>0</v>
      </c>
      <c r="AN131" s="256">
        <f t="shared" si="13"/>
        <v>0</v>
      </c>
    </row>
    <row r="132" spans="1:40" ht="13.5" thickBot="1" x14ac:dyDescent="0.25">
      <c r="A132" s="259"/>
      <c r="B132" s="259"/>
      <c r="C132" s="259"/>
      <c r="D132" s="259"/>
      <c r="E132" s="259"/>
      <c r="F132" s="259"/>
      <c r="G132" s="259"/>
      <c r="H132" s="259"/>
      <c r="I132" s="260"/>
      <c r="J132" s="260"/>
      <c r="K132" s="260"/>
      <c r="L132" s="260"/>
      <c r="M132" s="261">
        <f>SUM(M6:M131)</f>
        <v>36.211538449357064</v>
      </c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8">
        <f>SUM(Y6:Y131)</f>
        <v>-137556.41999999998</v>
      </c>
      <c r="Z132" s="258">
        <f>SUM(Z6:Z131)</f>
        <v>50050</v>
      </c>
      <c r="AA132" s="258">
        <f>SUM(AA6:AA131)</f>
        <v>2567981.1312110098</v>
      </c>
      <c r="AB132" s="5"/>
      <c r="AC132" s="257">
        <f t="shared" ref="AC132:AN132" si="83">SUM(AC6:AC131)</f>
        <v>301862.88000000012</v>
      </c>
      <c r="AD132" s="257">
        <f t="shared" si="83"/>
        <v>985.43962499999998</v>
      </c>
      <c r="AE132" s="257">
        <f t="shared" si="83"/>
        <v>685621.55629520665</v>
      </c>
      <c r="AF132" s="257">
        <f t="shared" si="83"/>
        <v>36293.226402559652</v>
      </c>
      <c r="AG132" s="257">
        <f t="shared" si="83"/>
        <v>0</v>
      </c>
      <c r="AH132" s="257">
        <f t="shared" si="83"/>
        <v>22782.975525542599</v>
      </c>
      <c r="AI132" s="257">
        <f t="shared" si="83"/>
        <v>7371.7767979583568</v>
      </c>
      <c r="AJ132" s="257">
        <f t="shared" si="83"/>
        <v>0</v>
      </c>
      <c r="AK132" s="257">
        <f t="shared" si="83"/>
        <v>0</v>
      </c>
      <c r="AL132" s="257">
        <f t="shared" si="83"/>
        <v>1054917.8546462676</v>
      </c>
      <c r="AM132" s="257">
        <f t="shared" si="83"/>
        <v>2567981.1312110098</v>
      </c>
      <c r="AN132" s="257">
        <f t="shared" si="83"/>
        <v>3622898.9858572767</v>
      </c>
    </row>
    <row r="133" spans="1:40" ht="13.5" thickTop="1" x14ac:dyDescent="0.2">
      <c r="A133" s="3"/>
      <c r="B133" s="3"/>
      <c r="C133" s="3"/>
      <c r="D133" s="3"/>
      <c r="E133" s="3"/>
      <c r="F133" s="3"/>
      <c r="G133" s="3"/>
      <c r="H133" s="3"/>
      <c r="I133" s="255"/>
      <c r="J133" s="255"/>
      <c r="K133" s="255"/>
      <c r="L133" s="25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3.5" thickBot="1" x14ac:dyDescent="0.25">
      <c r="A134" s="259"/>
      <c r="B134" s="259"/>
      <c r="C134" s="259"/>
      <c r="D134" s="259"/>
      <c r="E134" s="259"/>
      <c r="F134" s="259"/>
      <c r="G134" s="259"/>
      <c r="H134" s="259"/>
      <c r="I134" s="260"/>
      <c r="J134" s="260"/>
      <c r="K134" s="260"/>
      <c r="L134" s="260"/>
      <c r="M134" s="262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5"/>
      <c r="Z134" s="5"/>
      <c r="AA134" s="258">
        <f>SUBTOTAL(9,AA6:AA131)</f>
        <v>2567981.1312110098</v>
      </c>
      <c r="AB134" s="258"/>
      <c r="AC134" s="258">
        <f t="shared" ref="AC134:AN134" si="84">SUBTOTAL(9,AC6:AC131)</f>
        <v>301862.88000000012</v>
      </c>
      <c r="AD134" s="258">
        <f t="shared" si="84"/>
        <v>985.43962499999998</v>
      </c>
      <c r="AE134" s="258">
        <f t="shared" si="84"/>
        <v>685621.55629520665</v>
      </c>
      <c r="AF134" s="258">
        <f t="shared" si="84"/>
        <v>36293.226402559652</v>
      </c>
      <c r="AG134" s="258">
        <f t="shared" si="84"/>
        <v>0</v>
      </c>
      <c r="AH134" s="258">
        <f t="shared" si="84"/>
        <v>22782.975525542599</v>
      </c>
      <c r="AI134" s="258">
        <f t="shared" si="84"/>
        <v>7371.7767979583568</v>
      </c>
      <c r="AJ134" s="258">
        <f t="shared" si="84"/>
        <v>0</v>
      </c>
      <c r="AK134" s="258">
        <f t="shared" si="84"/>
        <v>0</v>
      </c>
      <c r="AL134" s="258">
        <f t="shared" si="84"/>
        <v>1054917.8546462676</v>
      </c>
      <c r="AM134" s="258">
        <f t="shared" si="84"/>
        <v>2567981.1312110098</v>
      </c>
      <c r="AN134" s="258">
        <f t="shared" si="84"/>
        <v>3622898.9858572767</v>
      </c>
    </row>
    <row r="135" spans="1:40" ht="13.5" thickTop="1" x14ac:dyDescent="0.2">
      <c r="A135" s="3"/>
      <c r="B135" s="3"/>
      <c r="C135" s="3"/>
      <c r="D135" s="3"/>
      <c r="E135" s="3"/>
      <c r="F135" s="3"/>
      <c r="G135" s="3"/>
      <c r="H135" s="3"/>
      <c r="I135" s="255"/>
      <c r="J135" s="255"/>
      <c r="K135" s="255"/>
      <c r="L135" s="2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255"/>
      <c r="J136" s="255"/>
      <c r="K136" s="255"/>
      <c r="L136" s="2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255"/>
      <c r="J137" s="255"/>
      <c r="K137" s="255"/>
      <c r="L137" s="2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3"/>
      <c r="B138" s="3"/>
      <c r="C138" s="3"/>
      <c r="D138" s="3"/>
      <c r="E138" s="3"/>
      <c r="F138" s="3"/>
      <c r="G138" s="3"/>
      <c r="H138" s="3"/>
      <c r="I138" s="255"/>
      <c r="J138" s="255"/>
      <c r="K138" s="255"/>
      <c r="L138" s="2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">
      <c r="A139" s="3"/>
      <c r="B139" s="3"/>
      <c r="C139" s="3"/>
      <c r="D139" s="3"/>
      <c r="E139" s="3"/>
      <c r="F139" s="3"/>
      <c r="G139" s="3"/>
      <c r="H139" s="3"/>
      <c r="I139" s="255"/>
      <c r="J139" s="255"/>
      <c r="K139" s="255"/>
      <c r="L139" s="2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">
      <c r="A140" s="3"/>
      <c r="B140" s="3"/>
      <c r="C140" s="3"/>
      <c r="D140" s="3"/>
      <c r="E140" s="3"/>
      <c r="F140" s="3"/>
      <c r="G140" s="3"/>
      <c r="H140" s="3"/>
      <c r="I140" s="255"/>
      <c r="J140" s="255"/>
      <c r="K140" s="255"/>
      <c r="L140" s="2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">
      <c r="A141" s="3"/>
      <c r="B141" s="3"/>
      <c r="C141" s="3"/>
      <c r="D141" s="3"/>
      <c r="E141" s="3"/>
      <c r="F141" s="3"/>
      <c r="G141" s="3"/>
      <c r="H141" s="3"/>
      <c r="I141" s="255"/>
      <c r="J141" s="255"/>
      <c r="K141" s="255"/>
      <c r="L141" s="2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">
      <c r="A142" s="3"/>
      <c r="B142" s="3"/>
      <c r="C142" s="3"/>
      <c r="D142" s="3"/>
      <c r="E142" s="3"/>
      <c r="F142" s="3"/>
      <c r="G142" s="3"/>
      <c r="H142" s="3"/>
      <c r="I142" s="255"/>
      <c r="J142" s="255"/>
      <c r="K142" s="255"/>
      <c r="L142" s="2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">
      <c r="A143" s="3"/>
      <c r="B143" s="3"/>
      <c r="C143" s="3"/>
      <c r="D143" s="3"/>
      <c r="E143" s="3"/>
      <c r="F143" s="3"/>
      <c r="G143" s="3"/>
      <c r="H143" s="3"/>
      <c r="I143" s="255"/>
      <c r="J143" s="255"/>
      <c r="K143" s="255"/>
      <c r="L143" s="2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">
      <c r="A144" s="3"/>
      <c r="B144" s="3"/>
      <c r="C144" s="3"/>
      <c r="D144" s="3"/>
      <c r="E144" s="3"/>
      <c r="F144" s="3"/>
      <c r="G144" s="3"/>
      <c r="H144" s="3"/>
      <c r="I144" s="255"/>
      <c r="J144" s="255"/>
      <c r="K144" s="255"/>
      <c r="L144" s="2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">
      <c r="A145" s="3"/>
      <c r="B145" s="3"/>
      <c r="C145" s="3"/>
      <c r="D145" s="3"/>
      <c r="E145" s="3"/>
      <c r="F145" s="3"/>
      <c r="G145" s="3"/>
      <c r="H145" s="3"/>
      <c r="I145" s="255"/>
      <c r="J145" s="255"/>
      <c r="K145" s="255"/>
      <c r="L145" s="2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">
      <c r="A146" s="3"/>
      <c r="B146" s="3"/>
      <c r="C146" s="3"/>
      <c r="D146" s="3"/>
      <c r="E146" s="3"/>
      <c r="F146" s="3"/>
      <c r="G146" s="3"/>
      <c r="H146" s="3"/>
      <c r="I146" s="255"/>
      <c r="J146" s="255"/>
      <c r="K146" s="255"/>
      <c r="L146" s="2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">
      <c r="A147" s="3"/>
      <c r="B147" s="3"/>
      <c r="C147" s="3"/>
      <c r="D147" s="3"/>
      <c r="E147" s="3"/>
      <c r="F147" s="3"/>
      <c r="G147" s="3"/>
      <c r="H147" s="3"/>
      <c r="I147" s="255"/>
      <c r="J147" s="255"/>
      <c r="K147" s="255"/>
      <c r="L147" s="2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">
      <c r="A148" s="3"/>
      <c r="B148" s="3"/>
      <c r="C148" s="3"/>
      <c r="D148" s="3"/>
      <c r="E148" s="3"/>
      <c r="F148" s="3"/>
      <c r="G148" s="3"/>
      <c r="H148" s="3"/>
      <c r="I148" s="255"/>
      <c r="J148" s="255"/>
      <c r="K148" s="255"/>
      <c r="L148" s="2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">
      <c r="A149" s="3"/>
      <c r="B149" s="3"/>
      <c r="C149" s="3"/>
      <c r="D149" s="3"/>
      <c r="E149" s="3"/>
      <c r="F149" s="3"/>
      <c r="G149" s="3"/>
      <c r="H149" s="3"/>
      <c r="I149" s="255"/>
      <c r="J149" s="255"/>
      <c r="K149" s="255"/>
      <c r="L149" s="2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">
      <c r="A150" s="3"/>
      <c r="B150" s="3"/>
      <c r="C150" s="3"/>
      <c r="D150" s="3"/>
      <c r="E150" s="3"/>
      <c r="F150" s="3"/>
      <c r="G150" s="3"/>
      <c r="H150" s="3"/>
      <c r="I150" s="255"/>
      <c r="J150" s="255"/>
      <c r="K150" s="255"/>
      <c r="L150" s="2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">
      <c r="A151" s="3"/>
      <c r="B151" s="3"/>
      <c r="C151" s="3"/>
      <c r="D151" s="3"/>
      <c r="E151" s="3"/>
      <c r="F151" s="3"/>
      <c r="G151" s="3"/>
      <c r="H151" s="3"/>
      <c r="I151" s="255"/>
      <c r="J151" s="255"/>
      <c r="K151" s="255"/>
      <c r="L151" s="2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">
      <c r="A152" s="3"/>
      <c r="B152" s="3"/>
      <c r="C152" s="3"/>
      <c r="D152" s="3"/>
      <c r="E152" s="3"/>
      <c r="F152" s="3"/>
      <c r="G152" s="3"/>
      <c r="H152" s="3"/>
      <c r="I152" s="255"/>
      <c r="J152" s="255"/>
      <c r="K152" s="255"/>
      <c r="L152" s="2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">
      <c r="A153" s="3"/>
      <c r="B153" s="3"/>
      <c r="C153" s="3"/>
      <c r="D153" s="3"/>
      <c r="E153" s="3"/>
      <c r="F153" s="3"/>
      <c r="G153" s="3"/>
      <c r="H153" s="3"/>
      <c r="I153" s="255"/>
      <c r="J153" s="255"/>
      <c r="K153" s="255"/>
      <c r="L153" s="2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">
      <c r="A154" s="3"/>
      <c r="B154" s="3"/>
      <c r="C154" s="3"/>
      <c r="D154" s="3"/>
      <c r="E154" s="3"/>
      <c r="F154" s="3"/>
      <c r="G154" s="3"/>
      <c r="H154" s="3"/>
      <c r="I154" s="255"/>
      <c r="J154" s="255"/>
      <c r="K154" s="255"/>
      <c r="L154" s="2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x14ac:dyDescent="0.2">
      <c r="A155" s="3"/>
      <c r="B155" s="3"/>
      <c r="C155" s="3"/>
      <c r="D155" s="3"/>
      <c r="E155" s="3"/>
      <c r="F155" s="3"/>
      <c r="G155" s="3"/>
      <c r="H155" s="3"/>
      <c r="I155" s="255"/>
      <c r="J155" s="255"/>
      <c r="K155" s="255"/>
      <c r="L155" s="25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</sheetData>
  <autoFilter ref="B3:H131" xr:uid="{5D3DA323-200D-4BA4-9B17-DCFC3248C857}"/>
  <phoneticPr fontId="40" type="noConversion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126AD-A597-4A23-8D82-F1F64FA96E43}">
  <sheetPr codeName="Sheet26">
    <tabColor theme="1"/>
  </sheetPr>
  <dimension ref="A1:AD20"/>
  <sheetViews>
    <sheetView topLeftCell="D1" workbookViewId="0">
      <selection activeCell="B384" sqref="B384"/>
    </sheetView>
  </sheetViews>
  <sheetFormatPr defaultColWidth="9.140625" defaultRowHeight="12.75" x14ac:dyDescent="0.2"/>
  <cols>
    <col min="1" max="1" width="10.7109375" style="15" bestFit="1" customWidth="1"/>
    <col min="2" max="2" width="7.85546875" style="15" bestFit="1" customWidth="1"/>
    <col min="3" max="3" width="11.5703125" style="15" bestFit="1" customWidth="1"/>
    <col min="4" max="4" width="13.85546875" style="15" bestFit="1" customWidth="1"/>
    <col min="5" max="8" width="9.140625" style="15"/>
    <col min="9" max="9" width="16.7109375" style="15" bestFit="1" customWidth="1"/>
    <col min="10" max="10" width="6.85546875" style="15" bestFit="1" customWidth="1"/>
    <col min="11" max="11" width="6.28515625" style="15" bestFit="1" customWidth="1"/>
    <col min="12" max="12" width="6.85546875" style="15" bestFit="1" customWidth="1"/>
    <col min="13" max="13" width="6.28515625" style="15" bestFit="1" customWidth="1"/>
    <col min="14" max="14" width="6.85546875" style="15" bestFit="1" customWidth="1"/>
    <col min="15" max="15" width="7.28515625" style="15" bestFit="1" customWidth="1"/>
    <col min="16" max="19" width="6.28515625" style="15" bestFit="1" customWidth="1"/>
    <col min="20" max="20" width="9.140625" style="15"/>
    <col min="21" max="21" width="16.5703125" style="15" bestFit="1" customWidth="1"/>
    <col min="22" max="22" width="9.7109375" style="15" bestFit="1" customWidth="1"/>
    <col min="23" max="23" width="9.42578125" style="15" bestFit="1" customWidth="1"/>
    <col min="24" max="24" width="11" style="15" bestFit="1" customWidth="1"/>
    <col min="25" max="25" width="9.140625" style="15"/>
    <col min="26" max="26" width="5.42578125" style="15" bestFit="1" customWidth="1"/>
    <col min="27" max="27" width="9.28515625" style="15" bestFit="1" customWidth="1"/>
    <col min="28" max="28" width="10.140625" style="15" bestFit="1" customWidth="1"/>
    <col min="29" max="29" width="12" style="15" bestFit="1" customWidth="1"/>
    <col min="30" max="30" width="9" style="15" bestFit="1" customWidth="1"/>
    <col min="31" max="16384" width="9.140625" style="15"/>
  </cols>
  <sheetData>
    <row r="1" spans="1:30" ht="15" x14ac:dyDescent="0.25">
      <c r="A1" s="20" t="s">
        <v>53</v>
      </c>
      <c r="B1" s="21" t="s">
        <v>54</v>
      </c>
      <c r="C1" s="21" t="s">
        <v>55</v>
      </c>
      <c r="D1" s="22" t="s">
        <v>56</v>
      </c>
      <c r="E1" s="14"/>
      <c r="F1" s="14"/>
      <c r="G1" s="14"/>
      <c r="H1" s="14"/>
      <c r="I1" s="20" t="s">
        <v>57</v>
      </c>
      <c r="J1" s="31" t="s">
        <v>58</v>
      </c>
      <c r="K1" s="32">
        <v>8.3333333333333301E-2</v>
      </c>
      <c r="L1" s="31" t="s">
        <v>59</v>
      </c>
      <c r="M1" s="32">
        <v>9.0909090909090898E-2</v>
      </c>
      <c r="N1" s="31" t="s">
        <v>60</v>
      </c>
      <c r="O1" s="32">
        <v>0.1</v>
      </c>
      <c r="P1" s="33"/>
      <c r="Q1" s="33"/>
      <c r="R1" s="33"/>
      <c r="S1" s="34"/>
      <c r="T1" s="14"/>
      <c r="U1" s="44" t="s">
        <v>37</v>
      </c>
      <c r="V1" s="45" t="s">
        <v>39</v>
      </c>
      <c r="W1" s="45" t="s">
        <v>40</v>
      </c>
      <c r="X1" s="46" t="s">
        <v>61</v>
      </c>
      <c r="Y1" s="11"/>
      <c r="Z1" s="51" t="s">
        <v>62</v>
      </c>
      <c r="AA1" s="52" t="s">
        <v>45</v>
      </c>
      <c r="AB1" s="53"/>
      <c r="AC1" s="53"/>
      <c r="AD1" s="54"/>
    </row>
    <row r="2" spans="1:30" ht="15" x14ac:dyDescent="0.25">
      <c r="A2" s="23" t="s">
        <v>63</v>
      </c>
      <c r="B2" s="24"/>
      <c r="C2" s="24" t="s">
        <v>64</v>
      </c>
      <c r="D2" s="25"/>
      <c r="E2" s="16"/>
      <c r="F2" s="16"/>
      <c r="G2" s="16"/>
      <c r="H2" s="16"/>
      <c r="I2" s="35"/>
      <c r="J2" s="24">
        <v>1100</v>
      </c>
      <c r="K2" s="36">
        <v>1105</v>
      </c>
      <c r="L2" s="36">
        <v>1200</v>
      </c>
      <c r="M2" s="36">
        <v>1300</v>
      </c>
      <c r="N2" s="36">
        <v>1900</v>
      </c>
      <c r="O2" s="36">
        <v>2100</v>
      </c>
      <c r="P2" s="36">
        <v>2200</v>
      </c>
      <c r="Q2" s="36">
        <v>2300</v>
      </c>
      <c r="R2" s="36">
        <v>2400</v>
      </c>
      <c r="S2" s="25">
        <v>2900</v>
      </c>
      <c r="T2" s="16"/>
      <c r="U2" s="47" t="s">
        <v>65</v>
      </c>
      <c r="V2" s="48">
        <v>7305</v>
      </c>
      <c r="W2" s="48">
        <v>1294.690564397049</v>
      </c>
      <c r="X2" s="49">
        <f t="shared" ref="X2:X18" si="0">V2+W2</f>
        <v>8599.6905643970495</v>
      </c>
      <c r="Y2" s="17"/>
      <c r="Z2" s="55" t="s">
        <v>43</v>
      </c>
      <c r="AA2" s="192">
        <v>2960.7338955512573</v>
      </c>
      <c r="AB2" s="192">
        <v>95</v>
      </c>
      <c r="AC2" s="298">
        <f>AA2*AB2</f>
        <v>281269.72007736942</v>
      </c>
      <c r="AD2" s="56"/>
    </row>
    <row r="3" spans="1:30" ht="15.75" thickBot="1" x14ac:dyDescent="0.3">
      <c r="A3" s="23" t="s">
        <v>64</v>
      </c>
      <c r="B3" s="24" t="s">
        <v>68</v>
      </c>
      <c r="C3" s="26" t="s">
        <v>66</v>
      </c>
      <c r="D3" s="25">
        <v>12</v>
      </c>
      <c r="E3" s="16"/>
      <c r="F3" s="16"/>
      <c r="G3" s="16"/>
      <c r="H3" s="16"/>
      <c r="I3" s="23" t="s">
        <v>64</v>
      </c>
      <c r="J3" s="37">
        <v>0</v>
      </c>
      <c r="K3" s="37">
        <v>0</v>
      </c>
      <c r="L3" s="38">
        <v>8.3333333333333301E-2</v>
      </c>
      <c r="M3" s="38">
        <v>8.3333333333333301E-2</v>
      </c>
      <c r="N3" s="38">
        <v>8.3333333333333301E-2</v>
      </c>
      <c r="O3" s="37">
        <v>0</v>
      </c>
      <c r="P3" s="38">
        <v>8.3333333333333301E-2</v>
      </c>
      <c r="Q3" s="38">
        <v>8.3333333333333301E-2</v>
      </c>
      <c r="R3" s="38">
        <v>0</v>
      </c>
      <c r="S3" s="39">
        <v>0</v>
      </c>
      <c r="T3" s="16"/>
      <c r="U3" s="47" t="s">
        <v>67</v>
      </c>
      <c r="V3" s="48">
        <v>7126</v>
      </c>
      <c r="W3" s="48">
        <v>1310.9336828460227</v>
      </c>
      <c r="X3" s="49">
        <f t="shared" si="0"/>
        <v>8436.9336828460218</v>
      </c>
      <c r="Y3" s="17"/>
      <c r="Z3" s="57" t="s">
        <v>44</v>
      </c>
      <c r="AA3" s="299">
        <f>AC3/AB3</f>
        <v>1262.2947368421053</v>
      </c>
      <c r="AB3" s="58">
        <f>AB2</f>
        <v>95</v>
      </c>
      <c r="AC3" s="297">
        <v>119918</v>
      </c>
      <c r="AD3" s="59"/>
    </row>
    <row r="4" spans="1:30" ht="15" x14ac:dyDescent="0.25">
      <c r="A4" s="23" t="s">
        <v>66</v>
      </c>
      <c r="B4" s="24" t="s">
        <v>70</v>
      </c>
      <c r="C4" s="26" t="s">
        <v>69</v>
      </c>
      <c r="D4" s="25">
        <v>11</v>
      </c>
      <c r="E4" s="16"/>
      <c r="F4" s="16"/>
      <c r="G4" s="16"/>
      <c r="H4" s="16"/>
      <c r="I4" s="23" t="s">
        <v>66</v>
      </c>
      <c r="J4" s="38">
        <v>9.0909090909090898E-2</v>
      </c>
      <c r="K4" s="37">
        <v>0</v>
      </c>
      <c r="L4" s="38">
        <v>8.3333333333333301E-2</v>
      </c>
      <c r="M4" s="38">
        <v>8.3333333333333301E-2</v>
      </c>
      <c r="N4" s="38">
        <v>8.3333333333333301E-2</v>
      </c>
      <c r="O4" s="38">
        <v>9.0909090909090898E-2</v>
      </c>
      <c r="P4" s="38">
        <v>8.3333333333333301E-2</v>
      </c>
      <c r="Q4" s="38">
        <v>8.3333333333333301E-2</v>
      </c>
      <c r="R4" s="38">
        <v>9.0909090909090898E-2</v>
      </c>
      <c r="S4" s="40">
        <v>9.0909090909090898E-2</v>
      </c>
      <c r="T4" s="16"/>
      <c r="U4" s="47" t="s">
        <v>38</v>
      </c>
      <c r="V4" s="48">
        <v>6135</v>
      </c>
      <c r="W4" s="48">
        <v>1237.3750378591619</v>
      </c>
      <c r="X4" s="49">
        <f t="shared" si="0"/>
        <v>7372.3750378591621</v>
      </c>
      <c r="Y4" s="17"/>
      <c r="Z4" s="17"/>
      <c r="AA4" s="17"/>
      <c r="AB4" s="17"/>
      <c r="AC4" s="17"/>
      <c r="AD4" s="17"/>
    </row>
    <row r="5" spans="1:30" ht="15" x14ac:dyDescent="0.25">
      <c r="A5" s="23" t="s">
        <v>69</v>
      </c>
      <c r="B5" s="24" t="s">
        <v>73</v>
      </c>
      <c r="C5" s="26" t="s">
        <v>71</v>
      </c>
      <c r="D5" s="25">
        <v>10</v>
      </c>
      <c r="E5" s="16"/>
      <c r="F5" s="16"/>
      <c r="G5" s="16"/>
      <c r="H5" s="16"/>
      <c r="I5" s="23" t="s">
        <v>69</v>
      </c>
      <c r="J5" s="38">
        <v>9.0909090909090898E-2</v>
      </c>
      <c r="K5" s="37">
        <v>0.1</v>
      </c>
      <c r="L5" s="38">
        <v>8.3333333333333301E-2</v>
      </c>
      <c r="M5" s="38">
        <v>8.3333333333333301E-2</v>
      </c>
      <c r="N5" s="38">
        <v>8.3333333333333301E-2</v>
      </c>
      <c r="O5" s="38">
        <v>9.0909090909090898E-2</v>
      </c>
      <c r="P5" s="38">
        <v>8.3333333333333301E-2</v>
      </c>
      <c r="Q5" s="38">
        <v>8.3333333333333301E-2</v>
      </c>
      <c r="R5" s="38">
        <v>9.0909090909090898E-2</v>
      </c>
      <c r="S5" s="40">
        <v>9.0909090909090898E-2</v>
      </c>
      <c r="T5" s="16"/>
      <c r="U5" s="47" t="s">
        <v>72</v>
      </c>
      <c r="V5" s="48">
        <v>6147</v>
      </c>
      <c r="W5" s="48">
        <v>3435.020272643264</v>
      </c>
      <c r="X5" s="49">
        <f t="shared" si="0"/>
        <v>9582.0202726432635</v>
      </c>
      <c r="Y5" s="17"/>
      <c r="Z5" s="17"/>
      <c r="AA5" s="17"/>
      <c r="AB5" s="17"/>
      <c r="AC5" s="17"/>
      <c r="AD5" s="17"/>
    </row>
    <row r="6" spans="1:30" ht="15" x14ac:dyDescent="0.25">
      <c r="A6" s="23" t="s">
        <v>71</v>
      </c>
      <c r="B6" s="24" t="s">
        <v>76</v>
      </c>
      <c r="C6" s="26" t="s">
        <v>74</v>
      </c>
      <c r="D6" s="25">
        <v>9</v>
      </c>
      <c r="E6" s="16"/>
      <c r="F6" s="16"/>
      <c r="G6" s="16"/>
      <c r="H6" s="16"/>
      <c r="I6" s="23" t="s">
        <v>71</v>
      </c>
      <c r="J6" s="38">
        <v>9.0909090909090898E-2</v>
      </c>
      <c r="K6" s="37">
        <v>0.1</v>
      </c>
      <c r="L6" s="38">
        <v>8.3333333333333301E-2</v>
      </c>
      <c r="M6" s="38">
        <v>8.3333333333333301E-2</v>
      </c>
      <c r="N6" s="38">
        <v>8.3333333333333301E-2</v>
      </c>
      <c r="O6" s="38">
        <v>9.0909090909090898E-2</v>
      </c>
      <c r="P6" s="38">
        <v>8.3333333333333301E-2</v>
      </c>
      <c r="Q6" s="38">
        <v>8.3333333333333301E-2</v>
      </c>
      <c r="R6" s="38">
        <v>9.0909090909090898E-2</v>
      </c>
      <c r="S6" s="40">
        <v>9.0909090909090898E-2</v>
      </c>
      <c r="T6" s="16"/>
      <c r="U6" s="47" t="s">
        <v>75</v>
      </c>
      <c r="V6" s="48">
        <v>8018</v>
      </c>
      <c r="W6" s="48">
        <v>1539.2781162118304</v>
      </c>
      <c r="X6" s="49">
        <f t="shared" si="0"/>
        <v>9557.2781162118299</v>
      </c>
      <c r="Y6" s="17"/>
      <c r="Z6" s="17"/>
      <c r="AA6" s="17"/>
      <c r="AB6" s="17"/>
      <c r="AC6" s="17"/>
      <c r="AD6" s="17"/>
    </row>
    <row r="7" spans="1:30" ht="15" x14ac:dyDescent="0.25">
      <c r="A7" s="23" t="s">
        <v>74</v>
      </c>
      <c r="B7" s="24" t="s">
        <v>7</v>
      </c>
      <c r="C7" s="26" t="s">
        <v>77</v>
      </c>
      <c r="D7" s="25">
        <v>8</v>
      </c>
      <c r="E7" s="16"/>
      <c r="F7" s="16"/>
      <c r="G7" s="16"/>
      <c r="H7" s="16"/>
      <c r="I7" s="23" t="s">
        <v>74</v>
      </c>
      <c r="J7" s="38">
        <v>9.0909090909090898E-2</v>
      </c>
      <c r="K7" s="37">
        <v>0.1</v>
      </c>
      <c r="L7" s="38">
        <v>8.3333333333333301E-2</v>
      </c>
      <c r="M7" s="38">
        <v>8.3333333333333301E-2</v>
      </c>
      <c r="N7" s="38">
        <v>8.3333333333333301E-2</v>
      </c>
      <c r="O7" s="38">
        <v>9.0909090909090898E-2</v>
      </c>
      <c r="P7" s="38">
        <v>8.3333333333333301E-2</v>
      </c>
      <c r="Q7" s="38">
        <v>8.3333333333333301E-2</v>
      </c>
      <c r="R7" s="38">
        <v>9.0909090909090898E-2</v>
      </c>
      <c r="S7" s="40">
        <v>9.0909090909090898E-2</v>
      </c>
      <c r="T7" s="16"/>
      <c r="U7" s="47" t="s">
        <v>78</v>
      </c>
      <c r="V7" s="48">
        <v>21491</v>
      </c>
      <c r="W7" s="48">
        <v>8175.3153735207843</v>
      </c>
      <c r="X7" s="49">
        <f t="shared" si="0"/>
        <v>29666.315373520785</v>
      </c>
      <c r="Y7" s="17"/>
      <c r="Z7" s="17"/>
      <c r="AA7" s="17"/>
      <c r="AB7" s="17"/>
      <c r="AC7" s="17"/>
      <c r="AD7" s="17"/>
    </row>
    <row r="8" spans="1:30" ht="15" x14ac:dyDescent="0.25">
      <c r="A8" s="23" t="s">
        <v>77</v>
      </c>
      <c r="B8" s="24" t="s">
        <v>81</v>
      </c>
      <c r="C8" s="26" t="s">
        <v>79</v>
      </c>
      <c r="D8" s="25">
        <v>7</v>
      </c>
      <c r="E8" s="16"/>
      <c r="F8" s="16"/>
      <c r="G8" s="16"/>
      <c r="H8" s="16"/>
      <c r="I8" s="23" t="s">
        <v>77</v>
      </c>
      <c r="J8" s="38">
        <v>9.0909090909090898E-2</v>
      </c>
      <c r="K8" s="37">
        <v>0.1</v>
      </c>
      <c r="L8" s="38">
        <v>8.3333333333333301E-2</v>
      </c>
      <c r="M8" s="38">
        <v>8.3333333333333301E-2</v>
      </c>
      <c r="N8" s="38">
        <v>8.3333333333333301E-2</v>
      </c>
      <c r="O8" s="38">
        <v>9.0909090909090898E-2</v>
      </c>
      <c r="P8" s="38">
        <v>8.3333333333333301E-2</v>
      </c>
      <c r="Q8" s="38">
        <v>8.3333333333333301E-2</v>
      </c>
      <c r="R8" s="38">
        <v>9.0909090909090898E-2</v>
      </c>
      <c r="S8" s="40">
        <v>9.0909090909090898E-2</v>
      </c>
      <c r="T8" s="16"/>
      <c r="U8" s="47" t="s">
        <v>80</v>
      </c>
      <c r="V8" s="48">
        <v>9016</v>
      </c>
      <c r="W8" s="48">
        <v>19692.684560151745</v>
      </c>
      <c r="X8" s="49">
        <f t="shared" si="0"/>
        <v>28708.684560151745</v>
      </c>
      <c r="Y8" s="17"/>
      <c r="Z8" s="17"/>
      <c r="AA8" s="17"/>
      <c r="AB8" s="17"/>
      <c r="AC8" s="17"/>
      <c r="AD8" s="17"/>
    </row>
    <row r="9" spans="1:30" ht="15" x14ac:dyDescent="0.25">
      <c r="A9" s="23" t="s">
        <v>79</v>
      </c>
      <c r="B9" s="24" t="s">
        <v>84</v>
      </c>
      <c r="C9" s="26" t="s">
        <v>82</v>
      </c>
      <c r="D9" s="25">
        <v>6</v>
      </c>
      <c r="E9" s="16"/>
      <c r="F9" s="16"/>
      <c r="G9" s="16"/>
      <c r="H9" s="16"/>
      <c r="I9" s="23" t="s">
        <v>79</v>
      </c>
      <c r="J9" s="38">
        <v>9.0909090909090898E-2</v>
      </c>
      <c r="K9" s="37">
        <v>0.1</v>
      </c>
      <c r="L9" s="38">
        <v>8.3333333333333301E-2</v>
      </c>
      <c r="M9" s="38">
        <v>8.3333333333333301E-2</v>
      </c>
      <c r="N9" s="38">
        <v>8.3333333333333301E-2</v>
      </c>
      <c r="O9" s="38">
        <v>9.0909090909090898E-2</v>
      </c>
      <c r="P9" s="38">
        <v>8.3333333333333301E-2</v>
      </c>
      <c r="Q9" s="38">
        <v>8.3333333333333301E-2</v>
      </c>
      <c r="R9" s="38">
        <v>9.0909090909090898E-2</v>
      </c>
      <c r="S9" s="40">
        <v>9.0909090909090898E-2</v>
      </c>
      <c r="T9" s="16"/>
      <c r="U9" s="47" t="s">
        <v>83</v>
      </c>
      <c r="V9" s="48">
        <v>7245</v>
      </c>
      <c r="W9" s="48">
        <v>2186.9031021229812</v>
      </c>
      <c r="X9" s="49">
        <f t="shared" si="0"/>
        <v>9431.9031021229821</v>
      </c>
      <c r="Y9" s="17"/>
      <c r="Z9" s="17"/>
      <c r="AA9" s="17"/>
      <c r="AB9" s="17"/>
      <c r="AC9" s="17"/>
      <c r="AD9" s="17"/>
    </row>
    <row r="10" spans="1:30" ht="15" x14ac:dyDescent="0.25">
      <c r="A10" s="23" t="s">
        <v>82</v>
      </c>
      <c r="B10" s="24" t="s">
        <v>87</v>
      </c>
      <c r="C10" s="26" t="s">
        <v>85</v>
      </c>
      <c r="D10" s="25">
        <v>5</v>
      </c>
      <c r="E10" s="16"/>
      <c r="F10" s="16"/>
      <c r="G10" s="16"/>
      <c r="H10" s="16"/>
      <c r="I10" s="23" t="s">
        <v>82</v>
      </c>
      <c r="J10" s="38">
        <v>9.0909090909090898E-2</v>
      </c>
      <c r="K10" s="37">
        <v>0.1</v>
      </c>
      <c r="L10" s="38">
        <v>8.3333333333333301E-2</v>
      </c>
      <c r="M10" s="38">
        <v>8.3333333333333301E-2</v>
      </c>
      <c r="N10" s="38">
        <v>8.3333333333333301E-2</v>
      </c>
      <c r="O10" s="38">
        <v>9.0909090909090898E-2</v>
      </c>
      <c r="P10" s="38">
        <v>8.3333333333333301E-2</v>
      </c>
      <c r="Q10" s="38">
        <v>8.3333333333333301E-2</v>
      </c>
      <c r="R10" s="38">
        <v>9.0909090909090898E-2</v>
      </c>
      <c r="S10" s="40">
        <v>9.0909090909090898E-2</v>
      </c>
      <c r="T10" s="16"/>
      <c r="U10" s="47" t="s">
        <v>86</v>
      </c>
      <c r="V10" s="48">
        <v>4602</v>
      </c>
      <c r="W10" s="48">
        <v>9462.6530789571498</v>
      </c>
      <c r="X10" s="49">
        <f t="shared" si="0"/>
        <v>14064.65307895715</v>
      </c>
      <c r="Y10" s="17"/>
      <c r="Z10" s="17"/>
      <c r="AA10" s="17"/>
      <c r="AB10" s="17"/>
      <c r="AC10" s="17"/>
      <c r="AD10" s="17"/>
    </row>
    <row r="11" spans="1:30" ht="15" x14ac:dyDescent="0.25">
      <c r="A11" s="23" t="s">
        <v>85</v>
      </c>
      <c r="B11" s="24" t="s">
        <v>90</v>
      </c>
      <c r="C11" s="26" t="s">
        <v>88</v>
      </c>
      <c r="D11" s="25">
        <v>4</v>
      </c>
      <c r="E11" s="16"/>
      <c r="F11" s="16"/>
      <c r="G11" s="16"/>
      <c r="H11" s="16"/>
      <c r="I11" s="23" t="s">
        <v>85</v>
      </c>
      <c r="J11" s="38">
        <v>9.0909090909090898E-2</v>
      </c>
      <c r="K11" s="37">
        <v>0.1</v>
      </c>
      <c r="L11" s="38">
        <v>8.3333333333333301E-2</v>
      </c>
      <c r="M11" s="38">
        <v>8.3333333333333301E-2</v>
      </c>
      <c r="N11" s="38">
        <v>8.3333333333333301E-2</v>
      </c>
      <c r="O11" s="38">
        <v>9.0909090909090898E-2</v>
      </c>
      <c r="P11" s="38">
        <v>8.3333333333333301E-2</v>
      </c>
      <c r="Q11" s="38">
        <v>8.3333333333333301E-2</v>
      </c>
      <c r="R11" s="38">
        <v>9.0909090909090898E-2</v>
      </c>
      <c r="S11" s="40">
        <v>9.0909090909090898E-2</v>
      </c>
      <c r="T11" s="16"/>
      <c r="U11" s="47" t="s">
        <v>89</v>
      </c>
      <c r="V11" s="48">
        <v>12335</v>
      </c>
      <c r="W11" s="48">
        <v>1849.1282682709666</v>
      </c>
      <c r="X11" s="49">
        <f t="shared" si="0"/>
        <v>14184.128268270966</v>
      </c>
      <c r="Y11" s="17"/>
      <c r="Z11" s="17"/>
      <c r="AA11" s="17"/>
      <c r="AB11" s="17"/>
      <c r="AC11" s="17"/>
      <c r="AD11" s="17"/>
    </row>
    <row r="12" spans="1:30" ht="15" x14ac:dyDescent="0.25">
      <c r="A12" s="23" t="s">
        <v>88</v>
      </c>
      <c r="B12" s="24" t="s">
        <v>93</v>
      </c>
      <c r="C12" s="26" t="s">
        <v>91</v>
      </c>
      <c r="D12" s="25">
        <v>3</v>
      </c>
      <c r="E12" s="16"/>
      <c r="F12" s="16"/>
      <c r="G12" s="16"/>
      <c r="H12" s="16"/>
      <c r="I12" s="23" t="s">
        <v>88</v>
      </c>
      <c r="J12" s="38">
        <v>9.0909090909090898E-2</v>
      </c>
      <c r="K12" s="37">
        <v>0.1</v>
      </c>
      <c r="L12" s="38">
        <v>8.3333333333333301E-2</v>
      </c>
      <c r="M12" s="38">
        <v>8.3333333333333301E-2</v>
      </c>
      <c r="N12" s="38">
        <v>8.3333333333333301E-2</v>
      </c>
      <c r="O12" s="38">
        <v>9.0909090909090898E-2</v>
      </c>
      <c r="P12" s="38">
        <v>8.3333333333333301E-2</v>
      </c>
      <c r="Q12" s="38">
        <v>8.3333333333333301E-2</v>
      </c>
      <c r="R12" s="38">
        <v>9.0909090909090898E-2</v>
      </c>
      <c r="S12" s="40">
        <v>9.0909090909090898E-2</v>
      </c>
      <c r="T12" s="16"/>
      <c r="U12" s="47" t="s">
        <v>92</v>
      </c>
      <c r="V12" s="48">
        <v>7836</v>
      </c>
      <c r="W12" s="48">
        <v>1074.329708574139</v>
      </c>
      <c r="X12" s="49">
        <f t="shared" si="0"/>
        <v>8910.3297085741397</v>
      </c>
      <c r="Y12" s="17"/>
      <c r="Z12" s="17"/>
      <c r="AA12" s="17"/>
      <c r="AB12" s="17"/>
      <c r="AC12" s="17"/>
      <c r="AD12" s="17"/>
    </row>
    <row r="13" spans="1:30" ht="15" x14ac:dyDescent="0.25">
      <c r="A13" s="23" t="s">
        <v>91</v>
      </c>
      <c r="B13" s="24" t="s">
        <v>96</v>
      </c>
      <c r="C13" s="26" t="s">
        <v>94</v>
      </c>
      <c r="D13" s="25">
        <v>2</v>
      </c>
      <c r="E13" s="16"/>
      <c r="F13" s="16"/>
      <c r="G13" s="16"/>
      <c r="H13" s="16"/>
      <c r="I13" s="23" t="s">
        <v>91</v>
      </c>
      <c r="J13" s="38">
        <v>9.0909090909090898E-2</v>
      </c>
      <c r="K13" s="37">
        <v>0.1</v>
      </c>
      <c r="L13" s="38">
        <v>8.3333333333333301E-2</v>
      </c>
      <c r="M13" s="38">
        <v>8.3333333333333301E-2</v>
      </c>
      <c r="N13" s="38">
        <v>8.3333333333333301E-2</v>
      </c>
      <c r="O13" s="38">
        <v>9.0909090909090898E-2</v>
      </c>
      <c r="P13" s="38">
        <v>8.3333333333333301E-2</v>
      </c>
      <c r="Q13" s="38">
        <v>8.3333333333333301E-2</v>
      </c>
      <c r="R13" s="38">
        <v>9.0909090909090898E-2</v>
      </c>
      <c r="S13" s="40">
        <v>9.0909090909090898E-2</v>
      </c>
      <c r="T13" s="16"/>
      <c r="U13" s="47" t="s">
        <v>95</v>
      </c>
      <c r="V13" s="48">
        <v>10087</v>
      </c>
      <c r="W13" s="48">
        <v>1677.0963730207898</v>
      </c>
      <c r="X13" s="49">
        <f t="shared" si="0"/>
        <v>11764.09637302079</v>
      </c>
      <c r="Y13" s="17"/>
      <c r="Z13" s="17"/>
      <c r="AA13" s="17"/>
      <c r="AB13" s="17"/>
      <c r="AC13" s="17"/>
      <c r="AD13" s="17"/>
    </row>
    <row r="14" spans="1:30" ht="15" x14ac:dyDescent="0.25">
      <c r="A14" s="23" t="s">
        <v>94</v>
      </c>
      <c r="B14" s="24" t="s">
        <v>560</v>
      </c>
      <c r="C14" s="26" t="s">
        <v>97</v>
      </c>
      <c r="D14" s="25">
        <v>1</v>
      </c>
      <c r="E14" s="16"/>
      <c r="F14" s="16"/>
      <c r="G14" s="16"/>
      <c r="H14" s="16"/>
      <c r="I14" s="23" t="s">
        <v>94</v>
      </c>
      <c r="J14" s="38">
        <v>9.0909090909090898E-2</v>
      </c>
      <c r="K14" s="37">
        <v>0.1</v>
      </c>
      <c r="L14" s="38">
        <v>8.3333333333333301E-2</v>
      </c>
      <c r="M14" s="38">
        <v>8.3333333333333301E-2</v>
      </c>
      <c r="N14" s="38">
        <v>8.3333333333333301E-2</v>
      </c>
      <c r="O14" s="38">
        <v>9.0909090909090898E-2</v>
      </c>
      <c r="P14" s="38">
        <f>1-SUM(P3:P13)</f>
        <v>8.3333333333333814E-2</v>
      </c>
      <c r="Q14" s="38">
        <v>8.3333333333333301E-2</v>
      </c>
      <c r="R14" s="38">
        <v>9.0909090909090898E-2</v>
      </c>
      <c r="S14" s="40">
        <v>9.0909090909090898E-2</v>
      </c>
      <c r="T14" s="16"/>
      <c r="U14" s="47" t="s">
        <v>98</v>
      </c>
      <c r="V14" s="48">
        <v>7973</v>
      </c>
      <c r="W14" s="48">
        <v>1953.9752876942553</v>
      </c>
      <c r="X14" s="49">
        <f t="shared" si="0"/>
        <v>9926.9752876942548</v>
      </c>
      <c r="Y14" s="17"/>
      <c r="Z14" s="17"/>
      <c r="AA14" s="17"/>
      <c r="AB14" s="17"/>
      <c r="AC14" s="17"/>
      <c r="AD14" s="17"/>
    </row>
    <row r="15" spans="1:30" ht="15.75" thickBot="1" x14ac:dyDescent="0.3">
      <c r="A15" s="27" t="s">
        <v>97</v>
      </c>
      <c r="B15" s="28" t="s">
        <v>559</v>
      </c>
      <c r="C15" s="29"/>
      <c r="D15" s="30">
        <v>0</v>
      </c>
      <c r="E15" s="16"/>
      <c r="F15" s="16"/>
      <c r="G15" s="16"/>
      <c r="H15" s="16"/>
      <c r="I15" s="23" t="s">
        <v>97</v>
      </c>
      <c r="J15" s="37"/>
      <c r="K15" s="37"/>
      <c r="L15" s="37"/>
      <c r="M15" s="37"/>
      <c r="N15" s="37"/>
      <c r="O15" s="37"/>
      <c r="P15" s="37"/>
      <c r="Q15" s="37"/>
      <c r="R15" s="37"/>
      <c r="S15" s="39"/>
      <c r="T15" s="16"/>
      <c r="U15" s="47" t="s">
        <v>99</v>
      </c>
      <c r="V15" s="48">
        <v>10037</v>
      </c>
      <c r="W15" s="48">
        <v>3461.0561296101919</v>
      </c>
      <c r="X15" s="49">
        <f t="shared" si="0"/>
        <v>13498.056129610191</v>
      </c>
      <c r="Y15" s="17"/>
      <c r="Z15" s="17"/>
      <c r="AA15" s="17"/>
      <c r="AB15" s="17"/>
      <c r="AC15" s="17"/>
      <c r="AD15" s="17"/>
    </row>
    <row r="16" spans="1:30" ht="15.75" thickBot="1" x14ac:dyDescent="0.3">
      <c r="A16" s="14"/>
      <c r="B16" s="16"/>
      <c r="C16" s="16"/>
      <c r="D16" s="16"/>
      <c r="E16" s="16"/>
      <c r="F16" s="16"/>
      <c r="G16" s="16"/>
      <c r="H16" s="16"/>
      <c r="I16" s="41"/>
      <c r="J16" s="42">
        <f>SUM(J3:J14)</f>
        <v>1</v>
      </c>
      <c r="K16" s="42">
        <f t="shared" ref="K16:S16" si="1">SUM(K3:K14)</f>
        <v>0.99999999999999989</v>
      </c>
      <c r="L16" s="42">
        <f t="shared" si="1"/>
        <v>0.99999999999999944</v>
      </c>
      <c r="M16" s="42">
        <f t="shared" si="1"/>
        <v>0.99999999999999944</v>
      </c>
      <c r="N16" s="42">
        <f t="shared" si="1"/>
        <v>0.99999999999999944</v>
      </c>
      <c r="O16" s="42">
        <f t="shared" si="1"/>
        <v>1</v>
      </c>
      <c r="P16" s="42">
        <f t="shared" si="1"/>
        <v>1</v>
      </c>
      <c r="Q16" s="42">
        <f t="shared" si="1"/>
        <v>0.99999999999999944</v>
      </c>
      <c r="R16" s="42">
        <f t="shared" si="1"/>
        <v>1</v>
      </c>
      <c r="S16" s="43">
        <f t="shared" si="1"/>
        <v>1</v>
      </c>
      <c r="T16" s="16"/>
      <c r="U16" s="47" t="s">
        <v>100</v>
      </c>
      <c r="V16" s="48">
        <v>3786</v>
      </c>
      <c r="W16" s="48">
        <v>14243.17198837252</v>
      </c>
      <c r="X16" s="49">
        <f t="shared" si="0"/>
        <v>18029.17198837252</v>
      </c>
      <c r="Y16" s="17"/>
      <c r="Z16" s="17"/>
      <c r="AA16" s="17"/>
      <c r="AB16" s="17"/>
      <c r="AC16" s="17"/>
      <c r="AD16" s="17"/>
    </row>
    <row r="17" spans="1:30" ht="15" x14ac:dyDescent="0.25">
      <c r="A17" s="16"/>
      <c r="B17" s="16"/>
      <c r="C17" s="16"/>
      <c r="D17" s="16"/>
      <c r="E17" s="16"/>
      <c r="F17" s="16"/>
      <c r="G17" s="16"/>
      <c r="H17" s="18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47" t="s">
        <v>101</v>
      </c>
      <c r="V17" s="48">
        <v>6109</v>
      </c>
      <c r="W17" s="48">
        <v>1505.265995370831</v>
      </c>
      <c r="X17" s="49">
        <f t="shared" si="0"/>
        <v>7614.2659953708308</v>
      </c>
      <c r="Y17" s="17"/>
      <c r="Z17" s="17"/>
      <c r="AA17" s="17"/>
      <c r="AB17" s="17"/>
      <c r="AC17" s="17"/>
      <c r="AD17" s="17"/>
    </row>
    <row r="18" spans="1:30" ht="15" x14ac:dyDescent="0.25">
      <c r="A18" s="16"/>
      <c r="B18" s="16"/>
      <c r="C18" s="16"/>
      <c r="D18" s="16"/>
      <c r="E18" s="16"/>
      <c r="F18" s="16"/>
      <c r="G18" s="16"/>
      <c r="H18" s="18"/>
      <c r="I18" s="16"/>
      <c r="J18" s="19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47" t="s">
        <v>102</v>
      </c>
      <c r="V18" s="48">
        <v>9165</v>
      </c>
      <c r="W18" s="48">
        <v>2193.3354339629623</v>
      </c>
      <c r="X18" s="49">
        <f t="shared" si="0"/>
        <v>11358.335433962962</v>
      </c>
      <c r="Y18" s="17"/>
      <c r="Z18" s="17"/>
      <c r="AA18" s="17"/>
      <c r="AB18" s="17"/>
      <c r="AC18" s="17"/>
      <c r="AD18" s="17"/>
    </row>
    <row r="19" spans="1:30" ht="15" x14ac:dyDescent="0.25">
      <c r="A19" s="16"/>
      <c r="B19" s="16"/>
      <c r="C19" s="16"/>
      <c r="D19" s="16"/>
      <c r="E19" s="16"/>
      <c r="F19" s="16"/>
      <c r="G19" s="16"/>
      <c r="H19" s="18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35"/>
      <c r="V19" s="36"/>
      <c r="W19" s="36"/>
      <c r="X19" s="25"/>
      <c r="Y19" s="16"/>
      <c r="Z19" s="16"/>
      <c r="AA19" s="16"/>
      <c r="AB19" s="16"/>
      <c r="AC19" s="16"/>
      <c r="AD19" s="16"/>
    </row>
    <row r="20" spans="1:30" ht="15.75" thickBot="1" x14ac:dyDescent="0.3">
      <c r="A20" s="16"/>
      <c r="B20" s="16"/>
      <c r="C20" s="16"/>
      <c r="D20" s="16"/>
      <c r="E20" s="16"/>
      <c r="F20" s="16"/>
      <c r="G20" s="16"/>
      <c r="H20" s="18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50" t="s">
        <v>375</v>
      </c>
      <c r="V20" s="295"/>
      <c r="W20" s="295"/>
      <c r="X20" s="296">
        <v>44109</v>
      </c>
      <c r="Y20" s="16"/>
      <c r="Z20" s="16"/>
      <c r="AA20" s="16"/>
      <c r="AB20" s="16"/>
      <c r="AC20" s="16"/>
      <c r="AD20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3524-33B9-4CE9-B8AF-F03140C13A20}">
  <sheetPr codeName="Sheet3"/>
  <dimension ref="A1:L138"/>
  <sheetViews>
    <sheetView topLeftCell="A3" workbookViewId="0">
      <selection activeCell="H18" sqref="H18"/>
    </sheetView>
  </sheetViews>
  <sheetFormatPr defaultRowHeight="12.75" x14ac:dyDescent="0.2"/>
  <cols>
    <col min="1" max="1" width="25.140625" bestFit="1" customWidth="1"/>
    <col min="12" max="12" width="17.5703125" customWidth="1"/>
  </cols>
  <sheetData>
    <row r="1" spans="1:9" ht="12.75" customHeight="1" x14ac:dyDescent="0.2">
      <c r="A1" s="292" t="s">
        <v>374</v>
      </c>
      <c r="B1" s="3"/>
      <c r="C1" s="3"/>
      <c r="D1" s="3"/>
      <c r="E1" s="3"/>
      <c r="G1" s="293" t="s">
        <v>352</v>
      </c>
      <c r="H1" s="278" t="s">
        <v>17</v>
      </c>
    </row>
    <row r="2" spans="1:9" ht="12.75" customHeight="1" x14ac:dyDescent="0.2">
      <c r="A2" s="2" t="s">
        <v>6</v>
      </c>
      <c r="B2" s="3"/>
      <c r="C2" s="3"/>
      <c r="D2" s="3"/>
      <c r="E2" s="3"/>
      <c r="G2" s="293" t="s">
        <v>10</v>
      </c>
      <c r="H2" s="278" t="s">
        <v>9</v>
      </c>
    </row>
    <row r="3" spans="1:9" ht="12.75" customHeight="1" x14ac:dyDescent="0.2">
      <c r="A3" s="2" t="s">
        <v>8</v>
      </c>
      <c r="B3" s="69">
        <v>2022</v>
      </c>
      <c r="C3" s="3"/>
      <c r="D3" s="3">
        <f>2223</f>
        <v>2223</v>
      </c>
      <c r="E3" s="3"/>
      <c r="G3" s="293" t="s">
        <v>12</v>
      </c>
      <c r="H3" s="278" t="s">
        <v>11</v>
      </c>
    </row>
    <row r="4" spans="1:9" ht="12.75" customHeight="1" x14ac:dyDescent="0.2">
      <c r="A4" s="3"/>
      <c r="B4" s="3"/>
      <c r="C4" s="3"/>
      <c r="D4" s="3"/>
      <c r="E4" s="3"/>
      <c r="F4" s="3"/>
      <c r="G4" s="3"/>
      <c r="H4" s="3"/>
    </row>
    <row r="5" spans="1:9" ht="12.75" customHeight="1" x14ac:dyDescent="0.2">
      <c r="A5" s="3"/>
      <c r="B5" s="3"/>
      <c r="C5" s="3"/>
      <c r="D5" s="3"/>
      <c r="E5" s="3"/>
      <c r="F5" s="3"/>
      <c r="G5" s="3"/>
      <c r="H5" s="3"/>
    </row>
    <row r="6" spans="1:9" ht="12.75" customHeight="1" x14ac:dyDescent="0.2">
      <c r="A6" s="283"/>
      <c r="B6" s="8" t="s">
        <v>13</v>
      </c>
      <c r="C6" s="8" t="str">
        <f>CONCATENATE("FY",$B$3+100)</f>
        <v>FY2122</v>
      </c>
      <c r="D6" s="8" t="str">
        <f>CONCATENATE("FY",$B$3+201)</f>
        <v>FY2223</v>
      </c>
      <c r="E6" s="8" t="str">
        <f>CONCATENATE("FY",$B$3+302)</f>
        <v>FY2324</v>
      </c>
      <c r="F6" s="8" t="str">
        <f>CONCATENATE("FY",$B$3+403)</f>
        <v>FY2425</v>
      </c>
      <c r="G6" s="8" t="str">
        <f>CONCATENATE("FY",$B$3+504)</f>
        <v>FY2526</v>
      </c>
      <c r="H6" s="8" t="str">
        <f>CONCATENATE("FY",$B$3+605)</f>
        <v>FY2627</v>
      </c>
      <c r="I6" s="8" t="str">
        <f>CONCATENATE("FY",$B$3+706)</f>
        <v>FY2728</v>
      </c>
    </row>
    <row r="7" spans="1:9" ht="12.75" customHeight="1" x14ac:dyDescent="0.2">
      <c r="A7" s="283"/>
      <c r="B7" s="9" t="s">
        <v>18</v>
      </c>
      <c r="C7" s="263">
        <f t="shared" ref="C7:C16" si="0">SUMIF($B$32:$B$1004,$B7,$C$32:$C$1004)</f>
        <v>0</v>
      </c>
      <c r="D7" s="263">
        <f t="shared" ref="D7:D16" si="1">SUMIF($B$32:$B$1004,$B7,$D$32:$D$1004)</f>
        <v>0</v>
      </c>
      <c r="E7" s="263">
        <f t="shared" ref="E7:E16" si="2">SUMIF($B$32:$B$1004,$B7,$E$32:$E$1004)</f>
        <v>0</v>
      </c>
      <c r="F7" s="263">
        <f t="shared" ref="F7:F16" si="3">SUMIF($B$32:$B$1004,$B7,$F$32:$F$1004)</f>
        <v>0</v>
      </c>
      <c r="G7" s="263">
        <f t="shared" ref="G7:G16" si="4">SUMIF($B$32:$B$1004,$B7,$G$32:$G$1004)</f>
        <v>0</v>
      </c>
      <c r="H7" s="263">
        <f t="shared" ref="H7:H16" si="5">SUMIF($B$32:$B$1004,$B7,$H$32:$H$1004)</f>
        <v>0</v>
      </c>
      <c r="I7" s="263">
        <f t="shared" ref="I7:I16" si="6">SUMIF($B$32:$B$1004,$B7,$I$32:$I$1004)</f>
        <v>0</v>
      </c>
    </row>
    <row r="8" spans="1:9" ht="12.75" customHeight="1" x14ac:dyDescent="0.2">
      <c r="A8" s="283"/>
      <c r="B8" s="9" t="s">
        <v>19</v>
      </c>
      <c r="C8" s="263">
        <f t="shared" si="0"/>
        <v>0</v>
      </c>
      <c r="D8" s="263">
        <f t="shared" si="1"/>
        <v>0</v>
      </c>
      <c r="E8" s="263">
        <f t="shared" si="2"/>
        <v>0</v>
      </c>
      <c r="F8" s="263">
        <f t="shared" si="3"/>
        <v>0</v>
      </c>
      <c r="G8" s="263">
        <f t="shared" si="4"/>
        <v>0</v>
      </c>
      <c r="H8" s="263">
        <f t="shared" si="5"/>
        <v>0</v>
      </c>
      <c r="I8" s="263">
        <f t="shared" si="6"/>
        <v>0</v>
      </c>
    </row>
    <row r="9" spans="1:9" ht="12.75" customHeight="1" x14ac:dyDescent="0.2">
      <c r="A9" s="283"/>
      <c r="B9" s="9" t="s">
        <v>20</v>
      </c>
      <c r="C9" s="263">
        <f t="shared" si="0"/>
        <v>0</v>
      </c>
      <c r="D9" s="263">
        <f t="shared" si="1"/>
        <v>0</v>
      </c>
      <c r="E9" s="263">
        <f t="shared" si="2"/>
        <v>0</v>
      </c>
      <c r="F9" s="263">
        <f t="shared" si="3"/>
        <v>0</v>
      </c>
      <c r="G9" s="263">
        <f t="shared" si="4"/>
        <v>0</v>
      </c>
      <c r="H9" s="263">
        <f t="shared" si="5"/>
        <v>0</v>
      </c>
      <c r="I9" s="263">
        <f t="shared" si="6"/>
        <v>0</v>
      </c>
    </row>
    <row r="10" spans="1:9" ht="12.75" customHeight="1" x14ac:dyDescent="0.2">
      <c r="A10" s="283"/>
      <c r="B10" s="9" t="s">
        <v>21</v>
      </c>
      <c r="C10" s="263">
        <f t="shared" si="0"/>
        <v>0</v>
      </c>
      <c r="D10" s="263">
        <f t="shared" si="1"/>
        <v>0</v>
      </c>
      <c r="E10" s="263">
        <f t="shared" si="2"/>
        <v>0</v>
      </c>
      <c r="F10" s="263">
        <f t="shared" si="3"/>
        <v>0</v>
      </c>
      <c r="G10" s="263">
        <f t="shared" si="4"/>
        <v>0</v>
      </c>
      <c r="H10" s="263">
        <f t="shared" si="5"/>
        <v>0</v>
      </c>
      <c r="I10" s="263">
        <f t="shared" si="6"/>
        <v>0</v>
      </c>
    </row>
    <row r="11" spans="1:9" ht="12.75" customHeight="1" x14ac:dyDescent="0.2">
      <c r="A11" s="283"/>
      <c r="B11" s="9" t="s">
        <v>22</v>
      </c>
      <c r="C11" s="263">
        <f t="shared" si="0"/>
        <v>0</v>
      </c>
      <c r="D11" s="263">
        <f t="shared" si="1"/>
        <v>0</v>
      </c>
      <c r="E11" s="263">
        <f t="shared" si="2"/>
        <v>0</v>
      </c>
      <c r="F11" s="263">
        <f t="shared" si="3"/>
        <v>0</v>
      </c>
      <c r="G11" s="263">
        <f t="shared" si="4"/>
        <v>0</v>
      </c>
      <c r="H11" s="263">
        <f t="shared" si="5"/>
        <v>0</v>
      </c>
      <c r="I11" s="263">
        <f t="shared" si="6"/>
        <v>0</v>
      </c>
    </row>
    <row r="12" spans="1:9" ht="12.75" customHeight="1" x14ac:dyDescent="0.2">
      <c r="A12" s="283"/>
      <c r="B12" s="9" t="s">
        <v>23</v>
      </c>
      <c r="C12" s="263">
        <f t="shared" si="0"/>
        <v>0</v>
      </c>
      <c r="D12" s="263">
        <f t="shared" si="1"/>
        <v>0</v>
      </c>
      <c r="E12" s="263">
        <f t="shared" si="2"/>
        <v>0</v>
      </c>
      <c r="F12" s="263">
        <f t="shared" si="3"/>
        <v>0</v>
      </c>
      <c r="G12" s="263">
        <f t="shared" si="4"/>
        <v>0</v>
      </c>
      <c r="H12" s="263">
        <f t="shared" si="5"/>
        <v>0</v>
      </c>
      <c r="I12" s="263">
        <f t="shared" si="6"/>
        <v>0</v>
      </c>
    </row>
    <row r="13" spans="1:9" ht="12.75" customHeight="1" x14ac:dyDescent="0.2">
      <c r="A13" s="283"/>
      <c r="B13" s="9" t="s">
        <v>24</v>
      </c>
      <c r="C13" s="263">
        <f t="shared" si="0"/>
        <v>0</v>
      </c>
      <c r="D13" s="263">
        <f t="shared" si="1"/>
        <v>0</v>
      </c>
      <c r="E13" s="263">
        <f t="shared" si="2"/>
        <v>0</v>
      </c>
      <c r="F13" s="263">
        <f t="shared" si="3"/>
        <v>0</v>
      </c>
      <c r="G13" s="263">
        <f t="shared" si="4"/>
        <v>0</v>
      </c>
      <c r="H13" s="263">
        <f t="shared" si="5"/>
        <v>0</v>
      </c>
      <c r="I13" s="263">
        <f t="shared" si="6"/>
        <v>0</v>
      </c>
    </row>
    <row r="14" spans="1:9" ht="12.75" customHeight="1" x14ac:dyDescent="0.2">
      <c r="A14" s="283"/>
      <c r="B14" s="9" t="s">
        <v>25</v>
      </c>
      <c r="C14" s="263">
        <f t="shared" si="0"/>
        <v>0</v>
      </c>
      <c r="D14" s="263">
        <f t="shared" si="1"/>
        <v>0</v>
      </c>
      <c r="E14" s="263">
        <f t="shared" si="2"/>
        <v>0</v>
      </c>
      <c r="F14" s="263">
        <f t="shared" si="3"/>
        <v>0</v>
      </c>
      <c r="G14" s="263">
        <f t="shared" si="4"/>
        <v>0</v>
      </c>
      <c r="H14" s="263">
        <f t="shared" si="5"/>
        <v>0</v>
      </c>
      <c r="I14" s="263">
        <f t="shared" si="6"/>
        <v>0</v>
      </c>
    </row>
    <row r="15" spans="1:9" ht="12.75" customHeight="1" x14ac:dyDescent="0.2">
      <c r="A15" s="283"/>
      <c r="B15" s="9" t="s">
        <v>26</v>
      </c>
      <c r="C15" s="263">
        <f t="shared" si="0"/>
        <v>0</v>
      </c>
      <c r="D15" s="263">
        <f t="shared" si="1"/>
        <v>0</v>
      </c>
      <c r="E15" s="263">
        <f t="shared" si="2"/>
        <v>0</v>
      </c>
      <c r="F15" s="263">
        <f t="shared" si="3"/>
        <v>0</v>
      </c>
      <c r="G15" s="263">
        <f t="shared" si="4"/>
        <v>0</v>
      </c>
      <c r="H15" s="263">
        <f t="shared" si="5"/>
        <v>0</v>
      </c>
      <c r="I15" s="263">
        <f t="shared" si="6"/>
        <v>0</v>
      </c>
    </row>
    <row r="16" spans="1:9" ht="12.75" customHeight="1" x14ac:dyDescent="0.2">
      <c r="A16" s="283"/>
      <c r="B16" s="9" t="s">
        <v>27</v>
      </c>
      <c r="C16" s="263">
        <f t="shared" si="0"/>
        <v>0</v>
      </c>
      <c r="D16" s="263">
        <f t="shared" si="1"/>
        <v>0</v>
      </c>
      <c r="E16" s="263">
        <f t="shared" si="2"/>
        <v>0</v>
      </c>
      <c r="F16" s="263">
        <f t="shared" si="3"/>
        <v>0</v>
      </c>
      <c r="G16" s="263">
        <f t="shared" si="4"/>
        <v>0</v>
      </c>
      <c r="H16" s="263">
        <f t="shared" si="5"/>
        <v>0</v>
      </c>
      <c r="I16" s="263">
        <f t="shared" si="6"/>
        <v>0</v>
      </c>
    </row>
    <row r="17" spans="1:12" ht="12.75" customHeight="1" x14ac:dyDescent="0.2">
      <c r="A17" s="283"/>
      <c r="B17" s="9" t="s">
        <v>28</v>
      </c>
      <c r="C17" s="263">
        <v>4</v>
      </c>
      <c r="D17" s="263">
        <v>2</v>
      </c>
      <c r="E17" s="263">
        <v>3</v>
      </c>
      <c r="F17" s="263">
        <v>3</v>
      </c>
      <c r="G17" s="263">
        <v>3</v>
      </c>
      <c r="H17" s="263">
        <v>8</v>
      </c>
      <c r="I17" s="263">
        <v>3</v>
      </c>
    </row>
    <row r="18" spans="1:12" ht="12.75" customHeight="1" x14ac:dyDescent="0.2">
      <c r="A18" s="283"/>
      <c r="B18" s="9" t="s">
        <v>29</v>
      </c>
      <c r="C18" s="263">
        <v>15</v>
      </c>
      <c r="D18" s="263">
        <v>34</v>
      </c>
      <c r="E18" s="263">
        <v>36</v>
      </c>
      <c r="F18" s="263">
        <v>40</v>
      </c>
      <c r="G18" s="263">
        <v>42</v>
      </c>
      <c r="H18" s="263">
        <v>42</v>
      </c>
      <c r="I18" s="263">
        <v>42</v>
      </c>
    </row>
    <row r="19" spans="1:12" ht="12.75" customHeight="1" x14ac:dyDescent="0.2">
      <c r="A19" s="283"/>
      <c r="B19" s="9" t="s">
        <v>30</v>
      </c>
      <c r="C19" s="263">
        <v>51</v>
      </c>
      <c r="D19" s="263">
        <v>100</v>
      </c>
      <c r="E19" s="263">
        <v>111</v>
      </c>
      <c r="F19" s="263">
        <v>119</v>
      </c>
      <c r="G19" s="263">
        <v>124</v>
      </c>
      <c r="H19" s="263">
        <v>124</v>
      </c>
      <c r="I19" s="263">
        <v>124</v>
      </c>
    </row>
    <row r="20" spans="1:12" ht="12.75" customHeight="1" x14ac:dyDescent="0.2">
      <c r="A20" s="283"/>
      <c r="B20" s="9" t="s">
        <v>31</v>
      </c>
      <c r="C20" s="263">
        <v>300</v>
      </c>
      <c r="D20" s="263">
        <v>449</v>
      </c>
      <c r="E20" s="263">
        <v>500</v>
      </c>
      <c r="F20" s="263">
        <v>538</v>
      </c>
      <c r="G20" s="263">
        <v>566</v>
      </c>
      <c r="H20" s="263">
        <v>566</v>
      </c>
      <c r="I20" s="263">
        <v>566</v>
      </c>
    </row>
    <row r="21" spans="1:12" ht="12.75" customHeight="1" thickBot="1" x14ac:dyDescent="0.25">
      <c r="A21" s="284"/>
      <c r="B21" s="6" t="s">
        <v>15</v>
      </c>
      <c r="C21" s="6">
        <f>SUM(C7:C20)</f>
        <v>370</v>
      </c>
      <c r="D21" s="6">
        <f>SUM(D7:D20)</f>
        <v>585</v>
      </c>
      <c r="E21" s="6">
        <f t="shared" ref="E21:H21" si="7">SUM(E7:E20)</f>
        <v>650</v>
      </c>
      <c r="F21" s="6">
        <f t="shared" si="7"/>
        <v>700</v>
      </c>
      <c r="G21" s="6">
        <f t="shared" si="7"/>
        <v>735</v>
      </c>
      <c r="H21" s="6">
        <f t="shared" si="7"/>
        <v>740</v>
      </c>
      <c r="I21" s="6">
        <f t="shared" ref="I21" si="8">SUM(I7:I20)</f>
        <v>735</v>
      </c>
    </row>
    <row r="22" spans="1:12" ht="12.75" customHeight="1" thickTop="1" x14ac:dyDescent="0.2">
      <c r="B22" s="3"/>
      <c r="C22" s="3"/>
      <c r="D22" s="3"/>
      <c r="E22" s="3"/>
      <c r="F22" s="3"/>
      <c r="G22" s="3"/>
      <c r="H22" s="3"/>
      <c r="I22" s="3"/>
    </row>
    <row r="23" spans="1:12" ht="12.75" customHeight="1" thickBot="1" x14ac:dyDescent="0.25">
      <c r="A23" s="284"/>
      <c r="B23" s="6" t="s">
        <v>14</v>
      </c>
      <c r="C23" s="6">
        <f>SUM(C8:C20)</f>
        <v>370</v>
      </c>
      <c r="D23" s="6">
        <f t="shared" ref="D23:H23" si="9">SUM(D8:D20)</f>
        <v>585</v>
      </c>
      <c r="E23" s="6">
        <f t="shared" si="9"/>
        <v>650</v>
      </c>
      <c r="F23" s="6">
        <f t="shared" si="9"/>
        <v>700</v>
      </c>
      <c r="G23" s="6">
        <f t="shared" si="9"/>
        <v>735</v>
      </c>
      <c r="H23" s="6">
        <f t="shared" si="9"/>
        <v>740</v>
      </c>
      <c r="I23" s="6">
        <f t="shared" ref="I23" si="10">SUM(I8:I20)</f>
        <v>735</v>
      </c>
    </row>
    <row r="24" spans="1:12" ht="12.75" customHeight="1" thickTop="1" x14ac:dyDescent="0.2">
      <c r="B24" s="4" t="s">
        <v>35</v>
      </c>
      <c r="C24" s="286">
        <f>((C23-371.1)/371.1)</f>
        <v>-2.9641606036109477E-3</v>
      </c>
      <c r="D24" s="286">
        <f>((D23-C23)/C23)</f>
        <v>0.58108108108108103</v>
      </c>
      <c r="E24" s="286">
        <f t="shared" ref="E24:I24" si="11">((E23-D23)/D23)</f>
        <v>0.1111111111111111</v>
      </c>
      <c r="F24" s="286">
        <f t="shared" si="11"/>
        <v>7.6923076923076927E-2</v>
      </c>
      <c r="G24" s="286">
        <f t="shared" si="11"/>
        <v>0.05</v>
      </c>
      <c r="H24" s="286">
        <f t="shared" si="11"/>
        <v>6.8027210884353739E-3</v>
      </c>
      <c r="I24" s="286">
        <f t="shared" si="11"/>
        <v>-6.7567567567567571E-3</v>
      </c>
    </row>
    <row r="25" spans="1:12" ht="12.75" customHeight="1" x14ac:dyDescent="0.2">
      <c r="B25" s="3"/>
      <c r="C25" s="3"/>
      <c r="D25" s="3"/>
      <c r="E25" s="3"/>
      <c r="F25" s="3"/>
      <c r="G25" s="3"/>
      <c r="H25" s="3"/>
      <c r="I25" s="3"/>
    </row>
    <row r="26" spans="1:12" ht="12.75" customHeight="1" x14ac:dyDescent="0.2">
      <c r="B26" s="4" t="s">
        <v>34</v>
      </c>
      <c r="C26" s="3">
        <f>C7</f>
        <v>0</v>
      </c>
      <c r="D26" s="3">
        <f t="shared" ref="D26:H26" si="12">D7</f>
        <v>0</v>
      </c>
      <c r="E26" s="3">
        <f t="shared" si="12"/>
        <v>0</v>
      </c>
      <c r="F26" s="3">
        <f t="shared" si="12"/>
        <v>0</v>
      </c>
      <c r="G26" s="3">
        <f t="shared" si="12"/>
        <v>0</v>
      </c>
      <c r="H26" s="3">
        <f t="shared" si="12"/>
        <v>0</v>
      </c>
      <c r="I26" s="3">
        <f t="shared" ref="I26" si="13">I7</f>
        <v>0</v>
      </c>
    </row>
    <row r="27" spans="1:12" ht="12.75" customHeight="1" x14ac:dyDescent="0.2">
      <c r="B27" s="4" t="s">
        <v>16</v>
      </c>
      <c r="C27" s="3">
        <f>C8</f>
        <v>0</v>
      </c>
      <c r="D27" s="3">
        <f t="shared" ref="D27:H27" si="14">D8</f>
        <v>0</v>
      </c>
      <c r="E27" s="3">
        <f t="shared" si="14"/>
        <v>0</v>
      </c>
      <c r="F27" s="3">
        <f t="shared" si="14"/>
        <v>0</v>
      </c>
      <c r="G27" s="3">
        <f t="shared" si="14"/>
        <v>0</v>
      </c>
      <c r="H27" s="3">
        <f t="shared" si="14"/>
        <v>0</v>
      </c>
      <c r="I27" s="3">
        <f t="shared" ref="I27" si="15">I8</f>
        <v>0</v>
      </c>
    </row>
    <row r="28" spans="1:12" ht="12.75" customHeight="1" x14ac:dyDescent="0.2">
      <c r="B28" s="4" t="s">
        <v>32</v>
      </c>
      <c r="C28" s="3">
        <f>SUM(C9:C16)</f>
        <v>0</v>
      </c>
      <c r="D28" s="3">
        <f t="shared" ref="D28:H28" si="16">SUM(D9:D16)</f>
        <v>0</v>
      </c>
      <c r="E28" s="3">
        <f t="shared" si="16"/>
        <v>0</v>
      </c>
      <c r="F28" s="3">
        <f t="shared" si="16"/>
        <v>0</v>
      </c>
      <c r="G28" s="3">
        <f t="shared" si="16"/>
        <v>0</v>
      </c>
      <c r="H28" s="3">
        <f t="shared" si="16"/>
        <v>0</v>
      </c>
      <c r="I28" s="3">
        <f t="shared" ref="I28" si="17">SUM(I9:I16)</f>
        <v>0</v>
      </c>
    </row>
    <row r="29" spans="1:12" ht="12.75" customHeight="1" x14ac:dyDescent="0.2">
      <c r="B29" s="4" t="s">
        <v>33</v>
      </c>
      <c r="C29" s="3">
        <f>SUM(C17:C20)</f>
        <v>370</v>
      </c>
      <c r="D29" s="3">
        <f t="shared" ref="D29:H29" si="18">SUM(D17:D20)</f>
        <v>585</v>
      </c>
      <c r="E29" s="3">
        <f t="shared" si="18"/>
        <v>650</v>
      </c>
      <c r="F29" s="3">
        <f t="shared" si="18"/>
        <v>700</v>
      </c>
      <c r="G29" s="3">
        <f t="shared" si="18"/>
        <v>735</v>
      </c>
      <c r="H29" s="3">
        <f t="shared" si="18"/>
        <v>740</v>
      </c>
      <c r="I29" s="3">
        <f t="shared" ref="I29" si="19">SUM(I17:I20)</f>
        <v>735</v>
      </c>
      <c r="L29" s="601"/>
    </row>
    <row r="30" spans="1:12" ht="12.75" customHeight="1" thickBot="1" x14ac:dyDescent="0.25">
      <c r="A30" s="284"/>
      <c r="B30" s="5"/>
      <c r="C30" s="6">
        <f>SUM(C26:C29)</f>
        <v>370</v>
      </c>
      <c r="D30" s="6">
        <f t="shared" ref="D30:H30" si="20">SUM(D26:D29)</f>
        <v>585</v>
      </c>
      <c r="E30" s="6">
        <f t="shared" si="20"/>
        <v>650</v>
      </c>
      <c r="F30" s="6">
        <f t="shared" si="20"/>
        <v>700</v>
      </c>
      <c r="G30" s="6">
        <f t="shared" si="20"/>
        <v>735</v>
      </c>
      <c r="H30" s="6">
        <f t="shared" si="20"/>
        <v>740</v>
      </c>
      <c r="I30" s="6">
        <f t="shared" ref="I30" si="21">SUM(I26:I29)</f>
        <v>735</v>
      </c>
    </row>
    <row r="31" spans="1:12" ht="13.5" thickTop="1" x14ac:dyDescent="0.2">
      <c r="A31" s="3"/>
      <c r="B31" s="3"/>
      <c r="C31" s="3"/>
      <c r="D31" s="3"/>
      <c r="E31" s="3"/>
      <c r="F31" s="3"/>
      <c r="G31" s="3"/>
      <c r="H31" s="3"/>
      <c r="I31" s="3"/>
    </row>
    <row r="32" spans="1:12" x14ac:dyDescent="0.2">
      <c r="A32" s="3" t="s">
        <v>357</v>
      </c>
      <c r="B32" s="3" t="s">
        <v>358</v>
      </c>
      <c r="C32" s="3" t="s">
        <v>1113</v>
      </c>
      <c r="D32" s="3" t="s">
        <v>1114</v>
      </c>
      <c r="E32" s="3" t="s">
        <v>1115</v>
      </c>
      <c r="F32" s="3" t="s">
        <v>1116</v>
      </c>
      <c r="G32" s="3" t="s">
        <v>1117</v>
      </c>
      <c r="H32" s="3" t="s">
        <v>1118</v>
      </c>
      <c r="I32" s="3" t="s">
        <v>1119</v>
      </c>
    </row>
    <row r="33" spans="1:9" hidden="1" x14ac:dyDescent="0.2">
      <c r="A33" s="3" t="s">
        <v>366</v>
      </c>
      <c r="B33" s="3" t="s">
        <v>18</v>
      </c>
      <c r="C33" s="3"/>
      <c r="D33" s="3"/>
      <c r="E33" s="3"/>
      <c r="F33" s="3"/>
      <c r="G33" s="3"/>
      <c r="H33" s="3"/>
      <c r="I33" s="3"/>
    </row>
    <row r="34" spans="1:9" hidden="1" x14ac:dyDescent="0.2">
      <c r="A34" s="3" t="s">
        <v>366</v>
      </c>
      <c r="B34" s="3" t="s">
        <v>19</v>
      </c>
      <c r="C34" s="3"/>
      <c r="D34" s="3"/>
      <c r="E34" s="3"/>
      <c r="F34" s="3"/>
      <c r="G34" s="3"/>
      <c r="H34" s="3"/>
      <c r="I34" s="3"/>
    </row>
    <row r="35" spans="1:9" hidden="1" x14ac:dyDescent="0.2">
      <c r="A35" s="3" t="s">
        <v>366</v>
      </c>
      <c r="B35" s="3" t="s">
        <v>20</v>
      </c>
      <c r="C35" s="3"/>
      <c r="D35" s="3"/>
      <c r="E35" s="3"/>
      <c r="F35" s="3"/>
      <c r="G35" s="3"/>
      <c r="H35" s="3"/>
      <c r="I35" s="3"/>
    </row>
    <row r="36" spans="1:9" hidden="1" x14ac:dyDescent="0.2">
      <c r="A36" s="3" t="s">
        <v>366</v>
      </c>
      <c r="B36" s="3" t="s">
        <v>21</v>
      </c>
      <c r="C36" s="3"/>
      <c r="D36" s="3"/>
      <c r="E36" s="3"/>
      <c r="F36" s="3"/>
      <c r="G36" s="3"/>
      <c r="H36" s="3"/>
      <c r="I36" s="3"/>
    </row>
    <row r="37" spans="1:9" hidden="1" x14ac:dyDescent="0.2">
      <c r="A37" s="3" t="s">
        <v>366</v>
      </c>
      <c r="B37" s="3" t="s">
        <v>22</v>
      </c>
      <c r="C37" s="3"/>
      <c r="D37" s="3"/>
      <c r="E37" s="3"/>
      <c r="F37" s="3"/>
      <c r="G37" s="3"/>
      <c r="H37" s="3"/>
      <c r="I37" s="3"/>
    </row>
    <row r="38" spans="1:9" hidden="1" x14ac:dyDescent="0.2">
      <c r="A38" s="3" t="s">
        <v>366</v>
      </c>
      <c r="B38" s="3" t="s">
        <v>23</v>
      </c>
      <c r="C38" s="3"/>
      <c r="D38" s="3"/>
      <c r="E38" s="3"/>
      <c r="F38" s="3"/>
      <c r="G38" s="3"/>
      <c r="H38" s="3"/>
      <c r="I38" s="3"/>
    </row>
    <row r="39" spans="1:9" hidden="1" x14ac:dyDescent="0.2">
      <c r="A39" s="3" t="s">
        <v>366</v>
      </c>
      <c r="B39" s="3" t="s">
        <v>24</v>
      </c>
      <c r="C39" s="3"/>
      <c r="D39" s="3"/>
      <c r="E39" s="3"/>
      <c r="F39" s="3"/>
      <c r="G39" s="3"/>
      <c r="H39" s="3"/>
      <c r="I39" s="3"/>
    </row>
    <row r="40" spans="1:9" hidden="1" x14ac:dyDescent="0.2">
      <c r="A40" s="3" t="s">
        <v>366</v>
      </c>
      <c r="B40" s="3" t="s">
        <v>25</v>
      </c>
      <c r="C40" s="3"/>
      <c r="D40" s="3"/>
      <c r="E40" s="3"/>
      <c r="F40" s="3"/>
      <c r="G40" s="3"/>
      <c r="H40" s="3"/>
      <c r="I40" s="3"/>
    </row>
    <row r="41" spans="1:9" hidden="1" x14ac:dyDescent="0.2">
      <c r="A41" s="3" t="s">
        <v>366</v>
      </c>
      <c r="B41" s="3" t="s">
        <v>26</v>
      </c>
      <c r="C41" s="3"/>
      <c r="D41" s="3"/>
      <c r="E41" s="3"/>
      <c r="F41" s="3"/>
      <c r="G41" s="3"/>
      <c r="H41" s="3"/>
      <c r="I41" s="3"/>
    </row>
    <row r="42" spans="1:9" hidden="1" x14ac:dyDescent="0.2">
      <c r="A42" s="3" t="s">
        <v>366</v>
      </c>
      <c r="B42" s="3" t="s">
        <v>27</v>
      </c>
      <c r="C42" s="3"/>
      <c r="D42" s="3"/>
      <c r="E42" s="3"/>
      <c r="F42" s="3"/>
      <c r="G42" s="3"/>
      <c r="H42" s="3"/>
      <c r="I42" s="3"/>
    </row>
    <row r="43" spans="1:9" x14ac:dyDescent="0.2">
      <c r="A43" s="3" t="s">
        <v>366</v>
      </c>
      <c r="B43" s="3" t="s">
        <v>28</v>
      </c>
      <c r="C43" s="3">
        <v>2</v>
      </c>
      <c r="D43" s="3">
        <v>1</v>
      </c>
      <c r="E43" s="3">
        <v>1</v>
      </c>
      <c r="F43" s="3">
        <v>1</v>
      </c>
      <c r="G43" s="3">
        <v>2</v>
      </c>
      <c r="H43" s="3">
        <v>2</v>
      </c>
      <c r="I43" s="3">
        <v>2</v>
      </c>
    </row>
    <row r="44" spans="1:9" x14ac:dyDescent="0.2">
      <c r="A44" s="3" t="s">
        <v>366</v>
      </c>
      <c r="B44" s="3" t="s">
        <v>29</v>
      </c>
      <c r="C44" s="3">
        <v>7</v>
      </c>
      <c r="D44" s="3">
        <v>18</v>
      </c>
      <c r="E44" s="3">
        <v>19</v>
      </c>
      <c r="F44" s="3">
        <v>19</v>
      </c>
      <c r="G44" s="3">
        <v>21</v>
      </c>
      <c r="H44" s="3">
        <v>21</v>
      </c>
      <c r="I44" s="3">
        <v>15</v>
      </c>
    </row>
    <row r="45" spans="1:9" x14ac:dyDescent="0.2">
      <c r="A45" s="3" t="s">
        <v>366</v>
      </c>
      <c r="B45" s="3" t="s">
        <v>30</v>
      </c>
      <c r="C45" s="3">
        <v>24</v>
      </c>
      <c r="D45" s="3">
        <v>55</v>
      </c>
      <c r="E45" s="3">
        <v>60</v>
      </c>
      <c r="F45" s="3">
        <v>65</v>
      </c>
      <c r="G45" s="3">
        <v>62</v>
      </c>
      <c r="H45" s="3">
        <v>62</v>
      </c>
      <c r="I45" s="3">
        <v>56</v>
      </c>
    </row>
    <row r="46" spans="1:9" x14ac:dyDescent="0.2">
      <c r="A46" s="3" t="s">
        <v>366</v>
      </c>
      <c r="B46" s="3" t="s">
        <v>31</v>
      </c>
      <c r="C46" s="3">
        <v>302</v>
      </c>
      <c r="D46" s="3">
        <v>246</v>
      </c>
      <c r="E46" s="3">
        <v>270</v>
      </c>
      <c r="F46" s="3">
        <v>275</v>
      </c>
      <c r="G46" s="3">
        <v>283</v>
      </c>
      <c r="H46" s="3">
        <v>283</v>
      </c>
      <c r="I46" s="3">
        <v>295</v>
      </c>
    </row>
    <row r="47" spans="1:9" ht="13.5" thickBot="1" x14ac:dyDescent="0.25">
      <c r="A47" s="473" t="s">
        <v>366</v>
      </c>
      <c r="B47" s="473" t="s">
        <v>14</v>
      </c>
      <c r="C47" s="473">
        <f>SUBTOTAL(109,C33:C46)</f>
        <v>335</v>
      </c>
      <c r="D47" s="473">
        <f>SUBTOTAL(109,D33:D46)</f>
        <v>320</v>
      </c>
      <c r="E47" s="473">
        <f t="shared" ref="E47:I47" si="22">SUBTOTAL(109,E33:E46)</f>
        <v>350</v>
      </c>
      <c r="F47" s="473">
        <f t="shared" si="22"/>
        <v>360</v>
      </c>
      <c r="G47" s="473">
        <f t="shared" si="22"/>
        <v>368</v>
      </c>
      <c r="H47" s="473">
        <f t="shared" si="22"/>
        <v>368</v>
      </c>
      <c r="I47" s="473">
        <f t="shared" si="22"/>
        <v>368</v>
      </c>
    </row>
    <row r="48" spans="1:9" ht="13.5" hidden="1" thickTop="1" x14ac:dyDescent="0.2">
      <c r="A48" s="294" t="s">
        <v>366</v>
      </c>
      <c r="B48" s="294" t="s">
        <v>359</v>
      </c>
      <c r="C48" s="294">
        <v>44</v>
      </c>
      <c r="D48" s="294"/>
      <c r="E48" s="294"/>
      <c r="F48" s="294"/>
      <c r="G48" s="294"/>
      <c r="H48" s="294"/>
      <c r="I48" s="294">
        <v>48</v>
      </c>
    </row>
    <row r="49" spans="1:9" hidden="1" x14ac:dyDescent="0.2">
      <c r="A49" s="294" t="s">
        <v>366</v>
      </c>
      <c r="B49" s="294"/>
      <c r="C49" s="294" t="s">
        <v>362</v>
      </c>
      <c r="D49" s="294"/>
      <c r="E49" s="294"/>
      <c r="F49" s="294"/>
      <c r="G49" s="294"/>
      <c r="H49" s="294"/>
      <c r="I49" s="294" t="s">
        <v>361</v>
      </c>
    </row>
    <row r="50" spans="1:9" ht="13.5" thickTop="1" x14ac:dyDescent="0.2">
      <c r="A50" s="3"/>
      <c r="B50" s="9"/>
      <c r="C50" s="3"/>
      <c r="D50" s="3"/>
      <c r="E50" s="3"/>
      <c r="F50" s="3"/>
      <c r="G50" s="3"/>
      <c r="H50" s="3"/>
      <c r="I50" s="3"/>
    </row>
    <row r="51" spans="1:9" hidden="1" x14ac:dyDescent="0.2">
      <c r="A51" s="3" t="s">
        <v>367</v>
      </c>
      <c r="B51" s="9" t="s">
        <v>18</v>
      </c>
      <c r="C51" s="3"/>
      <c r="D51" s="3"/>
      <c r="E51" s="3"/>
      <c r="F51" s="3"/>
      <c r="G51" s="3"/>
      <c r="H51" s="3"/>
      <c r="I51" s="3"/>
    </row>
    <row r="52" spans="1:9" hidden="1" x14ac:dyDescent="0.2">
      <c r="A52" s="3" t="s">
        <v>367</v>
      </c>
      <c r="B52" s="9" t="s">
        <v>19</v>
      </c>
      <c r="C52" s="3"/>
      <c r="D52" s="3"/>
      <c r="E52" s="3"/>
      <c r="F52" s="3"/>
      <c r="G52" s="3"/>
      <c r="H52" s="3"/>
      <c r="I52" s="3"/>
    </row>
    <row r="53" spans="1:9" hidden="1" x14ac:dyDescent="0.2">
      <c r="A53" s="3" t="s">
        <v>367</v>
      </c>
      <c r="B53" s="9" t="s">
        <v>20</v>
      </c>
      <c r="C53" s="3"/>
      <c r="D53" s="3"/>
      <c r="E53" s="3"/>
      <c r="F53" s="3"/>
      <c r="G53" s="3"/>
      <c r="H53" s="3"/>
      <c r="I53" s="3"/>
    </row>
    <row r="54" spans="1:9" hidden="1" x14ac:dyDescent="0.2">
      <c r="A54" s="3" t="s">
        <v>367</v>
      </c>
      <c r="B54" s="9" t="s">
        <v>21</v>
      </c>
      <c r="C54" s="3"/>
      <c r="D54" s="3"/>
      <c r="E54" s="3"/>
      <c r="F54" s="3"/>
      <c r="G54" s="3"/>
      <c r="H54" s="3"/>
      <c r="I54" s="3"/>
    </row>
    <row r="55" spans="1:9" hidden="1" x14ac:dyDescent="0.2">
      <c r="A55" s="3" t="s">
        <v>367</v>
      </c>
      <c r="B55" s="9" t="s">
        <v>22</v>
      </c>
      <c r="C55" s="3"/>
      <c r="D55" s="3"/>
      <c r="E55" s="3"/>
      <c r="F55" s="3"/>
      <c r="G55" s="3"/>
      <c r="H55" s="3"/>
      <c r="I55" s="3"/>
    </row>
    <row r="56" spans="1:9" hidden="1" x14ac:dyDescent="0.2">
      <c r="A56" s="3" t="s">
        <v>367</v>
      </c>
      <c r="B56" s="9" t="s">
        <v>23</v>
      </c>
      <c r="C56" s="3"/>
      <c r="D56" s="3"/>
      <c r="E56" s="3"/>
      <c r="F56" s="3"/>
      <c r="G56" s="3"/>
      <c r="H56" s="3"/>
      <c r="I56" s="3"/>
    </row>
    <row r="57" spans="1:9" hidden="1" x14ac:dyDescent="0.2">
      <c r="A57" s="3" t="s">
        <v>367</v>
      </c>
      <c r="B57" s="9" t="s">
        <v>24</v>
      </c>
      <c r="C57" s="3"/>
      <c r="D57" s="3"/>
      <c r="E57" s="3"/>
      <c r="F57" s="3"/>
      <c r="G57" s="3"/>
      <c r="H57" s="3"/>
      <c r="I57" s="3"/>
    </row>
    <row r="58" spans="1:9" hidden="1" x14ac:dyDescent="0.2">
      <c r="A58" s="3" t="s">
        <v>367</v>
      </c>
      <c r="B58" s="9" t="s">
        <v>25</v>
      </c>
      <c r="C58" s="3"/>
      <c r="D58" s="3"/>
      <c r="E58" s="3"/>
      <c r="F58" s="3"/>
      <c r="G58" s="3"/>
      <c r="H58" s="3"/>
      <c r="I58" s="3"/>
    </row>
    <row r="59" spans="1:9" hidden="1" x14ac:dyDescent="0.2">
      <c r="A59" s="3" t="s">
        <v>367</v>
      </c>
      <c r="B59" s="9" t="s">
        <v>26</v>
      </c>
      <c r="C59" s="3"/>
      <c r="D59" s="3"/>
      <c r="E59" s="3"/>
      <c r="F59" s="3"/>
      <c r="G59" s="3"/>
      <c r="H59" s="3"/>
      <c r="I59" s="3"/>
    </row>
    <row r="60" spans="1:9" hidden="1" x14ac:dyDescent="0.2">
      <c r="A60" s="3" t="s">
        <v>367</v>
      </c>
      <c r="B60" s="9" t="s">
        <v>27</v>
      </c>
      <c r="C60" s="3"/>
      <c r="D60" s="3"/>
      <c r="E60" s="3"/>
      <c r="F60" s="3"/>
      <c r="G60" s="3"/>
      <c r="H60" s="3"/>
      <c r="I60" s="3"/>
    </row>
    <row r="61" spans="1:9" x14ac:dyDescent="0.2">
      <c r="A61" s="3" t="s">
        <v>367</v>
      </c>
      <c r="B61" s="9" t="s">
        <v>28</v>
      </c>
      <c r="C61" s="3">
        <v>0</v>
      </c>
      <c r="D61" s="3"/>
      <c r="E61" s="3"/>
      <c r="F61" s="3"/>
      <c r="G61" s="3"/>
      <c r="H61" s="3"/>
      <c r="I61" s="3"/>
    </row>
    <row r="62" spans="1:9" x14ac:dyDescent="0.2">
      <c r="A62" s="3" t="s">
        <v>367</v>
      </c>
      <c r="B62" s="9" t="s">
        <v>29</v>
      </c>
      <c r="C62" s="3">
        <v>0</v>
      </c>
      <c r="D62" s="3">
        <v>16</v>
      </c>
      <c r="E62" s="3">
        <v>20</v>
      </c>
      <c r="F62" s="3">
        <v>20</v>
      </c>
      <c r="G62" s="3">
        <v>22</v>
      </c>
      <c r="H62" s="3">
        <v>22</v>
      </c>
      <c r="I62" s="3">
        <v>22</v>
      </c>
    </row>
    <row r="63" spans="1:9" x14ac:dyDescent="0.2">
      <c r="A63" s="3" t="s">
        <v>367</v>
      </c>
      <c r="B63" s="9" t="s">
        <v>30</v>
      </c>
      <c r="C63" s="3">
        <v>0</v>
      </c>
      <c r="D63" s="3">
        <v>43</v>
      </c>
      <c r="E63" s="3">
        <v>55</v>
      </c>
      <c r="F63" s="3">
        <v>60</v>
      </c>
      <c r="G63" s="3">
        <v>62</v>
      </c>
      <c r="H63" s="3">
        <v>62</v>
      </c>
      <c r="I63" s="3">
        <v>55</v>
      </c>
    </row>
    <row r="64" spans="1:9" x14ac:dyDescent="0.2">
      <c r="A64" s="3" t="s">
        <v>367</v>
      </c>
      <c r="B64" s="285" t="s">
        <v>31</v>
      </c>
      <c r="C64" s="3">
        <v>0</v>
      </c>
      <c r="D64" s="3">
        <v>206</v>
      </c>
      <c r="E64" s="3">
        <v>225</v>
      </c>
      <c r="F64" s="3">
        <v>260</v>
      </c>
      <c r="G64" s="3">
        <v>283</v>
      </c>
      <c r="H64" s="3">
        <v>283</v>
      </c>
      <c r="I64" s="3">
        <v>294</v>
      </c>
    </row>
    <row r="65" spans="1:9" ht="13.5" thickBot="1" x14ac:dyDescent="0.25">
      <c r="A65" s="473" t="s">
        <v>367</v>
      </c>
      <c r="B65" s="473" t="s">
        <v>14</v>
      </c>
      <c r="C65" s="473">
        <f>SUBTOTAL(109,C51:C64)</f>
        <v>0</v>
      </c>
      <c r="D65" s="473">
        <f>SUBTOTAL(109,D51:D64)</f>
        <v>265</v>
      </c>
      <c r="E65" s="473">
        <f t="shared" ref="E65:I65" si="23">SUBTOTAL(109,E51:E64)</f>
        <v>300</v>
      </c>
      <c r="F65" s="473">
        <f t="shared" si="23"/>
        <v>340</v>
      </c>
      <c r="G65" s="473">
        <f t="shared" si="23"/>
        <v>367</v>
      </c>
      <c r="H65" s="473">
        <f t="shared" si="23"/>
        <v>367</v>
      </c>
      <c r="I65" s="473">
        <f t="shared" si="23"/>
        <v>371</v>
      </c>
    </row>
    <row r="66" spans="1:9" ht="13.5" hidden="1" thickTop="1" x14ac:dyDescent="0.2">
      <c r="A66" s="294" t="s">
        <v>367</v>
      </c>
      <c r="B66" s="294" t="s">
        <v>359</v>
      </c>
      <c r="C66" s="294">
        <v>52</v>
      </c>
      <c r="D66" s="294"/>
      <c r="E66" s="294"/>
      <c r="F66" s="294"/>
      <c r="G66" s="294"/>
      <c r="H66" s="294"/>
      <c r="I66" s="294">
        <v>52</v>
      </c>
    </row>
    <row r="67" spans="1:9" hidden="1" x14ac:dyDescent="0.2">
      <c r="A67" s="294" t="s">
        <v>367</v>
      </c>
      <c r="B67" s="294"/>
      <c r="C67" s="294" t="s">
        <v>362</v>
      </c>
      <c r="D67" s="294"/>
      <c r="E67" s="294"/>
      <c r="F67" s="294"/>
      <c r="G67" s="294"/>
      <c r="H67" s="294"/>
      <c r="I67" s="294" t="s">
        <v>363</v>
      </c>
    </row>
    <row r="68" spans="1:9" hidden="1" x14ac:dyDescent="0.2">
      <c r="A68" s="3"/>
      <c r="B68" s="9"/>
      <c r="C68" s="3"/>
      <c r="D68" s="3"/>
      <c r="E68" s="3"/>
      <c r="F68" s="3"/>
      <c r="G68" s="3"/>
      <c r="H68" s="3"/>
      <c r="I68" s="3"/>
    </row>
    <row r="69" spans="1:9" hidden="1" x14ac:dyDescent="0.2">
      <c r="A69" s="3" t="s">
        <v>368</v>
      </c>
      <c r="B69" s="9" t="s">
        <v>18</v>
      </c>
      <c r="C69" s="3"/>
      <c r="D69" s="3"/>
      <c r="E69" s="3"/>
      <c r="F69" s="3"/>
      <c r="G69" s="3"/>
      <c r="H69" s="3"/>
      <c r="I69" s="3"/>
    </row>
    <row r="70" spans="1:9" hidden="1" x14ac:dyDescent="0.2">
      <c r="A70" s="3" t="s">
        <v>368</v>
      </c>
      <c r="B70" s="9" t="s">
        <v>19</v>
      </c>
      <c r="C70" s="3"/>
      <c r="D70" s="3"/>
      <c r="E70" s="3"/>
      <c r="F70" s="3"/>
      <c r="G70" s="3"/>
      <c r="H70" s="3"/>
      <c r="I70" s="3"/>
    </row>
    <row r="71" spans="1:9" hidden="1" x14ac:dyDescent="0.2">
      <c r="A71" s="3" t="s">
        <v>368</v>
      </c>
      <c r="B71" s="9" t="s">
        <v>20</v>
      </c>
      <c r="C71" s="3"/>
      <c r="D71" s="3"/>
      <c r="E71" s="3"/>
      <c r="F71" s="3"/>
      <c r="G71" s="3"/>
      <c r="H71" s="3"/>
      <c r="I71" s="3"/>
    </row>
    <row r="72" spans="1:9" hidden="1" x14ac:dyDescent="0.2">
      <c r="A72" s="3" t="s">
        <v>368</v>
      </c>
      <c r="B72" s="9" t="s">
        <v>21</v>
      </c>
      <c r="C72" s="3"/>
      <c r="D72" s="3"/>
      <c r="E72" s="3"/>
      <c r="F72" s="3"/>
      <c r="G72" s="3"/>
      <c r="H72" s="3"/>
      <c r="I72" s="3"/>
    </row>
    <row r="73" spans="1:9" hidden="1" x14ac:dyDescent="0.2">
      <c r="A73" s="3" t="s">
        <v>368</v>
      </c>
      <c r="B73" s="9" t="s">
        <v>22</v>
      </c>
      <c r="C73" s="3"/>
      <c r="D73" s="3"/>
      <c r="E73" s="3"/>
      <c r="F73" s="3"/>
      <c r="G73" s="3"/>
      <c r="H73" s="3"/>
      <c r="I73" s="3"/>
    </row>
    <row r="74" spans="1:9" hidden="1" x14ac:dyDescent="0.2">
      <c r="A74" s="3" t="s">
        <v>368</v>
      </c>
      <c r="B74" s="9" t="s">
        <v>23</v>
      </c>
      <c r="C74" s="3"/>
      <c r="D74" s="3"/>
      <c r="E74" s="3"/>
      <c r="F74" s="3"/>
      <c r="G74" s="3"/>
      <c r="H74" s="3"/>
      <c r="I74" s="3"/>
    </row>
    <row r="75" spans="1:9" hidden="1" x14ac:dyDescent="0.2">
      <c r="A75" s="3" t="s">
        <v>368</v>
      </c>
      <c r="B75" s="9" t="s">
        <v>24</v>
      </c>
      <c r="C75" s="3"/>
      <c r="D75" s="3"/>
      <c r="E75" s="3"/>
      <c r="F75" s="3"/>
      <c r="G75" s="3"/>
      <c r="H75" s="3"/>
      <c r="I75" s="3"/>
    </row>
    <row r="76" spans="1:9" hidden="1" x14ac:dyDescent="0.2">
      <c r="A76" s="3" t="s">
        <v>368</v>
      </c>
      <c r="B76" s="9" t="s">
        <v>25</v>
      </c>
      <c r="C76" s="3"/>
      <c r="D76" s="3"/>
      <c r="E76" s="3"/>
      <c r="F76" s="3"/>
      <c r="G76" s="3"/>
      <c r="H76" s="3"/>
      <c r="I76" s="3"/>
    </row>
    <row r="77" spans="1:9" hidden="1" x14ac:dyDescent="0.2">
      <c r="A77" s="3" t="s">
        <v>368</v>
      </c>
      <c r="B77" s="9" t="s">
        <v>26</v>
      </c>
      <c r="C77" s="3"/>
      <c r="D77" s="3"/>
      <c r="E77" s="3"/>
      <c r="F77" s="3"/>
      <c r="G77" s="3"/>
      <c r="H77" s="3"/>
      <c r="I77" s="3"/>
    </row>
    <row r="78" spans="1:9" hidden="1" x14ac:dyDescent="0.2">
      <c r="A78" s="3" t="s">
        <v>368</v>
      </c>
      <c r="B78" s="9" t="s">
        <v>27</v>
      </c>
      <c r="C78" s="3"/>
      <c r="D78" s="3"/>
      <c r="E78" s="3"/>
      <c r="F78" s="3"/>
      <c r="G78" s="3"/>
      <c r="H78" s="3"/>
      <c r="I78" s="3"/>
    </row>
    <row r="79" spans="1:9" hidden="1" x14ac:dyDescent="0.2">
      <c r="A79" s="3" t="s">
        <v>368</v>
      </c>
      <c r="B79" s="9" t="s">
        <v>28</v>
      </c>
      <c r="C79" s="3"/>
      <c r="D79" s="3"/>
      <c r="E79" s="3"/>
      <c r="F79" s="3"/>
      <c r="G79" s="3"/>
      <c r="H79" s="3"/>
      <c r="I79" s="3"/>
    </row>
    <row r="80" spans="1:9" hidden="1" x14ac:dyDescent="0.2">
      <c r="A80" s="3" t="s">
        <v>368</v>
      </c>
      <c r="B80" s="9" t="s">
        <v>29</v>
      </c>
      <c r="C80" s="3"/>
      <c r="D80" s="3"/>
      <c r="E80" s="3"/>
      <c r="F80" s="3"/>
      <c r="G80" s="3"/>
      <c r="H80" s="3"/>
      <c r="I80" s="3"/>
    </row>
    <row r="81" spans="1:9" hidden="1" x14ac:dyDescent="0.2">
      <c r="A81" s="3" t="s">
        <v>368</v>
      </c>
      <c r="B81" s="9" t="s">
        <v>30</v>
      </c>
      <c r="C81" s="3"/>
      <c r="D81" s="3"/>
      <c r="E81" s="3"/>
      <c r="F81" s="3"/>
      <c r="G81" s="3"/>
      <c r="H81" s="3"/>
      <c r="I81" s="3"/>
    </row>
    <row r="82" spans="1:9" hidden="1" x14ac:dyDescent="0.2">
      <c r="A82" s="3" t="s">
        <v>368</v>
      </c>
      <c r="B82" s="285" t="s">
        <v>31</v>
      </c>
      <c r="C82" s="3"/>
      <c r="D82" s="3"/>
      <c r="E82" s="3"/>
      <c r="F82" s="3"/>
      <c r="G82" s="3"/>
      <c r="H82" s="3"/>
      <c r="I82" s="3"/>
    </row>
    <row r="83" spans="1:9" ht="13.5" hidden="1" thickBot="1" x14ac:dyDescent="0.25">
      <c r="A83" s="5" t="s">
        <v>368</v>
      </c>
      <c r="B83" s="5" t="s">
        <v>14</v>
      </c>
      <c r="C83" s="5">
        <v>323</v>
      </c>
      <c r="D83" s="5">
        <v>390</v>
      </c>
      <c r="E83" s="5">
        <v>400</v>
      </c>
      <c r="F83" s="5">
        <v>400</v>
      </c>
      <c r="G83" s="5">
        <v>400</v>
      </c>
      <c r="H83" s="5">
        <v>400</v>
      </c>
      <c r="I83" s="5">
        <v>251.90000000000003</v>
      </c>
    </row>
    <row r="84" spans="1:9" ht="13.5" hidden="1" thickTop="1" x14ac:dyDescent="0.2">
      <c r="A84" s="294" t="s">
        <v>368</v>
      </c>
      <c r="B84" s="294" t="s">
        <v>359</v>
      </c>
      <c r="C84" s="294">
        <v>30</v>
      </c>
      <c r="D84" s="294"/>
      <c r="E84" s="294"/>
      <c r="F84" s="294"/>
      <c r="G84" s="294"/>
      <c r="H84" s="294"/>
      <c r="I84" s="294">
        <v>27</v>
      </c>
    </row>
    <row r="85" spans="1:9" hidden="1" x14ac:dyDescent="0.2">
      <c r="A85" s="294" t="s">
        <v>368</v>
      </c>
      <c r="B85" s="294"/>
      <c r="C85" s="294" t="s">
        <v>363</v>
      </c>
      <c r="D85" s="294"/>
      <c r="E85" s="294"/>
      <c r="F85" s="294"/>
      <c r="G85" s="294"/>
      <c r="H85" s="294"/>
      <c r="I85" s="294" t="s">
        <v>364</v>
      </c>
    </row>
    <row r="86" spans="1:9" hidden="1" x14ac:dyDescent="0.2">
      <c r="A86" s="3"/>
      <c r="B86" s="9"/>
      <c r="C86" s="3"/>
      <c r="D86" s="3"/>
      <c r="E86" s="3"/>
      <c r="F86" s="3"/>
      <c r="G86" s="3"/>
      <c r="H86" s="3"/>
      <c r="I86" s="3"/>
    </row>
    <row r="87" spans="1:9" hidden="1" x14ac:dyDescent="0.2">
      <c r="A87" s="3" t="s">
        <v>369</v>
      </c>
      <c r="B87" s="9" t="s">
        <v>18</v>
      </c>
      <c r="C87" s="3"/>
      <c r="D87" s="3"/>
      <c r="E87" s="3"/>
      <c r="F87" s="3"/>
      <c r="G87" s="3"/>
      <c r="H87" s="3"/>
      <c r="I87" s="3"/>
    </row>
    <row r="88" spans="1:9" hidden="1" x14ac:dyDescent="0.2">
      <c r="A88" s="3" t="s">
        <v>369</v>
      </c>
      <c r="B88" s="9" t="s">
        <v>19</v>
      </c>
      <c r="C88" s="3"/>
      <c r="D88" s="3"/>
      <c r="E88" s="3"/>
      <c r="F88" s="3"/>
      <c r="G88" s="3"/>
      <c r="H88" s="3"/>
      <c r="I88" s="3"/>
    </row>
    <row r="89" spans="1:9" hidden="1" x14ac:dyDescent="0.2">
      <c r="A89" s="3" t="s">
        <v>369</v>
      </c>
      <c r="B89" s="9" t="s">
        <v>20</v>
      </c>
      <c r="C89" s="3"/>
      <c r="D89" s="3"/>
      <c r="E89" s="3"/>
      <c r="F89" s="3"/>
      <c r="G89" s="3"/>
      <c r="H89" s="3"/>
      <c r="I89" s="3"/>
    </row>
    <row r="90" spans="1:9" hidden="1" x14ac:dyDescent="0.2">
      <c r="A90" s="3" t="s">
        <v>369</v>
      </c>
      <c r="B90" s="9" t="s">
        <v>21</v>
      </c>
      <c r="C90" s="3"/>
      <c r="D90" s="3"/>
      <c r="E90" s="3"/>
      <c r="F90" s="3"/>
      <c r="G90" s="3"/>
      <c r="H90" s="3"/>
      <c r="I90" s="3"/>
    </row>
    <row r="91" spans="1:9" hidden="1" x14ac:dyDescent="0.2">
      <c r="A91" s="3" t="s">
        <v>369</v>
      </c>
      <c r="B91" s="9" t="s">
        <v>22</v>
      </c>
      <c r="C91" s="3"/>
      <c r="D91" s="3"/>
      <c r="E91" s="3"/>
      <c r="F91" s="3"/>
      <c r="G91" s="3"/>
      <c r="H91" s="3"/>
      <c r="I91" s="3"/>
    </row>
    <row r="92" spans="1:9" hidden="1" x14ac:dyDescent="0.2">
      <c r="A92" s="3" t="s">
        <v>369</v>
      </c>
      <c r="B92" s="9" t="s">
        <v>23</v>
      </c>
      <c r="C92" s="3"/>
      <c r="D92" s="3"/>
      <c r="E92" s="3"/>
      <c r="F92" s="3"/>
      <c r="G92" s="3"/>
      <c r="H92" s="3"/>
      <c r="I92" s="3"/>
    </row>
    <row r="93" spans="1:9" hidden="1" x14ac:dyDescent="0.2">
      <c r="A93" s="3" t="s">
        <v>369</v>
      </c>
      <c r="B93" s="9" t="s">
        <v>24</v>
      </c>
      <c r="C93" s="3"/>
      <c r="D93" s="3"/>
      <c r="E93" s="3"/>
      <c r="F93" s="3"/>
      <c r="G93" s="3"/>
      <c r="H93" s="3"/>
      <c r="I93" s="3"/>
    </row>
    <row r="94" spans="1:9" hidden="1" x14ac:dyDescent="0.2">
      <c r="A94" s="3" t="s">
        <v>369</v>
      </c>
      <c r="B94" s="9" t="s">
        <v>25</v>
      </c>
      <c r="C94" s="3"/>
      <c r="D94" s="3"/>
      <c r="E94" s="3"/>
      <c r="F94" s="3"/>
      <c r="G94" s="3"/>
      <c r="H94" s="3"/>
      <c r="I94" s="3"/>
    </row>
    <row r="95" spans="1:9" hidden="1" x14ac:dyDescent="0.2">
      <c r="A95" s="3" t="s">
        <v>369</v>
      </c>
      <c r="B95" s="9" t="s">
        <v>26</v>
      </c>
      <c r="C95" s="3"/>
      <c r="D95" s="3"/>
      <c r="E95" s="3"/>
      <c r="F95" s="3"/>
      <c r="G95" s="3"/>
      <c r="H95" s="3"/>
      <c r="I95" s="3"/>
    </row>
    <row r="96" spans="1:9" hidden="1" x14ac:dyDescent="0.2">
      <c r="A96" s="3" t="s">
        <v>369</v>
      </c>
      <c r="B96" s="9" t="s">
        <v>27</v>
      </c>
      <c r="C96" s="3"/>
      <c r="D96" s="3"/>
      <c r="E96" s="3"/>
      <c r="F96" s="3"/>
      <c r="G96" s="3"/>
      <c r="H96" s="3"/>
      <c r="I96" s="3"/>
    </row>
    <row r="97" spans="1:9" hidden="1" x14ac:dyDescent="0.2">
      <c r="A97" s="3" t="s">
        <v>369</v>
      </c>
      <c r="B97" s="9" t="s">
        <v>28</v>
      </c>
      <c r="C97" s="3"/>
      <c r="D97" s="3"/>
      <c r="E97" s="3"/>
      <c r="F97" s="3"/>
      <c r="G97" s="3"/>
      <c r="H97" s="3"/>
      <c r="I97" s="3"/>
    </row>
    <row r="98" spans="1:9" hidden="1" x14ac:dyDescent="0.2">
      <c r="A98" s="3" t="s">
        <v>369</v>
      </c>
      <c r="B98" s="9" t="s">
        <v>29</v>
      </c>
      <c r="C98" s="3"/>
      <c r="D98" s="3"/>
      <c r="E98" s="3"/>
      <c r="F98" s="3"/>
      <c r="G98" s="3"/>
      <c r="H98" s="3"/>
      <c r="I98" s="3"/>
    </row>
    <row r="99" spans="1:9" hidden="1" x14ac:dyDescent="0.2">
      <c r="A99" s="3" t="s">
        <v>369</v>
      </c>
      <c r="B99" s="9" t="s">
        <v>30</v>
      </c>
      <c r="C99" s="3"/>
      <c r="D99" s="3"/>
      <c r="E99" s="3"/>
      <c r="F99" s="3"/>
      <c r="G99" s="3"/>
      <c r="H99" s="3"/>
      <c r="I99" s="3"/>
    </row>
    <row r="100" spans="1:9" hidden="1" x14ac:dyDescent="0.2">
      <c r="A100" s="3" t="s">
        <v>369</v>
      </c>
      <c r="B100" s="285" t="s">
        <v>31</v>
      </c>
      <c r="C100" s="3"/>
      <c r="D100" s="3"/>
      <c r="E100" s="3"/>
      <c r="F100" s="3"/>
      <c r="G100" s="3"/>
      <c r="H100" s="3"/>
      <c r="I100" s="3"/>
    </row>
    <row r="101" spans="1:9" ht="13.5" hidden="1" thickBot="1" x14ac:dyDescent="0.25">
      <c r="A101" s="5" t="s">
        <v>369</v>
      </c>
      <c r="B101" s="5" t="s">
        <v>14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/>
    </row>
    <row r="102" spans="1:9" ht="13.5" hidden="1" thickTop="1" x14ac:dyDescent="0.2">
      <c r="A102" s="294" t="s">
        <v>369</v>
      </c>
      <c r="B102" s="294" t="s">
        <v>359</v>
      </c>
      <c r="C102" s="294">
        <v>1</v>
      </c>
      <c r="D102" s="294"/>
      <c r="E102" s="294"/>
      <c r="F102" s="294"/>
      <c r="G102" s="294"/>
      <c r="H102" s="294"/>
      <c r="I102" s="294"/>
    </row>
    <row r="103" spans="1:9" hidden="1" x14ac:dyDescent="0.2">
      <c r="A103" s="294" t="s">
        <v>369</v>
      </c>
      <c r="B103" s="294"/>
      <c r="C103" s="294" t="s">
        <v>365</v>
      </c>
      <c r="D103" s="294"/>
      <c r="E103" s="294"/>
      <c r="F103" s="294"/>
      <c r="G103" s="294"/>
      <c r="H103" s="294"/>
      <c r="I103" s="294"/>
    </row>
    <row r="104" spans="1:9" hidden="1" x14ac:dyDescent="0.2">
      <c r="A104" s="3"/>
      <c r="B104" s="9"/>
      <c r="C104" s="3"/>
      <c r="D104" s="3"/>
      <c r="E104" s="3"/>
      <c r="F104" s="3"/>
      <c r="G104" s="3"/>
      <c r="H104" s="3"/>
      <c r="I104" s="3"/>
    </row>
    <row r="105" spans="1:9" hidden="1" x14ac:dyDescent="0.2">
      <c r="A105" s="3" t="s">
        <v>370</v>
      </c>
      <c r="B105" s="9" t="s">
        <v>18</v>
      </c>
      <c r="C105" s="3"/>
      <c r="D105" s="3"/>
      <c r="E105" s="3"/>
      <c r="F105" s="3"/>
      <c r="G105" s="3"/>
      <c r="H105" s="3"/>
      <c r="I105" s="3"/>
    </row>
    <row r="106" spans="1:9" hidden="1" x14ac:dyDescent="0.2">
      <c r="A106" s="3" t="s">
        <v>370</v>
      </c>
      <c r="B106" s="9" t="s">
        <v>19</v>
      </c>
      <c r="C106" s="3"/>
      <c r="D106" s="3"/>
      <c r="E106" s="3"/>
      <c r="F106" s="3"/>
      <c r="G106" s="3"/>
      <c r="H106" s="3"/>
      <c r="I106" s="3"/>
    </row>
    <row r="107" spans="1:9" hidden="1" x14ac:dyDescent="0.2">
      <c r="A107" s="3" t="s">
        <v>370</v>
      </c>
      <c r="B107" s="9" t="s">
        <v>20</v>
      </c>
      <c r="C107" s="3"/>
      <c r="D107" s="3"/>
      <c r="E107" s="3"/>
      <c r="F107" s="3"/>
      <c r="G107" s="3"/>
      <c r="H107" s="3"/>
      <c r="I107" s="3"/>
    </row>
    <row r="108" spans="1:9" hidden="1" x14ac:dyDescent="0.2">
      <c r="A108" s="3" t="s">
        <v>370</v>
      </c>
      <c r="B108" s="9" t="s">
        <v>21</v>
      </c>
      <c r="C108" s="3"/>
      <c r="D108" s="3"/>
      <c r="E108" s="3"/>
      <c r="F108" s="3"/>
      <c r="G108" s="3"/>
      <c r="H108" s="3"/>
      <c r="I108" s="3"/>
    </row>
    <row r="109" spans="1:9" hidden="1" x14ac:dyDescent="0.2">
      <c r="A109" s="3" t="s">
        <v>370</v>
      </c>
      <c r="B109" s="9" t="s">
        <v>22</v>
      </c>
      <c r="C109" s="3"/>
      <c r="D109" s="3"/>
      <c r="E109" s="3"/>
      <c r="F109" s="3"/>
      <c r="G109" s="3"/>
      <c r="H109" s="3"/>
      <c r="I109" s="3"/>
    </row>
    <row r="110" spans="1:9" hidden="1" x14ac:dyDescent="0.2">
      <c r="A110" s="3" t="s">
        <v>370</v>
      </c>
      <c r="B110" s="9" t="s">
        <v>23</v>
      </c>
      <c r="C110" s="3"/>
      <c r="D110" s="3"/>
      <c r="E110" s="3"/>
      <c r="F110" s="3"/>
      <c r="G110" s="3"/>
      <c r="H110" s="3"/>
      <c r="I110" s="3"/>
    </row>
    <row r="111" spans="1:9" hidden="1" x14ac:dyDescent="0.2">
      <c r="A111" s="3" t="s">
        <v>370</v>
      </c>
      <c r="B111" s="9" t="s">
        <v>24</v>
      </c>
      <c r="C111" s="3"/>
      <c r="D111" s="3"/>
      <c r="E111" s="3"/>
      <c r="F111" s="3"/>
      <c r="G111" s="3"/>
      <c r="H111" s="3"/>
      <c r="I111" s="3"/>
    </row>
    <row r="112" spans="1:9" hidden="1" x14ac:dyDescent="0.2">
      <c r="A112" s="3" t="s">
        <v>370</v>
      </c>
      <c r="B112" s="9" t="s">
        <v>25</v>
      </c>
      <c r="C112" s="3"/>
      <c r="D112" s="3"/>
      <c r="E112" s="3"/>
      <c r="F112" s="3"/>
      <c r="G112" s="3"/>
      <c r="H112" s="3"/>
      <c r="I112" s="3"/>
    </row>
    <row r="113" spans="1:9" hidden="1" x14ac:dyDescent="0.2">
      <c r="A113" s="3" t="s">
        <v>370</v>
      </c>
      <c r="B113" s="9" t="s">
        <v>26</v>
      </c>
      <c r="C113" s="3"/>
      <c r="D113" s="3"/>
      <c r="E113" s="3"/>
      <c r="F113" s="3"/>
      <c r="G113" s="3"/>
      <c r="H113" s="3"/>
      <c r="I113" s="3"/>
    </row>
    <row r="114" spans="1:9" hidden="1" x14ac:dyDescent="0.2">
      <c r="A114" s="3" t="s">
        <v>370</v>
      </c>
      <c r="B114" s="9" t="s">
        <v>27</v>
      </c>
      <c r="C114" s="3"/>
      <c r="D114" s="3"/>
      <c r="E114" s="3"/>
      <c r="F114" s="3"/>
      <c r="G114" s="3"/>
      <c r="H114" s="3"/>
      <c r="I114" s="3"/>
    </row>
    <row r="115" spans="1:9" hidden="1" x14ac:dyDescent="0.2">
      <c r="A115" s="3" t="s">
        <v>370</v>
      </c>
      <c r="B115" s="9" t="s">
        <v>28</v>
      </c>
      <c r="C115" s="3"/>
      <c r="D115" s="3"/>
      <c r="E115" s="3"/>
      <c r="F115" s="3"/>
      <c r="G115" s="3"/>
      <c r="H115" s="3"/>
      <c r="I115" s="3"/>
    </row>
    <row r="116" spans="1:9" hidden="1" x14ac:dyDescent="0.2">
      <c r="A116" s="3" t="s">
        <v>370</v>
      </c>
      <c r="B116" s="9" t="s">
        <v>29</v>
      </c>
      <c r="C116" s="3"/>
      <c r="D116" s="3"/>
      <c r="E116" s="3"/>
      <c r="F116" s="3"/>
      <c r="G116" s="3"/>
      <c r="H116" s="3"/>
      <c r="I116" s="3"/>
    </row>
    <row r="117" spans="1:9" hidden="1" x14ac:dyDescent="0.2">
      <c r="A117" s="3" t="s">
        <v>370</v>
      </c>
      <c r="B117" s="9" t="s">
        <v>30</v>
      </c>
      <c r="C117" s="3"/>
      <c r="D117" s="3"/>
      <c r="E117" s="3"/>
      <c r="F117" s="3"/>
      <c r="G117" s="3"/>
      <c r="H117" s="3"/>
      <c r="I117" s="3"/>
    </row>
    <row r="118" spans="1:9" hidden="1" x14ac:dyDescent="0.2">
      <c r="A118" s="3" t="s">
        <v>370</v>
      </c>
      <c r="B118" s="285" t="s">
        <v>31</v>
      </c>
      <c r="C118" s="3"/>
      <c r="D118" s="3"/>
      <c r="E118" s="3"/>
      <c r="F118" s="3"/>
      <c r="G118" s="3"/>
      <c r="H118" s="3"/>
      <c r="I118" s="3"/>
    </row>
    <row r="119" spans="1:9" ht="13.5" hidden="1" thickBot="1" x14ac:dyDescent="0.25">
      <c r="A119" s="5" t="s">
        <v>370</v>
      </c>
      <c r="B119" s="5" t="s">
        <v>14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</row>
    <row r="120" spans="1:9" ht="13.5" hidden="1" thickTop="1" x14ac:dyDescent="0.2">
      <c r="A120" s="3" t="s">
        <v>370</v>
      </c>
      <c r="B120" s="3" t="s">
        <v>360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</row>
    <row r="121" spans="1:9" hidden="1" x14ac:dyDescent="0.2">
      <c r="A121" s="3"/>
      <c r="B121" s="9"/>
      <c r="C121" s="3"/>
      <c r="D121" s="3"/>
      <c r="E121" s="3"/>
      <c r="F121" s="3"/>
      <c r="G121" s="3"/>
      <c r="H121" s="3"/>
      <c r="I121" s="3"/>
    </row>
    <row r="122" spans="1:9" hidden="1" x14ac:dyDescent="0.2">
      <c r="A122" s="3" t="s">
        <v>371</v>
      </c>
      <c r="B122" s="9" t="s">
        <v>18</v>
      </c>
      <c r="C122" s="3"/>
      <c r="D122" s="3"/>
      <c r="E122" s="3"/>
      <c r="F122" s="3"/>
      <c r="G122" s="3"/>
      <c r="H122" s="3"/>
      <c r="I122" s="3"/>
    </row>
    <row r="123" spans="1:9" hidden="1" x14ac:dyDescent="0.2">
      <c r="A123" s="3" t="s">
        <v>371</v>
      </c>
      <c r="B123" s="9" t="s">
        <v>19</v>
      </c>
      <c r="C123" s="3"/>
      <c r="D123" s="3"/>
      <c r="E123" s="3"/>
      <c r="F123" s="3"/>
      <c r="G123" s="3"/>
      <c r="H123" s="3"/>
      <c r="I123" s="3"/>
    </row>
    <row r="124" spans="1:9" hidden="1" x14ac:dyDescent="0.2">
      <c r="A124" s="3" t="s">
        <v>371</v>
      </c>
      <c r="B124" s="9" t="s">
        <v>20</v>
      </c>
      <c r="C124" s="3"/>
      <c r="D124" s="3"/>
      <c r="E124" s="3"/>
      <c r="F124" s="3"/>
      <c r="G124" s="3"/>
      <c r="H124" s="3"/>
      <c r="I124" s="3"/>
    </row>
    <row r="125" spans="1:9" hidden="1" x14ac:dyDescent="0.2">
      <c r="A125" s="3" t="s">
        <v>371</v>
      </c>
      <c r="B125" s="9" t="s">
        <v>21</v>
      </c>
      <c r="C125" s="3"/>
      <c r="D125" s="3"/>
      <c r="E125" s="3"/>
      <c r="F125" s="3"/>
      <c r="G125" s="3"/>
      <c r="H125" s="3"/>
      <c r="I125" s="3"/>
    </row>
    <row r="126" spans="1:9" hidden="1" x14ac:dyDescent="0.2">
      <c r="A126" s="3" t="s">
        <v>371</v>
      </c>
      <c r="B126" s="9" t="s">
        <v>22</v>
      </c>
      <c r="C126" s="3"/>
      <c r="D126" s="3"/>
      <c r="E126" s="3"/>
      <c r="F126" s="3"/>
      <c r="G126" s="3"/>
      <c r="H126" s="3"/>
      <c r="I126" s="3"/>
    </row>
    <row r="127" spans="1:9" hidden="1" x14ac:dyDescent="0.2">
      <c r="A127" s="3" t="s">
        <v>371</v>
      </c>
      <c r="B127" s="9" t="s">
        <v>23</v>
      </c>
      <c r="C127" s="3"/>
      <c r="D127" s="3"/>
      <c r="E127" s="3"/>
      <c r="F127" s="3"/>
      <c r="G127" s="3"/>
      <c r="H127" s="3"/>
      <c r="I127" s="3"/>
    </row>
    <row r="128" spans="1:9" hidden="1" x14ac:dyDescent="0.2">
      <c r="A128" s="3" t="s">
        <v>371</v>
      </c>
      <c r="B128" s="9" t="s">
        <v>24</v>
      </c>
      <c r="C128" s="3"/>
      <c r="D128" s="3"/>
      <c r="E128" s="3"/>
      <c r="F128" s="3"/>
      <c r="G128" s="3"/>
      <c r="H128" s="3"/>
      <c r="I128" s="3"/>
    </row>
    <row r="129" spans="1:9" hidden="1" x14ac:dyDescent="0.2">
      <c r="A129" s="3" t="s">
        <v>371</v>
      </c>
      <c r="B129" s="9" t="s">
        <v>25</v>
      </c>
      <c r="C129" s="3"/>
      <c r="D129" s="3"/>
      <c r="E129" s="3"/>
      <c r="F129" s="3"/>
      <c r="G129" s="3"/>
      <c r="H129" s="3"/>
      <c r="I129" s="3"/>
    </row>
    <row r="130" spans="1:9" hidden="1" x14ac:dyDescent="0.2">
      <c r="A130" s="3" t="s">
        <v>371</v>
      </c>
      <c r="B130" s="9" t="s">
        <v>26</v>
      </c>
      <c r="C130" s="3"/>
      <c r="D130" s="3"/>
      <c r="E130" s="3"/>
      <c r="F130" s="3"/>
      <c r="G130" s="3"/>
      <c r="H130" s="3"/>
      <c r="I130" s="3"/>
    </row>
    <row r="131" spans="1:9" hidden="1" x14ac:dyDescent="0.2">
      <c r="A131" s="3" t="s">
        <v>371</v>
      </c>
      <c r="B131" s="9" t="s">
        <v>27</v>
      </c>
      <c r="C131" s="3"/>
      <c r="D131" s="3"/>
      <c r="E131" s="3"/>
      <c r="F131" s="3"/>
      <c r="G131" s="3"/>
      <c r="H131" s="3"/>
      <c r="I131" s="3"/>
    </row>
    <row r="132" spans="1:9" hidden="1" x14ac:dyDescent="0.2">
      <c r="A132" s="3" t="s">
        <v>371</v>
      </c>
      <c r="B132" s="9" t="s">
        <v>28</v>
      </c>
      <c r="C132" s="3"/>
      <c r="D132" s="3"/>
      <c r="E132" s="3"/>
      <c r="F132" s="3"/>
      <c r="G132" s="3"/>
      <c r="H132" s="3"/>
      <c r="I132" s="3"/>
    </row>
    <row r="133" spans="1:9" hidden="1" x14ac:dyDescent="0.2">
      <c r="A133" s="3" t="s">
        <v>371</v>
      </c>
      <c r="B133" s="9" t="s">
        <v>29</v>
      </c>
      <c r="C133" s="3"/>
      <c r="D133" s="3"/>
      <c r="E133" s="3"/>
      <c r="F133" s="3"/>
      <c r="G133" s="3"/>
      <c r="H133" s="3"/>
      <c r="I133" s="3"/>
    </row>
    <row r="134" spans="1:9" hidden="1" x14ac:dyDescent="0.2">
      <c r="A134" s="3" t="s">
        <v>371</v>
      </c>
      <c r="B134" s="9" t="s">
        <v>30</v>
      </c>
      <c r="C134" s="3"/>
      <c r="D134" s="3"/>
      <c r="E134" s="3"/>
      <c r="F134" s="3"/>
      <c r="G134" s="3"/>
      <c r="H134" s="3"/>
      <c r="I134" s="3"/>
    </row>
    <row r="135" spans="1:9" hidden="1" x14ac:dyDescent="0.2">
      <c r="A135" s="3" t="s">
        <v>371</v>
      </c>
      <c r="B135" s="285" t="s">
        <v>31</v>
      </c>
      <c r="C135" s="3"/>
      <c r="D135" s="3"/>
      <c r="E135" s="3"/>
      <c r="F135" s="3"/>
      <c r="G135" s="3"/>
      <c r="H135" s="3"/>
      <c r="I135" s="3"/>
    </row>
    <row r="136" spans="1:9" ht="13.5" hidden="1" thickBot="1" x14ac:dyDescent="0.25">
      <c r="A136" s="5" t="s">
        <v>371</v>
      </c>
      <c r="B136" s="5" t="s">
        <v>14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</row>
    <row r="137" spans="1:9" ht="13.5" hidden="1" thickTop="1" x14ac:dyDescent="0.2">
      <c r="A137" s="3" t="s">
        <v>371</v>
      </c>
      <c r="B137" s="3" t="s">
        <v>360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</row>
    <row r="138" spans="1:9" s="3" customFormat="1" ht="13.5" thickTop="1" x14ac:dyDescent="0.2">
      <c r="C138" s="386"/>
      <c r="D138" s="386"/>
      <c r="E138" s="386"/>
      <c r="F138" s="386"/>
      <c r="G138" s="386"/>
      <c r="H138" s="386"/>
      <c r="I138" s="386"/>
    </row>
  </sheetData>
  <phoneticPr fontId="40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1E9FE-98A8-43D3-8438-C1E4B32162C9}">
  <sheetPr codeName="Sheet4"/>
  <dimension ref="A1:J186"/>
  <sheetViews>
    <sheetView workbookViewId="0">
      <selection activeCell="M14" sqref="M14"/>
    </sheetView>
  </sheetViews>
  <sheetFormatPr defaultRowHeight="12.75" x14ac:dyDescent="0.2"/>
  <cols>
    <col min="1" max="1" width="28.85546875" bestFit="1" customWidth="1"/>
    <col min="2" max="3" width="12.42578125" bestFit="1" customWidth="1"/>
    <col min="4" max="8" width="13.5703125" bestFit="1" customWidth="1"/>
    <col min="9" max="9" width="12.28515625" customWidth="1"/>
  </cols>
  <sheetData>
    <row r="1" spans="1:10" ht="12.75" customHeight="1" x14ac:dyDescent="0.2">
      <c r="A1" s="2" t="str">
        <f>'# of Students'!A1</f>
        <v>Beacon Academy of Nevada</v>
      </c>
      <c r="B1" s="3"/>
      <c r="C1" s="3"/>
      <c r="D1" s="3"/>
      <c r="E1" s="3"/>
      <c r="F1" s="3"/>
      <c r="G1" s="3"/>
      <c r="H1" s="3"/>
      <c r="I1" s="60" t="str">
        <f>'# of Students'!G1</f>
        <v>Single</v>
      </c>
      <c r="J1" s="278" t="s">
        <v>17</v>
      </c>
    </row>
    <row r="2" spans="1:10" ht="12.75" customHeight="1" x14ac:dyDescent="0.2">
      <c r="A2" s="2" t="s">
        <v>6</v>
      </c>
      <c r="B2" s="3"/>
      <c r="C2" s="3"/>
      <c r="D2" s="3"/>
      <c r="E2" s="3"/>
      <c r="F2" s="3"/>
      <c r="G2" s="3"/>
      <c r="H2" s="3"/>
      <c r="I2" s="60" t="str">
        <f>'# of Students'!G2</f>
        <v>SPCSA</v>
      </c>
      <c r="J2" s="278" t="s">
        <v>9</v>
      </c>
    </row>
    <row r="3" spans="1:10" ht="12.75" customHeight="1" x14ac:dyDescent="0.2">
      <c r="A3" s="2" t="s">
        <v>8</v>
      </c>
      <c r="B3" s="61">
        <f>'# of Students'!B3</f>
        <v>2022</v>
      </c>
      <c r="C3" s="3"/>
      <c r="D3" s="3"/>
      <c r="E3" s="3"/>
      <c r="F3" s="3"/>
      <c r="G3" s="3"/>
      <c r="H3" s="3"/>
      <c r="I3" s="60" t="str">
        <f>'# of Students'!G3</f>
        <v>CLARK</v>
      </c>
      <c r="J3" s="278" t="s">
        <v>11</v>
      </c>
    </row>
    <row r="4" spans="1:10" ht="12.75" customHeight="1" x14ac:dyDescent="0.2">
      <c r="A4" s="3"/>
      <c r="B4" s="3"/>
      <c r="C4" s="3"/>
      <c r="D4" s="3"/>
      <c r="E4" s="3"/>
      <c r="F4" s="3"/>
      <c r="G4" s="3"/>
      <c r="H4" s="3"/>
    </row>
    <row r="5" spans="1:10" ht="12.75" customHeight="1" x14ac:dyDescent="0.2">
      <c r="A5" s="3"/>
      <c r="B5" s="3"/>
      <c r="C5" s="286">
        <f>(C10-B10)/B10</f>
        <v>1.9591496456857024E-2</v>
      </c>
      <c r="D5" s="279">
        <v>0</v>
      </c>
      <c r="E5" s="279">
        <v>0</v>
      </c>
      <c r="F5" s="279">
        <v>0</v>
      </c>
      <c r="G5" s="279">
        <v>0</v>
      </c>
      <c r="H5" s="279">
        <v>0</v>
      </c>
    </row>
    <row r="6" spans="1:10" ht="12.75" customHeight="1" x14ac:dyDescent="0.2">
      <c r="A6" s="540" t="s">
        <v>36</v>
      </c>
      <c r="B6" s="541" t="str">
        <f>'# of Students'!C6</f>
        <v>FY2122</v>
      </c>
      <c r="C6" s="541" t="str">
        <f>'# of Students'!D6</f>
        <v>FY2223</v>
      </c>
      <c r="D6" s="541" t="str">
        <f>'# of Students'!E6</f>
        <v>FY2324</v>
      </c>
      <c r="E6" s="541" t="str">
        <f>'# of Students'!F6</f>
        <v>FY2425</v>
      </c>
      <c r="F6" s="541" t="str">
        <f>'# of Students'!G6</f>
        <v>FY2526</v>
      </c>
      <c r="G6" s="541" t="str">
        <f>'# of Students'!H6</f>
        <v>FY2627</v>
      </c>
      <c r="H6" s="541" t="str">
        <f>'# of Students'!I6</f>
        <v>FY2728</v>
      </c>
    </row>
    <row r="7" spans="1:10" ht="12.75" customHeight="1" x14ac:dyDescent="0.2">
      <c r="A7" s="3" t="s">
        <v>37</v>
      </c>
      <c r="B7" s="539" t="s">
        <v>38</v>
      </c>
      <c r="C7" s="539" t="s">
        <v>38</v>
      </c>
      <c r="D7" s="539" t="s">
        <v>38</v>
      </c>
      <c r="E7" s="539" t="s">
        <v>38</v>
      </c>
      <c r="F7" s="539" t="s">
        <v>38</v>
      </c>
      <c r="G7" s="539" t="s">
        <v>38</v>
      </c>
      <c r="H7" s="539" t="s">
        <v>38</v>
      </c>
    </row>
    <row r="8" spans="1:10" ht="12.75" customHeight="1" x14ac:dyDescent="0.2">
      <c r="A8" s="3" t="s">
        <v>39</v>
      </c>
      <c r="B8" s="63">
        <v>7197</v>
      </c>
      <c r="C8" s="63">
        <v>7177</v>
      </c>
      <c r="D8" s="63">
        <f>C8*1.01</f>
        <v>7248.77</v>
      </c>
      <c r="E8" s="63">
        <f t="shared" ref="E8:H8" si="0">D8*1.01</f>
        <v>7321.2577000000001</v>
      </c>
      <c r="F8" s="63">
        <f t="shared" si="0"/>
        <v>7394.4702770000004</v>
      </c>
      <c r="G8" s="63">
        <f t="shared" si="0"/>
        <v>7468.4149797700002</v>
      </c>
      <c r="H8" s="63">
        <f t="shared" si="0"/>
        <v>7543.0991295677004</v>
      </c>
    </row>
    <row r="9" spans="1:10" ht="12.75" customHeight="1" x14ac:dyDescent="0.2">
      <c r="A9" s="3" t="s">
        <v>40</v>
      </c>
      <c r="B9" s="62">
        <v>0</v>
      </c>
      <c r="C9" s="62">
        <f>7338-7177</f>
        <v>161</v>
      </c>
      <c r="D9" s="62">
        <f>C9*1.01</f>
        <v>162.61000000000001</v>
      </c>
      <c r="E9" s="62">
        <f t="shared" ref="E9" si="1">D9*1.01</f>
        <v>164.23610000000002</v>
      </c>
      <c r="F9" s="62">
        <f t="shared" ref="F9" si="2">E9*1.01</f>
        <v>165.87846100000002</v>
      </c>
      <c r="G9" s="62">
        <f t="shared" ref="G9" si="3">F9*1.01</f>
        <v>167.53724561000001</v>
      </c>
      <c r="H9" s="62">
        <f t="shared" ref="H9" si="4">G9*1.01</f>
        <v>169.21261806610002</v>
      </c>
    </row>
    <row r="10" spans="1:10" ht="12.75" customHeight="1" thickBot="1" x14ac:dyDescent="0.25">
      <c r="A10" s="10" t="s">
        <v>52</v>
      </c>
      <c r="B10" s="64">
        <f>SUM(B8:B9)</f>
        <v>7197</v>
      </c>
      <c r="C10" s="64">
        <f t="shared" ref="C10:G10" si="5">SUM(C8:C9)</f>
        <v>7338</v>
      </c>
      <c r="D10" s="64">
        <f>SUM(D8:D9)</f>
        <v>7411.38</v>
      </c>
      <c r="E10" s="64">
        <f>SUM(E8:E9)</f>
        <v>7485.4938000000002</v>
      </c>
      <c r="F10" s="64">
        <f t="shared" si="5"/>
        <v>7560.3487380000006</v>
      </c>
      <c r="G10" s="64">
        <f t="shared" si="5"/>
        <v>7635.9522253800005</v>
      </c>
      <c r="H10" s="64">
        <f t="shared" ref="H10" si="6">SUM(H8:H9)</f>
        <v>7712.3117476338002</v>
      </c>
    </row>
    <row r="11" spans="1:10" ht="12.75" customHeight="1" thickTop="1" x14ac:dyDescent="0.2">
      <c r="A11" s="3"/>
      <c r="B11" s="3"/>
      <c r="C11" s="3"/>
      <c r="D11" s="3"/>
      <c r="E11" s="3"/>
      <c r="F11" s="3"/>
      <c r="G11" s="3"/>
      <c r="H11" s="3"/>
    </row>
    <row r="12" spans="1:10" ht="12.75" customHeight="1" x14ac:dyDescent="0.2">
      <c r="A12" s="3" t="s">
        <v>41</v>
      </c>
      <c r="B12" s="92">
        <f>'# of Students'!C23</f>
        <v>370</v>
      </c>
      <c r="C12" s="3">
        <f>'# of Students'!D23</f>
        <v>585</v>
      </c>
      <c r="D12" s="3">
        <f>'# of Students'!E23</f>
        <v>650</v>
      </c>
      <c r="E12" s="3">
        <f>'# of Students'!F23</f>
        <v>700</v>
      </c>
      <c r="F12" s="3">
        <f>'# of Students'!G23</f>
        <v>735</v>
      </c>
      <c r="G12" s="3">
        <f>'# of Students'!H23</f>
        <v>740</v>
      </c>
      <c r="H12" s="3">
        <f>'# of Students'!I23</f>
        <v>735</v>
      </c>
    </row>
    <row r="13" spans="1:10" ht="12.75" customHeight="1" thickBot="1" x14ac:dyDescent="0.25">
      <c r="A13" s="10" t="s">
        <v>1109</v>
      </c>
      <c r="B13" s="64">
        <f>B12*B10</f>
        <v>2662890</v>
      </c>
      <c r="C13" s="64">
        <f t="shared" ref="C13:G13" si="7">C12*C10</f>
        <v>4292730</v>
      </c>
      <c r="D13" s="64">
        <f t="shared" si="7"/>
        <v>4817397</v>
      </c>
      <c r="E13" s="64">
        <f t="shared" si="7"/>
        <v>5239845.66</v>
      </c>
      <c r="F13" s="64">
        <f t="shared" si="7"/>
        <v>5556856.3224300006</v>
      </c>
      <c r="G13" s="64">
        <f t="shared" si="7"/>
        <v>5650604.6467812005</v>
      </c>
      <c r="H13" s="64">
        <f t="shared" ref="H13" si="8">H12*H10</f>
        <v>5668549.1345108431</v>
      </c>
    </row>
    <row r="14" spans="1:10" ht="12.75" customHeight="1" thickTop="1" x14ac:dyDescent="0.2">
      <c r="A14" s="3"/>
      <c r="B14" s="3"/>
      <c r="C14" s="3"/>
      <c r="D14" s="3"/>
      <c r="E14" s="3"/>
      <c r="F14" s="3"/>
      <c r="G14" s="3"/>
      <c r="H14" s="3"/>
    </row>
    <row r="15" spans="1:10" ht="12.75" customHeight="1" x14ac:dyDescent="0.2">
      <c r="A15" s="542"/>
      <c r="B15" s="541" t="str">
        <f t="shared" ref="B15:H15" si="9">B6</f>
        <v>FY2122</v>
      </c>
      <c r="C15" s="541" t="str">
        <f t="shared" si="9"/>
        <v>FY2223</v>
      </c>
      <c r="D15" s="541" t="str">
        <f t="shared" si="9"/>
        <v>FY2324</v>
      </c>
      <c r="E15" s="541" t="str">
        <f t="shared" si="9"/>
        <v>FY2425</v>
      </c>
      <c r="F15" s="541" t="str">
        <f t="shared" si="9"/>
        <v>FY2526</v>
      </c>
      <c r="G15" s="541" t="str">
        <f t="shared" si="9"/>
        <v>FY2627</v>
      </c>
      <c r="H15" s="541" t="str">
        <f t="shared" si="9"/>
        <v>FY2728</v>
      </c>
      <c r="I15" s="4"/>
    </row>
    <row r="16" spans="1:10" x14ac:dyDescent="0.2">
      <c r="A16" s="3" t="s">
        <v>1095</v>
      </c>
      <c r="B16" s="62">
        <v>1634.6209040736931</v>
      </c>
      <c r="C16" s="62">
        <v>1646.02</v>
      </c>
      <c r="D16" s="62">
        <f>C16</f>
        <v>1646.02</v>
      </c>
      <c r="E16" s="62">
        <f t="shared" ref="E16:H16" si="10">D16</f>
        <v>1646.02</v>
      </c>
      <c r="F16" s="62">
        <f t="shared" si="10"/>
        <v>1646.02</v>
      </c>
      <c r="G16" s="62">
        <f t="shared" si="10"/>
        <v>1646.02</v>
      </c>
      <c r="H16" s="62">
        <f t="shared" si="10"/>
        <v>1646.02</v>
      </c>
      <c r="I16" s="62"/>
    </row>
    <row r="17" spans="1:9" x14ac:dyDescent="0.2">
      <c r="A17" s="3" t="s">
        <v>1096</v>
      </c>
      <c r="B17" s="62">
        <v>240.87198448176852</v>
      </c>
      <c r="C17" s="62">
        <v>242.55</v>
      </c>
      <c r="D17" s="62">
        <f t="shared" ref="D17:H18" si="11">C17</f>
        <v>242.55</v>
      </c>
      <c r="E17" s="62">
        <f t="shared" si="11"/>
        <v>242.55</v>
      </c>
      <c r="F17" s="62">
        <f t="shared" si="11"/>
        <v>242.55</v>
      </c>
      <c r="G17" s="62">
        <f t="shared" si="11"/>
        <v>242.55</v>
      </c>
      <c r="H17" s="62">
        <f t="shared" si="11"/>
        <v>242.55</v>
      </c>
      <c r="I17" s="62"/>
    </row>
    <row r="18" spans="1:9" x14ac:dyDescent="0.2">
      <c r="A18" s="3" t="s">
        <v>1097</v>
      </c>
      <c r="B18" s="62">
        <v>837.6403891897786</v>
      </c>
      <c r="C18" s="62">
        <v>854.04</v>
      </c>
      <c r="D18" s="62">
        <f t="shared" si="11"/>
        <v>854.04</v>
      </c>
      <c r="E18" s="62">
        <f t="shared" si="11"/>
        <v>854.04</v>
      </c>
      <c r="F18" s="62">
        <f t="shared" si="11"/>
        <v>854.04</v>
      </c>
      <c r="G18" s="62">
        <f t="shared" si="11"/>
        <v>854.04</v>
      </c>
      <c r="H18" s="62">
        <f t="shared" si="11"/>
        <v>854.04</v>
      </c>
      <c r="I18" s="62"/>
    </row>
    <row r="19" spans="1:9" x14ac:dyDescent="0.2">
      <c r="A19" s="3"/>
      <c r="B19" s="3"/>
      <c r="C19" s="3"/>
      <c r="D19" s="3"/>
      <c r="E19" s="3"/>
      <c r="F19" s="3"/>
      <c r="G19" s="3"/>
      <c r="H19" s="3"/>
    </row>
    <row r="20" spans="1:9" x14ac:dyDescent="0.2">
      <c r="A20" s="818" t="s">
        <v>41</v>
      </c>
      <c r="B20" s="819"/>
      <c r="C20" s="819"/>
      <c r="D20" s="819"/>
      <c r="E20" s="819"/>
      <c r="F20" s="819"/>
      <c r="G20" s="819"/>
      <c r="H20" s="819"/>
    </row>
    <row r="21" spans="1:9" x14ac:dyDescent="0.2">
      <c r="A21" s="3" t="s">
        <v>1098</v>
      </c>
      <c r="B21" s="527">
        <v>27</v>
      </c>
      <c r="C21" s="527">
        <v>34</v>
      </c>
      <c r="D21" s="527">
        <f>ROUND(D12*0.07,0)</f>
        <v>46</v>
      </c>
      <c r="E21" s="527">
        <f t="shared" ref="E21:H21" si="12">ROUND(E12*0.07,0)</f>
        <v>49</v>
      </c>
      <c r="F21" s="527">
        <f t="shared" si="12"/>
        <v>51</v>
      </c>
      <c r="G21" s="527">
        <f t="shared" si="12"/>
        <v>52</v>
      </c>
      <c r="H21" s="527">
        <f t="shared" si="12"/>
        <v>51</v>
      </c>
      <c r="I21" s="728"/>
    </row>
    <row r="22" spans="1:9" x14ac:dyDescent="0.2">
      <c r="A22" s="3" t="s">
        <v>1099</v>
      </c>
      <c r="B22" s="527">
        <v>126</v>
      </c>
      <c r="C22" s="527">
        <v>153</v>
      </c>
      <c r="D22" s="527">
        <f>ROUND(D12*0.3,0)</f>
        <v>195</v>
      </c>
      <c r="E22" s="527">
        <f t="shared" ref="E22:H22" si="13">ROUND(E12*0.3,0)</f>
        <v>210</v>
      </c>
      <c r="F22" s="527">
        <f t="shared" si="13"/>
        <v>221</v>
      </c>
      <c r="G22" s="527">
        <f t="shared" si="13"/>
        <v>222</v>
      </c>
      <c r="H22" s="527">
        <f t="shared" si="13"/>
        <v>221</v>
      </c>
      <c r="I22" s="728"/>
    </row>
    <row r="23" spans="1:9" x14ac:dyDescent="0.2">
      <c r="A23" s="3" t="s">
        <v>1100</v>
      </c>
      <c r="B23" s="527">
        <v>0</v>
      </c>
      <c r="C23" s="527">
        <v>0</v>
      </c>
      <c r="D23" s="527">
        <v>0</v>
      </c>
      <c r="E23" s="527">
        <v>0</v>
      </c>
      <c r="F23" s="527">
        <v>0</v>
      </c>
      <c r="G23" s="527">
        <v>0</v>
      </c>
      <c r="H23" s="527">
        <v>0</v>
      </c>
      <c r="I23" s="728"/>
    </row>
    <row r="24" spans="1:9" x14ac:dyDescent="0.2">
      <c r="A24" s="3"/>
      <c r="B24" s="3"/>
      <c r="C24" s="3"/>
      <c r="D24" s="3"/>
      <c r="E24" s="3"/>
      <c r="F24" s="3"/>
      <c r="G24" s="3"/>
      <c r="H24" s="3"/>
    </row>
    <row r="25" spans="1:9" x14ac:dyDescent="0.2">
      <c r="A25" s="818" t="s">
        <v>1268</v>
      </c>
      <c r="B25" s="818"/>
      <c r="C25" s="818"/>
      <c r="D25" s="818"/>
      <c r="E25" s="818"/>
      <c r="F25" s="818"/>
      <c r="G25" s="818"/>
      <c r="H25" s="818"/>
    </row>
    <row r="26" spans="1:9" x14ac:dyDescent="0.2">
      <c r="A26" s="3" t="s">
        <v>1098</v>
      </c>
      <c r="B26" s="812">
        <f>B21/B12</f>
        <v>7.2972972972972977E-2</v>
      </c>
      <c r="C26" s="812">
        <f t="shared" ref="C26:H26" si="14">C21/C12</f>
        <v>5.8119658119658121E-2</v>
      </c>
      <c r="D26" s="825">
        <f>D21/D12</f>
        <v>7.0769230769230765E-2</v>
      </c>
      <c r="E26" s="825">
        <f t="shared" si="14"/>
        <v>7.0000000000000007E-2</v>
      </c>
      <c r="F26" s="825">
        <f t="shared" si="14"/>
        <v>6.9387755102040816E-2</v>
      </c>
      <c r="G26" s="825">
        <f t="shared" si="14"/>
        <v>7.0270270270270274E-2</v>
      </c>
      <c r="H26" s="825">
        <f t="shared" si="14"/>
        <v>6.9387755102040816E-2</v>
      </c>
      <c r="I26" s="728"/>
    </row>
    <row r="27" spans="1:9" x14ac:dyDescent="0.2">
      <c r="A27" s="3" t="s">
        <v>1099</v>
      </c>
      <c r="B27" s="812">
        <f>B22/B12</f>
        <v>0.34054054054054056</v>
      </c>
      <c r="C27" s="812">
        <f t="shared" ref="C27:H27" si="15">C22/C12</f>
        <v>0.26153846153846155</v>
      </c>
      <c r="D27" s="825">
        <f>D22/D12</f>
        <v>0.3</v>
      </c>
      <c r="E27" s="825">
        <f t="shared" si="15"/>
        <v>0.3</v>
      </c>
      <c r="F27" s="825">
        <f t="shared" si="15"/>
        <v>0.30068027210884352</v>
      </c>
      <c r="G27" s="825">
        <f t="shared" si="15"/>
        <v>0.3</v>
      </c>
      <c r="H27" s="825">
        <f t="shared" si="15"/>
        <v>0.30068027210884352</v>
      </c>
      <c r="I27" s="728"/>
    </row>
    <row r="28" spans="1:9" x14ac:dyDescent="0.2">
      <c r="A28" s="3" t="s">
        <v>1100</v>
      </c>
      <c r="B28" s="812">
        <f>B23/B12</f>
        <v>0</v>
      </c>
      <c r="C28" s="812">
        <f t="shared" ref="C28:H28" si="16">C23/C12</f>
        <v>0</v>
      </c>
      <c r="D28" s="812">
        <f t="shared" si="16"/>
        <v>0</v>
      </c>
      <c r="E28" s="812">
        <f t="shared" si="16"/>
        <v>0</v>
      </c>
      <c r="F28" s="812">
        <f t="shared" si="16"/>
        <v>0</v>
      </c>
      <c r="G28" s="812">
        <f t="shared" si="16"/>
        <v>0</v>
      </c>
      <c r="H28" s="812">
        <f t="shared" si="16"/>
        <v>0</v>
      </c>
      <c r="I28" s="728"/>
    </row>
    <row r="29" spans="1:9" x14ac:dyDescent="0.2">
      <c r="A29" s="3"/>
      <c r="B29" s="3"/>
      <c r="C29" s="3"/>
      <c r="D29" s="3"/>
      <c r="E29" s="3"/>
      <c r="F29" s="3"/>
      <c r="G29" s="3"/>
      <c r="H29" s="3"/>
    </row>
    <row r="30" spans="1:9" x14ac:dyDescent="0.2">
      <c r="A30" s="4" t="s">
        <v>1105</v>
      </c>
      <c r="B30" s="355">
        <f t="shared" ref="B30:G30" si="17">B16*B21</f>
        <v>44134.764409989715</v>
      </c>
      <c r="C30" s="355">
        <f t="shared" si="17"/>
        <v>55964.68</v>
      </c>
      <c r="D30" s="355">
        <f t="shared" si="17"/>
        <v>75716.92</v>
      </c>
      <c r="E30" s="355">
        <f t="shared" si="17"/>
        <v>80654.98</v>
      </c>
      <c r="F30" s="355">
        <f t="shared" si="17"/>
        <v>83947.02</v>
      </c>
      <c r="G30" s="355">
        <f t="shared" si="17"/>
        <v>85593.04</v>
      </c>
      <c r="H30" s="355">
        <f>H16*H21</f>
        <v>83947.02</v>
      </c>
      <c r="I30" s="355"/>
    </row>
    <row r="31" spans="1:9" x14ac:dyDescent="0.2">
      <c r="A31" s="4" t="s">
        <v>1106</v>
      </c>
      <c r="B31" s="355">
        <f t="shared" ref="B31:G31" si="18">B17*B22</f>
        <v>30349.870044702835</v>
      </c>
      <c r="C31" s="355">
        <f>C17*C22</f>
        <v>37110.15</v>
      </c>
      <c r="D31" s="355">
        <f t="shared" si="18"/>
        <v>47297.25</v>
      </c>
      <c r="E31" s="355">
        <f t="shared" si="18"/>
        <v>50935.5</v>
      </c>
      <c r="F31" s="355">
        <f t="shared" si="18"/>
        <v>53603.55</v>
      </c>
      <c r="G31" s="355">
        <f t="shared" si="18"/>
        <v>53846.100000000006</v>
      </c>
      <c r="H31" s="355">
        <f t="shared" ref="H31" si="19">H17*H22</f>
        <v>53603.55</v>
      </c>
      <c r="I31" s="355"/>
    </row>
    <row r="32" spans="1:9" x14ac:dyDescent="0.2">
      <c r="A32" s="4" t="s">
        <v>1107</v>
      </c>
      <c r="B32" s="355">
        <f t="shared" ref="B32:G32" si="20">B23*B18</f>
        <v>0</v>
      </c>
      <c r="C32" s="355">
        <f t="shared" si="20"/>
        <v>0</v>
      </c>
      <c r="D32" s="355">
        <f t="shared" si="20"/>
        <v>0</v>
      </c>
      <c r="E32" s="355">
        <f t="shared" si="20"/>
        <v>0</v>
      </c>
      <c r="F32" s="355">
        <f t="shared" si="20"/>
        <v>0</v>
      </c>
      <c r="G32" s="355">
        <f t="shared" si="20"/>
        <v>0</v>
      </c>
      <c r="H32" s="355">
        <f>H23*H18</f>
        <v>0</v>
      </c>
      <c r="I32" s="355"/>
    </row>
    <row r="33" spans="1:9" x14ac:dyDescent="0.2">
      <c r="A33" s="4" t="s">
        <v>1108</v>
      </c>
      <c r="B33" s="355">
        <v>11843.870427440739</v>
      </c>
      <c r="C33" s="355">
        <v>11843.870427440739</v>
      </c>
      <c r="D33" s="355">
        <v>11843.870427440739</v>
      </c>
      <c r="E33" s="355">
        <v>11843.870427440739</v>
      </c>
      <c r="F33" s="355">
        <v>11843.870427440739</v>
      </c>
      <c r="G33" s="355">
        <v>11843.870427440739</v>
      </c>
      <c r="H33" s="355">
        <v>11843.870427440739</v>
      </c>
      <c r="I33" s="355"/>
    </row>
    <row r="34" spans="1:9" ht="13.5" thickBot="1" x14ac:dyDescent="0.25">
      <c r="A34" s="3"/>
      <c r="B34" s="257">
        <f t="shared" ref="B34:G34" si="21">SUM(B30:B33)</f>
        <v>86328.504882133289</v>
      </c>
      <c r="C34" s="257">
        <f>SUM(C30:C33)</f>
        <v>104918.70042744074</v>
      </c>
      <c r="D34" s="257">
        <f t="shared" si="21"/>
        <v>134858.04042744075</v>
      </c>
      <c r="E34" s="257">
        <f t="shared" si="21"/>
        <v>143434.35042744072</v>
      </c>
      <c r="F34" s="257">
        <f t="shared" si="21"/>
        <v>149394.44042744074</v>
      </c>
      <c r="G34" s="257">
        <f t="shared" si="21"/>
        <v>151283.01042744075</v>
      </c>
      <c r="H34" s="257">
        <f>SUM(H30:H33)</f>
        <v>149394.44042744074</v>
      </c>
      <c r="I34" s="355"/>
    </row>
    <row r="35" spans="1:9" ht="13.5" thickTop="1" x14ac:dyDescent="0.2">
      <c r="A35" s="3"/>
      <c r="B35" s="3"/>
      <c r="C35" s="3"/>
      <c r="D35" s="3"/>
      <c r="E35" s="3"/>
      <c r="F35" s="3"/>
      <c r="G35" s="3"/>
      <c r="H35" s="3"/>
      <c r="I35" s="355"/>
    </row>
    <row r="36" spans="1:9" ht="13.5" thickBot="1" x14ac:dyDescent="0.25">
      <c r="A36" s="4" t="s">
        <v>1101</v>
      </c>
      <c r="B36" s="258">
        <v>549864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554"/>
    </row>
    <row r="37" spans="1:9" s="3" customFormat="1" ht="13.5" thickTop="1" x14ac:dyDescent="0.2">
      <c r="B37" s="62">
        <v>3144689</v>
      </c>
      <c r="C37" s="62">
        <v>3147431</v>
      </c>
      <c r="I37" s="62"/>
    </row>
    <row r="38" spans="1:9" ht="12.75" customHeight="1" x14ac:dyDescent="0.2">
      <c r="A38" s="540" t="s">
        <v>42</v>
      </c>
      <c r="B38" s="541" t="str">
        <f>'# of Students'!C6</f>
        <v>FY2122</v>
      </c>
      <c r="C38" s="541" t="str">
        <f>'# of Students'!D6</f>
        <v>FY2223</v>
      </c>
      <c r="D38" s="541" t="str">
        <f>'# of Students'!E6</f>
        <v>FY2324</v>
      </c>
      <c r="E38" s="541" t="str">
        <f>'# of Students'!F6</f>
        <v>FY2425</v>
      </c>
      <c r="F38" s="541" t="str">
        <f>'# of Students'!G6</f>
        <v>FY2526</v>
      </c>
      <c r="G38" s="541" t="str">
        <f>'# of Students'!H6</f>
        <v>FY2627</v>
      </c>
      <c r="H38" s="541" t="str">
        <f>'# of Students'!I6</f>
        <v>FY2728</v>
      </c>
      <c r="I38" s="355"/>
    </row>
    <row r="39" spans="1:9" ht="12.75" customHeight="1" x14ac:dyDescent="0.2">
      <c r="A39" s="3" t="s">
        <v>43</v>
      </c>
      <c r="B39" s="534">
        <f>IFERROR(_xlfn.IFS($A$39='Data Tables DONT EDIT'!$Z$2,'Data Tables DONT EDIT'!$AA$2),0)</f>
        <v>2960.7338955512573</v>
      </c>
      <c r="C39" s="534">
        <f>IFERROR(_xlfn.IFS($A$39='Data Tables DONT EDIT'!$Z$2,'Data Tables DONT EDIT'!$AA$2),0)</f>
        <v>2960.7338955512573</v>
      </c>
      <c r="D39" s="534">
        <f>IFERROR(_xlfn.IFS($A$39='Data Tables DONT EDIT'!$Z$2,'Data Tables DONT EDIT'!$AA$2),0)*1.01</f>
        <v>2990.34123450677</v>
      </c>
      <c r="E39" s="534">
        <f>IFERROR(_xlfn.IFS($A$39='Data Tables DONT EDIT'!$Z$2,'Data Tables DONT EDIT'!$AA$2),0)*1.01</f>
        <v>2990.34123450677</v>
      </c>
      <c r="F39" s="534">
        <f>IFERROR(_xlfn.IFS($A$39='Data Tables DONT EDIT'!$Z$2,'Data Tables DONT EDIT'!$AA$2),0)*1.01</f>
        <v>2990.34123450677</v>
      </c>
      <c r="G39" s="534">
        <f>IFERROR(_xlfn.IFS($A$39='Data Tables DONT EDIT'!$Z$2,'Data Tables DONT EDIT'!$AA$2),0)*1.01</f>
        <v>2990.34123450677</v>
      </c>
      <c r="H39" s="534">
        <f>IFERROR(_xlfn.IFS($A$39='Data Tables DONT EDIT'!$Z$2,'Data Tables DONT EDIT'!$AA$2),0)*1.01</f>
        <v>2990.34123450677</v>
      </c>
    </row>
    <row r="40" spans="1:9" ht="12.75" customHeight="1" x14ac:dyDescent="0.2">
      <c r="A40" s="3" t="s">
        <v>44</v>
      </c>
      <c r="B40" s="534">
        <f>IFERROR(_xlfn.IFS($A$40='Data Tables DONT EDIT'!$Z$3,'Data Tables DONT EDIT'!$AA$3),0)</f>
        <v>1262.2947368421053</v>
      </c>
      <c r="C40" s="534">
        <f>IFERROR(_xlfn.IFS($A$40='Data Tables DONT EDIT'!$Z$3,'Data Tables DONT EDIT'!$AA$3),0)</f>
        <v>1262.2947368421053</v>
      </c>
      <c r="D40" s="534">
        <f>IFERROR(_xlfn.IFS($A$40='Data Tables DONT EDIT'!$Z$3,'Data Tables DONT EDIT'!$AA$3),0)</f>
        <v>1262.2947368421053</v>
      </c>
      <c r="E40" s="534">
        <f>IFERROR(_xlfn.IFS($A$40='Data Tables DONT EDIT'!$Z$3,'Data Tables DONT EDIT'!$AA$3),0)</f>
        <v>1262.2947368421053</v>
      </c>
      <c r="F40" s="534">
        <f>IFERROR(_xlfn.IFS($A$40='Data Tables DONT EDIT'!$Z$3,'Data Tables DONT EDIT'!$AA$3),0)</f>
        <v>1262.2947368421053</v>
      </c>
      <c r="G40" s="534">
        <f>IFERROR(_xlfn.IFS($A$40='Data Tables DONT EDIT'!$Z$3,'Data Tables DONT EDIT'!$AA$3),0)</f>
        <v>1262.2947368421053</v>
      </c>
      <c r="H40" s="534">
        <f>IFERROR(_xlfn.IFS($A$40='Data Tables DONT EDIT'!$Z$3,'Data Tables DONT EDIT'!$AA$3),0)</f>
        <v>1262.2947368421053</v>
      </c>
    </row>
    <row r="41" spans="1:9" ht="12.75" customHeight="1" thickBot="1" x14ac:dyDescent="0.25">
      <c r="A41" s="10" t="s">
        <v>45</v>
      </c>
      <c r="B41" s="813">
        <f>SUM(B39:B40)</f>
        <v>4223.0286323933624</v>
      </c>
      <c r="C41" s="813">
        <f t="shared" ref="C41:G41" si="22">SUM(C39:C40)</f>
        <v>4223.0286323933624</v>
      </c>
      <c r="D41" s="813">
        <f t="shared" si="22"/>
        <v>4252.6359713488755</v>
      </c>
      <c r="E41" s="813">
        <f t="shared" si="22"/>
        <v>4252.6359713488755</v>
      </c>
      <c r="F41" s="813">
        <f t="shared" si="22"/>
        <v>4252.6359713488755</v>
      </c>
      <c r="G41" s="813">
        <f t="shared" si="22"/>
        <v>4252.6359713488755</v>
      </c>
      <c r="H41" s="813">
        <f t="shared" ref="H41" si="23">SUM(H39:H40)</f>
        <v>4252.6359713488755</v>
      </c>
    </row>
    <row r="42" spans="1:9" ht="12.75" customHeight="1" thickTop="1" x14ac:dyDescent="0.2">
      <c r="A42" s="3"/>
      <c r="B42" s="3"/>
      <c r="C42" s="3"/>
      <c r="D42" s="3"/>
      <c r="E42" s="3"/>
      <c r="F42" s="3"/>
      <c r="G42" s="3"/>
      <c r="H42" s="3"/>
    </row>
    <row r="43" spans="1:9" ht="12.75" customHeight="1" x14ac:dyDescent="0.2">
      <c r="A43" s="7" t="s">
        <v>1264</v>
      </c>
      <c r="B43" s="300">
        <v>95</v>
      </c>
      <c r="C43" s="300">
        <v>95</v>
      </c>
      <c r="D43" s="300">
        <f>ROUND(C12*0.18,0)</f>
        <v>105</v>
      </c>
      <c r="E43" s="300">
        <f t="shared" ref="E43:F43" si="24">ROUND(D12*0.18,0)</f>
        <v>117</v>
      </c>
      <c r="F43" s="300">
        <f t="shared" si="24"/>
        <v>126</v>
      </c>
      <c r="G43" s="300">
        <f>ROUND(F12*0.19,0)</f>
        <v>140</v>
      </c>
      <c r="H43" s="300">
        <f>ROUND(G12*0.19,0)</f>
        <v>141</v>
      </c>
    </row>
    <row r="44" spans="1:9" ht="12.75" customHeight="1" x14ac:dyDescent="0.2">
      <c r="A44" s="3" t="s">
        <v>46</v>
      </c>
      <c r="B44" s="279">
        <f t="shared" ref="B44:H44" si="25">B43/B12</f>
        <v>0.25675675675675674</v>
      </c>
      <c r="C44" s="279">
        <f t="shared" si="25"/>
        <v>0.1623931623931624</v>
      </c>
      <c r="D44" s="279">
        <f t="shared" si="25"/>
        <v>0.16153846153846155</v>
      </c>
      <c r="E44" s="279">
        <f>E43/E12</f>
        <v>0.16714285714285715</v>
      </c>
      <c r="F44" s="279">
        <f t="shared" si="25"/>
        <v>0.17142857142857143</v>
      </c>
      <c r="G44" s="279">
        <f t="shared" si="25"/>
        <v>0.1891891891891892</v>
      </c>
      <c r="H44" s="279">
        <f t="shared" si="25"/>
        <v>0.19183673469387755</v>
      </c>
    </row>
    <row r="45" spans="1:9" ht="12.75" customHeight="1" x14ac:dyDescent="0.2">
      <c r="A45" s="3" t="s">
        <v>47</v>
      </c>
      <c r="B45" s="3">
        <f t="shared" ref="B45:H45" si="26">_xlfn.IFS(B44&lt;13%,B43,B44&gt;13%,(B12*0.13))</f>
        <v>48.1</v>
      </c>
      <c r="C45" s="3">
        <f t="shared" si="26"/>
        <v>76.05</v>
      </c>
      <c r="D45" s="3">
        <f t="shared" si="26"/>
        <v>84.5</v>
      </c>
      <c r="E45" s="3">
        <f t="shared" si="26"/>
        <v>91</v>
      </c>
      <c r="F45" s="3">
        <f t="shared" si="26"/>
        <v>95.55</v>
      </c>
      <c r="G45" s="3">
        <f t="shared" si="26"/>
        <v>96.2</v>
      </c>
      <c r="H45" s="3">
        <f t="shared" si="26"/>
        <v>95.55</v>
      </c>
    </row>
    <row r="46" spans="1:9" ht="12.75" customHeight="1" x14ac:dyDescent="0.2">
      <c r="A46" s="3" t="s">
        <v>48</v>
      </c>
      <c r="B46" s="3">
        <f>IFERROR(_xlfn.IFS(B44&gt;13%,(B43-B45)),"")</f>
        <v>46.9</v>
      </c>
      <c r="C46" s="3">
        <f t="shared" ref="C46:H46" si="27">IFERROR(_xlfn.IFS(C44&gt;13%,(C43-C45)),"")</f>
        <v>18.950000000000003</v>
      </c>
      <c r="D46" s="3">
        <f t="shared" si="27"/>
        <v>20.5</v>
      </c>
      <c r="E46" s="3">
        <f t="shared" si="27"/>
        <v>26</v>
      </c>
      <c r="F46" s="3">
        <f t="shared" si="27"/>
        <v>30.450000000000003</v>
      </c>
      <c r="G46" s="3">
        <f t="shared" si="27"/>
        <v>43.8</v>
      </c>
      <c r="H46" s="3">
        <f t="shared" si="27"/>
        <v>45.45</v>
      </c>
    </row>
    <row r="47" spans="1:9" ht="12.75" customHeight="1" x14ac:dyDescent="0.2">
      <c r="A47" s="3"/>
      <c r="B47" s="3"/>
      <c r="C47" s="3"/>
      <c r="D47" s="3"/>
      <c r="E47" s="3"/>
      <c r="F47" s="3"/>
      <c r="G47" s="3"/>
      <c r="H47" s="3"/>
    </row>
    <row r="48" spans="1:9" ht="12.75" customHeight="1" x14ac:dyDescent="0.2">
      <c r="A48" s="3" t="s">
        <v>49</v>
      </c>
      <c r="B48" s="534">
        <f>B39*B45</f>
        <v>142411.30037601548</v>
      </c>
      <c r="C48" s="534">
        <f t="shared" ref="C48:G48" si="28">C39*C45</f>
        <v>225163.81275667311</v>
      </c>
      <c r="D48" s="534">
        <f t="shared" si="28"/>
        <v>252683.83431582205</v>
      </c>
      <c r="E48" s="534">
        <f t="shared" si="28"/>
        <v>272121.05234011606</v>
      </c>
      <c r="F48" s="534">
        <f t="shared" si="28"/>
        <v>285727.10495712189</v>
      </c>
      <c r="G48" s="534">
        <f t="shared" si="28"/>
        <v>287670.8267595513</v>
      </c>
      <c r="H48" s="534">
        <f t="shared" ref="H48" si="29">H39*H45</f>
        <v>285727.10495712189</v>
      </c>
    </row>
    <row r="49" spans="1:9" ht="12.75" customHeight="1" x14ac:dyDescent="0.2">
      <c r="A49" s="3" t="s">
        <v>50</v>
      </c>
      <c r="B49" s="534">
        <f>IFERROR((B39)*B46,0)</f>
        <v>138858.41970135397</v>
      </c>
      <c r="C49" s="534">
        <f>IFERROR((C39)*C46,0)</f>
        <v>56105.907320696337</v>
      </c>
      <c r="D49" s="534">
        <f t="shared" ref="D49:G49" si="30">IFERROR((D39)*D46,0)</f>
        <v>61301.995307388788</v>
      </c>
      <c r="E49" s="534">
        <f t="shared" si="30"/>
        <v>77748.872097176019</v>
      </c>
      <c r="F49" s="534">
        <f t="shared" si="30"/>
        <v>91055.890590731156</v>
      </c>
      <c r="G49" s="534">
        <f t="shared" si="30"/>
        <v>130976.94607139652</v>
      </c>
      <c r="H49" s="534">
        <f t="shared" ref="H49" si="31">IFERROR((H39)*H46,0)</f>
        <v>135911.00910833271</v>
      </c>
    </row>
    <row r="50" spans="1:9" ht="12.75" customHeight="1" thickBot="1" x14ac:dyDescent="0.25">
      <c r="A50" s="66" t="s">
        <v>103</v>
      </c>
      <c r="B50" s="814">
        <f>SUM(B48:B49)</f>
        <v>281269.72007736948</v>
      </c>
      <c r="C50" s="814">
        <f t="shared" ref="C50:G50" si="32">SUM(C48:C49)</f>
        <v>281269.72007736948</v>
      </c>
      <c r="D50" s="814">
        <f t="shared" si="32"/>
        <v>313985.82962321083</v>
      </c>
      <c r="E50" s="814">
        <f t="shared" si="32"/>
        <v>349869.92443729209</v>
      </c>
      <c r="F50" s="814">
        <f t="shared" si="32"/>
        <v>376782.99554785306</v>
      </c>
      <c r="G50" s="814">
        <f t="shared" si="32"/>
        <v>418647.77283094783</v>
      </c>
      <c r="H50" s="814">
        <f t="shared" ref="H50" si="33">SUM(H48:H49)</f>
        <v>421638.11406545457</v>
      </c>
    </row>
    <row r="51" spans="1:9" ht="12.75" customHeight="1" thickTop="1" x14ac:dyDescent="0.2">
      <c r="A51" s="67"/>
      <c r="B51" s="815"/>
      <c r="C51" s="815"/>
      <c r="D51" s="815"/>
      <c r="E51" s="815"/>
      <c r="F51" s="815"/>
      <c r="G51" s="815"/>
      <c r="H51" s="815"/>
    </row>
    <row r="52" spans="1:9" ht="12.75" customHeight="1" x14ac:dyDescent="0.2">
      <c r="A52" s="3" t="s">
        <v>104</v>
      </c>
      <c r="B52" s="534">
        <f>B43*B40</f>
        <v>119918</v>
      </c>
      <c r="C52" s="534">
        <f t="shared" ref="C52:G52" si="34">C43*C40</f>
        <v>119918</v>
      </c>
      <c r="D52" s="534">
        <f t="shared" si="34"/>
        <v>132540.94736842107</v>
      </c>
      <c r="E52" s="534">
        <f t="shared" si="34"/>
        <v>147688.48421052631</v>
      </c>
      <c r="F52" s="534">
        <f t="shared" si="34"/>
        <v>159049.13684210528</v>
      </c>
      <c r="G52" s="534">
        <f t="shared" si="34"/>
        <v>176721.26315789475</v>
      </c>
      <c r="H52" s="534">
        <f t="shared" ref="H52" si="35">H43*H40</f>
        <v>177983.55789473685</v>
      </c>
    </row>
    <row r="53" spans="1:9" ht="12.75" customHeight="1" thickBot="1" x14ac:dyDescent="0.25">
      <c r="A53" s="66" t="s">
        <v>51</v>
      </c>
      <c r="B53" s="814">
        <f>SUM(B50:B52)</f>
        <v>401187.72007736948</v>
      </c>
      <c r="C53" s="814">
        <f t="shared" ref="C53:G53" si="36">SUM(C50:C52)</f>
        <v>401187.72007736948</v>
      </c>
      <c r="D53" s="814">
        <f t="shared" si="36"/>
        <v>446526.77699163189</v>
      </c>
      <c r="E53" s="814">
        <f t="shared" si="36"/>
        <v>497558.40864781837</v>
      </c>
      <c r="F53" s="814">
        <f t="shared" si="36"/>
        <v>535832.13238995837</v>
      </c>
      <c r="G53" s="814">
        <f t="shared" si="36"/>
        <v>595369.0359888426</v>
      </c>
      <c r="H53" s="814">
        <f t="shared" ref="H53" si="37">SUM(H50:H52)</f>
        <v>599621.67196019145</v>
      </c>
    </row>
    <row r="54" spans="1:9" ht="12.75" customHeight="1" thickTop="1" x14ac:dyDescent="0.2">
      <c r="A54" s="3"/>
      <c r="B54" s="3"/>
      <c r="C54" s="3"/>
      <c r="D54" s="3"/>
      <c r="E54" s="3"/>
      <c r="F54" s="3"/>
      <c r="G54" s="3"/>
      <c r="H54" s="3"/>
    </row>
    <row r="55" spans="1:9" s="3" customFormat="1" ht="12.75" customHeight="1" x14ac:dyDescent="0.2">
      <c r="A55" s="540" t="s">
        <v>1299</v>
      </c>
      <c r="B55" s="541" t="str">
        <f>'# of Students'!C6</f>
        <v>FY2122</v>
      </c>
      <c r="C55" s="541" t="str">
        <f>'# of Students'!D6</f>
        <v>FY2223</v>
      </c>
      <c r="D55" s="541" t="str">
        <f>'# of Students'!E6</f>
        <v>FY2324</v>
      </c>
      <c r="E55" s="541" t="str">
        <f>'# of Students'!F6</f>
        <v>FY2425</v>
      </c>
      <c r="F55" s="541" t="str">
        <f>'# of Students'!G6</f>
        <v>FY2526</v>
      </c>
      <c r="G55" s="541" t="str">
        <f>'# of Students'!H6</f>
        <v>FY2627</v>
      </c>
      <c r="H55" s="541" t="str">
        <f>'# of Students'!I6</f>
        <v>FY2728</v>
      </c>
      <c r="I55" s="355"/>
    </row>
    <row r="56" spans="1:9" s="3" customFormat="1" hidden="1" x14ac:dyDescent="0.2">
      <c r="A56" s="3" t="s">
        <v>1266</v>
      </c>
      <c r="B56" s="62">
        <v>3032.9841269841268</v>
      </c>
      <c r="C56" s="534">
        <f>B56-(B56*0.05)</f>
        <v>2881.3349206349203</v>
      </c>
      <c r="D56" s="534">
        <f t="shared" ref="D56:H60" si="38">C56-(C56*0.05)</f>
        <v>2737.2681746031744</v>
      </c>
      <c r="E56" s="534">
        <f t="shared" si="38"/>
        <v>2600.4047658730155</v>
      </c>
      <c r="F56" s="534">
        <f t="shared" si="38"/>
        <v>2470.3845275793647</v>
      </c>
      <c r="G56" s="534">
        <f t="shared" si="38"/>
        <v>2346.8653012003965</v>
      </c>
      <c r="H56" s="534">
        <f t="shared" si="38"/>
        <v>2229.5220361403767</v>
      </c>
    </row>
    <row r="57" spans="1:9" s="3" customFormat="1" hidden="1" x14ac:dyDescent="0.2">
      <c r="A57" s="3" t="s">
        <v>1265</v>
      </c>
      <c r="B57" s="534">
        <v>807.19047619047615</v>
      </c>
      <c r="C57" s="534">
        <f>B57-(B57*0.05)</f>
        <v>766.83095238095234</v>
      </c>
      <c r="D57" s="534">
        <f t="shared" si="38"/>
        <v>728.48940476190478</v>
      </c>
      <c r="E57" s="534">
        <f t="shared" si="38"/>
        <v>692.0649345238096</v>
      </c>
      <c r="F57" s="534">
        <f t="shared" si="38"/>
        <v>657.46168779761911</v>
      </c>
      <c r="G57" s="534">
        <f t="shared" si="38"/>
        <v>624.58860340773811</v>
      </c>
      <c r="H57" s="534">
        <f t="shared" si="38"/>
        <v>593.35917323735123</v>
      </c>
    </row>
    <row r="58" spans="1:9" s="3" customFormat="1" hidden="1" x14ac:dyDescent="0.2">
      <c r="A58" s="3" t="s">
        <v>895</v>
      </c>
      <c r="B58" s="534">
        <v>247.51851851851899</v>
      </c>
      <c r="C58" s="534">
        <f>B58-(B58*0.05)</f>
        <v>235.14259259259305</v>
      </c>
      <c r="D58" s="534">
        <f t="shared" si="38"/>
        <v>223.3854629629634</v>
      </c>
      <c r="E58" s="534">
        <f t="shared" si="38"/>
        <v>212.21618981481524</v>
      </c>
      <c r="F58" s="534">
        <f t="shared" si="38"/>
        <v>201.60538032407447</v>
      </c>
      <c r="G58" s="534">
        <f t="shared" si="38"/>
        <v>191.52511130787076</v>
      </c>
      <c r="H58" s="534">
        <f t="shared" si="38"/>
        <v>181.94885574247724</v>
      </c>
    </row>
    <row r="59" spans="1:9" s="3" customFormat="1" hidden="1" x14ac:dyDescent="0.2">
      <c r="A59" s="3" t="s">
        <v>142</v>
      </c>
      <c r="B59" s="534">
        <v>219.44444444444446</v>
      </c>
      <c r="C59" s="534">
        <f>B59-(B59*0.05)</f>
        <v>208.47222222222223</v>
      </c>
      <c r="D59" s="534">
        <f t="shared" si="38"/>
        <v>198.04861111111111</v>
      </c>
      <c r="E59" s="534">
        <f t="shared" si="38"/>
        <v>188.14618055555556</v>
      </c>
      <c r="F59" s="534">
        <f t="shared" si="38"/>
        <v>178.73887152777777</v>
      </c>
      <c r="G59" s="534">
        <f t="shared" si="38"/>
        <v>169.80192795138888</v>
      </c>
      <c r="H59" s="534">
        <f t="shared" si="38"/>
        <v>161.31183155381945</v>
      </c>
    </row>
    <row r="60" spans="1:9" s="3" customFormat="1" hidden="1" x14ac:dyDescent="0.2">
      <c r="A60" s="3" t="s">
        <v>377</v>
      </c>
      <c r="B60" s="534">
        <v>92.412698412698418</v>
      </c>
      <c r="C60" s="534">
        <f>B60-(B60*0.05)</f>
        <v>87.792063492063491</v>
      </c>
      <c r="D60" s="534">
        <f t="shared" si="38"/>
        <v>83.40246031746031</v>
      </c>
      <c r="E60" s="534">
        <f t="shared" si="38"/>
        <v>79.232337301587293</v>
      </c>
      <c r="F60" s="534">
        <f t="shared" si="38"/>
        <v>75.270720436507929</v>
      </c>
      <c r="G60" s="534">
        <f t="shared" si="38"/>
        <v>71.507184414682527</v>
      </c>
      <c r="H60" s="534">
        <f t="shared" si="38"/>
        <v>67.931825193948399</v>
      </c>
    </row>
    <row r="61" spans="1:9" s="68" customFormat="1" hidden="1" x14ac:dyDescent="0.2">
      <c r="A61" s="816"/>
      <c r="B61" s="816"/>
      <c r="C61" s="816"/>
      <c r="D61" s="816"/>
      <c r="E61" s="816"/>
      <c r="F61" s="816"/>
      <c r="G61" s="816"/>
      <c r="H61" s="816"/>
    </row>
    <row r="62" spans="1:9" s="3" customFormat="1" hidden="1" x14ac:dyDescent="0.2"/>
    <row r="63" spans="1:9" s="3" customFormat="1" hidden="1" x14ac:dyDescent="0.2">
      <c r="A63" s="579" t="s">
        <v>1267</v>
      </c>
      <c r="B63" s="579"/>
      <c r="C63" s="579"/>
      <c r="D63" s="579"/>
      <c r="E63" s="579"/>
      <c r="F63" s="579"/>
      <c r="G63" s="579"/>
      <c r="H63" s="579"/>
    </row>
    <row r="64" spans="1:9" s="3" customFormat="1" hidden="1" x14ac:dyDescent="0.2">
      <c r="A64" s="3" t="s">
        <v>1266</v>
      </c>
      <c r="B64" s="535">
        <f>B22*B56</f>
        <v>382156</v>
      </c>
      <c r="C64" s="535">
        <f>B22*C56</f>
        <v>363048.19999999995</v>
      </c>
      <c r="D64" s="535">
        <f t="shared" ref="D64:H64" si="39">C22*D56</f>
        <v>418802.03071428568</v>
      </c>
      <c r="E64" s="535">
        <f t="shared" si="39"/>
        <v>507078.92934523802</v>
      </c>
      <c r="F64" s="535">
        <f t="shared" si="39"/>
        <v>518780.75079166656</v>
      </c>
      <c r="G64" s="535">
        <f t="shared" si="39"/>
        <v>518657.23156528763</v>
      </c>
      <c r="H64" s="535">
        <f t="shared" si="39"/>
        <v>494953.89202316361</v>
      </c>
    </row>
    <row r="65" spans="1:8" s="3" customFormat="1" hidden="1" x14ac:dyDescent="0.2">
      <c r="A65" s="3" t="s">
        <v>1265</v>
      </c>
      <c r="B65" s="535">
        <f>B22*B57</f>
        <v>101706</v>
      </c>
      <c r="C65" s="535">
        <f>B22*C57</f>
        <v>96620.7</v>
      </c>
      <c r="D65" s="535">
        <f t="shared" ref="D65:H65" si="40">C22*D57</f>
        <v>111458.87892857143</v>
      </c>
      <c r="E65" s="535">
        <f t="shared" si="40"/>
        <v>134952.66223214287</v>
      </c>
      <c r="F65" s="535">
        <f t="shared" si="40"/>
        <v>138066.95443750001</v>
      </c>
      <c r="G65" s="535">
        <f t="shared" si="40"/>
        <v>138034.08135311012</v>
      </c>
      <c r="H65" s="535">
        <f t="shared" si="40"/>
        <v>131725.73645869197</v>
      </c>
    </row>
    <row r="66" spans="1:8" s="3" customFormat="1" hidden="1" x14ac:dyDescent="0.2">
      <c r="A66" s="3" t="s">
        <v>895</v>
      </c>
      <c r="B66" s="535">
        <f>B21*B58</f>
        <v>6683.0000000000127</v>
      </c>
      <c r="C66" s="535">
        <f>B21*C58</f>
        <v>6348.8500000000122</v>
      </c>
      <c r="D66" s="535">
        <f t="shared" ref="D66:H66" si="41">C21*D58</f>
        <v>7595.1057407407552</v>
      </c>
      <c r="E66" s="535">
        <f t="shared" si="41"/>
        <v>9761.9447314815006</v>
      </c>
      <c r="F66" s="535">
        <f t="shared" si="41"/>
        <v>9878.6636358796495</v>
      </c>
      <c r="G66" s="535">
        <f t="shared" si="41"/>
        <v>9767.7806767014081</v>
      </c>
      <c r="H66" s="535">
        <f t="shared" si="41"/>
        <v>9461.3404986088171</v>
      </c>
    </row>
    <row r="67" spans="1:8" s="3" customFormat="1" hidden="1" x14ac:dyDescent="0.2">
      <c r="A67" s="3" t="s">
        <v>142</v>
      </c>
      <c r="B67" s="535">
        <f>B22*B59</f>
        <v>27650</v>
      </c>
      <c r="C67" s="535">
        <f>B22*C59</f>
        <v>26267.5</v>
      </c>
      <c r="D67" s="535">
        <f t="shared" ref="D67:H67" si="42">C22*D59</f>
        <v>30301.4375</v>
      </c>
      <c r="E67" s="535">
        <f t="shared" si="42"/>
        <v>36688.505208333336</v>
      </c>
      <c r="F67" s="535">
        <f t="shared" si="42"/>
        <v>37535.16302083333</v>
      </c>
      <c r="G67" s="535">
        <f t="shared" si="42"/>
        <v>37526.226077256943</v>
      </c>
      <c r="H67" s="535">
        <f t="shared" si="42"/>
        <v>35811.226604947915</v>
      </c>
    </row>
    <row r="68" spans="1:8" s="3" customFormat="1" hidden="1" x14ac:dyDescent="0.2">
      <c r="A68" s="3" t="s">
        <v>377</v>
      </c>
      <c r="B68" s="535">
        <f>B22*B60</f>
        <v>11644</v>
      </c>
      <c r="C68" s="535">
        <f>B22*C60</f>
        <v>11061.8</v>
      </c>
      <c r="D68" s="535">
        <f t="shared" ref="D68:H68" si="43">C22*D60</f>
        <v>12760.576428571427</v>
      </c>
      <c r="E68" s="535">
        <f t="shared" si="43"/>
        <v>15450.305773809521</v>
      </c>
      <c r="F68" s="535">
        <f t="shared" si="43"/>
        <v>15806.851291666666</v>
      </c>
      <c r="G68" s="535">
        <f t="shared" si="43"/>
        <v>15803.087755644838</v>
      </c>
      <c r="H68" s="535">
        <f t="shared" si="43"/>
        <v>15080.865193056545</v>
      </c>
    </row>
    <row r="69" spans="1:8" s="3" customFormat="1" hidden="1" x14ac:dyDescent="0.2">
      <c r="A69" s="816"/>
      <c r="B69" s="816"/>
      <c r="C69" s="816"/>
      <c r="D69" s="816"/>
      <c r="E69" s="816"/>
      <c r="F69" s="816"/>
      <c r="G69" s="816"/>
      <c r="H69" s="816"/>
    </row>
    <row r="70" spans="1:8" s="3" customFormat="1" x14ac:dyDescent="0.2"/>
    <row r="71" spans="1:8" s="3" customFormat="1" x14ac:dyDescent="0.2"/>
    <row r="72" spans="1:8" s="3" customFormat="1" x14ac:dyDescent="0.2"/>
    <row r="73" spans="1:8" s="3" customFormat="1" x14ac:dyDescent="0.2"/>
    <row r="74" spans="1:8" s="3" customFormat="1" x14ac:dyDescent="0.2"/>
    <row r="75" spans="1:8" s="3" customFormat="1" x14ac:dyDescent="0.2"/>
    <row r="76" spans="1:8" s="3" customFormat="1" x14ac:dyDescent="0.2">
      <c r="B76" s="62"/>
    </row>
    <row r="77" spans="1:8" s="3" customFormat="1" x14ac:dyDescent="0.2"/>
    <row r="78" spans="1:8" s="3" customFormat="1" x14ac:dyDescent="0.2"/>
    <row r="79" spans="1:8" s="3" customFormat="1" x14ac:dyDescent="0.2"/>
    <row r="80" spans="1:8" s="3" customFormat="1" x14ac:dyDescent="0.2"/>
    <row r="81" s="3" customFormat="1" x14ac:dyDescent="0.2"/>
    <row r="82" s="3" customFormat="1" x14ac:dyDescent="0.2"/>
    <row r="83" s="3" customFormat="1" x14ac:dyDescent="0.2"/>
    <row r="84" s="3" customFormat="1" x14ac:dyDescent="0.2"/>
    <row r="85" s="3" customFormat="1" x14ac:dyDescent="0.2"/>
    <row r="86" s="3" customFormat="1" x14ac:dyDescent="0.2"/>
    <row r="87" s="3" customFormat="1" x14ac:dyDescent="0.2"/>
    <row r="88" s="3" customFormat="1" x14ac:dyDescent="0.2"/>
    <row r="89" s="3" customFormat="1" x14ac:dyDescent="0.2"/>
    <row r="90" s="3" customFormat="1" x14ac:dyDescent="0.2"/>
    <row r="91" s="3" customFormat="1" x14ac:dyDescent="0.2"/>
    <row r="92" s="3" customFormat="1" x14ac:dyDescent="0.2"/>
    <row r="93" s="3" customFormat="1" x14ac:dyDescent="0.2"/>
    <row r="94" s="3" customFormat="1" x14ac:dyDescent="0.2"/>
    <row r="95" s="3" customFormat="1" x14ac:dyDescent="0.2"/>
    <row r="96" s="3" customFormat="1" x14ac:dyDescent="0.2"/>
    <row r="97" s="3" customFormat="1" x14ac:dyDescent="0.2"/>
    <row r="98" s="3" customFormat="1" x14ac:dyDescent="0.2"/>
    <row r="99" s="3" customFormat="1" x14ac:dyDescent="0.2"/>
    <row r="100" s="3" customFormat="1" x14ac:dyDescent="0.2"/>
    <row r="101" s="3" customFormat="1" x14ac:dyDescent="0.2"/>
    <row r="102" s="3" customFormat="1" x14ac:dyDescent="0.2"/>
    <row r="103" s="3" customFormat="1" x14ac:dyDescent="0.2"/>
    <row r="104" s="3" customFormat="1" x14ac:dyDescent="0.2"/>
    <row r="105" s="3" customFormat="1" x14ac:dyDescent="0.2"/>
    <row r="106" s="3" customFormat="1" x14ac:dyDescent="0.2"/>
    <row r="107" s="3" customFormat="1" x14ac:dyDescent="0.2"/>
    <row r="108" s="3" customFormat="1" x14ac:dyDescent="0.2"/>
    <row r="109" s="3" customFormat="1" x14ac:dyDescent="0.2"/>
    <row r="110" s="3" customFormat="1" x14ac:dyDescent="0.2"/>
    <row r="111" s="3" customFormat="1" x14ac:dyDescent="0.2"/>
    <row r="112" s="3" customFormat="1" x14ac:dyDescent="0.2"/>
    <row r="113" s="3" customFormat="1" x14ac:dyDescent="0.2"/>
    <row r="114" s="3" customFormat="1" x14ac:dyDescent="0.2"/>
    <row r="115" s="3" customFormat="1" x14ac:dyDescent="0.2"/>
    <row r="116" s="3" customFormat="1" x14ac:dyDescent="0.2"/>
    <row r="117" s="3" customFormat="1" x14ac:dyDescent="0.2"/>
    <row r="118" s="3" customFormat="1" x14ac:dyDescent="0.2"/>
    <row r="119" s="3" customFormat="1" x14ac:dyDescent="0.2"/>
    <row r="120" s="3" customFormat="1" x14ac:dyDescent="0.2"/>
    <row r="121" s="3" customFormat="1" x14ac:dyDescent="0.2"/>
    <row r="122" s="3" customFormat="1" x14ac:dyDescent="0.2"/>
    <row r="123" s="3" customFormat="1" x14ac:dyDescent="0.2"/>
    <row r="124" s="3" customFormat="1" x14ac:dyDescent="0.2"/>
    <row r="125" s="3" customFormat="1" x14ac:dyDescent="0.2"/>
    <row r="126" s="3" customFormat="1" x14ac:dyDescent="0.2"/>
    <row r="127" s="3" customFormat="1" x14ac:dyDescent="0.2"/>
    <row r="128" s="3" customFormat="1" x14ac:dyDescent="0.2"/>
    <row r="129" s="3" customFormat="1" x14ac:dyDescent="0.2"/>
    <row r="130" s="3" customFormat="1" x14ac:dyDescent="0.2"/>
    <row r="131" s="3" customFormat="1" x14ac:dyDescent="0.2"/>
    <row r="132" s="3" customFormat="1" x14ac:dyDescent="0.2"/>
    <row r="133" s="3" customFormat="1" x14ac:dyDescent="0.2"/>
    <row r="134" s="3" customFormat="1" x14ac:dyDescent="0.2"/>
    <row r="135" s="3" customFormat="1" x14ac:dyDescent="0.2"/>
    <row r="136" s="3" customFormat="1" x14ac:dyDescent="0.2"/>
    <row r="137" s="3" customFormat="1" x14ac:dyDescent="0.2"/>
    <row r="138" s="3" customFormat="1" x14ac:dyDescent="0.2"/>
    <row r="139" s="3" customFormat="1" x14ac:dyDescent="0.2"/>
    <row r="140" s="3" customFormat="1" x14ac:dyDescent="0.2"/>
    <row r="141" s="3" customFormat="1" x14ac:dyDescent="0.2"/>
    <row r="142" s="3" customFormat="1" x14ac:dyDescent="0.2"/>
    <row r="143" s="3" customFormat="1" x14ac:dyDescent="0.2"/>
    <row r="144" s="3" customFormat="1" x14ac:dyDescent="0.2"/>
    <row r="145" s="3" customFormat="1" x14ac:dyDescent="0.2"/>
    <row r="146" s="3" customFormat="1" x14ac:dyDescent="0.2"/>
    <row r="147" s="3" customFormat="1" x14ac:dyDescent="0.2"/>
    <row r="148" s="3" customFormat="1" x14ac:dyDescent="0.2"/>
    <row r="149" s="3" customFormat="1" x14ac:dyDescent="0.2"/>
    <row r="150" s="3" customFormat="1" x14ac:dyDescent="0.2"/>
    <row r="151" s="3" customFormat="1" x14ac:dyDescent="0.2"/>
    <row r="152" s="3" customFormat="1" x14ac:dyDescent="0.2"/>
    <row r="153" s="3" customFormat="1" x14ac:dyDescent="0.2"/>
    <row r="154" s="3" customFormat="1" x14ac:dyDescent="0.2"/>
    <row r="155" s="3" customFormat="1" x14ac:dyDescent="0.2"/>
    <row r="156" s="3" customFormat="1" x14ac:dyDescent="0.2"/>
    <row r="157" s="3" customFormat="1" x14ac:dyDescent="0.2"/>
    <row r="158" s="3" customFormat="1" x14ac:dyDescent="0.2"/>
    <row r="159" s="3" customFormat="1" x14ac:dyDescent="0.2"/>
    <row r="160" s="3" customFormat="1" x14ac:dyDescent="0.2"/>
    <row r="161" s="3" customFormat="1" x14ac:dyDescent="0.2"/>
    <row r="162" s="3" customFormat="1" x14ac:dyDescent="0.2"/>
    <row r="163" s="3" customFormat="1" x14ac:dyDescent="0.2"/>
    <row r="164" s="3" customFormat="1" x14ac:dyDescent="0.2"/>
    <row r="165" s="3" customFormat="1" x14ac:dyDescent="0.2"/>
    <row r="166" s="3" customFormat="1" x14ac:dyDescent="0.2"/>
    <row r="167" s="3" customFormat="1" x14ac:dyDescent="0.2"/>
    <row r="168" s="3" customFormat="1" x14ac:dyDescent="0.2"/>
    <row r="169" s="3" customFormat="1" x14ac:dyDescent="0.2"/>
    <row r="170" s="3" customFormat="1" x14ac:dyDescent="0.2"/>
    <row r="171" s="3" customFormat="1" x14ac:dyDescent="0.2"/>
    <row r="172" s="3" customFormat="1" x14ac:dyDescent="0.2"/>
    <row r="173" s="3" customFormat="1" x14ac:dyDescent="0.2"/>
    <row r="174" s="3" customFormat="1" x14ac:dyDescent="0.2"/>
    <row r="175" s="3" customFormat="1" x14ac:dyDescent="0.2"/>
    <row r="176" s="3" customFormat="1" x14ac:dyDescent="0.2"/>
    <row r="177" s="3" customFormat="1" x14ac:dyDescent="0.2"/>
    <row r="178" s="3" customFormat="1" x14ac:dyDescent="0.2"/>
    <row r="179" s="3" customFormat="1" x14ac:dyDescent="0.2"/>
    <row r="180" s="3" customFormat="1" x14ac:dyDescent="0.2"/>
    <row r="181" s="3" customFormat="1" x14ac:dyDescent="0.2"/>
    <row r="182" s="3" customFormat="1" x14ac:dyDescent="0.2"/>
    <row r="183" s="3" customFormat="1" x14ac:dyDescent="0.2"/>
    <row r="184" s="3" customFormat="1" x14ac:dyDescent="0.2"/>
    <row r="185" s="3" customFormat="1" x14ac:dyDescent="0.2"/>
    <row r="186" s="3" customFormat="1" x14ac:dyDescent="0.2"/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8C1A23-B40A-40A8-AF97-2E90E1A3EF04}">
          <x14:formula1>
            <xm:f>'Data Tables DONT EDIT'!$U$1:$U$18</xm:f>
          </x14:formula1>
          <xm:sqref>B7:H7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C9962-F005-4661-9D37-CF893DD11A6A}">
  <sheetPr codeName="Sheet5"/>
  <dimension ref="A1:N40"/>
  <sheetViews>
    <sheetView workbookViewId="0">
      <selection activeCell="J8" sqref="J8:J11"/>
    </sheetView>
  </sheetViews>
  <sheetFormatPr defaultRowHeight="12.75" x14ac:dyDescent="0.2"/>
  <cols>
    <col min="1" max="1" width="25.140625" bestFit="1" customWidth="1"/>
    <col min="4" max="7" width="12.42578125" bestFit="1" customWidth="1"/>
    <col min="8" max="8" width="13.5703125" bestFit="1" customWidth="1"/>
    <col min="10" max="10" width="13.5703125" bestFit="1" customWidth="1"/>
    <col min="11" max="12" width="12.42578125" bestFit="1" customWidth="1"/>
    <col min="13" max="13" width="12.42578125" customWidth="1"/>
    <col min="14" max="14" width="10.5703125" bestFit="1" customWidth="1"/>
  </cols>
  <sheetData>
    <row r="1" spans="1:10" s="3" customFormat="1" ht="12.75" customHeight="1" x14ac:dyDescent="0.2">
      <c r="A1" s="2" t="str">
        <f>'# of Students'!A1</f>
        <v>Beacon Academy of Nevada</v>
      </c>
      <c r="I1" s="60" t="str">
        <f>'# of Students'!G1</f>
        <v>Single</v>
      </c>
      <c r="J1" s="278" t="s">
        <v>17</v>
      </c>
    </row>
    <row r="2" spans="1:10" s="3" customFormat="1" ht="12.75" customHeight="1" x14ac:dyDescent="0.2">
      <c r="A2" s="2" t="s">
        <v>6</v>
      </c>
      <c r="I2" s="60" t="str">
        <f>'# of Students'!G2</f>
        <v>SPCSA</v>
      </c>
      <c r="J2" s="278" t="s">
        <v>9</v>
      </c>
    </row>
    <row r="3" spans="1:10" s="3" customFormat="1" ht="12.75" customHeight="1" x14ac:dyDescent="0.2">
      <c r="A3" s="2" t="s">
        <v>8</v>
      </c>
      <c r="B3" s="61">
        <f>'# of Students'!B3</f>
        <v>2022</v>
      </c>
      <c r="I3" s="60" t="str">
        <f>'# of Students'!G3</f>
        <v>CLARK</v>
      </c>
      <c r="J3" s="278" t="s">
        <v>11</v>
      </c>
    </row>
    <row r="4" spans="1:10" s="3" customFormat="1" ht="12.75" customHeight="1" x14ac:dyDescent="0.2"/>
    <row r="5" spans="1:10" s="3" customFormat="1" ht="12.75" customHeight="1" x14ac:dyDescent="0.2"/>
    <row r="6" spans="1:10" s="3" customFormat="1" ht="12.75" customHeight="1" x14ac:dyDescent="0.2">
      <c r="A6" s="302" t="s">
        <v>36</v>
      </c>
      <c r="B6" s="70" t="str">
        <f>CONCATENATE("FY",$B$3+0)</f>
        <v>FY2022</v>
      </c>
      <c r="C6" s="70"/>
      <c r="D6" s="70" t="s">
        <v>105</v>
      </c>
      <c r="E6" s="70" t="s">
        <v>106</v>
      </c>
      <c r="F6" s="70" t="s">
        <v>107</v>
      </c>
      <c r="G6" s="70" t="s">
        <v>108</v>
      </c>
      <c r="H6" s="70" t="s">
        <v>109</v>
      </c>
    </row>
    <row r="7" spans="1:10" s="3" customFormat="1" ht="12.75" customHeight="1" x14ac:dyDescent="0.25">
      <c r="A7" s="71" t="s">
        <v>110</v>
      </c>
      <c r="B7" s="71" t="s">
        <v>111</v>
      </c>
      <c r="C7" s="71" t="s">
        <v>112</v>
      </c>
      <c r="D7" s="71" t="s">
        <v>113</v>
      </c>
      <c r="E7" s="71" t="s">
        <v>114</v>
      </c>
      <c r="F7" s="71" t="s">
        <v>115</v>
      </c>
      <c r="G7" s="71" t="s">
        <v>116</v>
      </c>
      <c r="H7" s="72" t="s">
        <v>109</v>
      </c>
    </row>
    <row r="8" spans="1:10" s="3" customFormat="1" ht="12.75" customHeight="1" x14ac:dyDescent="0.2">
      <c r="A8" s="3">
        <v>89409</v>
      </c>
      <c r="B8" s="3">
        <v>2</v>
      </c>
      <c r="C8" s="4">
        <v>9</v>
      </c>
      <c r="D8" s="92">
        <v>1.08108</v>
      </c>
      <c r="E8" s="92">
        <v>3.23529</v>
      </c>
      <c r="F8" s="92">
        <v>7.2881400000000003</v>
      </c>
      <c r="H8" s="92">
        <f>AVERAGEIF(D8:G8,"&lt;&gt;0")</f>
        <v>3.8681700000000006</v>
      </c>
      <c r="J8" s="3">
        <f>ROUND(Table2[[#This Row],[Average]],0)</f>
        <v>4</v>
      </c>
    </row>
    <row r="9" spans="1:10" s="3" customFormat="1" ht="12.75" customHeight="1" x14ac:dyDescent="0.2">
      <c r="A9" s="3">
        <v>89409</v>
      </c>
      <c r="B9" s="3">
        <v>2</v>
      </c>
      <c r="C9" s="4">
        <v>10</v>
      </c>
      <c r="D9" s="92">
        <v>6.81081</v>
      </c>
      <c r="E9" s="92">
        <v>12.68628</v>
      </c>
      <c r="F9" s="92">
        <v>24.355930000000001</v>
      </c>
      <c r="H9" s="92">
        <f>AVERAGEIF(D9:G9,"&lt;&gt;0")</f>
        <v>14.617673333333334</v>
      </c>
      <c r="J9" s="3">
        <f>ROUND(Table2[[#This Row],[Average]],0)</f>
        <v>15</v>
      </c>
    </row>
    <row r="10" spans="1:10" s="3" customFormat="1" ht="12.75" customHeight="1" x14ac:dyDescent="0.2">
      <c r="A10" s="3">
        <v>89409</v>
      </c>
      <c r="B10" s="3">
        <v>2</v>
      </c>
      <c r="C10" s="4">
        <v>11</v>
      </c>
      <c r="D10" s="92">
        <v>24.43243</v>
      </c>
      <c r="E10" s="92">
        <v>48.333329999999997</v>
      </c>
      <c r="F10" s="92">
        <v>79.033900000000003</v>
      </c>
      <c r="H10" s="92">
        <f t="shared" ref="H10:H11" si="0">AVERAGEIF(D10:G10,"&lt;&gt;0")</f>
        <v>50.59988666666667</v>
      </c>
      <c r="J10" s="3">
        <f>ROUND(Table2[[#This Row],[Average]],0)</f>
        <v>51</v>
      </c>
    </row>
    <row r="11" spans="1:10" s="3" customFormat="1" ht="12.75" customHeight="1" x14ac:dyDescent="0.2">
      <c r="A11" s="3">
        <v>89409</v>
      </c>
      <c r="B11" s="3">
        <v>2</v>
      </c>
      <c r="C11" s="4">
        <v>12</v>
      </c>
      <c r="D11" s="92">
        <v>302.78377999999998</v>
      </c>
      <c r="E11" s="92">
        <v>302.07843000000003</v>
      </c>
      <c r="F11" s="92">
        <v>295.03390000000002</v>
      </c>
      <c r="H11" s="92">
        <f t="shared" si="0"/>
        <v>299.96537000000001</v>
      </c>
      <c r="J11" s="3">
        <f>ROUND(Table2[[#This Row],[Average]],0)</f>
        <v>300</v>
      </c>
    </row>
    <row r="12" spans="1:10" s="3" customFormat="1" ht="12.75" customHeight="1" x14ac:dyDescent="0.2">
      <c r="C12" s="4"/>
      <c r="D12" s="92"/>
      <c r="E12" s="92"/>
      <c r="H12" s="92"/>
    </row>
    <row r="13" spans="1:10" s="3" customFormat="1" ht="12.75" customHeight="1" x14ac:dyDescent="0.2">
      <c r="A13" s="68"/>
      <c r="B13" s="68"/>
      <c r="C13" s="93"/>
      <c r="D13" s="94"/>
      <c r="E13" s="94"/>
      <c r="F13" s="68"/>
      <c r="G13" s="68"/>
      <c r="H13" s="94"/>
    </row>
    <row r="14" spans="1:10" s="3" customFormat="1" ht="12.75" customHeight="1" x14ac:dyDescent="0.2">
      <c r="A14" s="68"/>
      <c r="B14" s="68"/>
      <c r="C14" s="93"/>
      <c r="D14" s="94"/>
      <c r="E14" s="94"/>
      <c r="F14" s="68"/>
      <c r="G14" s="68"/>
      <c r="H14" s="94"/>
    </row>
    <row r="15" spans="1:10" s="3" customFormat="1" ht="12.75" customHeight="1" x14ac:dyDescent="0.2">
      <c r="C15" s="4"/>
      <c r="D15" s="92"/>
      <c r="E15" s="92"/>
      <c r="H15" s="92"/>
    </row>
    <row r="16" spans="1:10" s="3" customFormat="1" ht="12.75" customHeight="1" x14ac:dyDescent="0.2">
      <c r="C16" s="4"/>
      <c r="D16" s="92"/>
      <c r="E16" s="92"/>
      <c r="H16" s="92"/>
    </row>
    <row r="17" spans="1:14" s="3" customFormat="1" ht="12.75" customHeight="1" thickBot="1" x14ac:dyDescent="0.25">
      <c r="A17" s="65"/>
      <c r="B17" s="65"/>
      <c r="C17" s="65"/>
      <c r="D17" s="95">
        <f>SUBTOTAL(109,Table2[RawADE])</f>
        <v>335.10809999999998</v>
      </c>
      <c r="E17" s="95">
        <f>SUBTOTAL(109,Table2[RawADE2])</f>
        <v>366.33333000000005</v>
      </c>
      <c r="F17" s="95">
        <f>SUBTOTAL(109,Table2[RawADE3])</f>
        <v>405.71187000000003</v>
      </c>
      <c r="G17" s="95">
        <f>SUBTOTAL(109,Table2[RawADE4])</f>
        <v>0</v>
      </c>
      <c r="H17" s="95">
        <f>SUBTOTAL(109,Table2[Average])</f>
        <v>369.05110000000002</v>
      </c>
    </row>
    <row r="18" spans="1:14" s="3" customFormat="1" ht="13.5" thickTop="1" x14ac:dyDescent="0.2">
      <c r="E18" s="92"/>
      <c r="F18" s="92"/>
    </row>
    <row r="19" spans="1:14" s="3" customFormat="1" x14ac:dyDescent="0.2">
      <c r="D19" s="62"/>
      <c r="E19" s="62"/>
      <c r="F19" s="62"/>
      <c r="G19" s="62"/>
      <c r="H19" s="62"/>
    </row>
    <row r="20" spans="1:14" s="3" customFormat="1" x14ac:dyDescent="0.2">
      <c r="D20" s="62"/>
      <c r="E20" s="62"/>
      <c r="F20" s="62"/>
      <c r="G20" s="62"/>
      <c r="H20" s="62"/>
    </row>
    <row r="21" spans="1:14" s="3" customFormat="1" x14ac:dyDescent="0.2">
      <c r="D21" s="62"/>
      <c r="E21" s="62"/>
      <c r="F21" s="62"/>
      <c r="G21" s="62"/>
      <c r="H21" s="62"/>
    </row>
    <row r="22" spans="1:14" s="3" customFormat="1" x14ac:dyDescent="0.2"/>
    <row r="23" spans="1:14" s="3" customFormat="1" x14ac:dyDescent="0.2">
      <c r="D23" s="92"/>
      <c r="E23" s="92"/>
      <c r="F23" s="92"/>
      <c r="G23" s="92"/>
      <c r="H23" s="355"/>
    </row>
    <row r="24" spans="1:14" s="3" customFormat="1" x14ac:dyDescent="0.2">
      <c r="D24" s="62"/>
      <c r="E24" s="62"/>
      <c r="F24" s="62"/>
      <c r="G24" s="62"/>
      <c r="H24" s="62"/>
      <c r="J24" s="534"/>
      <c r="K24" s="62"/>
      <c r="L24" s="62"/>
      <c r="M24" s="535"/>
      <c r="N24" s="355"/>
    </row>
    <row r="25" spans="1:14" s="3" customFormat="1" x14ac:dyDescent="0.2"/>
    <row r="26" spans="1:14" s="3" customFormat="1" x14ac:dyDescent="0.2">
      <c r="H26" s="286"/>
    </row>
    <row r="27" spans="1:14" s="3" customFormat="1" x14ac:dyDescent="0.2">
      <c r="H27" s="355"/>
      <c r="J27" s="62"/>
      <c r="K27" s="62"/>
      <c r="L27" s="355"/>
      <c r="M27" s="355"/>
    </row>
    <row r="28" spans="1:14" s="3" customFormat="1" x14ac:dyDescent="0.2">
      <c r="J28" s="355"/>
      <c r="K28" s="355"/>
      <c r="L28" s="355"/>
    </row>
    <row r="29" spans="1:14" s="3" customFormat="1" x14ac:dyDescent="0.2">
      <c r="H29" s="355"/>
    </row>
    <row r="30" spans="1:14" s="3" customFormat="1" x14ac:dyDescent="0.2"/>
    <row r="31" spans="1:14" s="3" customFormat="1" x14ac:dyDescent="0.2"/>
    <row r="32" spans="1:14" s="3" customFormat="1" x14ac:dyDescent="0.2"/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  <row r="39" s="3" customFormat="1" x14ac:dyDescent="0.2"/>
    <row r="40" s="3" customFormat="1" x14ac:dyDescent="0.2"/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72BE6-0E7F-4ED8-9513-F43889B85873}">
  <sheetPr codeName="Sheet6"/>
  <dimension ref="A1:K345"/>
  <sheetViews>
    <sheetView workbookViewId="0">
      <selection activeCell="I30" sqref="I30"/>
    </sheetView>
  </sheetViews>
  <sheetFormatPr defaultColWidth="9.140625" defaultRowHeight="12.75" x14ac:dyDescent="0.2"/>
  <cols>
    <col min="1" max="1" width="5.42578125" style="80" bestFit="1" customWidth="1"/>
    <col min="2" max="2" width="13.28515625" style="80" bestFit="1" customWidth="1"/>
    <col min="3" max="3" width="1.7109375" style="80" customWidth="1"/>
    <col min="4" max="4" width="8.42578125" style="80" bestFit="1" customWidth="1"/>
    <col min="5" max="5" width="8.7109375" style="80" bestFit="1" customWidth="1"/>
    <col min="6" max="6" width="6.85546875" style="80" bestFit="1" customWidth="1"/>
    <col min="7" max="7" width="12.85546875" style="80" bestFit="1" customWidth="1"/>
    <col min="8" max="8" width="11.5703125" style="80" bestFit="1" customWidth="1"/>
    <col min="9" max="9" width="15.28515625" style="80" bestFit="1" customWidth="1"/>
    <col min="10" max="10" width="43.140625" style="80" customWidth="1"/>
    <col min="11" max="11" width="6.28515625" style="80" bestFit="1" customWidth="1"/>
    <col min="12" max="16384" width="9.140625" style="80"/>
  </cols>
  <sheetData>
    <row r="1" spans="1:11" ht="12.75" customHeight="1" x14ac:dyDescent="0.2">
      <c r="A1" s="78" t="s">
        <v>117</v>
      </c>
      <c r="B1" s="78" t="s">
        <v>118</v>
      </c>
      <c r="C1" s="78"/>
      <c r="D1" s="78" t="s">
        <v>119</v>
      </c>
      <c r="E1" s="78" t="s">
        <v>120</v>
      </c>
      <c r="F1" s="78" t="s">
        <v>121</v>
      </c>
      <c r="G1" s="79" t="s">
        <v>122</v>
      </c>
      <c r="H1" s="79" t="s">
        <v>123</v>
      </c>
      <c r="I1" s="79" t="s">
        <v>124</v>
      </c>
      <c r="J1" s="79" t="s">
        <v>126</v>
      </c>
      <c r="K1" s="79" t="s">
        <v>125</v>
      </c>
    </row>
    <row r="2" spans="1:11" ht="12.75" customHeight="1" x14ac:dyDescent="0.2">
      <c r="A2" s="73"/>
      <c r="B2" s="73"/>
      <c r="C2" s="73"/>
      <c r="D2" s="73"/>
      <c r="E2" s="73"/>
      <c r="F2" s="74"/>
      <c r="G2" s="75"/>
      <c r="H2" s="76">
        <v>12</v>
      </c>
      <c r="I2" s="75">
        <f>+H2*G2</f>
        <v>0</v>
      </c>
      <c r="J2" s="77"/>
      <c r="K2" s="77"/>
    </row>
    <row r="3" spans="1:11" ht="12.75" customHeight="1" x14ac:dyDescent="0.2">
      <c r="A3" s="73"/>
      <c r="B3" s="73"/>
      <c r="C3" s="73"/>
      <c r="D3" s="73"/>
      <c r="E3" s="73"/>
      <c r="F3" s="73"/>
      <c r="G3" s="75"/>
      <c r="H3" s="76">
        <v>12</v>
      </c>
      <c r="I3" s="75">
        <f t="shared" ref="I3" si="0">+H3*G3</f>
        <v>0</v>
      </c>
      <c r="J3" s="77"/>
      <c r="K3" s="77"/>
    </row>
    <row r="4" spans="1:11" ht="12.75" customHeight="1" x14ac:dyDescent="0.2">
      <c r="A4" s="73"/>
      <c r="B4" s="73"/>
      <c r="C4" s="73"/>
      <c r="D4" s="73"/>
      <c r="E4" s="73"/>
      <c r="F4" s="73"/>
      <c r="G4" s="75"/>
      <c r="H4" s="76">
        <v>12</v>
      </c>
      <c r="I4" s="75">
        <f t="shared" ref="I4:I67" si="1">+H4*G4</f>
        <v>0</v>
      </c>
      <c r="J4" s="77"/>
      <c r="K4" s="77"/>
    </row>
    <row r="5" spans="1:11" ht="12.75" customHeight="1" x14ac:dyDescent="0.2">
      <c r="A5" s="73">
        <v>100</v>
      </c>
      <c r="B5" s="73" t="s">
        <v>145</v>
      </c>
      <c r="C5" s="73"/>
      <c r="D5" s="73">
        <v>100</v>
      </c>
      <c r="E5" s="73" t="s">
        <v>481</v>
      </c>
      <c r="F5" s="73" t="s">
        <v>480</v>
      </c>
      <c r="G5" s="75">
        <v>70</v>
      </c>
      <c r="H5" s="76">
        <v>12</v>
      </c>
      <c r="I5" s="75">
        <f t="shared" si="1"/>
        <v>840</v>
      </c>
      <c r="J5" s="77" t="s">
        <v>824</v>
      </c>
      <c r="K5" s="77"/>
    </row>
    <row r="6" spans="1:11" ht="12.75" customHeight="1" x14ac:dyDescent="0.2">
      <c r="A6" s="73"/>
      <c r="B6" s="73"/>
      <c r="C6" s="73"/>
      <c r="D6" s="73"/>
      <c r="E6" s="73"/>
      <c r="F6" s="73"/>
      <c r="G6" s="75"/>
      <c r="H6" s="76">
        <v>12</v>
      </c>
      <c r="I6" s="75">
        <f t="shared" si="1"/>
        <v>0</v>
      </c>
      <c r="J6" s="77"/>
      <c r="K6" s="77"/>
    </row>
    <row r="7" spans="1:11" ht="12.75" customHeight="1" x14ac:dyDescent="0.2">
      <c r="A7" s="73"/>
      <c r="B7" s="73"/>
      <c r="C7" s="73"/>
      <c r="D7" s="73"/>
      <c r="E7" s="73"/>
      <c r="F7" s="73"/>
      <c r="G7" s="75"/>
      <c r="H7" s="76">
        <v>12</v>
      </c>
      <c r="I7" s="75">
        <f t="shared" si="1"/>
        <v>0</v>
      </c>
      <c r="J7" s="77"/>
      <c r="K7" s="77"/>
    </row>
    <row r="8" spans="1:11" ht="12.75" customHeight="1" x14ac:dyDescent="0.2">
      <c r="A8" s="73"/>
      <c r="B8" s="73"/>
      <c r="C8" s="73"/>
      <c r="D8" s="73"/>
      <c r="E8" s="73"/>
      <c r="F8" s="73"/>
      <c r="G8" s="75"/>
      <c r="H8" s="76">
        <v>12</v>
      </c>
      <c r="I8" s="75">
        <f t="shared" si="1"/>
        <v>0</v>
      </c>
      <c r="J8" s="77"/>
      <c r="K8" s="77"/>
    </row>
    <row r="9" spans="1:11" ht="12.75" customHeight="1" x14ac:dyDescent="0.2">
      <c r="A9" s="73"/>
      <c r="B9" s="73"/>
      <c r="C9" s="73"/>
      <c r="D9" s="73"/>
      <c r="E9" s="73"/>
      <c r="F9" s="73"/>
      <c r="G9" s="75"/>
      <c r="H9" s="76">
        <v>12</v>
      </c>
      <c r="I9" s="75">
        <f t="shared" si="1"/>
        <v>0</v>
      </c>
      <c r="J9" s="77"/>
      <c r="K9" s="77"/>
    </row>
    <row r="10" spans="1:11" ht="12.75" customHeight="1" x14ac:dyDescent="0.2">
      <c r="A10" s="73"/>
      <c r="B10" s="73"/>
      <c r="C10" s="73"/>
      <c r="D10" s="73"/>
      <c r="E10" s="73"/>
      <c r="F10" s="73"/>
      <c r="G10" s="75"/>
      <c r="H10" s="76">
        <v>12</v>
      </c>
      <c r="I10" s="75">
        <f t="shared" si="1"/>
        <v>0</v>
      </c>
      <c r="J10" s="77"/>
      <c r="K10" s="77"/>
    </row>
    <row r="11" spans="1:11" ht="12.75" customHeight="1" x14ac:dyDescent="0.2">
      <c r="A11" s="73"/>
      <c r="B11" s="73"/>
      <c r="C11" s="73"/>
      <c r="D11" s="73"/>
      <c r="E11" s="73"/>
      <c r="F11" s="73"/>
      <c r="G11" s="75"/>
      <c r="H11" s="76">
        <v>12</v>
      </c>
      <c r="I11" s="75">
        <f t="shared" si="1"/>
        <v>0</v>
      </c>
      <c r="J11" s="77"/>
      <c r="K11" s="77"/>
    </row>
    <row r="12" spans="1:11" ht="12.75" customHeight="1" x14ac:dyDescent="0.2">
      <c r="A12" s="73"/>
      <c r="B12" s="73"/>
      <c r="C12" s="73"/>
      <c r="D12" s="73"/>
      <c r="E12" s="73"/>
      <c r="F12" s="73"/>
      <c r="G12" s="75"/>
      <c r="H12" s="76">
        <v>12</v>
      </c>
      <c r="I12" s="75">
        <f t="shared" si="1"/>
        <v>0</v>
      </c>
      <c r="J12" s="77"/>
      <c r="K12" s="77"/>
    </row>
    <row r="13" spans="1:11" ht="12.75" customHeight="1" x14ac:dyDescent="0.2">
      <c r="A13" s="73"/>
      <c r="B13" s="73"/>
      <c r="C13" s="73"/>
      <c r="D13" s="73"/>
      <c r="E13" s="73"/>
      <c r="F13" s="73"/>
      <c r="G13" s="75"/>
      <c r="H13" s="76">
        <v>12</v>
      </c>
      <c r="I13" s="75">
        <f t="shared" si="1"/>
        <v>0</v>
      </c>
      <c r="J13" s="77"/>
      <c r="K13" s="77"/>
    </row>
    <row r="14" spans="1:11" ht="12.75" customHeight="1" x14ac:dyDescent="0.2">
      <c r="A14" s="73"/>
      <c r="B14" s="73"/>
      <c r="C14" s="73"/>
      <c r="D14" s="73"/>
      <c r="E14" s="73"/>
      <c r="F14" s="73"/>
      <c r="G14" s="75"/>
      <c r="H14" s="76">
        <v>12</v>
      </c>
      <c r="I14" s="75">
        <f t="shared" si="1"/>
        <v>0</v>
      </c>
      <c r="J14" s="77"/>
      <c r="K14" s="77"/>
    </row>
    <row r="15" spans="1:11" ht="12.75" customHeight="1" x14ac:dyDescent="0.2">
      <c r="A15" s="73"/>
      <c r="B15" s="73"/>
      <c r="C15" s="73"/>
      <c r="D15" s="73"/>
      <c r="E15" s="73"/>
      <c r="F15" s="73"/>
      <c r="G15" s="75"/>
      <c r="H15" s="76">
        <v>12</v>
      </c>
      <c r="I15" s="75">
        <f t="shared" si="1"/>
        <v>0</v>
      </c>
      <c r="J15" s="77"/>
      <c r="K15" s="77"/>
    </row>
    <row r="16" spans="1:11" ht="12.75" customHeight="1" x14ac:dyDescent="0.2">
      <c r="A16" s="73"/>
      <c r="B16" s="73"/>
      <c r="C16" s="73"/>
      <c r="D16" s="73"/>
      <c r="E16" s="73"/>
      <c r="F16" s="73"/>
      <c r="G16" s="75"/>
      <c r="H16" s="76">
        <v>12</v>
      </c>
      <c r="I16" s="75">
        <f t="shared" si="1"/>
        <v>0</v>
      </c>
      <c r="J16" s="77"/>
      <c r="K16" s="77"/>
    </row>
    <row r="17" spans="1:11" ht="12.75" customHeight="1" x14ac:dyDescent="0.2">
      <c r="A17" s="73"/>
      <c r="B17" s="73"/>
      <c r="C17" s="73"/>
      <c r="D17" s="73"/>
      <c r="E17" s="73"/>
      <c r="F17" s="73"/>
      <c r="G17" s="75"/>
      <c r="H17" s="76">
        <v>12</v>
      </c>
      <c r="I17" s="75">
        <f t="shared" si="1"/>
        <v>0</v>
      </c>
      <c r="J17" s="77"/>
      <c r="K17" s="77"/>
    </row>
    <row r="18" spans="1:11" ht="12.75" customHeight="1" x14ac:dyDescent="0.2">
      <c r="A18" s="73"/>
      <c r="B18" s="73"/>
      <c r="C18" s="73"/>
      <c r="D18" s="73"/>
      <c r="E18" s="73"/>
      <c r="F18" s="73"/>
      <c r="G18" s="75"/>
      <c r="H18" s="76">
        <v>12</v>
      </c>
      <c r="I18" s="75">
        <f t="shared" si="1"/>
        <v>0</v>
      </c>
      <c r="J18" s="77"/>
      <c r="K18" s="77"/>
    </row>
    <row r="19" spans="1:11" ht="12.75" customHeight="1" x14ac:dyDescent="0.2">
      <c r="A19" s="73"/>
      <c r="B19" s="73"/>
      <c r="C19" s="73"/>
      <c r="D19" s="73"/>
      <c r="E19" s="73"/>
      <c r="F19" s="73"/>
      <c r="G19" s="75"/>
      <c r="H19" s="76">
        <v>12</v>
      </c>
      <c r="I19" s="75">
        <f t="shared" si="1"/>
        <v>0</v>
      </c>
      <c r="J19" s="77"/>
      <c r="K19" s="77"/>
    </row>
    <row r="20" spans="1:11" ht="12.75" customHeight="1" x14ac:dyDescent="0.2">
      <c r="A20" s="73"/>
      <c r="B20" s="73"/>
      <c r="C20" s="73"/>
      <c r="D20" s="73"/>
      <c r="E20" s="73"/>
      <c r="F20" s="73"/>
      <c r="G20" s="75"/>
      <c r="H20" s="76">
        <v>12</v>
      </c>
      <c r="I20" s="75">
        <f t="shared" si="1"/>
        <v>0</v>
      </c>
      <c r="J20" s="77"/>
      <c r="K20" s="77"/>
    </row>
    <row r="21" spans="1:11" ht="12.75" customHeight="1" x14ac:dyDescent="0.2">
      <c r="A21" s="73"/>
      <c r="B21" s="73"/>
      <c r="C21" s="73"/>
      <c r="D21" s="73"/>
      <c r="E21" s="73"/>
      <c r="F21" s="73"/>
      <c r="G21" s="75"/>
      <c r="H21" s="76">
        <v>12</v>
      </c>
      <c r="I21" s="75">
        <f t="shared" si="1"/>
        <v>0</v>
      </c>
      <c r="J21" s="77"/>
      <c r="K21" s="77"/>
    </row>
    <row r="22" spans="1:11" ht="12.75" customHeight="1" x14ac:dyDescent="0.2">
      <c r="A22" s="73"/>
      <c r="B22" s="73"/>
      <c r="C22" s="73"/>
      <c r="D22" s="73"/>
      <c r="E22" s="73"/>
      <c r="F22" s="73"/>
      <c r="G22" s="75"/>
      <c r="H22" s="76">
        <v>12</v>
      </c>
      <c r="I22" s="75">
        <f t="shared" si="1"/>
        <v>0</v>
      </c>
      <c r="J22" s="77"/>
      <c r="K22" s="77"/>
    </row>
    <row r="23" spans="1:11" ht="12.75" customHeight="1" x14ac:dyDescent="0.2">
      <c r="A23" s="73"/>
      <c r="B23" s="73"/>
      <c r="C23" s="73"/>
      <c r="D23" s="73"/>
      <c r="E23" s="73"/>
      <c r="F23" s="73"/>
      <c r="G23" s="75"/>
      <c r="H23" s="76">
        <v>12</v>
      </c>
      <c r="I23" s="75">
        <f t="shared" si="1"/>
        <v>0</v>
      </c>
      <c r="J23" s="77"/>
      <c r="K23" s="77"/>
    </row>
    <row r="24" spans="1:11" ht="12.75" customHeight="1" x14ac:dyDescent="0.2">
      <c r="A24" s="73"/>
      <c r="B24" s="73"/>
      <c r="C24" s="73"/>
      <c r="D24" s="73"/>
      <c r="E24" s="73"/>
      <c r="F24" s="73"/>
      <c r="G24" s="75"/>
      <c r="H24" s="76">
        <v>12</v>
      </c>
      <c r="I24" s="75">
        <f t="shared" si="1"/>
        <v>0</v>
      </c>
      <c r="J24" s="77"/>
      <c r="K24" s="77"/>
    </row>
    <row r="25" spans="1:11" ht="12.75" customHeight="1" x14ac:dyDescent="0.2">
      <c r="A25" s="73"/>
      <c r="B25" s="73"/>
      <c r="C25" s="73"/>
      <c r="D25" s="73"/>
      <c r="E25" s="73"/>
      <c r="F25" s="73"/>
      <c r="G25" s="75"/>
      <c r="H25" s="76">
        <v>12</v>
      </c>
      <c r="I25" s="75">
        <f t="shared" si="1"/>
        <v>0</v>
      </c>
      <c r="J25" s="77"/>
      <c r="K25" s="77"/>
    </row>
    <row r="26" spans="1:11" ht="12.75" customHeight="1" x14ac:dyDescent="0.2">
      <c r="A26" s="73"/>
      <c r="B26" s="73"/>
      <c r="C26" s="73"/>
      <c r="D26" s="73"/>
      <c r="E26" s="73"/>
      <c r="F26" s="73"/>
      <c r="G26" s="75"/>
      <c r="H26" s="76">
        <v>12</v>
      </c>
      <c r="I26" s="75">
        <f t="shared" si="1"/>
        <v>0</v>
      </c>
      <c r="J26" s="77"/>
      <c r="K26" s="77"/>
    </row>
    <row r="27" spans="1:11" ht="12.75" customHeight="1" x14ac:dyDescent="0.2">
      <c r="A27" s="73"/>
      <c r="B27" s="73"/>
      <c r="C27" s="73"/>
      <c r="D27" s="73"/>
      <c r="E27" s="73"/>
      <c r="F27" s="73"/>
      <c r="G27" s="75"/>
      <c r="H27" s="76">
        <v>12</v>
      </c>
      <c r="I27" s="75">
        <f t="shared" si="1"/>
        <v>0</v>
      </c>
      <c r="J27" s="77"/>
      <c r="K27" s="77"/>
    </row>
    <row r="28" spans="1:11" ht="12.75" customHeight="1" x14ac:dyDescent="0.2">
      <c r="A28" s="73"/>
      <c r="B28" s="73"/>
      <c r="C28" s="73"/>
      <c r="D28" s="73"/>
      <c r="E28" s="73"/>
      <c r="F28" s="73"/>
      <c r="G28" s="75"/>
      <c r="H28" s="76">
        <v>12</v>
      </c>
      <c r="I28" s="75">
        <f t="shared" si="1"/>
        <v>0</v>
      </c>
      <c r="J28" s="77"/>
      <c r="K28" s="77"/>
    </row>
    <row r="29" spans="1:11" ht="12.75" customHeight="1" x14ac:dyDescent="0.2">
      <c r="A29" s="73"/>
      <c r="B29" s="73"/>
      <c r="C29" s="73"/>
      <c r="D29" s="73"/>
      <c r="E29" s="73"/>
      <c r="F29" s="73"/>
      <c r="G29" s="75"/>
      <c r="H29" s="76">
        <v>12</v>
      </c>
      <c r="I29" s="75">
        <f t="shared" si="1"/>
        <v>0</v>
      </c>
      <c r="J29" s="77"/>
      <c r="K29" s="77"/>
    </row>
    <row r="30" spans="1:11" ht="12.75" customHeight="1" x14ac:dyDescent="0.2">
      <c r="A30" s="73"/>
      <c r="B30" s="73"/>
      <c r="C30" s="73"/>
      <c r="D30" s="73"/>
      <c r="E30" s="73"/>
      <c r="F30" s="73"/>
      <c r="G30" s="75"/>
      <c r="H30" s="76">
        <v>12</v>
      </c>
      <c r="I30" s="75">
        <f t="shared" si="1"/>
        <v>0</v>
      </c>
      <c r="J30" s="77"/>
      <c r="K30" s="77"/>
    </row>
    <row r="31" spans="1:11" ht="12.75" customHeight="1" x14ac:dyDescent="0.2">
      <c r="A31" s="73"/>
      <c r="B31" s="73"/>
      <c r="C31" s="73"/>
      <c r="D31" s="73"/>
      <c r="E31" s="73"/>
      <c r="F31" s="73"/>
      <c r="G31" s="75"/>
      <c r="H31" s="76">
        <v>12</v>
      </c>
      <c r="I31" s="75">
        <f t="shared" si="1"/>
        <v>0</v>
      </c>
      <c r="J31" s="77"/>
      <c r="K31" s="77"/>
    </row>
    <row r="32" spans="1:11" ht="12.75" customHeight="1" x14ac:dyDescent="0.2">
      <c r="A32" s="73"/>
      <c r="B32" s="73"/>
      <c r="C32" s="73"/>
      <c r="D32" s="73"/>
      <c r="E32" s="73"/>
      <c r="F32" s="73"/>
      <c r="G32" s="75"/>
      <c r="H32" s="76">
        <v>12</v>
      </c>
      <c r="I32" s="75">
        <f t="shared" si="1"/>
        <v>0</v>
      </c>
      <c r="J32" s="77"/>
      <c r="K32" s="77"/>
    </row>
    <row r="33" spans="1:11" ht="12.75" customHeight="1" x14ac:dyDescent="0.2">
      <c r="A33" s="73"/>
      <c r="B33" s="73"/>
      <c r="C33" s="73"/>
      <c r="D33" s="73"/>
      <c r="E33" s="73"/>
      <c r="F33" s="73"/>
      <c r="G33" s="75"/>
      <c r="H33" s="76">
        <v>12</v>
      </c>
      <c r="I33" s="75">
        <f t="shared" si="1"/>
        <v>0</v>
      </c>
      <c r="J33" s="77"/>
      <c r="K33" s="77"/>
    </row>
    <row r="34" spans="1:11" ht="12.75" customHeight="1" x14ac:dyDescent="0.2">
      <c r="A34" s="73"/>
      <c r="B34" s="73"/>
      <c r="C34" s="73"/>
      <c r="D34" s="73"/>
      <c r="E34" s="73"/>
      <c r="F34" s="73"/>
      <c r="G34" s="75"/>
      <c r="H34" s="76">
        <v>12</v>
      </c>
      <c r="I34" s="75">
        <f t="shared" si="1"/>
        <v>0</v>
      </c>
      <c r="J34" s="77"/>
      <c r="K34" s="77"/>
    </row>
    <row r="35" spans="1:11" ht="12.75" customHeight="1" x14ac:dyDescent="0.2">
      <c r="A35" s="73"/>
      <c r="B35" s="73"/>
      <c r="C35" s="73"/>
      <c r="D35" s="73"/>
      <c r="E35" s="73"/>
      <c r="F35" s="73"/>
      <c r="G35" s="75"/>
      <c r="H35" s="76">
        <v>12</v>
      </c>
      <c r="I35" s="75">
        <f t="shared" si="1"/>
        <v>0</v>
      </c>
      <c r="J35" s="77"/>
      <c r="K35" s="77"/>
    </row>
    <row r="36" spans="1:11" ht="12.75" customHeight="1" x14ac:dyDescent="0.2">
      <c r="A36" s="73"/>
      <c r="B36" s="73"/>
      <c r="C36" s="73"/>
      <c r="D36" s="73"/>
      <c r="E36" s="73"/>
      <c r="F36" s="73"/>
      <c r="G36" s="75"/>
      <c r="H36" s="76">
        <v>12</v>
      </c>
      <c r="I36" s="75">
        <f t="shared" si="1"/>
        <v>0</v>
      </c>
      <c r="J36" s="77"/>
      <c r="K36" s="77"/>
    </row>
    <row r="37" spans="1:11" ht="12.75" customHeight="1" x14ac:dyDescent="0.2">
      <c r="A37" s="73"/>
      <c r="B37" s="73"/>
      <c r="C37" s="73"/>
      <c r="D37" s="73"/>
      <c r="E37" s="73"/>
      <c r="F37" s="73"/>
      <c r="G37" s="75"/>
      <c r="H37" s="76">
        <v>12</v>
      </c>
      <c r="I37" s="75">
        <f t="shared" si="1"/>
        <v>0</v>
      </c>
      <c r="J37" s="77"/>
      <c r="K37" s="77"/>
    </row>
    <row r="38" spans="1:11" ht="12.75" customHeight="1" x14ac:dyDescent="0.2">
      <c r="A38" s="73"/>
      <c r="B38" s="73"/>
      <c r="C38" s="73"/>
      <c r="D38" s="73"/>
      <c r="E38" s="73"/>
      <c r="F38" s="73"/>
      <c r="G38" s="75"/>
      <c r="H38" s="76">
        <v>12</v>
      </c>
      <c r="I38" s="75">
        <f t="shared" si="1"/>
        <v>0</v>
      </c>
      <c r="J38" s="77"/>
      <c r="K38" s="77"/>
    </row>
    <row r="39" spans="1:11" ht="12.75" customHeight="1" x14ac:dyDescent="0.2">
      <c r="A39" s="73"/>
      <c r="B39" s="73"/>
      <c r="C39" s="73"/>
      <c r="D39" s="73"/>
      <c r="E39" s="73"/>
      <c r="F39" s="73"/>
      <c r="G39" s="75"/>
      <c r="H39" s="76">
        <v>12</v>
      </c>
      <c r="I39" s="75">
        <f t="shared" si="1"/>
        <v>0</v>
      </c>
      <c r="J39" s="77"/>
      <c r="K39" s="77"/>
    </row>
    <row r="40" spans="1:11" ht="12.75" customHeight="1" x14ac:dyDescent="0.2">
      <c r="A40" s="73"/>
      <c r="B40" s="73"/>
      <c r="C40" s="73"/>
      <c r="D40" s="73"/>
      <c r="E40" s="73"/>
      <c r="F40" s="73"/>
      <c r="G40" s="75"/>
      <c r="H40" s="76">
        <v>12</v>
      </c>
      <c r="I40" s="75">
        <f t="shared" si="1"/>
        <v>0</v>
      </c>
      <c r="J40" s="77"/>
      <c r="K40" s="77"/>
    </row>
    <row r="41" spans="1:11" ht="12.75" customHeight="1" x14ac:dyDescent="0.2">
      <c r="A41" s="73"/>
      <c r="B41" s="73"/>
      <c r="C41" s="73"/>
      <c r="D41" s="73"/>
      <c r="E41" s="73"/>
      <c r="F41" s="73"/>
      <c r="G41" s="75"/>
      <c r="H41" s="76">
        <v>12</v>
      </c>
      <c r="I41" s="75">
        <f t="shared" si="1"/>
        <v>0</v>
      </c>
      <c r="J41" s="77"/>
      <c r="K41" s="77"/>
    </row>
    <row r="42" spans="1:11" ht="12.75" customHeight="1" x14ac:dyDescent="0.2">
      <c r="A42" s="73"/>
      <c r="B42" s="73"/>
      <c r="C42" s="73"/>
      <c r="D42" s="73"/>
      <c r="E42" s="73"/>
      <c r="F42" s="73"/>
      <c r="G42" s="75"/>
      <c r="H42" s="76">
        <v>12</v>
      </c>
      <c r="I42" s="75">
        <f t="shared" si="1"/>
        <v>0</v>
      </c>
      <c r="J42" s="77"/>
      <c r="K42" s="77"/>
    </row>
    <row r="43" spans="1:11" ht="12.75" customHeight="1" x14ac:dyDescent="0.2">
      <c r="A43" s="73"/>
      <c r="B43" s="73"/>
      <c r="C43" s="73"/>
      <c r="D43" s="73"/>
      <c r="E43" s="73"/>
      <c r="F43" s="73"/>
      <c r="G43" s="75"/>
      <c r="H43" s="76">
        <v>12</v>
      </c>
      <c r="I43" s="75">
        <f t="shared" si="1"/>
        <v>0</v>
      </c>
      <c r="J43" s="77"/>
      <c r="K43" s="77"/>
    </row>
    <row r="44" spans="1:11" ht="12.75" customHeight="1" x14ac:dyDescent="0.2">
      <c r="A44" s="73"/>
      <c r="B44" s="73"/>
      <c r="C44" s="73"/>
      <c r="D44" s="73"/>
      <c r="E44" s="73"/>
      <c r="F44" s="73"/>
      <c r="G44" s="75"/>
      <c r="H44" s="76">
        <v>12</v>
      </c>
      <c r="I44" s="75">
        <f t="shared" si="1"/>
        <v>0</v>
      </c>
      <c r="J44" s="77"/>
      <c r="K44" s="77"/>
    </row>
    <row r="45" spans="1:11" ht="12.75" customHeight="1" x14ac:dyDescent="0.2">
      <c r="A45" s="73"/>
      <c r="B45" s="73"/>
      <c r="C45" s="73"/>
      <c r="D45" s="73"/>
      <c r="E45" s="73"/>
      <c r="F45" s="73"/>
      <c r="G45" s="75"/>
      <c r="H45" s="76">
        <v>12</v>
      </c>
      <c r="I45" s="75">
        <f t="shared" si="1"/>
        <v>0</v>
      </c>
      <c r="J45" s="77"/>
      <c r="K45" s="77"/>
    </row>
    <row r="46" spans="1:11" ht="12.75" customHeight="1" x14ac:dyDescent="0.2">
      <c r="A46" s="73"/>
      <c r="B46" s="73"/>
      <c r="C46" s="73"/>
      <c r="D46" s="73"/>
      <c r="E46" s="73"/>
      <c r="F46" s="73"/>
      <c r="G46" s="75"/>
      <c r="H46" s="76">
        <v>12</v>
      </c>
      <c r="I46" s="75">
        <f t="shared" si="1"/>
        <v>0</v>
      </c>
      <c r="J46" s="77"/>
      <c r="K46" s="77"/>
    </row>
    <row r="47" spans="1:11" ht="12.75" customHeight="1" x14ac:dyDescent="0.2">
      <c r="A47" s="73"/>
      <c r="B47" s="73"/>
      <c r="C47" s="73"/>
      <c r="D47" s="73"/>
      <c r="E47" s="73"/>
      <c r="F47" s="73"/>
      <c r="G47" s="75"/>
      <c r="H47" s="76">
        <v>12</v>
      </c>
      <c r="I47" s="75">
        <f t="shared" si="1"/>
        <v>0</v>
      </c>
      <c r="J47" s="77"/>
      <c r="K47" s="77"/>
    </row>
    <row r="48" spans="1:11" ht="12.75" customHeight="1" x14ac:dyDescent="0.2">
      <c r="A48" s="73"/>
      <c r="B48" s="73"/>
      <c r="C48" s="73"/>
      <c r="D48" s="73"/>
      <c r="E48" s="73"/>
      <c r="F48" s="73"/>
      <c r="G48" s="75"/>
      <c r="H48" s="76">
        <v>12</v>
      </c>
      <c r="I48" s="75">
        <f t="shared" si="1"/>
        <v>0</v>
      </c>
      <c r="J48" s="77"/>
      <c r="K48" s="77"/>
    </row>
    <row r="49" spans="1:11" ht="12.75" customHeight="1" x14ac:dyDescent="0.2">
      <c r="A49" s="73"/>
      <c r="B49" s="73"/>
      <c r="C49" s="73"/>
      <c r="D49" s="73"/>
      <c r="E49" s="73"/>
      <c r="F49" s="73"/>
      <c r="G49" s="75"/>
      <c r="H49" s="76">
        <v>12</v>
      </c>
      <c r="I49" s="75">
        <f t="shared" si="1"/>
        <v>0</v>
      </c>
      <c r="J49" s="77"/>
      <c r="K49" s="77"/>
    </row>
    <row r="50" spans="1:11" ht="12.75" customHeight="1" x14ac:dyDescent="0.2">
      <c r="A50" s="73"/>
      <c r="B50" s="73"/>
      <c r="C50" s="73"/>
      <c r="D50" s="73"/>
      <c r="E50" s="73"/>
      <c r="F50" s="73"/>
      <c r="G50" s="75"/>
      <c r="H50" s="76">
        <v>12</v>
      </c>
      <c r="I50" s="75">
        <f t="shared" si="1"/>
        <v>0</v>
      </c>
      <c r="J50" s="77"/>
      <c r="K50" s="77"/>
    </row>
    <row r="51" spans="1:11" ht="12.75" customHeight="1" x14ac:dyDescent="0.2">
      <c r="A51" s="73"/>
      <c r="B51" s="73"/>
      <c r="C51" s="73"/>
      <c r="D51" s="73"/>
      <c r="E51" s="73"/>
      <c r="F51" s="73"/>
      <c r="G51" s="75"/>
      <c r="H51" s="76">
        <v>12</v>
      </c>
      <c r="I51" s="75">
        <f t="shared" si="1"/>
        <v>0</v>
      </c>
      <c r="J51" s="77"/>
      <c r="K51" s="77"/>
    </row>
    <row r="52" spans="1:11" ht="12.75" customHeight="1" x14ac:dyDescent="0.2">
      <c r="A52" s="73"/>
      <c r="B52" s="73"/>
      <c r="C52" s="73"/>
      <c r="D52" s="73"/>
      <c r="E52" s="73"/>
      <c r="F52" s="73"/>
      <c r="G52" s="75"/>
      <c r="H52" s="76">
        <v>12</v>
      </c>
      <c r="I52" s="75">
        <f t="shared" si="1"/>
        <v>0</v>
      </c>
      <c r="J52" s="77"/>
      <c r="K52" s="77"/>
    </row>
    <row r="53" spans="1:11" ht="12.75" customHeight="1" x14ac:dyDescent="0.2">
      <c r="A53" s="73"/>
      <c r="B53" s="73"/>
      <c r="C53" s="73"/>
      <c r="D53" s="73"/>
      <c r="E53" s="73"/>
      <c r="F53" s="73"/>
      <c r="G53" s="75"/>
      <c r="H53" s="76">
        <v>12</v>
      </c>
      <c r="I53" s="75">
        <f t="shared" si="1"/>
        <v>0</v>
      </c>
      <c r="J53" s="77"/>
      <c r="K53" s="77"/>
    </row>
    <row r="54" spans="1:11" ht="12.75" customHeight="1" x14ac:dyDescent="0.2">
      <c r="A54" s="73"/>
      <c r="B54" s="73"/>
      <c r="C54" s="73"/>
      <c r="D54" s="73"/>
      <c r="E54" s="73"/>
      <c r="F54" s="73"/>
      <c r="G54" s="75"/>
      <c r="H54" s="76">
        <v>12</v>
      </c>
      <c r="I54" s="75">
        <f t="shared" si="1"/>
        <v>0</v>
      </c>
      <c r="J54" s="77"/>
      <c r="K54" s="77"/>
    </row>
    <row r="55" spans="1:11" ht="12.75" customHeight="1" x14ac:dyDescent="0.2">
      <c r="A55" s="73"/>
      <c r="B55" s="73"/>
      <c r="C55" s="73"/>
      <c r="D55" s="73"/>
      <c r="E55" s="73"/>
      <c r="F55" s="73"/>
      <c r="G55" s="75"/>
      <c r="H55" s="76">
        <v>12</v>
      </c>
      <c r="I55" s="75">
        <f t="shared" si="1"/>
        <v>0</v>
      </c>
      <c r="J55" s="77"/>
      <c r="K55" s="77"/>
    </row>
    <row r="56" spans="1:11" ht="12.75" customHeight="1" x14ac:dyDescent="0.2">
      <c r="A56" s="73"/>
      <c r="B56" s="73"/>
      <c r="C56" s="73"/>
      <c r="D56" s="73"/>
      <c r="E56" s="73"/>
      <c r="F56" s="73"/>
      <c r="G56" s="75"/>
      <c r="H56" s="76">
        <v>12</v>
      </c>
      <c r="I56" s="75">
        <f t="shared" si="1"/>
        <v>0</v>
      </c>
      <c r="J56" s="77"/>
      <c r="K56" s="77"/>
    </row>
    <row r="57" spans="1:11" ht="12.75" customHeight="1" x14ac:dyDescent="0.2">
      <c r="A57" s="73"/>
      <c r="B57" s="73"/>
      <c r="C57" s="73"/>
      <c r="D57" s="73"/>
      <c r="E57" s="73"/>
      <c r="F57" s="73"/>
      <c r="G57" s="75"/>
      <c r="H57" s="76">
        <v>12</v>
      </c>
      <c r="I57" s="75">
        <f t="shared" si="1"/>
        <v>0</v>
      </c>
      <c r="J57" s="77"/>
      <c r="K57" s="77"/>
    </row>
    <row r="58" spans="1:11" ht="12.75" customHeight="1" x14ac:dyDescent="0.2">
      <c r="A58" s="73"/>
      <c r="B58" s="73"/>
      <c r="C58" s="73"/>
      <c r="D58" s="73"/>
      <c r="E58" s="73"/>
      <c r="F58" s="73"/>
      <c r="G58" s="75"/>
      <c r="H58" s="76">
        <v>12</v>
      </c>
      <c r="I58" s="75">
        <f t="shared" si="1"/>
        <v>0</v>
      </c>
      <c r="J58" s="77"/>
      <c r="K58" s="77"/>
    </row>
    <row r="59" spans="1:11" ht="12.75" customHeight="1" x14ac:dyDescent="0.2">
      <c r="A59" s="73"/>
      <c r="B59" s="73"/>
      <c r="C59" s="73"/>
      <c r="D59" s="73"/>
      <c r="E59" s="73"/>
      <c r="F59" s="73"/>
      <c r="G59" s="75"/>
      <c r="H59" s="76">
        <v>12</v>
      </c>
      <c r="I59" s="75">
        <f t="shared" si="1"/>
        <v>0</v>
      </c>
      <c r="J59" s="77"/>
      <c r="K59" s="77"/>
    </row>
    <row r="60" spans="1:11" ht="12.75" customHeight="1" x14ac:dyDescent="0.2">
      <c r="A60" s="73"/>
      <c r="B60" s="73"/>
      <c r="C60" s="73"/>
      <c r="D60" s="73"/>
      <c r="E60" s="73"/>
      <c r="F60" s="73"/>
      <c r="G60" s="75"/>
      <c r="H60" s="76">
        <v>12</v>
      </c>
      <c r="I60" s="75">
        <f t="shared" si="1"/>
        <v>0</v>
      </c>
      <c r="J60" s="77"/>
      <c r="K60" s="77"/>
    </row>
    <row r="61" spans="1:11" ht="12.75" customHeight="1" x14ac:dyDescent="0.2">
      <c r="A61" s="73"/>
      <c r="B61" s="73"/>
      <c r="C61" s="73"/>
      <c r="D61" s="73"/>
      <c r="E61" s="73"/>
      <c r="F61" s="73"/>
      <c r="G61" s="75"/>
      <c r="H61" s="76">
        <v>12</v>
      </c>
      <c r="I61" s="75">
        <f t="shared" si="1"/>
        <v>0</v>
      </c>
      <c r="J61" s="77"/>
      <c r="K61" s="77"/>
    </row>
    <row r="62" spans="1:11" ht="12.75" customHeight="1" x14ac:dyDescent="0.2">
      <c r="A62" s="73"/>
      <c r="B62" s="73"/>
      <c r="C62" s="73"/>
      <c r="D62" s="73"/>
      <c r="E62" s="73"/>
      <c r="F62" s="73"/>
      <c r="G62" s="75"/>
      <c r="H62" s="76">
        <v>12</v>
      </c>
      <c r="I62" s="75">
        <f t="shared" si="1"/>
        <v>0</v>
      </c>
      <c r="J62" s="77"/>
      <c r="K62" s="77"/>
    </row>
    <row r="63" spans="1:11" ht="12.75" customHeight="1" x14ac:dyDescent="0.2">
      <c r="A63" s="73"/>
      <c r="B63" s="73"/>
      <c r="C63" s="73"/>
      <c r="D63" s="73"/>
      <c r="E63" s="73"/>
      <c r="F63" s="73"/>
      <c r="G63" s="75"/>
      <c r="H63" s="76">
        <v>12</v>
      </c>
      <c r="I63" s="75">
        <f t="shared" si="1"/>
        <v>0</v>
      </c>
      <c r="J63" s="77"/>
      <c r="K63" s="77"/>
    </row>
    <row r="64" spans="1:11" ht="12.75" customHeight="1" x14ac:dyDescent="0.2">
      <c r="A64" s="73"/>
      <c r="B64" s="73"/>
      <c r="C64" s="73"/>
      <c r="D64" s="73"/>
      <c r="E64" s="73"/>
      <c r="F64" s="73"/>
      <c r="G64" s="75"/>
      <c r="H64" s="76">
        <v>12</v>
      </c>
      <c r="I64" s="75">
        <f t="shared" si="1"/>
        <v>0</v>
      </c>
      <c r="J64" s="77"/>
      <c r="K64" s="77"/>
    </row>
    <row r="65" spans="1:11" ht="12.75" customHeight="1" x14ac:dyDescent="0.2">
      <c r="A65" s="73"/>
      <c r="B65" s="73"/>
      <c r="C65" s="73"/>
      <c r="D65" s="73"/>
      <c r="E65" s="73"/>
      <c r="F65" s="73"/>
      <c r="G65" s="75"/>
      <c r="H65" s="76">
        <v>12</v>
      </c>
      <c r="I65" s="75">
        <f t="shared" si="1"/>
        <v>0</v>
      </c>
      <c r="J65" s="77"/>
      <c r="K65" s="77"/>
    </row>
    <row r="66" spans="1:11" ht="12.75" customHeight="1" x14ac:dyDescent="0.2">
      <c r="A66" s="73"/>
      <c r="B66" s="73"/>
      <c r="C66" s="73"/>
      <c r="D66" s="73"/>
      <c r="E66" s="73"/>
      <c r="F66" s="73"/>
      <c r="G66" s="75"/>
      <c r="H66" s="76">
        <v>12</v>
      </c>
      <c r="I66" s="75">
        <f t="shared" si="1"/>
        <v>0</v>
      </c>
      <c r="J66" s="77"/>
      <c r="K66" s="77"/>
    </row>
    <row r="67" spans="1:11" ht="12.75" customHeight="1" x14ac:dyDescent="0.2">
      <c r="A67" s="73"/>
      <c r="B67" s="73"/>
      <c r="C67" s="73"/>
      <c r="D67" s="73"/>
      <c r="E67" s="73"/>
      <c r="F67" s="73"/>
      <c r="G67" s="75"/>
      <c r="H67" s="76">
        <v>12</v>
      </c>
      <c r="I67" s="75">
        <f t="shared" si="1"/>
        <v>0</v>
      </c>
      <c r="J67" s="77"/>
      <c r="K67" s="77"/>
    </row>
    <row r="68" spans="1:11" ht="12.75" customHeight="1" x14ac:dyDescent="0.2">
      <c r="A68" s="73"/>
      <c r="B68" s="73"/>
      <c r="C68" s="73"/>
      <c r="D68" s="73"/>
      <c r="E68" s="73"/>
      <c r="F68" s="73"/>
      <c r="G68" s="75"/>
      <c r="H68" s="76">
        <v>12</v>
      </c>
      <c r="I68" s="75">
        <f t="shared" ref="I68:I131" si="2">+H68*G68</f>
        <v>0</v>
      </c>
      <c r="J68" s="77"/>
      <c r="K68" s="77"/>
    </row>
    <row r="69" spans="1:11" ht="12.75" customHeight="1" x14ac:dyDescent="0.2">
      <c r="A69" s="73"/>
      <c r="B69" s="73"/>
      <c r="C69" s="73"/>
      <c r="D69" s="73"/>
      <c r="E69" s="73"/>
      <c r="F69" s="73"/>
      <c r="G69" s="75"/>
      <c r="H69" s="76">
        <v>12</v>
      </c>
      <c r="I69" s="75">
        <f t="shared" si="2"/>
        <v>0</v>
      </c>
      <c r="J69" s="77"/>
      <c r="K69" s="77"/>
    </row>
    <row r="70" spans="1:11" ht="12.75" customHeight="1" x14ac:dyDescent="0.2">
      <c r="A70" s="73"/>
      <c r="B70" s="73"/>
      <c r="C70" s="73"/>
      <c r="D70" s="73"/>
      <c r="E70" s="73"/>
      <c r="F70" s="73"/>
      <c r="G70" s="75"/>
      <c r="H70" s="76">
        <v>12</v>
      </c>
      <c r="I70" s="75">
        <f t="shared" si="2"/>
        <v>0</v>
      </c>
      <c r="J70" s="77"/>
      <c r="K70" s="77"/>
    </row>
    <row r="71" spans="1:11" ht="12.75" customHeight="1" x14ac:dyDescent="0.2">
      <c r="A71" s="73"/>
      <c r="B71" s="73"/>
      <c r="C71" s="73"/>
      <c r="D71" s="73"/>
      <c r="E71" s="73"/>
      <c r="F71" s="73"/>
      <c r="G71" s="75"/>
      <c r="H71" s="76">
        <v>12</v>
      </c>
      <c r="I71" s="75">
        <f t="shared" si="2"/>
        <v>0</v>
      </c>
      <c r="J71" s="77"/>
      <c r="K71" s="77"/>
    </row>
    <row r="72" spans="1:11" ht="12.75" customHeight="1" x14ac:dyDescent="0.2">
      <c r="A72" s="73"/>
      <c r="B72" s="73"/>
      <c r="C72" s="73"/>
      <c r="D72" s="73"/>
      <c r="E72" s="73"/>
      <c r="F72" s="73"/>
      <c r="G72" s="75"/>
      <c r="H72" s="76">
        <v>12</v>
      </c>
      <c r="I72" s="75">
        <f t="shared" si="2"/>
        <v>0</v>
      </c>
      <c r="J72" s="77"/>
      <c r="K72" s="77"/>
    </row>
    <row r="73" spans="1:11" ht="12.75" customHeight="1" x14ac:dyDescent="0.2">
      <c r="A73" s="73"/>
      <c r="B73" s="73"/>
      <c r="C73" s="73"/>
      <c r="D73" s="73"/>
      <c r="E73" s="73"/>
      <c r="F73" s="73"/>
      <c r="G73" s="75"/>
      <c r="H73" s="76">
        <v>12</v>
      </c>
      <c r="I73" s="75">
        <f t="shared" si="2"/>
        <v>0</v>
      </c>
      <c r="J73" s="77"/>
      <c r="K73" s="77"/>
    </row>
    <row r="74" spans="1:11" ht="12.75" customHeight="1" x14ac:dyDescent="0.2">
      <c r="A74" s="73"/>
      <c r="B74" s="73"/>
      <c r="C74" s="73"/>
      <c r="D74" s="73"/>
      <c r="E74" s="73"/>
      <c r="F74" s="73"/>
      <c r="G74" s="75"/>
      <c r="H74" s="76">
        <v>12</v>
      </c>
      <c r="I74" s="75">
        <f t="shared" si="2"/>
        <v>0</v>
      </c>
      <c r="J74" s="77"/>
      <c r="K74" s="77"/>
    </row>
    <row r="75" spans="1:11" ht="12.75" customHeight="1" x14ac:dyDescent="0.2">
      <c r="A75" s="73"/>
      <c r="B75" s="73"/>
      <c r="C75" s="73"/>
      <c r="D75" s="73"/>
      <c r="E75" s="73"/>
      <c r="F75" s="73"/>
      <c r="G75" s="75"/>
      <c r="H75" s="76">
        <v>12</v>
      </c>
      <c r="I75" s="75">
        <f t="shared" si="2"/>
        <v>0</v>
      </c>
      <c r="J75" s="77"/>
      <c r="K75" s="77"/>
    </row>
    <row r="76" spans="1:11" ht="12.75" customHeight="1" x14ac:dyDescent="0.2">
      <c r="A76" s="73"/>
      <c r="B76" s="73"/>
      <c r="C76" s="73"/>
      <c r="D76" s="73"/>
      <c r="E76" s="73"/>
      <c r="F76" s="73"/>
      <c r="G76" s="75"/>
      <c r="H76" s="76">
        <v>12</v>
      </c>
      <c r="I76" s="75">
        <f t="shared" si="2"/>
        <v>0</v>
      </c>
      <c r="J76" s="77"/>
      <c r="K76" s="77"/>
    </row>
    <row r="77" spans="1:11" ht="12.75" customHeight="1" x14ac:dyDescent="0.2">
      <c r="A77" s="73"/>
      <c r="B77" s="73"/>
      <c r="C77" s="73"/>
      <c r="D77" s="73"/>
      <c r="E77" s="73"/>
      <c r="F77" s="73"/>
      <c r="G77" s="75"/>
      <c r="H77" s="76">
        <v>12</v>
      </c>
      <c r="I77" s="75">
        <f t="shared" si="2"/>
        <v>0</v>
      </c>
      <c r="J77" s="77"/>
      <c r="K77" s="77"/>
    </row>
    <row r="78" spans="1:11" ht="12.75" customHeight="1" x14ac:dyDescent="0.2">
      <c r="A78" s="73"/>
      <c r="B78" s="73"/>
      <c r="C78" s="73"/>
      <c r="D78" s="73"/>
      <c r="E78" s="73"/>
      <c r="F78" s="73"/>
      <c r="G78" s="75"/>
      <c r="H78" s="76">
        <v>12</v>
      </c>
      <c r="I78" s="75">
        <f t="shared" si="2"/>
        <v>0</v>
      </c>
      <c r="J78" s="77"/>
      <c r="K78" s="77"/>
    </row>
    <row r="79" spans="1:11" ht="12.75" customHeight="1" x14ac:dyDescent="0.2">
      <c r="A79" s="73"/>
      <c r="B79" s="73"/>
      <c r="C79" s="73"/>
      <c r="D79" s="73"/>
      <c r="E79" s="73"/>
      <c r="F79" s="73"/>
      <c r="G79" s="75"/>
      <c r="H79" s="76">
        <v>12</v>
      </c>
      <c r="I79" s="75">
        <f t="shared" si="2"/>
        <v>0</v>
      </c>
      <c r="J79" s="77"/>
      <c r="K79" s="77"/>
    </row>
    <row r="80" spans="1:11" ht="12.75" customHeight="1" x14ac:dyDescent="0.2">
      <c r="A80" s="73"/>
      <c r="B80" s="73"/>
      <c r="C80" s="73"/>
      <c r="D80" s="73"/>
      <c r="E80" s="73"/>
      <c r="F80" s="73"/>
      <c r="G80" s="75"/>
      <c r="H80" s="76">
        <v>12</v>
      </c>
      <c r="I80" s="75">
        <f t="shared" si="2"/>
        <v>0</v>
      </c>
      <c r="J80" s="77"/>
      <c r="K80" s="77"/>
    </row>
    <row r="81" spans="1:11" ht="12.75" customHeight="1" x14ac:dyDescent="0.2">
      <c r="A81" s="73"/>
      <c r="B81" s="73"/>
      <c r="C81" s="73"/>
      <c r="D81" s="73"/>
      <c r="E81" s="73"/>
      <c r="F81" s="73"/>
      <c r="G81" s="75"/>
      <c r="H81" s="76">
        <v>12</v>
      </c>
      <c r="I81" s="75">
        <f t="shared" si="2"/>
        <v>0</v>
      </c>
      <c r="J81" s="77"/>
      <c r="K81" s="77"/>
    </row>
    <row r="82" spans="1:11" ht="12.75" customHeight="1" x14ac:dyDescent="0.2">
      <c r="A82" s="73"/>
      <c r="B82" s="73"/>
      <c r="C82" s="73"/>
      <c r="D82" s="73"/>
      <c r="E82" s="73"/>
      <c r="F82" s="73"/>
      <c r="G82" s="75"/>
      <c r="H82" s="76">
        <v>12</v>
      </c>
      <c r="I82" s="75">
        <f t="shared" si="2"/>
        <v>0</v>
      </c>
      <c r="J82" s="77"/>
      <c r="K82" s="77"/>
    </row>
    <row r="83" spans="1:11" ht="12.75" customHeight="1" x14ac:dyDescent="0.2">
      <c r="A83" s="73"/>
      <c r="B83" s="73"/>
      <c r="C83" s="73"/>
      <c r="D83" s="73"/>
      <c r="E83" s="73"/>
      <c r="F83" s="73"/>
      <c r="G83" s="75"/>
      <c r="H83" s="76">
        <v>12</v>
      </c>
      <c r="I83" s="75">
        <f t="shared" si="2"/>
        <v>0</v>
      </c>
      <c r="J83" s="77"/>
      <c r="K83" s="77"/>
    </row>
    <row r="84" spans="1:11" ht="12.75" customHeight="1" x14ac:dyDescent="0.2">
      <c r="A84" s="73"/>
      <c r="B84" s="73"/>
      <c r="C84" s="73"/>
      <c r="D84" s="73"/>
      <c r="E84" s="73"/>
      <c r="F84" s="73"/>
      <c r="G84" s="75"/>
      <c r="H84" s="76">
        <v>12</v>
      </c>
      <c r="I84" s="75">
        <f t="shared" si="2"/>
        <v>0</v>
      </c>
      <c r="J84" s="77"/>
      <c r="K84" s="77"/>
    </row>
    <row r="85" spans="1:11" ht="12.75" customHeight="1" x14ac:dyDescent="0.2">
      <c r="A85" s="73"/>
      <c r="B85" s="73"/>
      <c r="C85" s="73"/>
      <c r="D85" s="73"/>
      <c r="E85" s="73"/>
      <c r="F85" s="73"/>
      <c r="G85" s="75"/>
      <c r="H85" s="76">
        <v>12</v>
      </c>
      <c r="I85" s="75">
        <f t="shared" si="2"/>
        <v>0</v>
      </c>
      <c r="J85" s="77"/>
      <c r="K85" s="77"/>
    </row>
    <row r="86" spans="1:11" ht="12.75" customHeight="1" x14ac:dyDescent="0.2">
      <c r="A86" s="73"/>
      <c r="B86" s="73"/>
      <c r="C86" s="73"/>
      <c r="D86" s="73"/>
      <c r="E86" s="73"/>
      <c r="F86" s="73"/>
      <c r="G86" s="75"/>
      <c r="H86" s="76">
        <v>12</v>
      </c>
      <c r="I86" s="75">
        <f t="shared" si="2"/>
        <v>0</v>
      </c>
      <c r="J86" s="77"/>
      <c r="K86" s="77"/>
    </row>
    <row r="87" spans="1:11" ht="12.75" customHeight="1" x14ac:dyDescent="0.2">
      <c r="A87" s="73"/>
      <c r="B87" s="73"/>
      <c r="C87" s="73"/>
      <c r="D87" s="73"/>
      <c r="E87" s="73"/>
      <c r="F87" s="73"/>
      <c r="G87" s="75"/>
      <c r="H87" s="76">
        <v>12</v>
      </c>
      <c r="I87" s="75">
        <f t="shared" si="2"/>
        <v>0</v>
      </c>
      <c r="J87" s="77"/>
      <c r="K87" s="77"/>
    </row>
    <row r="88" spans="1:11" ht="12.75" customHeight="1" x14ac:dyDescent="0.2">
      <c r="A88" s="73"/>
      <c r="B88" s="73"/>
      <c r="C88" s="73"/>
      <c r="D88" s="73"/>
      <c r="E88" s="73"/>
      <c r="F88" s="73"/>
      <c r="G88" s="75"/>
      <c r="H88" s="76">
        <v>12</v>
      </c>
      <c r="I88" s="75">
        <f t="shared" si="2"/>
        <v>0</v>
      </c>
      <c r="J88" s="77"/>
      <c r="K88" s="77"/>
    </row>
    <row r="89" spans="1:11" ht="12.75" customHeight="1" x14ac:dyDescent="0.2">
      <c r="A89" s="73"/>
      <c r="B89" s="73"/>
      <c r="C89" s="73"/>
      <c r="D89" s="73"/>
      <c r="E89" s="73"/>
      <c r="F89" s="73"/>
      <c r="G89" s="75"/>
      <c r="H89" s="76">
        <v>12</v>
      </c>
      <c r="I89" s="75">
        <f t="shared" si="2"/>
        <v>0</v>
      </c>
      <c r="J89" s="77"/>
      <c r="K89" s="77"/>
    </row>
    <row r="90" spans="1:11" ht="12.75" customHeight="1" x14ac:dyDescent="0.2">
      <c r="A90" s="73"/>
      <c r="B90" s="73"/>
      <c r="C90" s="73"/>
      <c r="D90" s="73"/>
      <c r="E90" s="73"/>
      <c r="F90" s="73"/>
      <c r="G90" s="75"/>
      <c r="H90" s="76">
        <v>12</v>
      </c>
      <c r="I90" s="75">
        <f t="shared" si="2"/>
        <v>0</v>
      </c>
      <c r="J90" s="77"/>
      <c r="K90" s="77"/>
    </row>
    <row r="91" spans="1:11" ht="12.75" customHeight="1" x14ac:dyDescent="0.2">
      <c r="A91" s="73"/>
      <c r="B91" s="73"/>
      <c r="C91" s="73"/>
      <c r="D91" s="73"/>
      <c r="E91" s="73"/>
      <c r="F91" s="73"/>
      <c r="G91" s="75"/>
      <c r="H91" s="76">
        <v>12</v>
      </c>
      <c r="I91" s="75">
        <f t="shared" si="2"/>
        <v>0</v>
      </c>
      <c r="J91" s="77"/>
      <c r="K91" s="77"/>
    </row>
    <row r="92" spans="1:11" ht="12.75" customHeight="1" x14ac:dyDescent="0.2">
      <c r="A92" s="73"/>
      <c r="B92" s="73"/>
      <c r="C92" s="73"/>
      <c r="D92" s="73"/>
      <c r="E92" s="73"/>
      <c r="F92" s="73"/>
      <c r="G92" s="75"/>
      <c r="H92" s="76">
        <v>12</v>
      </c>
      <c r="I92" s="75">
        <f t="shared" si="2"/>
        <v>0</v>
      </c>
      <c r="J92" s="77"/>
      <c r="K92" s="77"/>
    </row>
    <row r="93" spans="1:11" ht="12.75" customHeight="1" x14ac:dyDescent="0.2">
      <c r="A93" s="73"/>
      <c r="B93" s="73"/>
      <c r="C93" s="73"/>
      <c r="D93" s="73"/>
      <c r="E93" s="73"/>
      <c r="F93" s="73"/>
      <c r="G93" s="75"/>
      <c r="H93" s="76">
        <v>12</v>
      </c>
      <c r="I93" s="75">
        <f t="shared" si="2"/>
        <v>0</v>
      </c>
      <c r="J93" s="77"/>
      <c r="K93" s="77"/>
    </row>
    <row r="94" spans="1:11" ht="12.75" customHeight="1" x14ac:dyDescent="0.2">
      <c r="A94" s="73"/>
      <c r="B94" s="73"/>
      <c r="C94" s="73"/>
      <c r="D94" s="73"/>
      <c r="E94" s="73"/>
      <c r="F94" s="73"/>
      <c r="G94" s="75"/>
      <c r="H94" s="76">
        <v>12</v>
      </c>
      <c r="I94" s="75">
        <f t="shared" si="2"/>
        <v>0</v>
      </c>
      <c r="J94" s="77"/>
      <c r="K94" s="77"/>
    </row>
    <row r="95" spans="1:11" ht="12.75" customHeight="1" x14ac:dyDescent="0.2">
      <c r="A95" s="73"/>
      <c r="B95" s="73"/>
      <c r="C95" s="73"/>
      <c r="D95" s="73"/>
      <c r="E95" s="73"/>
      <c r="F95" s="73"/>
      <c r="G95" s="75"/>
      <c r="H95" s="76">
        <v>12</v>
      </c>
      <c r="I95" s="75">
        <f t="shared" si="2"/>
        <v>0</v>
      </c>
      <c r="J95" s="77"/>
      <c r="K95" s="77"/>
    </row>
    <row r="96" spans="1:11" ht="12.75" customHeight="1" x14ac:dyDescent="0.2">
      <c r="A96" s="73"/>
      <c r="B96" s="73"/>
      <c r="C96" s="73"/>
      <c r="D96" s="73"/>
      <c r="E96" s="73"/>
      <c r="F96" s="73"/>
      <c r="G96" s="75"/>
      <c r="H96" s="76">
        <v>12</v>
      </c>
      <c r="I96" s="75">
        <f t="shared" si="2"/>
        <v>0</v>
      </c>
      <c r="J96" s="77"/>
      <c r="K96" s="77"/>
    </row>
    <row r="97" spans="1:11" ht="12.75" customHeight="1" x14ac:dyDescent="0.2">
      <c r="A97" s="73"/>
      <c r="B97" s="73"/>
      <c r="C97" s="73"/>
      <c r="D97" s="73"/>
      <c r="E97" s="73"/>
      <c r="F97" s="73"/>
      <c r="G97" s="75"/>
      <c r="H97" s="76">
        <v>12</v>
      </c>
      <c r="I97" s="75">
        <f t="shared" si="2"/>
        <v>0</v>
      </c>
      <c r="J97" s="77"/>
      <c r="K97" s="77"/>
    </row>
    <row r="98" spans="1:11" ht="12.75" customHeight="1" x14ac:dyDescent="0.2">
      <c r="A98" s="73"/>
      <c r="B98" s="73"/>
      <c r="C98" s="73"/>
      <c r="D98" s="73"/>
      <c r="E98" s="73"/>
      <c r="F98" s="73"/>
      <c r="G98" s="75"/>
      <c r="H98" s="76">
        <v>12</v>
      </c>
      <c r="I98" s="75">
        <f t="shared" si="2"/>
        <v>0</v>
      </c>
      <c r="J98" s="77"/>
      <c r="K98" s="77"/>
    </row>
    <row r="99" spans="1:11" ht="12.75" customHeight="1" x14ac:dyDescent="0.2">
      <c r="A99" s="73"/>
      <c r="B99" s="73"/>
      <c r="C99" s="73"/>
      <c r="D99" s="73"/>
      <c r="E99" s="73"/>
      <c r="F99" s="73"/>
      <c r="G99" s="75"/>
      <c r="H99" s="76">
        <v>12</v>
      </c>
      <c r="I99" s="75">
        <f t="shared" si="2"/>
        <v>0</v>
      </c>
      <c r="J99" s="77"/>
      <c r="K99" s="77"/>
    </row>
    <row r="100" spans="1:11" ht="12.75" customHeight="1" x14ac:dyDescent="0.2">
      <c r="A100" s="73"/>
      <c r="B100" s="73"/>
      <c r="C100" s="73"/>
      <c r="D100" s="73"/>
      <c r="E100" s="73"/>
      <c r="F100" s="73"/>
      <c r="G100" s="75"/>
      <c r="H100" s="76">
        <v>12</v>
      </c>
      <c r="I100" s="75">
        <f t="shared" si="2"/>
        <v>0</v>
      </c>
      <c r="J100" s="77"/>
      <c r="K100" s="77"/>
    </row>
    <row r="101" spans="1:11" ht="12.75" customHeight="1" x14ac:dyDescent="0.2">
      <c r="A101" s="73"/>
      <c r="B101" s="73"/>
      <c r="C101" s="73"/>
      <c r="D101" s="73"/>
      <c r="E101" s="73"/>
      <c r="F101" s="73"/>
      <c r="G101" s="75"/>
      <c r="H101" s="76">
        <v>12</v>
      </c>
      <c r="I101" s="75">
        <f t="shared" si="2"/>
        <v>0</v>
      </c>
      <c r="J101" s="77"/>
      <c r="K101" s="77"/>
    </row>
    <row r="102" spans="1:11" ht="12.75" customHeight="1" x14ac:dyDescent="0.2">
      <c r="A102" s="73"/>
      <c r="B102" s="73"/>
      <c r="C102" s="73"/>
      <c r="D102" s="73"/>
      <c r="E102" s="73"/>
      <c r="F102" s="73"/>
      <c r="G102" s="75"/>
      <c r="H102" s="76">
        <v>12</v>
      </c>
      <c r="I102" s="75">
        <f t="shared" si="2"/>
        <v>0</v>
      </c>
      <c r="J102" s="77"/>
      <c r="K102" s="77"/>
    </row>
    <row r="103" spans="1:11" ht="12.75" customHeight="1" x14ac:dyDescent="0.2">
      <c r="A103" s="73"/>
      <c r="B103" s="73"/>
      <c r="C103" s="73"/>
      <c r="D103" s="73"/>
      <c r="E103" s="73"/>
      <c r="F103" s="73"/>
      <c r="G103" s="75"/>
      <c r="H103" s="76">
        <v>12</v>
      </c>
      <c r="I103" s="75">
        <f t="shared" si="2"/>
        <v>0</v>
      </c>
      <c r="J103" s="77"/>
      <c r="K103" s="77"/>
    </row>
    <row r="104" spans="1:11" ht="12.75" customHeight="1" x14ac:dyDescent="0.2">
      <c r="A104" s="73"/>
      <c r="B104" s="73"/>
      <c r="C104" s="73"/>
      <c r="D104" s="73"/>
      <c r="E104" s="73"/>
      <c r="F104" s="73"/>
      <c r="G104" s="75"/>
      <c r="H104" s="76">
        <v>12</v>
      </c>
      <c r="I104" s="75">
        <f t="shared" si="2"/>
        <v>0</v>
      </c>
      <c r="J104" s="77"/>
      <c r="K104" s="77"/>
    </row>
    <row r="105" spans="1:11" ht="12.75" customHeight="1" x14ac:dyDescent="0.2">
      <c r="A105" s="73"/>
      <c r="B105" s="73"/>
      <c r="C105" s="73"/>
      <c r="D105" s="73"/>
      <c r="E105" s="73"/>
      <c r="F105" s="73"/>
      <c r="G105" s="75"/>
      <c r="H105" s="76">
        <v>12</v>
      </c>
      <c r="I105" s="75">
        <f t="shared" si="2"/>
        <v>0</v>
      </c>
      <c r="J105" s="77"/>
      <c r="K105" s="77"/>
    </row>
    <row r="106" spans="1:11" ht="12.75" customHeight="1" x14ac:dyDescent="0.2">
      <c r="A106" s="73"/>
      <c r="B106" s="73"/>
      <c r="C106" s="73"/>
      <c r="D106" s="73"/>
      <c r="E106" s="73"/>
      <c r="F106" s="73"/>
      <c r="G106" s="75"/>
      <c r="H106" s="76">
        <v>12</v>
      </c>
      <c r="I106" s="75">
        <f t="shared" si="2"/>
        <v>0</v>
      </c>
      <c r="J106" s="77"/>
      <c r="K106" s="77"/>
    </row>
    <row r="107" spans="1:11" ht="12.75" customHeight="1" x14ac:dyDescent="0.2">
      <c r="A107" s="73"/>
      <c r="B107" s="73"/>
      <c r="C107" s="73"/>
      <c r="D107" s="73"/>
      <c r="E107" s="73"/>
      <c r="F107" s="73"/>
      <c r="G107" s="75"/>
      <c r="H107" s="76">
        <v>12</v>
      </c>
      <c r="I107" s="75">
        <f t="shared" si="2"/>
        <v>0</v>
      </c>
      <c r="J107" s="77"/>
      <c r="K107" s="77"/>
    </row>
    <row r="108" spans="1:11" ht="12.75" customHeight="1" x14ac:dyDescent="0.2">
      <c r="A108" s="73"/>
      <c r="B108" s="73"/>
      <c r="C108" s="73"/>
      <c r="D108" s="73"/>
      <c r="E108" s="73"/>
      <c r="F108" s="73"/>
      <c r="G108" s="75"/>
      <c r="H108" s="76">
        <v>12</v>
      </c>
      <c r="I108" s="75">
        <f t="shared" si="2"/>
        <v>0</v>
      </c>
      <c r="J108" s="77"/>
      <c r="K108" s="77"/>
    </row>
    <row r="109" spans="1:11" ht="12.75" customHeight="1" x14ac:dyDescent="0.2">
      <c r="A109" s="73"/>
      <c r="B109" s="73"/>
      <c r="C109" s="73"/>
      <c r="D109" s="73"/>
      <c r="E109" s="73"/>
      <c r="F109" s="73"/>
      <c r="G109" s="75"/>
      <c r="H109" s="76">
        <v>12</v>
      </c>
      <c r="I109" s="75">
        <f t="shared" si="2"/>
        <v>0</v>
      </c>
      <c r="J109" s="77"/>
      <c r="K109" s="77"/>
    </row>
    <row r="110" spans="1:11" ht="12.75" customHeight="1" x14ac:dyDescent="0.2">
      <c r="A110" s="73"/>
      <c r="B110" s="73"/>
      <c r="C110" s="73"/>
      <c r="D110" s="73"/>
      <c r="E110" s="73"/>
      <c r="F110" s="73"/>
      <c r="G110" s="75"/>
      <c r="H110" s="76">
        <v>12</v>
      </c>
      <c r="I110" s="75">
        <f t="shared" si="2"/>
        <v>0</v>
      </c>
      <c r="J110" s="77"/>
      <c r="K110" s="77"/>
    </row>
    <row r="111" spans="1:11" ht="12.75" customHeight="1" x14ac:dyDescent="0.2">
      <c r="A111" s="73"/>
      <c r="B111" s="73"/>
      <c r="C111" s="73"/>
      <c r="D111" s="73"/>
      <c r="E111" s="73"/>
      <c r="F111" s="73"/>
      <c r="G111" s="75"/>
      <c r="H111" s="76">
        <v>12</v>
      </c>
      <c r="I111" s="75">
        <f t="shared" si="2"/>
        <v>0</v>
      </c>
      <c r="J111" s="77"/>
      <c r="K111" s="77"/>
    </row>
    <row r="112" spans="1:11" ht="12.75" customHeight="1" x14ac:dyDescent="0.2">
      <c r="A112" s="73"/>
      <c r="B112" s="73"/>
      <c r="C112" s="73"/>
      <c r="D112" s="73"/>
      <c r="E112" s="73"/>
      <c r="F112" s="73"/>
      <c r="G112" s="75"/>
      <c r="H112" s="76">
        <v>12</v>
      </c>
      <c r="I112" s="75">
        <f t="shared" si="2"/>
        <v>0</v>
      </c>
      <c r="J112" s="77"/>
      <c r="K112" s="77"/>
    </row>
    <row r="113" spans="1:11" ht="12.75" customHeight="1" x14ac:dyDescent="0.2">
      <c r="A113" s="73"/>
      <c r="B113" s="73"/>
      <c r="C113" s="73"/>
      <c r="D113" s="73"/>
      <c r="E113" s="73"/>
      <c r="F113" s="73"/>
      <c r="G113" s="75"/>
      <c r="H113" s="76">
        <v>12</v>
      </c>
      <c r="I113" s="75">
        <f t="shared" si="2"/>
        <v>0</v>
      </c>
      <c r="J113" s="77"/>
      <c r="K113" s="77"/>
    </row>
    <row r="114" spans="1:11" ht="12.75" customHeight="1" x14ac:dyDescent="0.2">
      <c r="A114" s="73"/>
      <c r="B114" s="73"/>
      <c r="C114" s="73"/>
      <c r="D114" s="73"/>
      <c r="E114" s="73"/>
      <c r="F114" s="73"/>
      <c r="G114" s="75"/>
      <c r="H114" s="76">
        <v>12</v>
      </c>
      <c r="I114" s="75">
        <f t="shared" si="2"/>
        <v>0</v>
      </c>
      <c r="J114" s="77"/>
      <c r="K114" s="77"/>
    </row>
    <row r="115" spans="1:11" ht="12.75" customHeight="1" x14ac:dyDescent="0.2">
      <c r="A115" s="73"/>
      <c r="B115" s="73"/>
      <c r="C115" s="73"/>
      <c r="D115" s="73"/>
      <c r="E115" s="73"/>
      <c r="F115" s="73"/>
      <c r="G115" s="75"/>
      <c r="H115" s="76">
        <v>12</v>
      </c>
      <c r="I115" s="75">
        <f t="shared" si="2"/>
        <v>0</v>
      </c>
      <c r="J115" s="77"/>
      <c r="K115" s="77"/>
    </row>
    <row r="116" spans="1:11" ht="12.75" customHeight="1" x14ac:dyDescent="0.2">
      <c r="A116" s="73"/>
      <c r="B116" s="73"/>
      <c r="C116" s="73"/>
      <c r="D116" s="73"/>
      <c r="E116" s="73"/>
      <c r="F116" s="73"/>
      <c r="G116" s="75"/>
      <c r="H116" s="76">
        <v>12</v>
      </c>
      <c r="I116" s="75">
        <f t="shared" si="2"/>
        <v>0</v>
      </c>
      <c r="J116" s="77"/>
      <c r="K116" s="77"/>
    </row>
    <row r="117" spans="1:11" ht="12.75" customHeight="1" x14ac:dyDescent="0.2">
      <c r="A117" s="73"/>
      <c r="B117" s="73"/>
      <c r="C117" s="73"/>
      <c r="D117" s="73"/>
      <c r="E117" s="73"/>
      <c r="F117" s="73"/>
      <c r="G117" s="75"/>
      <c r="H117" s="76">
        <v>12</v>
      </c>
      <c r="I117" s="75">
        <f t="shared" si="2"/>
        <v>0</v>
      </c>
      <c r="J117" s="77"/>
      <c r="K117" s="77"/>
    </row>
    <row r="118" spans="1:11" ht="12.75" customHeight="1" x14ac:dyDescent="0.2">
      <c r="A118" s="73"/>
      <c r="B118" s="73"/>
      <c r="C118" s="73"/>
      <c r="D118" s="73"/>
      <c r="E118" s="73"/>
      <c r="F118" s="73"/>
      <c r="G118" s="75"/>
      <c r="H118" s="76">
        <v>12</v>
      </c>
      <c r="I118" s="75">
        <f t="shared" si="2"/>
        <v>0</v>
      </c>
      <c r="J118" s="77"/>
      <c r="K118" s="77"/>
    </row>
    <row r="119" spans="1:11" ht="12.75" customHeight="1" x14ac:dyDescent="0.2">
      <c r="A119" s="73"/>
      <c r="B119" s="73"/>
      <c r="C119" s="73"/>
      <c r="D119" s="73"/>
      <c r="E119" s="73"/>
      <c r="F119" s="73"/>
      <c r="G119" s="75"/>
      <c r="H119" s="76">
        <v>12</v>
      </c>
      <c r="I119" s="75">
        <f t="shared" si="2"/>
        <v>0</v>
      </c>
      <c r="J119" s="77"/>
      <c r="K119" s="77"/>
    </row>
    <row r="120" spans="1:11" ht="12.75" customHeight="1" x14ac:dyDescent="0.2">
      <c r="A120" s="73"/>
      <c r="B120" s="73"/>
      <c r="C120" s="73"/>
      <c r="D120" s="73"/>
      <c r="E120" s="73"/>
      <c r="F120" s="73"/>
      <c r="G120" s="75"/>
      <c r="H120" s="76">
        <v>12</v>
      </c>
      <c r="I120" s="75">
        <f t="shared" si="2"/>
        <v>0</v>
      </c>
      <c r="J120" s="77"/>
      <c r="K120" s="77"/>
    </row>
    <row r="121" spans="1:11" ht="12.75" customHeight="1" x14ac:dyDescent="0.2">
      <c r="A121" s="73"/>
      <c r="B121" s="73"/>
      <c r="C121" s="73"/>
      <c r="D121" s="73"/>
      <c r="E121" s="73"/>
      <c r="F121" s="73"/>
      <c r="G121" s="75"/>
      <c r="H121" s="76">
        <v>12</v>
      </c>
      <c r="I121" s="75">
        <f t="shared" si="2"/>
        <v>0</v>
      </c>
      <c r="J121" s="77"/>
      <c r="K121" s="77"/>
    </row>
    <row r="122" spans="1:11" ht="12.75" customHeight="1" x14ac:dyDescent="0.2">
      <c r="A122" s="73"/>
      <c r="B122" s="73"/>
      <c r="C122" s="73"/>
      <c r="D122" s="73"/>
      <c r="E122" s="73"/>
      <c r="F122" s="73"/>
      <c r="G122" s="75"/>
      <c r="H122" s="76">
        <v>12</v>
      </c>
      <c r="I122" s="75">
        <f t="shared" si="2"/>
        <v>0</v>
      </c>
      <c r="J122" s="77"/>
      <c r="K122" s="77"/>
    </row>
    <row r="123" spans="1:11" ht="12.75" customHeight="1" x14ac:dyDescent="0.2">
      <c r="A123" s="73"/>
      <c r="B123" s="73"/>
      <c r="C123" s="73"/>
      <c r="D123" s="73"/>
      <c r="E123" s="73"/>
      <c r="F123" s="73"/>
      <c r="G123" s="75"/>
      <c r="H123" s="76">
        <v>12</v>
      </c>
      <c r="I123" s="75">
        <f t="shared" si="2"/>
        <v>0</v>
      </c>
      <c r="J123" s="77"/>
      <c r="K123" s="77"/>
    </row>
    <row r="124" spans="1:11" ht="12.75" customHeight="1" x14ac:dyDescent="0.2">
      <c r="A124" s="73"/>
      <c r="B124" s="73"/>
      <c r="C124" s="73"/>
      <c r="D124" s="73"/>
      <c r="E124" s="73"/>
      <c r="F124" s="73"/>
      <c r="G124" s="75"/>
      <c r="H124" s="76">
        <v>12</v>
      </c>
      <c r="I124" s="75">
        <f t="shared" si="2"/>
        <v>0</v>
      </c>
      <c r="J124" s="77"/>
      <c r="K124" s="77"/>
    </row>
    <row r="125" spans="1:11" ht="12.75" customHeight="1" x14ac:dyDescent="0.2">
      <c r="A125" s="73"/>
      <c r="B125" s="73"/>
      <c r="C125" s="73"/>
      <c r="D125" s="73"/>
      <c r="E125" s="73"/>
      <c r="F125" s="73"/>
      <c r="G125" s="75"/>
      <c r="H125" s="76">
        <v>12</v>
      </c>
      <c r="I125" s="75">
        <f t="shared" si="2"/>
        <v>0</v>
      </c>
      <c r="J125" s="77"/>
      <c r="K125" s="77"/>
    </row>
    <row r="126" spans="1:11" ht="12.75" customHeight="1" x14ac:dyDescent="0.2">
      <c r="A126" s="73"/>
      <c r="B126" s="73"/>
      <c r="C126" s="73"/>
      <c r="D126" s="73"/>
      <c r="E126" s="73"/>
      <c r="F126" s="73"/>
      <c r="G126" s="75"/>
      <c r="H126" s="76">
        <v>12</v>
      </c>
      <c r="I126" s="75">
        <f t="shared" si="2"/>
        <v>0</v>
      </c>
      <c r="J126" s="77"/>
      <c r="K126" s="77"/>
    </row>
    <row r="127" spans="1:11" ht="12.75" customHeight="1" x14ac:dyDescent="0.2">
      <c r="A127" s="73"/>
      <c r="B127" s="73"/>
      <c r="C127" s="73"/>
      <c r="D127" s="73"/>
      <c r="E127" s="73"/>
      <c r="F127" s="73"/>
      <c r="G127" s="75"/>
      <c r="H127" s="76">
        <v>12</v>
      </c>
      <c r="I127" s="75">
        <f t="shared" si="2"/>
        <v>0</v>
      </c>
      <c r="J127" s="77"/>
      <c r="K127" s="77"/>
    </row>
    <row r="128" spans="1:11" ht="12.75" customHeight="1" x14ac:dyDescent="0.2">
      <c r="A128" s="73"/>
      <c r="B128" s="73"/>
      <c r="C128" s="73"/>
      <c r="D128" s="73"/>
      <c r="E128" s="73"/>
      <c r="F128" s="73"/>
      <c r="G128" s="75"/>
      <c r="H128" s="76">
        <v>12</v>
      </c>
      <c r="I128" s="75">
        <f t="shared" si="2"/>
        <v>0</v>
      </c>
      <c r="J128" s="77"/>
      <c r="K128" s="77"/>
    </row>
    <row r="129" spans="1:11" ht="12.75" customHeight="1" x14ac:dyDescent="0.2">
      <c r="A129" s="73"/>
      <c r="B129" s="73"/>
      <c r="C129" s="73"/>
      <c r="D129" s="73"/>
      <c r="E129" s="73"/>
      <c r="F129" s="73"/>
      <c r="G129" s="75"/>
      <c r="H129" s="76">
        <v>12</v>
      </c>
      <c r="I129" s="75">
        <f t="shared" si="2"/>
        <v>0</v>
      </c>
      <c r="J129" s="77"/>
      <c r="K129" s="77"/>
    </row>
    <row r="130" spans="1:11" ht="12.75" customHeight="1" x14ac:dyDescent="0.2">
      <c r="A130" s="73"/>
      <c r="B130" s="73"/>
      <c r="C130" s="73"/>
      <c r="D130" s="73"/>
      <c r="E130" s="73"/>
      <c r="F130" s="73"/>
      <c r="G130" s="75"/>
      <c r="H130" s="76">
        <v>12</v>
      </c>
      <c r="I130" s="75">
        <f t="shared" si="2"/>
        <v>0</v>
      </c>
      <c r="J130" s="77"/>
      <c r="K130" s="77"/>
    </row>
    <row r="131" spans="1:11" ht="12.75" customHeight="1" x14ac:dyDescent="0.2">
      <c r="A131" s="73"/>
      <c r="B131" s="73"/>
      <c r="C131" s="73"/>
      <c r="D131" s="73"/>
      <c r="E131" s="73"/>
      <c r="F131" s="73"/>
      <c r="G131" s="75"/>
      <c r="H131" s="76">
        <v>12</v>
      </c>
      <c r="I131" s="75">
        <f t="shared" si="2"/>
        <v>0</v>
      </c>
      <c r="J131" s="77"/>
      <c r="K131" s="77"/>
    </row>
    <row r="132" spans="1:11" ht="12.75" customHeight="1" x14ac:dyDescent="0.2">
      <c r="A132" s="73"/>
      <c r="B132" s="73"/>
      <c r="C132" s="73"/>
      <c r="D132" s="73"/>
      <c r="E132" s="73"/>
      <c r="F132" s="73"/>
      <c r="G132" s="75"/>
      <c r="H132" s="76">
        <v>12</v>
      </c>
      <c r="I132" s="75">
        <f t="shared" ref="I132:I195" si="3">+H132*G132</f>
        <v>0</v>
      </c>
      <c r="J132" s="77"/>
      <c r="K132" s="77"/>
    </row>
    <row r="133" spans="1:11" ht="12.75" customHeight="1" x14ac:dyDescent="0.2">
      <c r="A133" s="73"/>
      <c r="B133" s="73"/>
      <c r="C133" s="73"/>
      <c r="D133" s="73"/>
      <c r="E133" s="73"/>
      <c r="F133" s="73"/>
      <c r="G133" s="75"/>
      <c r="H133" s="76">
        <v>12</v>
      </c>
      <c r="I133" s="75">
        <f t="shared" si="3"/>
        <v>0</v>
      </c>
      <c r="J133" s="77"/>
      <c r="K133" s="77"/>
    </row>
    <row r="134" spans="1:11" ht="12.75" customHeight="1" x14ac:dyDescent="0.2">
      <c r="A134" s="73"/>
      <c r="B134" s="73"/>
      <c r="C134" s="73"/>
      <c r="D134" s="73"/>
      <c r="E134" s="73"/>
      <c r="F134" s="73"/>
      <c r="G134" s="75"/>
      <c r="H134" s="76">
        <v>12</v>
      </c>
      <c r="I134" s="75">
        <f t="shared" si="3"/>
        <v>0</v>
      </c>
      <c r="J134" s="77"/>
      <c r="K134" s="77"/>
    </row>
    <row r="135" spans="1:11" ht="12.75" customHeight="1" x14ac:dyDescent="0.2">
      <c r="A135" s="73"/>
      <c r="B135" s="73"/>
      <c r="C135" s="73"/>
      <c r="D135" s="73"/>
      <c r="E135" s="73"/>
      <c r="F135" s="73"/>
      <c r="G135" s="75"/>
      <c r="H135" s="76">
        <v>12</v>
      </c>
      <c r="I135" s="75">
        <f t="shared" si="3"/>
        <v>0</v>
      </c>
      <c r="J135" s="77"/>
      <c r="K135" s="77"/>
    </row>
    <row r="136" spans="1:11" ht="12.75" customHeight="1" x14ac:dyDescent="0.2">
      <c r="A136" s="73"/>
      <c r="B136" s="73"/>
      <c r="C136" s="73"/>
      <c r="D136" s="73"/>
      <c r="E136" s="73"/>
      <c r="F136" s="73"/>
      <c r="G136" s="75"/>
      <c r="H136" s="76">
        <v>12</v>
      </c>
      <c r="I136" s="75">
        <f t="shared" si="3"/>
        <v>0</v>
      </c>
      <c r="J136" s="77"/>
      <c r="K136" s="77"/>
    </row>
    <row r="137" spans="1:11" ht="12.75" customHeight="1" x14ac:dyDescent="0.2">
      <c r="A137" s="73"/>
      <c r="B137" s="73"/>
      <c r="C137" s="73"/>
      <c r="D137" s="73"/>
      <c r="E137" s="73"/>
      <c r="F137" s="73"/>
      <c r="G137" s="75"/>
      <c r="H137" s="76">
        <v>12</v>
      </c>
      <c r="I137" s="75">
        <f t="shared" si="3"/>
        <v>0</v>
      </c>
      <c r="J137" s="77"/>
      <c r="K137" s="77"/>
    </row>
    <row r="138" spans="1:11" ht="12.75" customHeight="1" x14ac:dyDescent="0.2">
      <c r="A138" s="73"/>
      <c r="B138" s="73"/>
      <c r="C138" s="73"/>
      <c r="D138" s="73"/>
      <c r="E138" s="73"/>
      <c r="F138" s="73"/>
      <c r="G138" s="75"/>
      <c r="H138" s="76">
        <v>12</v>
      </c>
      <c r="I138" s="75">
        <f t="shared" si="3"/>
        <v>0</v>
      </c>
      <c r="J138" s="77"/>
      <c r="K138" s="77"/>
    </row>
    <row r="139" spans="1:11" ht="12.75" customHeight="1" x14ac:dyDescent="0.2">
      <c r="A139" s="73"/>
      <c r="B139" s="73"/>
      <c r="C139" s="73"/>
      <c r="D139" s="73"/>
      <c r="E139" s="73"/>
      <c r="F139" s="73"/>
      <c r="G139" s="75"/>
      <c r="H139" s="76">
        <v>12</v>
      </c>
      <c r="I139" s="75">
        <f t="shared" si="3"/>
        <v>0</v>
      </c>
      <c r="J139" s="77"/>
      <c r="K139" s="77"/>
    </row>
    <row r="140" spans="1:11" ht="12.75" customHeight="1" x14ac:dyDescent="0.2">
      <c r="A140" s="73"/>
      <c r="B140" s="73"/>
      <c r="C140" s="73"/>
      <c r="D140" s="73"/>
      <c r="E140" s="73"/>
      <c r="F140" s="73"/>
      <c r="G140" s="75"/>
      <c r="H140" s="76">
        <v>12</v>
      </c>
      <c r="I140" s="75">
        <f t="shared" si="3"/>
        <v>0</v>
      </c>
      <c r="J140" s="77"/>
      <c r="K140" s="77"/>
    </row>
    <row r="141" spans="1:11" ht="12.75" customHeight="1" x14ac:dyDescent="0.2">
      <c r="A141" s="73"/>
      <c r="B141" s="73"/>
      <c r="C141" s="73"/>
      <c r="D141" s="73"/>
      <c r="E141" s="73"/>
      <c r="F141" s="73"/>
      <c r="G141" s="75"/>
      <c r="H141" s="76">
        <v>12</v>
      </c>
      <c r="I141" s="75">
        <f t="shared" si="3"/>
        <v>0</v>
      </c>
      <c r="J141" s="77"/>
      <c r="K141" s="77"/>
    </row>
    <row r="142" spans="1:11" ht="12.75" customHeight="1" x14ac:dyDescent="0.2">
      <c r="A142" s="73"/>
      <c r="B142" s="73"/>
      <c r="C142" s="73"/>
      <c r="D142" s="73"/>
      <c r="E142" s="73"/>
      <c r="F142" s="73"/>
      <c r="G142" s="75"/>
      <c r="H142" s="76">
        <v>12</v>
      </c>
      <c r="I142" s="75">
        <f t="shared" si="3"/>
        <v>0</v>
      </c>
      <c r="J142" s="77"/>
      <c r="K142" s="77"/>
    </row>
    <row r="143" spans="1:11" ht="12.75" customHeight="1" x14ac:dyDescent="0.2">
      <c r="A143" s="73"/>
      <c r="B143" s="73"/>
      <c r="C143" s="73"/>
      <c r="D143" s="73"/>
      <c r="E143" s="73"/>
      <c r="F143" s="73"/>
      <c r="G143" s="75"/>
      <c r="H143" s="76">
        <v>12</v>
      </c>
      <c r="I143" s="75">
        <f t="shared" si="3"/>
        <v>0</v>
      </c>
      <c r="J143" s="77"/>
      <c r="K143" s="77"/>
    </row>
    <row r="144" spans="1:11" ht="12.75" customHeight="1" x14ac:dyDescent="0.2">
      <c r="A144" s="73"/>
      <c r="B144" s="73"/>
      <c r="C144" s="73"/>
      <c r="D144" s="73"/>
      <c r="E144" s="73"/>
      <c r="F144" s="73"/>
      <c r="G144" s="75"/>
      <c r="H144" s="76">
        <v>12</v>
      </c>
      <c r="I144" s="75">
        <f t="shared" si="3"/>
        <v>0</v>
      </c>
      <c r="J144" s="77"/>
      <c r="K144" s="77"/>
    </row>
    <row r="145" spans="1:11" ht="12.75" customHeight="1" x14ac:dyDescent="0.2">
      <c r="A145" s="73"/>
      <c r="B145" s="73"/>
      <c r="C145" s="73"/>
      <c r="D145" s="73"/>
      <c r="E145" s="73"/>
      <c r="F145" s="73"/>
      <c r="G145" s="75"/>
      <c r="H145" s="76">
        <v>12</v>
      </c>
      <c r="I145" s="75">
        <f t="shared" si="3"/>
        <v>0</v>
      </c>
      <c r="J145" s="77"/>
      <c r="K145" s="77"/>
    </row>
    <row r="146" spans="1:11" ht="12.75" customHeight="1" x14ac:dyDescent="0.2">
      <c r="A146" s="73"/>
      <c r="B146" s="73"/>
      <c r="C146" s="73"/>
      <c r="D146" s="73"/>
      <c r="E146" s="73"/>
      <c r="F146" s="73"/>
      <c r="G146" s="75"/>
      <c r="H146" s="76">
        <v>12</v>
      </c>
      <c r="I146" s="75">
        <f t="shared" si="3"/>
        <v>0</v>
      </c>
      <c r="J146" s="77"/>
      <c r="K146" s="77"/>
    </row>
    <row r="147" spans="1:11" ht="12.75" customHeight="1" x14ac:dyDescent="0.2">
      <c r="A147" s="73"/>
      <c r="B147" s="73"/>
      <c r="C147" s="73"/>
      <c r="D147" s="73"/>
      <c r="E147" s="73"/>
      <c r="F147" s="73"/>
      <c r="G147" s="75"/>
      <c r="H147" s="76">
        <v>12</v>
      </c>
      <c r="I147" s="75">
        <f t="shared" si="3"/>
        <v>0</v>
      </c>
      <c r="J147" s="77"/>
      <c r="K147" s="77"/>
    </row>
    <row r="148" spans="1:11" ht="12.75" customHeight="1" x14ac:dyDescent="0.2">
      <c r="A148" s="73"/>
      <c r="B148" s="73"/>
      <c r="C148" s="73"/>
      <c r="D148" s="73"/>
      <c r="E148" s="73"/>
      <c r="F148" s="73"/>
      <c r="G148" s="75"/>
      <c r="H148" s="76">
        <v>12</v>
      </c>
      <c r="I148" s="75">
        <f t="shared" si="3"/>
        <v>0</v>
      </c>
      <c r="J148" s="77"/>
      <c r="K148" s="77"/>
    </row>
    <row r="149" spans="1:11" ht="12.75" customHeight="1" x14ac:dyDescent="0.2">
      <c r="A149" s="73"/>
      <c r="B149" s="73"/>
      <c r="C149" s="73"/>
      <c r="D149" s="73"/>
      <c r="E149" s="73"/>
      <c r="F149" s="73"/>
      <c r="G149" s="75"/>
      <c r="H149" s="76">
        <v>12</v>
      </c>
      <c r="I149" s="75">
        <f t="shared" si="3"/>
        <v>0</v>
      </c>
      <c r="J149" s="77"/>
      <c r="K149" s="77"/>
    </row>
    <row r="150" spans="1:11" ht="12.75" customHeight="1" x14ac:dyDescent="0.2">
      <c r="A150" s="73"/>
      <c r="B150" s="73"/>
      <c r="C150" s="73"/>
      <c r="D150" s="73"/>
      <c r="E150" s="73"/>
      <c r="F150" s="73"/>
      <c r="G150" s="75"/>
      <c r="H150" s="76">
        <v>12</v>
      </c>
      <c r="I150" s="75">
        <f t="shared" si="3"/>
        <v>0</v>
      </c>
      <c r="J150" s="77"/>
      <c r="K150" s="77"/>
    </row>
    <row r="151" spans="1:11" ht="12.75" customHeight="1" x14ac:dyDescent="0.2">
      <c r="A151" s="73"/>
      <c r="B151" s="73"/>
      <c r="C151" s="73"/>
      <c r="D151" s="73"/>
      <c r="E151" s="73"/>
      <c r="F151" s="73"/>
      <c r="G151" s="75"/>
      <c r="H151" s="76">
        <v>12</v>
      </c>
      <c r="I151" s="75">
        <f t="shared" si="3"/>
        <v>0</v>
      </c>
      <c r="J151" s="77"/>
      <c r="K151" s="77"/>
    </row>
    <row r="152" spans="1:11" ht="12.75" customHeight="1" x14ac:dyDescent="0.2">
      <c r="A152" s="73"/>
      <c r="B152" s="73"/>
      <c r="C152" s="73"/>
      <c r="D152" s="73"/>
      <c r="E152" s="73"/>
      <c r="F152" s="73"/>
      <c r="G152" s="75"/>
      <c r="H152" s="76">
        <v>12</v>
      </c>
      <c r="I152" s="75">
        <f t="shared" si="3"/>
        <v>0</v>
      </c>
      <c r="J152" s="77"/>
      <c r="K152" s="77"/>
    </row>
    <row r="153" spans="1:11" ht="12.75" customHeight="1" x14ac:dyDescent="0.2">
      <c r="A153" s="73"/>
      <c r="B153" s="73"/>
      <c r="C153" s="73"/>
      <c r="D153" s="73"/>
      <c r="E153" s="73"/>
      <c r="F153" s="73"/>
      <c r="G153" s="75"/>
      <c r="H153" s="76">
        <v>12</v>
      </c>
      <c r="I153" s="75">
        <f t="shared" si="3"/>
        <v>0</v>
      </c>
      <c r="J153" s="77"/>
      <c r="K153" s="77"/>
    </row>
    <row r="154" spans="1:11" ht="12.75" customHeight="1" x14ac:dyDescent="0.2">
      <c r="A154" s="73"/>
      <c r="B154" s="73"/>
      <c r="C154" s="73"/>
      <c r="D154" s="73"/>
      <c r="E154" s="73"/>
      <c r="F154" s="73"/>
      <c r="G154" s="75"/>
      <c r="H154" s="76">
        <v>12</v>
      </c>
      <c r="I154" s="75">
        <f t="shared" si="3"/>
        <v>0</v>
      </c>
      <c r="J154" s="77"/>
      <c r="K154" s="77"/>
    </row>
    <row r="155" spans="1:11" ht="12.75" customHeight="1" x14ac:dyDescent="0.2">
      <c r="A155" s="73"/>
      <c r="B155" s="73"/>
      <c r="C155" s="73"/>
      <c r="D155" s="73"/>
      <c r="E155" s="73"/>
      <c r="F155" s="73"/>
      <c r="G155" s="75"/>
      <c r="H155" s="76">
        <v>12</v>
      </c>
      <c r="I155" s="75">
        <f t="shared" si="3"/>
        <v>0</v>
      </c>
      <c r="J155" s="77"/>
      <c r="K155" s="77"/>
    </row>
    <row r="156" spans="1:11" ht="12.75" customHeight="1" x14ac:dyDescent="0.2">
      <c r="A156" s="73"/>
      <c r="B156" s="73"/>
      <c r="C156" s="73"/>
      <c r="D156" s="73"/>
      <c r="E156" s="73"/>
      <c r="F156" s="73"/>
      <c r="G156" s="75"/>
      <c r="H156" s="76">
        <v>12</v>
      </c>
      <c r="I156" s="75">
        <f t="shared" si="3"/>
        <v>0</v>
      </c>
      <c r="J156" s="77"/>
      <c r="K156" s="77"/>
    </row>
    <row r="157" spans="1:11" ht="12.75" customHeight="1" x14ac:dyDescent="0.2">
      <c r="A157" s="73"/>
      <c r="B157" s="73"/>
      <c r="C157" s="73"/>
      <c r="D157" s="73"/>
      <c r="E157" s="73"/>
      <c r="F157" s="73"/>
      <c r="G157" s="75"/>
      <c r="H157" s="76">
        <v>12</v>
      </c>
      <c r="I157" s="75">
        <f t="shared" si="3"/>
        <v>0</v>
      </c>
      <c r="J157" s="77"/>
      <c r="K157" s="77"/>
    </row>
    <row r="158" spans="1:11" ht="12.75" customHeight="1" x14ac:dyDescent="0.2">
      <c r="A158" s="73"/>
      <c r="B158" s="73"/>
      <c r="C158" s="73"/>
      <c r="D158" s="73"/>
      <c r="E158" s="73"/>
      <c r="F158" s="73"/>
      <c r="G158" s="75"/>
      <c r="H158" s="76">
        <v>12</v>
      </c>
      <c r="I158" s="75">
        <f t="shared" si="3"/>
        <v>0</v>
      </c>
      <c r="J158" s="77"/>
      <c r="K158" s="77"/>
    </row>
    <row r="159" spans="1:11" ht="12.75" customHeight="1" x14ac:dyDescent="0.2">
      <c r="A159" s="73"/>
      <c r="B159" s="73"/>
      <c r="C159" s="73"/>
      <c r="D159" s="73"/>
      <c r="E159" s="73"/>
      <c r="F159" s="73"/>
      <c r="G159" s="75"/>
      <c r="H159" s="76">
        <v>12</v>
      </c>
      <c r="I159" s="75">
        <f t="shared" si="3"/>
        <v>0</v>
      </c>
      <c r="J159" s="77"/>
      <c r="K159" s="77"/>
    </row>
    <row r="160" spans="1:11" ht="12.75" customHeight="1" x14ac:dyDescent="0.2">
      <c r="A160" s="73"/>
      <c r="B160" s="73"/>
      <c r="C160" s="73"/>
      <c r="D160" s="73"/>
      <c r="E160" s="73"/>
      <c r="F160" s="73"/>
      <c r="G160" s="75"/>
      <c r="H160" s="76">
        <v>12</v>
      </c>
      <c r="I160" s="75">
        <f t="shared" si="3"/>
        <v>0</v>
      </c>
      <c r="J160" s="77"/>
      <c r="K160" s="77"/>
    </row>
    <row r="161" spans="1:11" ht="12.75" customHeight="1" x14ac:dyDescent="0.2">
      <c r="A161" s="73"/>
      <c r="B161" s="73"/>
      <c r="C161" s="73"/>
      <c r="D161" s="73"/>
      <c r="E161" s="73"/>
      <c r="F161" s="73"/>
      <c r="G161" s="75"/>
      <c r="H161" s="76">
        <v>12</v>
      </c>
      <c r="I161" s="75">
        <f t="shared" si="3"/>
        <v>0</v>
      </c>
      <c r="J161" s="77"/>
      <c r="K161" s="77"/>
    </row>
    <row r="162" spans="1:11" ht="12.75" customHeight="1" x14ac:dyDescent="0.2">
      <c r="A162" s="73"/>
      <c r="B162" s="73"/>
      <c r="C162" s="73"/>
      <c r="D162" s="73"/>
      <c r="E162" s="73"/>
      <c r="F162" s="73"/>
      <c r="G162" s="75"/>
      <c r="H162" s="76">
        <v>12</v>
      </c>
      <c r="I162" s="75">
        <f t="shared" si="3"/>
        <v>0</v>
      </c>
      <c r="J162" s="77"/>
      <c r="K162" s="77"/>
    </row>
    <row r="163" spans="1:11" ht="12.75" customHeight="1" x14ac:dyDescent="0.2">
      <c r="A163" s="73"/>
      <c r="B163" s="73"/>
      <c r="C163" s="73"/>
      <c r="D163" s="73"/>
      <c r="E163" s="73"/>
      <c r="F163" s="73"/>
      <c r="G163" s="75"/>
      <c r="H163" s="76">
        <v>12</v>
      </c>
      <c r="I163" s="75">
        <f t="shared" si="3"/>
        <v>0</v>
      </c>
      <c r="J163" s="77"/>
      <c r="K163" s="77"/>
    </row>
    <row r="164" spans="1:11" ht="12.75" customHeight="1" x14ac:dyDescent="0.2">
      <c r="A164" s="73"/>
      <c r="B164" s="73"/>
      <c r="C164" s="73"/>
      <c r="D164" s="73"/>
      <c r="E164" s="73"/>
      <c r="F164" s="73"/>
      <c r="G164" s="75"/>
      <c r="H164" s="76">
        <v>12</v>
      </c>
      <c r="I164" s="75">
        <f t="shared" si="3"/>
        <v>0</v>
      </c>
      <c r="J164" s="77"/>
      <c r="K164" s="77"/>
    </row>
    <row r="165" spans="1:11" ht="12.75" customHeight="1" x14ac:dyDescent="0.2">
      <c r="A165" s="73"/>
      <c r="B165" s="73"/>
      <c r="C165" s="73"/>
      <c r="D165" s="73"/>
      <c r="E165" s="73"/>
      <c r="F165" s="73"/>
      <c r="G165" s="75"/>
      <c r="H165" s="76">
        <v>12</v>
      </c>
      <c r="I165" s="75">
        <f t="shared" si="3"/>
        <v>0</v>
      </c>
      <c r="J165" s="77"/>
      <c r="K165" s="77"/>
    </row>
    <row r="166" spans="1:11" ht="12.75" customHeight="1" x14ac:dyDescent="0.2">
      <c r="A166" s="73"/>
      <c r="B166" s="73"/>
      <c r="C166" s="73"/>
      <c r="D166" s="73"/>
      <c r="E166" s="73"/>
      <c r="F166" s="73"/>
      <c r="G166" s="75"/>
      <c r="H166" s="76">
        <v>12</v>
      </c>
      <c r="I166" s="75">
        <f t="shared" si="3"/>
        <v>0</v>
      </c>
      <c r="J166" s="77"/>
      <c r="K166" s="77"/>
    </row>
    <row r="167" spans="1:11" ht="12.75" customHeight="1" x14ac:dyDescent="0.2">
      <c r="A167" s="73"/>
      <c r="B167" s="73"/>
      <c r="C167" s="73"/>
      <c r="D167" s="73"/>
      <c r="E167" s="73"/>
      <c r="F167" s="73"/>
      <c r="G167" s="75"/>
      <c r="H167" s="76">
        <v>12</v>
      </c>
      <c r="I167" s="75">
        <f t="shared" si="3"/>
        <v>0</v>
      </c>
      <c r="J167" s="77"/>
      <c r="K167" s="77"/>
    </row>
    <row r="168" spans="1:11" ht="12.75" customHeight="1" x14ac:dyDescent="0.2">
      <c r="A168" s="73"/>
      <c r="B168" s="73"/>
      <c r="C168" s="73"/>
      <c r="D168" s="73"/>
      <c r="E168" s="73"/>
      <c r="F168" s="73"/>
      <c r="G168" s="75"/>
      <c r="H168" s="76">
        <v>12</v>
      </c>
      <c r="I168" s="75">
        <f t="shared" si="3"/>
        <v>0</v>
      </c>
      <c r="J168" s="77"/>
      <c r="K168" s="77"/>
    </row>
    <row r="169" spans="1:11" ht="12.75" customHeight="1" x14ac:dyDescent="0.2">
      <c r="A169" s="73"/>
      <c r="B169" s="73"/>
      <c r="C169" s="73"/>
      <c r="D169" s="73"/>
      <c r="E169" s="73"/>
      <c r="F169" s="73"/>
      <c r="G169" s="75"/>
      <c r="H169" s="76">
        <v>12</v>
      </c>
      <c r="I169" s="75">
        <f t="shared" si="3"/>
        <v>0</v>
      </c>
      <c r="J169" s="77"/>
      <c r="K169" s="77"/>
    </row>
    <row r="170" spans="1:11" ht="12.75" customHeight="1" x14ac:dyDescent="0.2">
      <c r="A170" s="73"/>
      <c r="B170" s="73"/>
      <c r="C170" s="73"/>
      <c r="D170" s="73"/>
      <c r="E170" s="73"/>
      <c r="F170" s="73"/>
      <c r="G170" s="75"/>
      <c r="H170" s="76">
        <v>12</v>
      </c>
      <c r="I170" s="75">
        <f t="shared" si="3"/>
        <v>0</v>
      </c>
      <c r="J170" s="77"/>
      <c r="K170" s="77"/>
    </row>
    <row r="171" spans="1:11" ht="12.75" customHeight="1" x14ac:dyDescent="0.2">
      <c r="A171" s="73"/>
      <c r="B171" s="73"/>
      <c r="C171" s="73"/>
      <c r="D171" s="73"/>
      <c r="E171" s="73"/>
      <c r="F171" s="73"/>
      <c r="G171" s="75"/>
      <c r="H171" s="76">
        <v>12</v>
      </c>
      <c r="I171" s="75">
        <f t="shared" si="3"/>
        <v>0</v>
      </c>
      <c r="J171" s="77"/>
      <c r="K171" s="77"/>
    </row>
    <row r="172" spans="1:11" ht="12.75" customHeight="1" x14ac:dyDescent="0.2">
      <c r="A172" s="73"/>
      <c r="B172" s="73"/>
      <c r="C172" s="73"/>
      <c r="D172" s="73"/>
      <c r="E172" s="73"/>
      <c r="F172" s="73"/>
      <c r="G172" s="75"/>
      <c r="H172" s="76">
        <v>12</v>
      </c>
      <c r="I172" s="75">
        <f t="shared" si="3"/>
        <v>0</v>
      </c>
      <c r="J172" s="77"/>
      <c r="K172" s="77"/>
    </row>
    <row r="173" spans="1:11" ht="12.75" customHeight="1" x14ac:dyDescent="0.2">
      <c r="A173" s="73"/>
      <c r="B173" s="73"/>
      <c r="C173" s="73"/>
      <c r="D173" s="73"/>
      <c r="E173" s="73"/>
      <c r="F173" s="73"/>
      <c r="G173" s="75"/>
      <c r="H173" s="76">
        <v>12</v>
      </c>
      <c r="I173" s="75">
        <f t="shared" si="3"/>
        <v>0</v>
      </c>
      <c r="J173" s="77"/>
      <c r="K173" s="77"/>
    </row>
    <row r="174" spans="1:11" ht="12.75" customHeight="1" x14ac:dyDescent="0.2">
      <c r="A174" s="73"/>
      <c r="B174" s="73"/>
      <c r="C174" s="73"/>
      <c r="D174" s="73"/>
      <c r="E174" s="73"/>
      <c r="F174" s="73"/>
      <c r="G174" s="75"/>
      <c r="H174" s="76">
        <v>12</v>
      </c>
      <c r="I174" s="75">
        <f t="shared" si="3"/>
        <v>0</v>
      </c>
      <c r="J174" s="77"/>
      <c r="K174" s="77"/>
    </row>
    <row r="175" spans="1:11" ht="12.75" customHeight="1" x14ac:dyDescent="0.2">
      <c r="A175" s="73"/>
      <c r="B175" s="73"/>
      <c r="C175" s="73"/>
      <c r="D175" s="73"/>
      <c r="E175" s="73"/>
      <c r="F175" s="73"/>
      <c r="G175" s="75"/>
      <c r="H175" s="76">
        <v>12</v>
      </c>
      <c r="I175" s="75">
        <f t="shared" si="3"/>
        <v>0</v>
      </c>
      <c r="J175" s="77"/>
      <c r="K175" s="77"/>
    </row>
    <row r="176" spans="1:11" ht="12.75" customHeight="1" x14ac:dyDescent="0.2">
      <c r="A176" s="73"/>
      <c r="B176" s="73"/>
      <c r="C176" s="73"/>
      <c r="D176" s="73"/>
      <c r="E176" s="73"/>
      <c r="F176" s="73"/>
      <c r="G176" s="75"/>
      <c r="H176" s="76">
        <v>12</v>
      </c>
      <c r="I176" s="75">
        <f t="shared" si="3"/>
        <v>0</v>
      </c>
      <c r="J176" s="77"/>
      <c r="K176" s="77"/>
    </row>
    <row r="177" spans="1:11" ht="12.75" customHeight="1" x14ac:dyDescent="0.2">
      <c r="A177" s="73"/>
      <c r="B177" s="73"/>
      <c r="C177" s="73"/>
      <c r="D177" s="73"/>
      <c r="E177" s="73"/>
      <c r="F177" s="73"/>
      <c r="G177" s="75"/>
      <c r="H177" s="76">
        <v>12</v>
      </c>
      <c r="I177" s="75">
        <f t="shared" si="3"/>
        <v>0</v>
      </c>
      <c r="J177" s="77"/>
      <c r="K177" s="77"/>
    </row>
    <row r="178" spans="1:11" ht="12.75" customHeight="1" x14ac:dyDescent="0.2">
      <c r="A178" s="73"/>
      <c r="B178" s="73"/>
      <c r="C178" s="73"/>
      <c r="D178" s="73"/>
      <c r="E178" s="73"/>
      <c r="F178" s="73"/>
      <c r="G178" s="75"/>
      <c r="H178" s="76">
        <v>12</v>
      </c>
      <c r="I178" s="75">
        <f t="shared" si="3"/>
        <v>0</v>
      </c>
      <c r="J178" s="77"/>
      <c r="K178" s="77"/>
    </row>
    <row r="179" spans="1:11" ht="12.75" customHeight="1" x14ac:dyDescent="0.2">
      <c r="A179" s="73"/>
      <c r="B179" s="73"/>
      <c r="C179" s="73"/>
      <c r="D179" s="73"/>
      <c r="E179" s="73"/>
      <c r="F179" s="73"/>
      <c r="G179" s="75"/>
      <c r="H179" s="76">
        <v>12</v>
      </c>
      <c r="I179" s="75">
        <f t="shared" si="3"/>
        <v>0</v>
      </c>
      <c r="J179" s="77"/>
      <c r="K179" s="77"/>
    </row>
    <row r="180" spans="1:11" ht="12.75" customHeight="1" x14ac:dyDescent="0.2">
      <c r="A180" s="73"/>
      <c r="B180" s="73"/>
      <c r="C180" s="73"/>
      <c r="D180" s="73"/>
      <c r="E180" s="73"/>
      <c r="F180" s="73"/>
      <c r="G180" s="75"/>
      <c r="H180" s="76">
        <v>12</v>
      </c>
      <c r="I180" s="75">
        <f t="shared" si="3"/>
        <v>0</v>
      </c>
      <c r="J180" s="77"/>
      <c r="K180" s="77"/>
    </row>
    <row r="181" spans="1:11" ht="12.75" customHeight="1" x14ac:dyDescent="0.2">
      <c r="A181" s="73"/>
      <c r="B181" s="73"/>
      <c r="C181" s="73"/>
      <c r="D181" s="73"/>
      <c r="E181" s="73"/>
      <c r="F181" s="73"/>
      <c r="G181" s="75"/>
      <c r="H181" s="76">
        <v>12</v>
      </c>
      <c r="I181" s="75">
        <f t="shared" si="3"/>
        <v>0</v>
      </c>
      <c r="J181" s="77"/>
      <c r="K181" s="77"/>
    </row>
    <row r="182" spans="1:11" ht="12.75" customHeight="1" x14ac:dyDescent="0.2">
      <c r="A182" s="73"/>
      <c r="B182" s="73"/>
      <c r="C182" s="73"/>
      <c r="D182" s="73"/>
      <c r="E182" s="73"/>
      <c r="F182" s="73"/>
      <c r="G182" s="75"/>
      <c r="H182" s="76">
        <v>12</v>
      </c>
      <c r="I182" s="75">
        <f t="shared" si="3"/>
        <v>0</v>
      </c>
      <c r="J182" s="77"/>
      <c r="K182" s="77"/>
    </row>
    <row r="183" spans="1:11" ht="12.75" customHeight="1" x14ac:dyDescent="0.2">
      <c r="A183" s="73"/>
      <c r="B183" s="73"/>
      <c r="C183" s="73"/>
      <c r="D183" s="73"/>
      <c r="E183" s="73"/>
      <c r="F183" s="73"/>
      <c r="G183" s="75"/>
      <c r="H183" s="76">
        <v>12</v>
      </c>
      <c r="I183" s="75">
        <f t="shared" si="3"/>
        <v>0</v>
      </c>
      <c r="J183" s="77"/>
      <c r="K183" s="77"/>
    </row>
    <row r="184" spans="1:11" ht="12.75" customHeight="1" x14ac:dyDescent="0.2">
      <c r="A184" s="73"/>
      <c r="B184" s="73"/>
      <c r="C184" s="73"/>
      <c r="D184" s="73"/>
      <c r="E184" s="73"/>
      <c r="F184" s="73"/>
      <c r="G184" s="75"/>
      <c r="H184" s="76">
        <v>12</v>
      </c>
      <c r="I184" s="75">
        <f t="shared" si="3"/>
        <v>0</v>
      </c>
      <c r="J184" s="77"/>
      <c r="K184" s="77"/>
    </row>
    <row r="185" spans="1:11" ht="12.75" customHeight="1" x14ac:dyDescent="0.2">
      <c r="A185" s="73"/>
      <c r="B185" s="73"/>
      <c r="C185" s="73"/>
      <c r="D185" s="73"/>
      <c r="E185" s="73"/>
      <c r="F185" s="73"/>
      <c r="G185" s="75"/>
      <c r="H185" s="76">
        <v>12</v>
      </c>
      <c r="I185" s="75">
        <f t="shared" si="3"/>
        <v>0</v>
      </c>
      <c r="J185" s="77"/>
      <c r="K185" s="77"/>
    </row>
    <row r="186" spans="1:11" ht="12.75" customHeight="1" x14ac:dyDescent="0.2">
      <c r="A186" s="73"/>
      <c r="B186" s="73"/>
      <c r="C186" s="73"/>
      <c r="D186" s="73"/>
      <c r="E186" s="73"/>
      <c r="F186" s="73"/>
      <c r="G186" s="75"/>
      <c r="H186" s="76">
        <v>12</v>
      </c>
      <c r="I186" s="75">
        <f t="shared" si="3"/>
        <v>0</v>
      </c>
      <c r="J186" s="77"/>
      <c r="K186" s="77"/>
    </row>
    <row r="187" spans="1:11" ht="12.75" customHeight="1" x14ac:dyDescent="0.2">
      <c r="A187" s="73"/>
      <c r="B187" s="73"/>
      <c r="C187" s="73"/>
      <c r="D187" s="73"/>
      <c r="E187" s="73"/>
      <c r="F187" s="73"/>
      <c r="G187" s="75"/>
      <c r="H187" s="76">
        <v>12</v>
      </c>
      <c r="I187" s="75">
        <f t="shared" si="3"/>
        <v>0</v>
      </c>
      <c r="J187" s="77"/>
      <c r="K187" s="77"/>
    </row>
    <row r="188" spans="1:11" ht="12.75" customHeight="1" x14ac:dyDescent="0.2">
      <c r="A188" s="73"/>
      <c r="B188" s="73"/>
      <c r="C188" s="73"/>
      <c r="D188" s="73"/>
      <c r="E188" s="73"/>
      <c r="F188" s="73"/>
      <c r="G188" s="75"/>
      <c r="H188" s="76">
        <v>12</v>
      </c>
      <c r="I188" s="75">
        <f t="shared" si="3"/>
        <v>0</v>
      </c>
      <c r="J188" s="77"/>
      <c r="K188" s="77"/>
    </row>
    <row r="189" spans="1:11" ht="12.75" customHeight="1" x14ac:dyDescent="0.2">
      <c r="A189" s="73"/>
      <c r="B189" s="73"/>
      <c r="C189" s="73"/>
      <c r="D189" s="73"/>
      <c r="E189" s="73"/>
      <c r="F189" s="73"/>
      <c r="G189" s="75"/>
      <c r="H189" s="76">
        <v>12</v>
      </c>
      <c r="I189" s="75">
        <f t="shared" si="3"/>
        <v>0</v>
      </c>
      <c r="J189" s="77"/>
      <c r="K189" s="77"/>
    </row>
    <row r="190" spans="1:11" ht="12.75" customHeight="1" x14ac:dyDescent="0.2">
      <c r="A190" s="73"/>
      <c r="B190" s="73"/>
      <c r="C190" s="73"/>
      <c r="D190" s="73"/>
      <c r="E190" s="73"/>
      <c r="F190" s="73"/>
      <c r="G190" s="75"/>
      <c r="H190" s="76">
        <v>12</v>
      </c>
      <c r="I190" s="75">
        <f t="shared" si="3"/>
        <v>0</v>
      </c>
      <c r="J190" s="77"/>
      <c r="K190" s="77"/>
    </row>
    <row r="191" spans="1:11" ht="12.75" customHeight="1" x14ac:dyDescent="0.2">
      <c r="A191" s="73"/>
      <c r="B191" s="73"/>
      <c r="C191" s="73"/>
      <c r="D191" s="73"/>
      <c r="E191" s="73"/>
      <c r="F191" s="73"/>
      <c r="G191" s="75"/>
      <c r="H191" s="76">
        <v>12</v>
      </c>
      <c r="I191" s="75">
        <f t="shared" si="3"/>
        <v>0</v>
      </c>
      <c r="J191" s="77"/>
      <c r="K191" s="77"/>
    </row>
    <row r="192" spans="1:11" ht="12.75" customHeight="1" x14ac:dyDescent="0.2">
      <c r="A192" s="73"/>
      <c r="B192" s="73"/>
      <c r="C192" s="73"/>
      <c r="D192" s="73"/>
      <c r="E192" s="73"/>
      <c r="F192" s="73"/>
      <c r="G192" s="75"/>
      <c r="H192" s="76">
        <v>12</v>
      </c>
      <c r="I192" s="75">
        <f t="shared" si="3"/>
        <v>0</v>
      </c>
      <c r="J192" s="77"/>
      <c r="K192" s="77"/>
    </row>
    <row r="193" spans="1:11" ht="12.75" customHeight="1" x14ac:dyDescent="0.2">
      <c r="A193" s="73"/>
      <c r="B193" s="73"/>
      <c r="C193" s="73"/>
      <c r="D193" s="73"/>
      <c r="E193" s="73"/>
      <c r="F193" s="73"/>
      <c r="G193" s="75"/>
      <c r="H193" s="76">
        <v>12</v>
      </c>
      <c r="I193" s="75">
        <f t="shared" si="3"/>
        <v>0</v>
      </c>
      <c r="J193" s="77"/>
      <c r="K193" s="77"/>
    </row>
    <row r="194" spans="1:11" ht="12.75" customHeight="1" x14ac:dyDescent="0.2">
      <c r="A194" s="73"/>
      <c r="B194" s="73"/>
      <c r="C194" s="73"/>
      <c r="D194" s="73"/>
      <c r="E194" s="73"/>
      <c r="F194" s="73"/>
      <c r="G194" s="75"/>
      <c r="H194" s="76">
        <v>12</v>
      </c>
      <c r="I194" s="75">
        <f t="shared" si="3"/>
        <v>0</v>
      </c>
      <c r="J194" s="77"/>
      <c r="K194" s="77"/>
    </row>
    <row r="195" spans="1:11" ht="12.75" customHeight="1" x14ac:dyDescent="0.2">
      <c r="A195" s="73"/>
      <c r="B195" s="73"/>
      <c r="C195" s="73"/>
      <c r="D195" s="73"/>
      <c r="E195" s="73"/>
      <c r="F195" s="73"/>
      <c r="G195" s="75"/>
      <c r="H195" s="76">
        <v>12</v>
      </c>
      <c r="I195" s="75">
        <f t="shared" si="3"/>
        <v>0</v>
      </c>
      <c r="J195" s="77"/>
      <c r="K195" s="77"/>
    </row>
    <row r="196" spans="1:11" ht="12.75" customHeight="1" x14ac:dyDescent="0.2">
      <c r="A196" s="73"/>
      <c r="B196" s="73"/>
      <c r="C196" s="73"/>
      <c r="D196" s="73"/>
      <c r="E196" s="73"/>
      <c r="F196" s="73"/>
      <c r="G196" s="75"/>
      <c r="H196" s="76">
        <v>12</v>
      </c>
      <c r="I196" s="75">
        <f t="shared" ref="I196:I259" si="4">+H196*G196</f>
        <v>0</v>
      </c>
      <c r="J196" s="77"/>
      <c r="K196" s="77"/>
    </row>
    <row r="197" spans="1:11" ht="12.75" customHeight="1" x14ac:dyDescent="0.2">
      <c r="A197" s="73"/>
      <c r="B197" s="73"/>
      <c r="C197" s="73"/>
      <c r="D197" s="73"/>
      <c r="E197" s="73"/>
      <c r="F197" s="73"/>
      <c r="G197" s="75"/>
      <c r="H197" s="76">
        <v>12</v>
      </c>
      <c r="I197" s="75">
        <f t="shared" si="4"/>
        <v>0</v>
      </c>
      <c r="J197" s="77"/>
      <c r="K197" s="77"/>
    </row>
    <row r="198" spans="1:11" ht="12.75" customHeight="1" x14ac:dyDescent="0.2">
      <c r="A198" s="73"/>
      <c r="B198" s="73"/>
      <c r="C198" s="73"/>
      <c r="D198" s="73"/>
      <c r="E198" s="73"/>
      <c r="F198" s="73"/>
      <c r="G198" s="75"/>
      <c r="H198" s="76">
        <v>12</v>
      </c>
      <c r="I198" s="75">
        <f t="shared" si="4"/>
        <v>0</v>
      </c>
      <c r="J198" s="77"/>
      <c r="K198" s="77"/>
    </row>
    <row r="199" spans="1:11" ht="12.75" customHeight="1" x14ac:dyDescent="0.2">
      <c r="A199" s="73"/>
      <c r="B199" s="73"/>
      <c r="C199" s="73"/>
      <c r="D199" s="73"/>
      <c r="E199" s="73"/>
      <c r="F199" s="73"/>
      <c r="G199" s="75"/>
      <c r="H199" s="76">
        <v>12</v>
      </c>
      <c r="I199" s="75">
        <f t="shared" si="4"/>
        <v>0</v>
      </c>
      <c r="J199" s="77"/>
      <c r="K199" s="77"/>
    </row>
    <row r="200" spans="1:11" ht="12.75" customHeight="1" x14ac:dyDescent="0.2">
      <c r="A200" s="73"/>
      <c r="B200" s="73"/>
      <c r="C200" s="73"/>
      <c r="D200" s="73"/>
      <c r="E200" s="73"/>
      <c r="F200" s="73"/>
      <c r="G200" s="75"/>
      <c r="H200" s="76">
        <v>12</v>
      </c>
      <c r="I200" s="75">
        <f t="shared" si="4"/>
        <v>0</v>
      </c>
      <c r="J200" s="77"/>
      <c r="K200" s="77"/>
    </row>
    <row r="201" spans="1:11" ht="12.75" customHeight="1" x14ac:dyDescent="0.2">
      <c r="A201" s="73"/>
      <c r="B201" s="73"/>
      <c r="C201" s="73"/>
      <c r="D201" s="73"/>
      <c r="E201" s="73"/>
      <c r="F201" s="73"/>
      <c r="G201" s="75"/>
      <c r="H201" s="76">
        <v>12</v>
      </c>
      <c r="I201" s="75">
        <f t="shared" si="4"/>
        <v>0</v>
      </c>
      <c r="J201" s="77"/>
      <c r="K201" s="77"/>
    </row>
    <row r="202" spans="1:11" ht="12.75" customHeight="1" x14ac:dyDescent="0.2">
      <c r="A202" s="73"/>
      <c r="B202" s="73"/>
      <c r="C202" s="73"/>
      <c r="D202" s="73"/>
      <c r="E202" s="73"/>
      <c r="F202" s="73"/>
      <c r="G202" s="75"/>
      <c r="H202" s="76">
        <v>12</v>
      </c>
      <c r="I202" s="75">
        <f t="shared" si="4"/>
        <v>0</v>
      </c>
      <c r="J202" s="77"/>
      <c r="K202" s="77"/>
    </row>
    <row r="203" spans="1:11" ht="12.75" customHeight="1" x14ac:dyDescent="0.2">
      <c r="A203" s="73"/>
      <c r="B203" s="73"/>
      <c r="C203" s="73"/>
      <c r="D203" s="73"/>
      <c r="E203" s="73"/>
      <c r="F203" s="73"/>
      <c r="G203" s="75"/>
      <c r="H203" s="76">
        <v>12</v>
      </c>
      <c r="I203" s="75">
        <f t="shared" si="4"/>
        <v>0</v>
      </c>
      <c r="J203" s="77"/>
      <c r="K203" s="77"/>
    </row>
    <row r="204" spans="1:11" ht="12.75" customHeight="1" x14ac:dyDescent="0.2">
      <c r="A204" s="73"/>
      <c r="B204" s="73"/>
      <c r="C204" s="73"/>
      <c r="D204" s="73"/>
      <c r="E204" s="73"/>
      <c r="F204" s="73"/>
      <c r="G204" s="75"/>
      <c r="H204" s="76">
        <v>12</v>
      </c>
      <c r="I204" s="75">
        <f t="shared" si="4"/>
        <v>0</v>
      </c>
      <c r="J204" s="77"/>
      <c r="K204" s="77"/>
    </row>
    <row r="205" spans="1:11" ht="12.75" customHeight="1" x14ac:dyDescent="0.2">
      <c r="A205" s="73"/>
      <c r="B205" s="73"/>
      <c r="C205" s="73"/>
      <c r="D205" s="73"/>
      <c r="E205" s="73"/>
      <c r="F205" s="73"/>
      <c r="G205" s="75"/>
      <c r="H205" s="76">
        <v>12</v>
      </c>
      <c r="I205" s="75">
        <f t="shared" si="4"/>
        <v>0</v>
      </c>
      <c r="J205" s="77"/>
      <c r="K205" s="77"/>
    </row>
    <row r="206" spans="1:11" ht="12.75" customHeight="1" x14ac:dyDescent="0.2">
      <c r="A206" s="73"/>
      <c r="B206" s="73"/>
      <c r="C206" s="73"/>
      <c r="D206" s="73"/>
      <c r="E206" s="73"/>
      <c r="F206" s="73"/>
      <c r="G206" s="75"/>
      <c r="H206" s="76">
        <v>12</v>
      </c>
      <c r="I206" s="75">
        <f t="shared" si="4"/>
        <v>0</v>
      </c>
      <c r="J206" s="77"/>
      <c r="K206" s="77"/>
    </row>
    <row r="207" spans="1:11" ht="12.75" customHeight="1" x14ac:dyDescent="0.2">
      <c r="A207" s="73"/>
      <c r="B207" s="73"/>
      <c r="C207" s="73"/>
      <c r="D207" s="73"/>
      <c r="E207" s="73"/>
      <c r="F207" s="73"/>
      <c r="G207" s="75"/>
      <c r="H207" s="76">
        <v>12</v>
      </c>
      <c r="I207" s="75">
        <f t="shared" si="4"/>
        <v>0</v>
      </c>
      <c r="J207" s="77"/>
      <c r="K207" s="77"/>
    </row>
    <row r="208" spans="1:11" ht="12.75" customHeight="1" x14ac:dyDescent="0.2">
      <c r="A208" s="73"/>
      <c r="B208" s="73"/>
      <c r="C208" s="73"/>
      <c r="D208" s="73"/>
      <c r="E208" s="73"/>
      <c r="F208" s="73"/>
      <c r="G208" s="75"/>
      <c r="H208" s="76">
        <v>12</v>
      </c>
      <c r="I208" s="75">
        <f t="shared" si="4"/>
        <v>0</v>
      </c>
      <c r="J208" s="77"/>
      <c r="K208" s="77"/>
    </row>
    <row r="209" spans="1:11" ht="12.75" customHeight="1" x14ac:dyDescent="0.2">
      <c r="A209" s="73"/>
      <c r="B209" s="73"/>
      <c r="C209" s="73"/>
      <c r="D209" s="73"/>
      <c r="E209" s="73"/>
      <c r="F209" s="73"/>
      <c r="G209" s="75"/>
      <c r="H209" s="76">
        <v>12</v>
      </c>
      <c r="I209" s="75">
        <f t="shared" si="4"/>
        <v>0</v>
      </c>
      <c r="J209" s="77"/>
      <c r="K209" s="77"/>
    </row>
    <row r="210" spans="1:11" ht="12.75" customHeight="1" x14ac:dyDescent="0.2">
      <c r="A210" s="73"/>
      <c r="B210" s="73"/>
      <c r="C210" s="73"/>
      <c r="D210" s="73"/>
      <c r="E210" s="73"/>
      <c r="F210" s="73"/>
      <c r="G210" s="75"/>
      <c r="H210" s="76">
        <v>12</v>
      </c>
      <c r="I210" s="75">
        <f t="shared" si="4"/>
        <v>0</v>
      </c>
      <c r="J210" s="77"/>
      <c r="K210" s="77"/>
    </row>
    <row r="211" spans="1:11" ht="12.75" customHeight="1" x14ac:dyDescent="0.2">
      <c r="A211" s="73"/>
      <c r="B211" s="73"/>
      <c r="C211" s="73"/>
      <c r="D211" s="73"/>
      <c r="E211" s="73"/>
      <c r="F211" s="73"/>
      <c r="G211" s="75"/>
      <c r="H211" s="76">
        <v>12</v>
      </c>
      <c r="I211" s="75">
        <f t="shared" si="4"/>
        <v>0</v>
      </c>
      <c r="J211" s="77"/>
      <c r="K211" s="77"/>
    </row>
    <row r="212" spans="1:11" ht="12.75" customHeight="1" x14ac:dyDescent="0.2">
      <c r="A212" s="73"/>
      <c r="B212" s="73"/>
      <c r="C212" s="73"/>
      <c r="D212" s="73"/>
      <c r="E212" s="73"/>
      <c r="F212" s="73"/>
      <c r="G212" s="75"/>
      <c r="H212" s="76">
        <v>12</v>
      </c>
      <c r="I212" s="75">
        <f t="shared" si="4"/>
        <v>0</v>
      </c>
      <c r="J212" s="77"/>
      <c r="K212" s="77"/>
    </row>
    <row r="213" spans="1:11" ht="12.75" customHeight="1" x14ac:dyDescent="0.2">
      <c r="A213" s="73"/>
      <c r="B213" s="73"/>
      <c r="C213" s="73"/>
      <c r="D213" s="73"/>
      <c r="E213" s="73"/>
      <c r="F213" s="73"/>
      <c r="G213" s="75"/>
      <c r="H213" s="76">
        <v>12</v>
      </c>
      <c r="I213" s="75">
        <f t="shared" si="4"/>
        <v>0</v>
      </c>
      <c r="J213" s="77"/>
      <c r="K213" s="77"/>
    </row>
    <row r="214" spans="1:11" ht="12.75" customHeight="1" x14ac:dyDescent="0.2">
      <c r="A214" s="73"/>
      <c r="B214" s="73"/>
      <c r="C214" s="73"/>
      <c r="D214" s="73"/>
      <c r="E214" s="73"/>
      <c r="F214" s="73"/>
      <c r="G214" s="75"/>
      <c r="H214" s="76">
        <v>12</v>
      </c>
      <c r="I214" s="75">
        <f t="shared" si="4"/>
        <v>0</v>
      </c>
      <c r="J214" s="77"/>
      <c r="K214" s="77"/>
    </row>
    <row r="215" spans="1:11" ht="12.75" customHeight="1" x14ac:dyDescent="0.2">
      <c r="A215" s="73"/>
      <c r="B215" s="73"/>
      <c r="C215" s="73"/>
      <c r="D215" s="73"/>
      <c r="E215" s="73"/>
      <c r="F215" s="73"/>
      <c r="G215" s="75"/>
      <c r="H215" s="76">
        <v>12</v>
      </c>
      <c r="I215" s="75">
        <f t="shared" si="4"/>
        <v>0</v>
      </c>
      <c r="J215" s="77"/>
      <c r="K215" s="77"/>
    </row>
    <row r="216" spans="1:11" ht="12.75" customHeight="1" x14ac:dyDescent="0.2">
      <c r="A216" s="73"/>
      <c r="B216" s="73"/>
      <c r="C216" s="73"/>
      <c r="D216" s="73"/>
      <c r="E216" s="73"/>
      <c r="F216" s="73"/>
      <c r="G216" s="75"/>
      <c r="H216" s="76">
        <v>12</v>
      </c>
      <c r="I216" s="75">
        <f t="shared" si="4"/>
        <v>0</v>
      </c>
      <c r="J216" s="77"/>
      <c r="K216" s="77"/>
    </row>
    <row r="217" spans="1:11" ht="12.75" customHeight="1" x14ac:dyDescent="0.2">
      <c r="A217" s="73"/>
      <c r="B217" s="73"/>
      <c r="C217" s="73"/>
      <c r="D217" s="73"/>
      <c r="E217" s="73"/>
      <c r="F217" s="73"/>
      <c r="G217" s="75"/>
      <c r="H217" s="76">
        <v>12</v>
      </c>
      <c r="I217" s="75">
        <f t="shared" si="4"/>
        <v>0</v>
      </c>
      <c r="J217" s="77"/>
      <c r="K217" s="77"/>
    </row>
    <row r="218" spans="1:11" ht="12.75" customHeight="1" x14ac:dyDescent="0.2">
      <c r="A218" s="73"/>
      <c r="B218" s="73"/>
      <c r="C218" s="73"/>
      <c r="D218" s="73"/>
      <c r="E218" s="73"/>
      <c r="F218" s="73"/>
      <c r="G218" s="75"/>
      <c r="H218" s="76">
        <v>12</v>
      </c>
      <c r="I218" s="75">
        <f t="shared" si="4"/>
        <v>0</v>
      </c>
      <c r="J218" s="77"/>
      <c r="K218" s="77"/>
    </row>
    <row r="219" spans="1:11" ht="12.75" customHeight="1" x14ac:dyDescent="0.2">
      <c r="A219" s="73"/>
      <c r="B219" s="73"/>
      <c r="C219" s="73"/>
      <c r="D219" s="73"/>
      <c r="E219" s="73"/>
      <c r="F219" s="73"/>
      <c r="G219" s="75"/>
      <c r="H219" s="76">
        <v>12</v>
      </c>
      <c r="I219" s="75">
        <f t="shared" si="4"/>
        <v>0</v>
      </c>
      <c r="J219" s="77"/>
      <c r="K219" s="77"/>
    </row>
    <row r="220" spans="1:11" ht="12.75" customHeight="1" x14ac:dyDescent="0.2">
      <c r="A220" s="73"/>
      <c r="B220" s="73"/>
      <c r="C220" s="73"/>
      <c r="D220" s="73"/>
      <c r="E220" s="73"/>
      <c r="F220" s="73"/>
      <c r="G220" s="75"/>
      <c r="H220" s="76">
        <v>12</v>
      </c>
      <c r="I220" s="75">
        <f t="shared" si="4"/>
        <v>0</v>
      </c>
      <c r="J220" s="77"/>
      <c r="K220" s="77"/>
    </row>
    <row r="221" spans="1:11" ht="12.75" customHeight="1" x14ac:dyDescent="0.2">
      <c r="A221" s="73"/>
      <c r="B221" s="73"/>
      <c r="C221" s="73"/>
      <c r="D221" s="73"/>
      <c r="E221" s="73"/>
      <c r="F221" s="73"/>
      <c r="G221" s="75"/>
      <c r="H221" s="76">
        <v>12</v>
      </c>
      <c r="I221" s="75">
        <f t="shared" si="4"/>
        <v>0</v>
      </c>
      <c r="J221" s="77"/>
      <c r="K221" s="77"/>
    </row>
    <row r="222" spans="1:11" ht="12.75" customHeight="1" x14ac:dyDescent="0.2">
      <c r="A222" s="73"/>
      <c r="B222" s="73"/>
      <c r="C222" s="73"/>
      <c r="D222" s="73"/>
      <c r="E222" s="73"/>
      <c r="F222" s="73"/>
      <c r="G222" s="75"/>
      <c r="H222" s="76">
        <v>12</v>
      </c>
      <c r="I222" s="75">
        <f t="shared" si="4"/>
        <v>0</v>
      </c>
      <c r="J222" s="77"/>
      <c r="K222" s="77"/>
    </row>
    <row r="223" spans="1:11" ht="12.75" customHeight="1" x14ac:dyDescent="0.2">
      <c r="A223" s="73"/>
      <c r="B223" s="73"/>
      <c r="C223" s="73"/>
      <c r="D223" s="73"/>
      <c r="E223" s="73"/>
      <c r="F223" s="73"/>
      <c r="G223" s="75"/>
      <c r="H223" s="76">
        <v>12</v>
      </c>
      <c r="I223" s="75">
        <f t="shared" si="4"/>
        <v>0</v>
      </c>
      <c r="J223" s="77"/>
      <c r="K223" s="77"/>
    </row>
    <row r="224" spans="1:11" ht="12.75" customHeight="1" x14ac:dyDescent="0.2">
      <c r="A224" s="73"/>
      <c r="B224" s="73"/>
      <c r="C224" s="73"/>
      <c r="D224" s="73"/>
      <c r="E224" s="73"/>
      <c r="F224" s="73"/>
      <c r="G224" s="75"/>
      <c r="H224" s="76">
        <v>12</v>
      </c>
      <c r="I224" s="75">
        <f t="shared" si="4"/>
        <v>0</v>
      </c>
      <c r="J224" s="77"/>
      <c r="K224" s="77"/>
    </row>
    <row r="225" spans="1:11" ht="12.75" customHeight="1" x14ac:dyDescent="0.2">
      <c r="A225" s="73"/>
      <c r="B225" s="73"/>
      <c r="C225" s="73"/>
      <c r="D225" s="73"/>
      <c r="E225" s="73"/>
      <c r="F225" s="73"/>
      <c r="G225" s="75"/>
      <c r="H225" s="76">
        <v>12</v>
      </c>
      <c r="I225" s="75">
        <f t="shared" si="4"/>
        <v>0</v>
      </c>
      <c r="J225" s="77"/>
      <c r="K225" s="77"/>
    </row>
    <row r="226" spans="1:11" ht="12.75" customHeight="1" x14ac:dyDescent="0.2">
      <c r="A226" s="73"/>
      <c r="B226" s="73"/>
      <c r="C226" s="73"/>
      <c r="D226" s="73"/>
      <c r="E226" s="73"/>
      <c r="F226" s="73"/>
      <c r="G226" s="75"/>
      <c r="H226" s="76">
        <v>12</v>
      </c>
      <c r="I226" s="75">
        <f t="shared" si="4"/>
        <v>0</v>
      </c>
      <c r="J226" s="77"/>
      <c r="K226" s="77"/>
    </row>
    <row r="227" spans="1:11" ht="12.75" customHeight="1" x14ac:dyDescent="0.2">
      <c r="A227" s="73"/>
      <c r="B227" s="73"/>
      <c r="C227" s="73"/>
      <c r="D227" s="73"/>
      <c r="E227" s="73"/>
      <c r="F227" s="73"/>
      <c r="G227" s="75"/>
      <c r="H227" s="76">
        <v>12</v>
      </c>
      <c r="I227" s="75">
        <f t="shared" si="4"/>
        <v>0</v>
      </c>
      <c r="J227" s="77"/>
      <c r="K227" s="77"/>
    </row>
    <row r="228" spans="1:11" ht="12.75" customHeight="1" x14ac:dyDescent="0.2">
      <c r="A228" s="73"/>
      <c r="B228" s="73"/>
      <c r="C228" s="73"/>
      <c r="D228" s="73"/>
      <c r="E228" s="73"/>
      <c r="F228" s="73"/>
      <c r="G228" s="75"/>
      <c r="H228" s="76">
        <v>12</v>
      </c>
      <c r="I228" s="75">
        <f t="shared" si="4"/>
        <v>0</v>
      </c>
      <c r="J228" s="77"/>
      <c r="K228" s="77"/>
    </row>
    <row r="229" spans="1:11" ht="12.75" customHeight="1" x14ac:dyDescent="0.2">
      <c r="A229" s="73"/>
      <c r="B229" s="73"/>
      <c r="C229" s="73"/>
      <c r="D229" s="73"/>
      <c r="E229" s="73"/>
      <c r="F229" s="73"/>
      <c r="G229" s="75"/>
      <c r="H229" s="76">
        <v>12</v>
      </c>
      <c r="I229" s="75">
        <f t="shared" si="4"/>
        <v>0</v>
      </c>
      <c r="J229" s="77"/>
      <c r="K229" s="77"/>
    </row>
    <row r="230" spans="1:11" ht="12.75" customHeight="1" x14ac:dyDescent="0.2">
      <c r="A230" s="73"/>
      <c r="B230" s="73"/>
      <c r="C230" s="73"/>
      <c r="D230" s="73"/>
      <c r="E230" s="73"/>
      <c r="F230" s="73"/>
      <c r="G230" s="75"/>
      <c r="H230" s="76">
        <v>12</v>
      </c>
      <c r="I230" s="75">
        <f t="shared" si="4"/>
        <v>0</v>
      </c>
      <c r="J230" s="77"/>
      <c r="K230" s="77"/>
    </row>
    <row r="231" spans="1:11" ht="12.75" customHeight="1" x14ac:dyDescent="0.2">
      <c r="A231" s="73"/>
      <c r="B231" s="73"/>
      <c r="C231" s="73"/>
      <c r="D231" s="73"/>
      <c r="E231" s="73"/>
      <c r="F231" s="73"/>
      <c r="G231" s="75"/>
      <c r="H231" s="76">
        <v>12</v>
      </c>
      <c r="I231" s="75">
        <f t="shared" si="4"/>
        <v>0</v>
      </c>
      <c r="J231" s="77"/>
      <c r="K231" s="77"/>
    </row>
    <row r="232" spans="1:11" ht="12.75" customHeight="1" x14ac:dyDescent="0.2">
      <c r="A232" s="73"/>
      <c r="B232" s="73"/>
      <c r="C232" s="73"/>
      <c r="D232" s="73"/>
      <c r="E232" s="73"/>
      <c r="F232" s="73"/>
      <c r="G232" s="75"/>
      <c r="H232" s="76">
        <v>12</v>
      </c>
      <c r="I232" s="75">
        <f t="shared" si="4"/>
        <v>0</v>
      </c>
      <c r="J232" s="77"/>
      <c r="K232" s="77"/>
    </row>
    <row r="233" spans="1:11" ht="12.75" customHeight="1" x14ac:dyDescent="0.2">
      <c r="A233" s="73"/>
      <c r="B233" s="73"/>
      <c r="C233" s="73"/>
      <c r="D233" s="73"/>
      <c r="E233" s="73"/>
      <c r="F233" s="73"/>
      <c r="G233" s="75"/>
      <c r="H233" s="76">
        <v>12</v>
      </c>
      <c r="I233" s="75">
        <f t="shared" si="4"/>
        <v>0</v>
      </c>
      <c r="J233" s="77"/>
      <c r="K233" s="77"/>
    </row>
    <row r="234" spans="1:11" ht="12.75" customHeight="1" x14ac:dyDescent="0.2">
      <c r="A234" s="73"/>
      <c r="B234" s="73"/>
      <c r="C234" s="73"/>
      <c r="D234" s="73"/>
      <c r="E234" s="73"/>
      <c r="F234" s="73"/>
      <c r="G234" s="75"/>
      <c r="H234" s="76">
        <v>12</v>
      </c>
      <c r="I234" s="75">
        <f t="shared" si="4"/>
        <v>0</v>
      </c>
      <c r="J234" s="77"/>
      <c r="K234" s="77"/>
    </row>
    <row r="235" spans="1:11" ht="12.75" customHeight="1" x14ac:dyDescent="0.2">
      <c r="A235" s="73"/>
      <c r="B235" s="73"/>
      <c r="C235" s="73"/>
      <c r="D235" s="73"/>
      <c r="E235" s="73"/>
      <c r="F235" s="73"/>
      <c r="G235" s="75"/>
      <c r="H235" s="76">
        <v>12</v>
      </c>
      <c r="I235" s="75">
        <f t="shared" si="4"/>
        <v>0</v>
      </c>
      <c r="J235" s="77"/>
      <c r="K235" s="77"/>
    </row>
    <row r="236" spans="1:11" ht="12.75" customHeight="1" x14ac:dyDescent="0.2">
      <c r="A236" s="73"/>
      <c r="B236" s="73"/>
      <c r="C236" s="73"/>
      <c r="D236" s="73"/>
      <c r="E236" s="73"/>
      <c r="F236" s="73"/>
      <c r="G236" s="75"/>
      <c r="H236" s="76">
        <v>12</v>
      </c>
      <c r="I236" s="75">
        <f t="shared" si="4"/>
        <v>0</v>
      </c>
      <c r="J236" s="77"/>
      <c r="K236" s="77"/>
    </row>
    <row r="237" spans="1:11" ht="12.75" customHeight="1" x14ac:dyDescent="0.2">
      <c r="A237" s="73"/>
      <c r="B237" s="73"/>
      <c r="C237" s="73"/>
      <c r="D237" s="73"/>
      <c r="E237" s="73"/>
      <c r="F237" s="73"/>
      <c r="G237" s="75"/>
      <c r="H237" s="76">
        <v>12</v>
      </c>
      <c r="I237" s="75">
        <f t="shared" si="4"/>
        <v>0</v>
      </c>
      <c r="J237" s="77"/>
      <c r="K237" s="77"/>
    </row>
    <row r="238" spans="1:11" ht="12.75" customHeight="1" x14ac:dyDescent="0.2">
      <c r="A238" s="73"/>
      <c r="B238" s="73"/>
      <c r="C238" s="73"/>
      <c r="D238" s="73"/>
      <c r="E238" s="73"/>
      <c r="F238" s="73"/>
      <c r="G238" s="75"/>
      <c r="H238" s="76">
        <v>12</v>
      </c>
      <c r="I238" s="75">
        <f t="shared" si="4"/>
        <v>0</v>
      </c>
      <c r="J238" s="77"/>
      <c r="K238" s="77"/>
    </row>
    <row r="239" spans="1:11" ht="12.75" customHeight="1" x14ac:dyDescent="0.2">
      <c r="A239" s="73"/>
      <c r="B239" s="73"/>
      <c r="C239" s="73"/>
      <c r="D239" s="73"/>
      <c r="E239" s="73"/>
      <c r="F239" s="73"/>
      <c r="G239" s="75"/>
      <c r="H239" s="76">
        <v>12</v>
      </c>
      <c r="I239" s="75">
        <f t="shared" si="4"/>
        <v>0</v>
      </c>
      <c r="J239" s="77"/>
      <c r="K239" s="77"/>
    </row>
    <row r="240" spans="1:11" ht="12.75" customHeight="1" x14ac:dyDescent="0.2">
      <c r="A240" s="73"/>
      <c r="B240" s="73"/>
      <c r="C240" s="73"/>
      <c r="D240" s="73"/>
      <c r="E240" s="73"/>
      <c r="F240" s="73"/>
      <c r="G240" s="75"/>
      <c r="H240" s="76">
        <v>12</v>
      </c>
      <c r="I240" s="75">
        <f t="shared" si="4"/>
        <v>0</v>
      </c>
      <c r="J240" s="77"/>
      <c r="K240" s="77"/>
    </row>
    <row r="241" spans="1:11" ht="12.75" customHeight="1" x14ac:dyDescent="0.2">
      <c r="A241" s="73"/>
      <c r="B241" s="73"/>
      <c r="C241" s="73"/>
      <c r="D241" s="73"/>
      <c r="E241" s="73"/>
      <c r="F241" s="73"/>
      <c r="G241" s="75"/>
      <c r="H241" s="76">
        <v>12</v>
      </c>
      <c r="I241" s="75">
        <f t="shared" si="4"/>
        <v>0</v>
      </c>
      <c r="J241" s="77"/>
      <c r="K241" s="77"/>
    </row>
    <row r="242" spans="1:11" ht="12.75" customHeight="1" x14ac:dyDescent="0.2">
      <c r="A242" s="73"/>
      <c r="B242" s="73"/>
      <c r="C242" s="73"/>
      <c r="D242" s="73"/>
      <c r="E242" s="73"/>
      <c r="F242" s="73"/>
      <c r="G242" s="75"/>
      <c r="H242" s="76">
        <v>12</v>
      </c>
      <c r="I242" s="75">
        <f t="shared" si="4"/>
        <v>0</v>
      </c>
      <c r="J242" s="77"/>
      <c r="K242" s="77"/>
    </row>
    <row r="243" spans="1:11" ht="12.75" customHeight="1" x14ac:dyDescent="0.2">
      <c r="A243" s="73"/>
      <c r="B243" s="73"/>
      <c r="C243" s="73"/>
      <c r="D243" s="73"/>
      <c r="E243" s="73"/>
      <c r="F243" s="73"/>
      <c r="G243" s="75"/>
      <c r="H243" s="76">
        <v>12</v>
      </c>
      <c r="I243" s="75">
        <f t="shared" si="4"/>
        <v>0</v>
      </c>
      <c r="J243" s="77"/>
      <c r="K243" s="77"/>
    </row>
    <row r="244" spans="1:11" ht="12.75" customHeight="1" x14ac:dyDescent="0.2">
      <c r="A244" s="73"/>
      <c r="B244" s="73"/>
      <c r="C244" s="73"/>
      <c r="D244" s="73"/>
      <c r="E244" s="73"/>
      <c r="F244" s="73"/>
      <c r="G244" s="75"/>
      <c r="H244" s="76">
        <v>12</v>
      </c>
      <c r="I244" s="75">
        <f t="shared" si="4"/>
        <v>0</v>
      </c>
      <c r="J244" s="77"/>
      <c r="K244" s="77"/>
    </row>
    <row r="245" spans="1:11" ht="12.75" customHeight="1" x14ac:dyDescent="0.2">
      <c r="A245" s="73"/>
      <c r="B245" s="73"/>
      <c r="C245" s="73"/>
      <c r="D245" s="73"/>
      <c r="E245" s="73"/>
      <c r="F245" s="73"/>
      <c r="G245" s="75"/>
      <c r="H245" s="76">
        <v>12</v>
      </c>
      <c r="I245" s="75">
        <f t="shared" si="4"/>
        <v>0</v>
      </c>
      <c r="J245" s="77"/>
      <c r="K245" s="77"/>
    </row>
    <row r="246" spans="1:11" ht="12.75" customHeight="1" x14ac:dyDescent="0.2">
      <c r="A246" s="73"/>
      <c r="B246" s="73"/>
      <c r="C246" s="73"/>
      <c r="D246" s="73"/>
      <c r="E246" s="73"/>
      <c r="F246" s="73"/>
      <c r="G246" s="75"/>
      <c r="H246" s="76">
        <v>12</v>
      </c>
      <c r="I246" s="75">
        <f t="shared" si="4"/>
        <v>0</v>
      </c>
      <c r="J246" s="77"/>
      <c r="K246" s="77"/>
    </row>
    <row r="247" spans="1:11" ht="12.75" customHeight="1" x14ac:dyDescent="0.2">
      <c r="A247" s="73"/>
      <c r="B247" s="73"/>
      <c r="C247" s="73"/>
      <c r="D247" s="73"/>
      <c r="E247" s="73"/>
      <c r="F247" s="73"/>
      <c r="G247" s="75"/>
      <c r="H247" s="76">
        <v>12</v>
      </c>
      <c r="I247" s="75">
        <f t="shared" si="4"/>
        <v>0</v>
      </c>
      <c r="J247" s="77"/>
      <c r="K247" s="77"/>
    </row>
    <row r="248" spans="1:11" ht="12.75" customHeight="1" x14ac:dyDescent="0.2">
      <c r="A248" s="73"/>
      <c r="B248" s="73"/>
      <c r="C248" s="73"/>
      <c r="D248" s="73"/>
      <c r="E248" s="73"/>
      <c r="F248" s="73"/>
      <c r="G248" s="75"/>
      <c r="H248" s="76">
        <v>12</v>
      </c>
      <c r="I248" s="75">
        <f t="shared" si="4"/>
        <v>0</v>
      </c>
      <c r="J248" s="77"/>
      <c r="K248" s="77"/>
    </row>
    <row r="249" spans="1:11" ht="12.75" customHeight="1" x14ac:dyDescent="0.2">
      <c r="A249" s="73"/>
      <c r="B249" s="73"/>
      <c r="C249" s="73"/>
      <c r="D249" s="73"/>
      <c r="E249" s="73"/>
      <c r="F249" s="73"/>
      <c r="G249" s="75"/>
      <c r="H249" s="76">
        <v>12</v>
      </c>
      <c r="I249" s="75">
        <f t="shared" si="4"/>
        <v>0</v>
      </c>
      <c r="J249" s="77"/>
      <c r="K249" s="77"/>
    </row>
    <row r="250" spans="1:11" ht="12.75" customHeight="1" x14ac:dyDescent="0.2">
      <c r="A250" s="73"/>
      <c r="B250" s="73"/>
      <c r="C250" s="73"/>
      <c r="D250" s="73"/>
      <c r="E250" s="73"/>
      <c r="F250" s="73"/>
      <c r="G250" s="75"/>
      <c r="H250" s="76">
        <v>12</v>
      </c>
      <c r="I250" s="75">
        <f t="shared" si="4"/>
        <v>0</v>
      </c>
      <c r="J250" s="77"/>
      <c r="K250" s="77"/>
    </row>
    <row r="251" spans="1:11" ht="12.75" customHeight="1" x14ac:dyDescent="0.2">
      <c r="A251" s="73"/>
      <c r="B251" s="73"/>
      <c r="C251" s="73"/>
      <c r="D251" s="73"/>
      <c r="E251" s="73"/>
      <c r="F251" s="73"/>
      <c r="G251" s="75"/>
      <c r="H251" s="76">
        <v>12</v>
      </c>
      <c r="I251" s="75">
        <f t="shared" si="4"/>
        <v>0</v>
      </c>
      <c r="J251" s="77"/>
      <c r="K251" s="77"/>
    </row>
    <row r="252" spans="1:11" ht="12.75" customHeight="1" x14ac:dyDescent="0.2">
      <c r="A252" s="73"/>
      <c r="B252" s="73"/>
      <c r="C252" s="73"/>
      <c r="D252" s="73"/>
      <c r="E252" s="73"/>
      <c r="F252" s="73"/>
      <c r="G252" s="75"/>
      <c r="H252" s="76">
        <v>12</v>
      </c>
      <c r="I252" s="75">
        <f t="shared" si="4"/>
        <v>0</v>
      </c>
      <c r="J252" s="77"/>
      <c r="K252" s="77"/>
    </row>
    <row r="253" spans="1:11" ht="12.75" customHeight="1" x14ac:dyDescent="0.2">
      <c r="A253" s="73"/>
      <c r="B253" s="73"/>
      <c r="C253" s="73"/>
      <c r="D253" s="73"/>
      <c r="E253" s="73"/>
      <c r="F253" s="73"/>
      <c r="G253" s="75"/>
      <c r="H253" s="76">
        <v>12</v>
      </c>
      <c r="I253" s="75">
        <f t="shared" si="4"/>
        <v>0</v>
      </c>
      <c r="J253" s="77"/>
      <c r="K253" s="77"/>
    </row>
    <row r="254" spans="1:11" ht="12.75" customHeight="1" x14ac:dyDescent="0.2">
      <c r="A254" s="73"/>
      <c r="B254" s="73"/>
      <c r="C254" s="73"/>
      <c r="D254" s="73"/>
      <c r="E254" s="73"/>
      <c r="F254" s="73"/>
      <c r="G254" s="75"/>
      <c r="H254" s="76">
        <v>12</v>
      </c>
      <c r="I254" s="75">
        <f t="shared" si="4"/>
        <v>0</v>
      </c>
      <c r="J254" s="77"/>
      <c r="K254" s="77"/>
    </row>
    <row r="255" spans="1:11" ht="12.75" customHeight="1" x14ac:dyDescent="0.2">
      <c r="A255" s="73"/>
      <c r="B255" s="73"/>
      <c r="C255" s="73"/>
      <c r="D255" s="73"/>
      <c r="E255" s="73"/>
      <c r="F255" s="73"/>
      <c r="G255" s="75"/>
      <c r="H255" s="76">
        <v>12</v>
      </c>
      <c r="I255" s="75">
        <f t="shared" si="4"/>
        <v>0</v>
      </c>
      <c r="J255" s="77"/>
      <c r="K255" s="77"/>
    </row>
    <row r="256" spans="1:11" ht="12.75" customHeight="1" x14ac:dyDescent="0.2">
      <c r="A256" s="73"/>
      <c r="B256" s="73"/>
      <c r="C256" s="73"/>
      <c r="D256" s="73"/>
      <c r="E256" s="73"/>
      <c r="F256" s="73"/>
      <c r="G256" s="75"/>
      <c r="H256" s="76">
        <v>12</v>
      </c>
      <c r="I256" s="75">
        <f t="shared" si="4"/>
        <v>0</v>
      </c>
      <c r="J256" s="77"/>
      <c r="K256" s="77"/>
    </row>
    <row r="257" spans="1:11" ht="12.75" customHeight="1" x14ac:dyDescent="0.2">
      <c r="A257" s="73"/>
      <c r="B257" s="73"/>
      <c r="C257" s="73"/>
      <c r="D257" s="73"/>
      <c r="E257" s="73"/>
      <c r="F257" s="73"/>
      <c r="G257" s="75"/>
      <c r="H257" s="76">
        <v>12</v>
      </c>
      <c r="I257" s="75">
        <f t="shared" si="4"/>
        <v>0</v>
      </c>
      <c r="J257" s="77"/>
      <c r="K257" s="77"/>
    </row>
    <row r="258" spans="1:11" ht="12.75" customHeight="1" x14ac:dyDescent="0.2">
      <c r="A258" s="73"/>
      <c r="B258" s="73"/>
      <c r="C258" s="73"/>
      <c r="D258" s="73"/>
      <c r="E258" s="73"/>
      <c r="F258" s="73"/>
      <c r="G258" s="75"/>
      <c r="H258" s="76">
        <v>12</v>
      </c>
      <c r="I258" s="75">
        <f t="shared" si="4"/>
        <v>0</v>
      </c>
      <c r="J258" s="77"/>
      <c r="K258" s="77"/>
    </row>
    <row r="259" spans="1:11" ht="12.75" customHeight="1" x14ac:dyDescent="0.2">
      <c r="A259" s="73"/>
      <c r="B259" s="73"/>
      <c r="C259" s="73"/>
      <c r="D259" s="73"/>
      <c r="E259" s="73"/>
      <c r="F259" s="73"/>
      <c r="G259" s="75"/>
      <c r="H259" s="76">
        <v>12</v>
      </c>
      <c r="I259" s="75">
        <f t="shared" si="4"/>
        <v>0</v>
      </c>
      <c r="J259" s="77"/>
      <c r="K259" s="77"/>
    </row>
    <row r="260" spans="1:11" ht="12.75" customHeight="1" x14ac:dyDescent="0.2">
      <c r="A260" s="73"/>
      <c r="B260" s="73"/>
      <c r="C260" s="73"/>
      <c r="D260" s="73"/>
      <c r="E260" s="73"/>
      <c r="F260" s="73"/>
      <c r="G260" s="75"/>
      <c r="H260" s="76">
        <v>12</v>
      </c>
      <c r="I260" s="75">
        <f t="shared" ref="I260:I323" si="5">+H260*G260</f>
        <v>0</v>
      </c>
      <c r="J260" s="77"/>
      <c r="K260" s="77"/>
    </row>
    <row r="261" spans="1:11" ht="12.75" customHeight="1" x14ac:dyDescent="0.2">
      <c r="A261" s="73"/>
      <c r="B261" s="73"/>
      <c r="C261" s="73"/>
      <c r="D261" s="73"/>
      <c r="E261" s="73"/>
      <c r="F261" s="73"/>
      <c r="G261" s="75"/>
      <c r="H261" s="76">
        <v>12</v>
      </c>
      <c r="I261" s="75">
        <f t="shared" si="5"/>
        <v>0</v>
      </c>
      <c r="J261" s="77"/>
      <c r="K261" s="77"/>
    </row>
    <row r="262" spans="1:11" ht="12.75" customHeight="1" x14ac:dyDescent="0.2">
      <c r="A262" s="73"/>
      <c r="B262" s="73"/>
      <c r="C262" s="73"/>
      <c r="D262" s="73"/>
      <c r="E262" s="73"/>
      <c r="F262" s="73"/>
      <c r="G262" s="75"/>
      <c r="H262" s="76">
        <v>12</v>
      </c>
      <c r="I262" s="75">
        <f t="shared" si="5"/>
        <v>0</v>
      </c>
      <c r="J262" s="77"/>
      <c r="K262" s="77"/>
    </row>
    <row r="263" spans="1:11" ht="12.75" customHeight="1" x14ac:dyDescent="0.2">
      <c r="A263" s="73"/>
      <c r="B263" s="73"/>
      <c r="C263" s="73"/>
      <c r="D263" s="73"/>
      <c r="E263" s="73"/>
      <c r="F263" s="73"/>
      <c r="G263" s="75"/>
      <c r="H263" s="76">
        <v>12</v>
      </c>
      <c r="I263" s="75">
        <f t="shared" si="5"/>
        <v>0</v>
      </c>
      <c r="J263" s="77"/>
      <c r="K263" s="77"/>
    </row>
    <row r="264" spans="1:11" ht="12.75" customHeight="1" x14ac:dyDescent="0.2">
      <c r="A264" s="73"/>
      <c r="B264" s="73"/>
      <c r="C264" s="73"/>
      <c r="D264" s="73"/>
      <c r="E264" s="73"/>
      <c r="F264" s="73"/>
      <c r="G264" s="75"/>
      <c r="H264" s="76">
        <v>12</v>
      </c>
      <c r="I264" s="75">
        <f t="shared" si="5"/>
        <v>0</v>
      </c>
      <c r="J264" s="77"/>
      <c r="K264" s="77"/>
    </row>
    <row r="265" spans="1:11" ht="12.75" customHeight="1" x14ac:dyDescent="0.2">
      <c r="A265" s="73"/>
      <c r="B265" s="73"/>
      <c r="C265" s="73"/>
      <c r="D265" s="73"/>
      <c r="E265" s="73"/>
      <c r="F265" s="73"/>
      <c r="G265" s="75"/>
      <c r="H265" s="76">
        <v>12</v>
      </c>
      <c r="I265" s="75">
        <f t="shared" si="5"/>
        <v>0</v>
      </c>
      <c r="J265" s="77"/>
      <c r="K265" s="77"/>
    </row>
    <row r="266" spans="1:11" ht="12.75" customHeight="1" x14ac:dyDescent="0.2">
      <c r="A266" s="73"/>
      <c r="B266" s="73"/>
      <c r="C266" s="73"/>
      <c r="D266" s="73"/>
      <c r="E266" s="73"/>
      <c r="F266" s="73"/>
      <c r="G266" s="75"/>
      <c r="H266" s="76">
        <v>12</v>
      </c>
      <c r="I266" s="75">
        <f t="shared" si="5"/>
        <v>0</v>
      </c>
      <c r="J266" s="77"/>
      <c r="K266" s="77"/>
    </row>
    <row r="267" spans="1:11" ht="12.75" customHeight="1" x14ac:dyDescent="0.2">
      <c r="A267" s="73"/>
      <c r="B267" s="73"/>
      <c r="C267" s="73"/>
      <c r="D267" s="73"/>
      <c r="E267" s="73"/>
      <c r="F267" s="73"/>
      <c r="G267" s="75"/>
      <c r="H267" s="76">
        <v>12</v>
      </c>
      <c r="I267" s="75">
        <f t="shared" si="5"/>
        <v>0</v>
      </c>
      <c r="J267" s="77"/>
      <c r="K267" s="77"/>
    </row>
    <row r="268" spans="1:11" ht="12.75" customHeight="1" x14ac:dyDescent="0.2">
      <c r="A268" s="73"/>
      <c r="B268" s="73"/>
      <c r="C268" s="73"/>
      <c r="D268" s="73"/>
      <c r="E268" s="73"/>
      <c r="F268" s="73"/>
      <c r="G268" s="75"/>
      <c r="H268" s="76">
        <v>12</v>
      </c>
      <c r="I268" s="75">
        <f t="shared" si="5"/>
        <v>0</v>
      </c>
      <c r="J268" s="77"/>
      <c r="K268" s="77"/>
    </row>
    <row r="269" spans="1:11" ht="12.75" customHeight="1" x14ac:dyDescent="0.2">
      <c r="A269" s="73"/>
      <c r="B269" s="73"/>
      <c r="C269" s="73"/>
      <c r="D269" s="73"/>
      <c r="E269" s="73"/>
      <c r="F269" s="73"/>
      <c r="G269" s="75"/>
      <c r="H269" s="76">
        <v>12</v>
      </c>
      <c r="I269" s="75">
        <f t="shared" si="5"/>
        <v>0</v>
      </c>
      <c r="J269" s="77"/>
      <c r="K269" s="77"/>
    </row>
    <row r="270" spans="1:11" ht="12.75" customHeight="1" x14ac:dyDescent="0.2">
      <c r="A270" s="73"/>
      <c r="B270" s="73"/>
      <c r="C270" s="73"/>
      <c r="D270" s="73"/>
      <c r="E270" s="73"/>
      <c r="F270" s="73"/>
      <c r="G270" s="75"/>
      <c r="H270" s="76">
        <v>12</v>
      </c>
      <c r="I270" s="75">
        <f t="shared" si="5"/>
        <v>0</v>
      </c>
      <c r="J270" s="77"/>
      <c r="K270" s="77"/>
    </row>
    <row r="271" spans="1:11" ht="12.75" customHeight="1" x14ac:dyDescent="0.2">
      <c r="A271" s="73"/>
      <c r="B271" s="73"/>
      <c r="C271" s="73"/>
      <c r="D271" s="73"/>
      <c r="E271" s="73"/>
      <c r="F271" s="73"/>
      <c r="G271" s="75"/>
      <c r="H271" s="76">
        <v>12</v>
      </c>
      <c r="I271" s="75">
        <f t="shared" si="5"/>
        <v>0</v>
      </c>
      <c r="J271" s="77"/>
      <c r="K271" s="77"/>
    </row>
    <row r="272" spans="1:11" ht="12.75" customHeight="1" x14ac:dyDescent="0.2">
      <c r="A272" s="73"/>
      <c r="B272" s="73"/>
      <c r="C272" s="73"/>
      <c r="D272" s="73"/>
      <c r="E272" s="73"/>
      <c r="F272" s="73"/>
      <c r="G272" s="75"/>
      <c r="H272" s="76">
        <v>12</v>
      </c>
      <c r="I272" s="75">
        <f t="shared" si="5"/>
        <v>0</v>
      </c>
      <c r="J272" s="77"/>
      <c r="K272" s="77"/>
    </row>
    <row r="273" spans="1:11" ht="12.75" customHeight="1" x14ac:dyDescent="0.2">
      <c r="A273" s="73"/>
      <c r="B273" s="73"/>
      <c r="C273" s="73"/>
      <c r="D273" s="73"/>
      <c r="E273" s="73"/>
      <c r="F273" s="73"/>
      <c r="G273" s="75"/>
      <c r="H273" s="76">
        <v>12</v>
      </c>
      <c r="I273" s="75">
        <f t="shared" si="5"/>
        <v>0</v>
      </c>
      <c r="J273" s="77"/>
      <c r="K273" s="77"/>
    </row>
    <row r="274" spans="1:11" ht="12.75" customHeight="1" x14ac:dyDescent="0.2">
      <c r="A274" s="73"/>
      <c r="B274" s="73"/>
      <c r="C274" s="73"/>
      <c r="D274" s="73"/>
      <c r="E274" s="73"/>
      <c r="F274" s="73"/>
      <c r="G274" s="75"/>
      <c r="H274" s="76">
        <v>12</v>
      </c>
      <c r="I274" s="75">
        <f t="shared" si="5"/>
        <v>0</v>
      </c>
      <c r="J274" s="77"/>
      <c r="K274" s="77"/>
    </row>
    <row r="275" spans="1:11" ht="12.75" customHeight="1" x14ac:dyDescent="0.2">
      <c r="A275" s="73"/>
      <c r="B275" s="73"/>
      <c r="C275" s="73"/>
      <c r="D275" s="73"/>
      <c r="E275" s="73"/>
      <c r="F275" s="73"/>
      <c r="G275" s="75"/>
      <c r="H275" s="76">
        <v>12</v>
      </c>
      <c r="I275" s="75">
        <f t="shared" si="5"/>
        <v>0</v>
      </c>
      <c r="J275" s="77"/>
      <c r="K275" s="77"/>
    </row>
    <row r="276" spans="1:11" ht="12.75" customHeight="1" x14ac:dyDescent="0.2">
      <c r="A276" s="73"/>
      <c r="B276" s="73"/>
      <c r="C276" s="73"/>
      <c r="D276" s="73"/>
      <c r="E276" s="73"/>
      <c r="F276" s="73"/>
      <c r="G276" s="75"/>
      <c r="H276" s="76">
        <v>12</v>
      </c>
      <c r="I276" s="75">
        <f t="shared" si="5"/>
        <v>0</v>
      </c>
      <c r="J276" s="77"/>
      <c r="K276" s="77"/>
    </row>
    <row r="277" spans="1:11" ht="12.75" customHeight="1" x14ac:dyDescent="0.2">
      <c r="A277" s="73"/>
      <c r="B277" s="73"/>
      <c r="C277" s="73"/>
      <c r="D277" s="73"/>
      <c r="E277" s="73"/>
      <c r="F277" s="73"/>
      <c r="G277" s="75"/>
      <c r="H277" s="76">
        <v>12</v>
      </c>
      <c r="I277" s="75">
        <f t="shared" si="5"/>
        <v>0</v>
      </c>
      <c r="J277" s="77"/>
      <c r="K277" s="77"/>
    </row>
    <row r="278" spans="1:11" ht="12.75" customHeight="1" x14ac:dyDescent="0.2">
      <c r="A278" s="73"/>
      <c r="B278" s="73"/>
      <c r="C278" s="73"/>
      <c r="D278" s="73"/>
      <c r="E278" s="73"/>
      <c r="F278" s="73"/>
      <c r="G278" s="75"/>
      <c r="H278" s="76">
        <v>12</v>
      </c>
      <c r="I278" s="75">
        <f t="shared" si="5"/>
        <v>0</v>
      </c>
      <c r="J278" s="77"/>
      <c r="K278" s="77"/>
    </row>
    <row r="279" spans="1:11" ht="12.75" customHeight="1" x14ac:dyDescent="0.2">
      <c r="A279" s="73"/>
      <c r="B279" s="73"/>
      <c r="C279" s="73"/>
      <c r="D279" s="73"/>
      <c r="E279" s="73"/>
      <c r="F279" s="73"/>
      <c r="G279" s="75"/>
      <c r="H279" s="76">
        <v>12</v>
      </c>
      <c r="I279" s="75">
        <f t="shared" si="5"/>
        <v>0</v>
      </c>
      <c r="J279" s="77"/>
      <c r="K279" s="77"/>
    </row>
    <row r="280" spans="1:11" ht="12.75" customHeight="1" x14ac:dyDescent="0.2">
      <c r="A280" s="73"/>
      <c r="B280" s="73"/>
      <c r="C280" s="73"/>
      <c r="D280" s="73"/>
      <c r="E280" s="73"/>
      <c r="F280" s="73"/>
      <c r="G280" s="75"/>
      <c r="H280" s="76">
        <v>12</v>
      </c>
      <c r="I280" s="75">
        <f t="shared" si="5"/>
        <v>0</v>
      </c>
      <c r="J280" s="77"/>
      <c r="K280" s="77"/>
    </row>
    <row r="281" spans="1:11" ht="12.75" customHeight="1" x14ac:dyDescent="0.2">
      <c r="A281" s="73"/>
      <c r="B281" s="73"/>
      <c r="C281" s="73"/>
      <c r="D281" s="73"/>
      <c r="E281" s="73"/>
      <c r="F281" s="73"/>
      <c r="G281" s="75"/>
      <c r="H281" s="76">
        <v>12</v>
      </c>
      <c r="I281" s="75">
        <f t="shared" si="5"/>
        <v>0</v>
      </c>
      <c r="J281" s="77"/>
      <c r="K281" s="77"/>
    </row>
    <row r="282" spans="1:11" ht="12.75" customHeight="1" x14ac:dyDescent="0.2">
      <c r="A282" s="73"/>
      <c r="B282" s="73"/>
      <c r="C282" s="73"/>
      <c r="D282" s="73"/>
      <c r="E282" s="73"/>
      <c r="F282" s="73"/>
      <c r="G282" s="75"/>
      <c r="H282" s="76">
        <v>12</v>
      </c>
      <c r="I282" s="75">
        <f t="shared" si="5"/>
        <v>0</v>
      </c>
      <c r="J282" s="77"/>
      <c r="K282" s="77"/>
    </row>
    <row r="283" spans="1:11" ht="12.75" customHeight="1" x14ac:dyDescent="0.2">
      <c r="A283" s="73"/>
      <c r="B283" s="73"/>
      <c r="C283" s="73"/>
      <c r="D283" s="73"/>
      <c r="E283" s="73"/>
      <c r="F283" s="73"/>
      <c r="G283" s="75"/>
      <c r="H283" s="76">
        <v>12</v>
      </c>
      <c r="I283" s="75">
        <f t="shared" si="5"/>
        <v>0</v>
      </c>
      <c r="J283" s="77"/>
      <c r="K283" s="77"/>
    </row>
    <row r="284" spans="1:11" ht="12.75" customHeight="1" x14ac:dyDescent="0.2">
      <c r="A284" s="73"/>
      <c r="B284" s="73"/>
      <c r="C284" s="73"/>
      <c r="D284" s="73"/>
      <c r="E284" s="73"/>
      <c r="F284" s="73"/>
      <c r="G284" s="75"/>
      <c r="H284" s="76">
        <v>12</v>
      </c>
      <c r="I284" s="75">
        <f t="shared" si="5"/>
        <v>0</v>
      </c>
      <c r="J284" s="77"/>
      <c r="K284" s="77"/>
    </row>
    <row r="285" spans="1:11" ht="12.75" customHeight="1" x14ac:dyDescent="0.2">
      <c r="A285" s="73"/>
      <c r="B285" s="73"/>
      <c r="C285" s="73"/>
      <c r="D285" s="73"/>
      <c r="E285" s="73"/>
      <c r="F285" s="73"/>
      <c r="G285" s="75"/>
      <c r="H285" s="76">
        <v>12</v>
      </c>
      <c r="I285" s="75">
        <f t="shared" si="5"/>
        <v>0</v>
      </c>
      <c r="J285" s="77"/>
      <c r="K285" s="77"/>
    </row>
    <row r="286" spans="1:11" ht="12.75" customHeight="1" x14ac:dyDescent="0.2">
      <c r="A286" s="73"/>
      <c r="B286" s="73"/>
      <c r="C286" s="73"/>
      <c r="D286" s="73"/>
      <c r="E286" s="73"/>
      <c r="F286" s="73"/>
      <c r="G286" s="75"/>
      <c r="H286" s="76">
        <v>12</v>
      </c>
      <c r="I286" s="75">
        <f t="shared" si="5"/>
        <v>0</v>
      </c>
      <c r="J286" s="77"/>
      <c r="K286" s="77"/>
    </row>
    <row r="287" spans="1:11" ht="12.75" customHeight="1" x14ac:dyDescent="0.2">
      <c r="A287" s="73"/>
      <c r="B287" s="73"/>
      <c r="C287" s="73"/>
      <c r="D287" s="73"/>
      <c r="E287" s="73"/>
      <c r="F287" s="73"/>
      <c r="G287" s="75"/>
      <c r="H287" s="76">
        <v>12</v>
      </c>
      <c r="I287" s="75">
        <f t="shared" si="5"/>
        <v>0</v>
      </c>
      <c r="J287" s="77"/>
      <c r="K287" s="77"/>
    </row>
    <row r="288" spans="1:11" ht="12.75" customHeight="1" x14ac:dyDescent="0.2">
      <c r="A288" s="73"/>
      <c r="B288" s="73"/>
      <c r="C288" s="73"/>
      <c r="D288" s="73"/>
      <c r="E288" s="73"/>
      <c r="F288" s="73"/>
      <c r="G288" s="75"/>
      <c r="H288" s="76">
        <v>12</v>
      </c>
      <c r="I288" s="75">
        <f t="shared" si="5"/>
        <v>0</v>
      </c>
      <c r="J288" s="77"/>
      <c r="K288" s="77"/>
    </row>
    <row r="289" spans="1:11" ht="12.75" customHeight="1" x14ac:dyDescent="0.2">
      <c r="A289" s="73"/>
      <c r="B289" s="73"/>
      <c r="C289" s="73"/>
      <c r="D289" s="73"/>
      <c r="E289" s="73"/>
      <c r="F289" s="73"/>
      <c r="G289" s="75"/>
      <c r="H289" s="76">
        <v>12</v>
      </c>
      <c r="I289" s="75">
        <f t="shared" si="5"/>
        <v>0</v>
      </c>
      <c r="J289" s="77"/>
      <c r="K289" s="77"/>
    </row>
    <row r="290" spans="1:11" ht="12.75" customHeight="1" x14ac:dyDescent="0.2">
      <c r="A290" s="73"/>
      <c r="B290" s="73"/>
      <c r="C290" s="73"/>
      <c r="D290" s="73"/>
      <c r="E290" s="73"/>
      <c r="F290" s="73"/>
      <c r="G290" s="75"/>
      <c r="H290" s="76">
        <v>12</v>
      </c>
      <c r="I290" s="75">
        <f t="shared" si="5"/>
        <v>0</v>
      </c>
      <c r="J290" s="77"/>
      <c r="K290" s="77"/>
    </row>
    <row r="291" spans="1:11" ht="12.75" customHeight="1" x14ac:dyDescent="0.2">
      <c r="A291" s="73"/>
      <c r="B291" s="73"/>
      <c r="C291" s="73"/>
      <c r="D291" s="73"/>
      <c r="E291" s="73"/>
      <c r="F291" s="73"/>
      <c r="G291" s="75"/>
      <c r="H291" s="76">
        <v>12</v>
      </c>
      <c r="I291" s="75">
        <f t="shared" si="5"/>
        <v>0</v>
      </c>
      <c r="J291" s="77"/>
      <c r="K291" s="77"/>
    </row>
    <row r="292" spans="1:11" ht="12.75" customHeight="1" x14ac:dyDescent="0.2">
      <c r="A292" s="73"/>
      <c r="B292" s="73"/>
      <c r="C292" s="73"/>
      <c r="D292" s="73"/>
      <c r="E292" s="73"/>
      <c r="F292" s="73"/>
      <c r="G292" s="75"/>
      <c r="H292" s="76">
        <v>12</v>
      </c>
      <c r="I292" s="75">
        <f t="shared" si="5"/>
        <v>0</v>
      </c>
      <c r="J292" s="77"/>
      <c r="K292" s="77"/>
    </row>
    <row r="293" spans="1:11" ht="12.75" customHeight="1" x14ac:dyDescent="0.2">
      <c r="A293" s="73"/>
      <c r="B293" s="73"/>
      <c r="C293" s="73"/>
      <c r="D293" s="73"/>
      <c r="E293" s="73"/>
      <c r="F293" s="73"/>
      <c r="G293" s="75"/>
      <c r="H293" s="76">
        <v>12</v>
      </c>
      <c r="I293" s="75">
        <f t="shared" si="5"/>
        <v>0</v>
      </c>
      <c r="J293" s="77"/>
      <c r="K293" s="77"/>
    </row>
    <row r="294" spans="1:11" ht="12.75" customHeight="1" x14ac:dyDescent="0.2">
      <c r="A294" s="73"/>
      <c r="B294" s="73"/>
      <c r="C294" s="73"/>
      <c r="D294" s="73"/>
      <c r="E294" s="73"/>
      <c r="F294" s="73"/>
      <c r="G294" s="75"/>
      <c r="H294" s="76">
        <v>12</v>
      </c>
      <c r="I294" s="75">
        <f t="shared" si="5"/>
        <v>0</v>
      </c>
      <c r="J294" s="77"/>
      <c r="K294" s="77"/>
    </row>
    <row r="295" spans="1:11" ht="12.75" customHeight="1" x14ac:dyDescent="0.2">
      <c r="A295" s="73"/>
      <c r="B295" s="73"/>
      <c r="C295" s="73"/>
      <c r="D295" s="73"/>
      <c r="E295" s="73"/>
      <c r="F295" s="73"/>
      <c r="G295" s="75"/>
      <c r="H295" s="76">
        <v>12</v>
      </c>
      <c r="I295" s="75">
        <f t="shared" si="5"/>
        <v>0</v>
      </c>
      <c r="J295" s="77"/>
      <c r="K295" s="77"/>
    </row>
    <row r="296" spans="1:11" ht="12.75" customHeight="1" x14ac:dyDescent="0.2">
      <c r="A296" s="73"/>
      <c r="B296" s="73"/>
      <c r="C296" s="73"/>
      <c r="D296" s="73"/>
      <c r="E296" s="73"/>
      <c r="F296" s="73"/>
      <c r="G296" s="75"/>
      <c r="H296" s="76">
        <v>12</v>
      </c>
      <c r="I296" s="75">
        <f t="shared" si="5"/>
        <v>0</v>
      </c>
      <c r="J296" s="77"/>
      <c r="K296" s="77"/>
    </row>
    <row r="297" spans="1:11" ht="12.75" customHeight="1" x14ac:dyDescent="0.2">
      <c r="A297" s="73"/>
      <c r="B297" s="73"/>
      <c r="C297" s="73"/>
      <c r="D297" s="73"/>
      <c r="E297" s="73"/>
      <c r="F297" s="73"/>
      <c r="G297" s="75"/>
      <c r="H297" s="76">
        <v>12</v>
      </c>
      <c r="I297" s="75">
        <f t="shared" si="5"/>
        <v>0</v>
      </c>
      <c r="J297" s="77"/>
      <c r="K297" s="77"/>
    </row>
    <row r="298" spans="1:11" ht="12.75" customHeight="1" x14ac:dyDescent="0.2">
      <c r="A298" s="73"/>
      <c r="B298" s="73"/>
      <c r="C298" s="73"/>
      <c r="D298" s="73"/>
      <c r="E298" s="73"/>
      <c r="F298" s="73"/>
      <c r="G298" s="75"/>
      <c r="H298" s="76">
        <v>12</v>
      </c>
      <c r="I298" s="75">
        <f t="shared" si="5"/>
        <v>0</v>
      </c>
      <c r="J298" s="77"/>
      <c r="K298" s="77"/>
    </row>
    <row r="299" spans="1:11" ht="12.75" customHeight="1" x14ac:dyDescent="0.2">
      <c r="A299" s="73"/>
      <c r="B299" s="73"/>
      <c r="C299" s="73"/>
      <c r="D299" s="73"/>
      <c r="E299" s="73"/>
      <c r="F299" s="73"/>
      <c r="G299" s="75"/>
      <c r="H299" s="76">
        <v>12</v>
      </c>
      <c r="I299" s="75">
        <f t="shared" si="5"/>
        <v>0</v>
      </c>
      <c r="J299" s="77"/>
      <c r="K299" s="77"/>
    </row>
    <row r="300" spans="1:11" ht="12.75" customHeight="1" x14ac:dyDescent="0.2">
      <c r="A300" s="73"/>
      <c r="B300" s="73"/>
      <c r="C300" s="73"/>
      <c r="D300" s="73"/>
      <c r="E300" s="73"/>
      <c r="F300" s="73"/>
      <c r="G300" s="75"/>
      <c r="H300" s="76">
        <v>12</v>
      </c>
      <c r="I300" s="75">
        <f t="shared" si="5"/>
        <v>0</v>
      </c>
      <c r="J300" s="77"/>
      <c r="K300" s="77"/>
    </row>
    <row r="301" spans="1:11" ht="12.75" customHeight="1" x14ac:dyDescent="0.2">
      <c r="A301" s="73"/>
      <c r="B301" s="73"/>
      <c r="C301" s="73"/>
      <c r="D301" s="73"/>
      <c r="E301" s="73"/>
      <c r="F301" s="73"/>
      <c r="G301" s="75"/>
      <c r="H301" s="76">
        <v>12</v>
      </c>
      <c r="I301" s="75">
        <f t="shared" si="5"/>
        <v>0</v>
      </c>
      <c r="J301" s="77"/>
      <c r="K301" s="77"/>
    </row>
    <row r="302" spans="1:11" ht="12.75" customHeight="1" x14ac:dyDescent="0.2">
      <c r="A302" s="73"/>
      <c r="B302" s="73"/>
      <c r="C302" s="73"/>
      <c r="D302" s="73"/>
      <c r="E302" s="73"/>
      <c r="F302" s="73"/>
      <c r="G302" s="75"/>
      <c r="H302" s="76">
        <v>12</v>
      </c>
      <c r="I302" s="75">
        <f t="shared" si="5"/>
        <v>0</v>
      </c>
      <c r="J302" s="77"/>
      <c r="K302" s="77"/>
    </row>
    <row r="303" spans="1:11" ht="12.75" customHeight="1" x14ac:dyDescent="0.2">
      <c r="A303" s="73"/>
      <c r="B303" s="73"/>
      <c r="C303" s="73"/>
      <c r="D303" s="73"/>
      <c r="E303" s="73"/>
      <c r="F303" s="73"/>
      <c r="G303" s="75"/>
      <c r="H303" s="76">
        <v>12</v>
      </c>
      <c r="I303" s="75">
        <f t="shared" si="5"/>
        <v>0</v>
      </c>
      <c r="J303" s="77"/>
      <c r="K303" s="77"/>
    </row>
    <row r="304" spans="1:11" ht="12.75" customHeight="1" x14ac:dyDescent="0.2">
      <c r="A304" s="73"/>
      <c r="B304" s="73"/>
      <c r="C304" s="73"/>
      <c r="D304" s="73"/>
      <c r="E304" s="73"/>
      <c r="F304" s="73"/>
      <c r="G304" s="75"/>
      <c r="H304" s="76">
        <v>12</v>
      </c>
      <c r="I304" s="75">
        <f t="shared" si="5"/>
        <v>0</v>
      </c>
      <c r="J304" s="77"/>
      <c r="K304" s="77"/>
    </row>
    <row r="305" spans="1:11" ht="12.75" customHeight="1" x14ac:dyDescent="0.2">
      <c r="A305" s="73"/>
      <c r="B305" s="73"/>
      <c r="C305" s="73"/>
      <c r="D305" s="73"/>
      <c r="E305" s="73"/>
      <c r="F305" s="73"/>
      <c r="G305" s="75"/>
      <c r="H305" s="76">
        <v>12</v>
      </c>
      <c r="I305" s="75">
        <f t="shared" si="5"/>
        <v>0</v>
      </c>
      <c r="J305" s="77"/>
      <c r="K305" s="77"/>
    </row>
    <row r="306" spans="1:11" ht="12.75" customHeight="1" x14ac:dyDescent="0.2">
      <c r="A306" s="73"/>
      <c r="B306" s="73"/>
      <c r="C306" s="73"/>
      <c r="D306" s="73"/>
      <c r="E306" s="73"/>
      <c r="F306" s="73"/>
      <c r="G306" s="75"/>
      <c r="H306" s="76">
        <v>12</v>
      </c>
      <c r="I306" s="75">
        <f t="shared" si="5"/>
        <v>0</v>
      </c>
      <c r="J306" s="77"/>
      <c r="K306" s="77"/>
    </row>
    <row r="307" spans="1:11" ht="12.75" customHeight="1" x14ac:dyDescent="0.2">
      <c r="A307" s="73"/>
      <c r="B307" s="73"/>
      <c r="C307" s="73"/>
      <c r="D307" s="73"/>
      <c r="E307" s="73"/>
      <c r="F307" s="73"/>
      <c r="G307" s="75"/>
      <c r="H307" s="76">
        <v>12</v>
      </c>
      <c r="I307" s="75">
        <f t="shared" si="5"/>
        <v>0</v>
      </c>
      <c r="J307" s="77"/>
      <c r="K307" s="77"/>
    </row>
    <row r="308" spans="1:11" ht="12.75" customHeight="1" x14ac:dyDescent="0.2">
      <c r="A308" s="73"/>
      <c r="B308" s="73"/>
      <c r="C308" s="73"/>
      <c r="D308" s="73"/>
      <c r="E308" s="73"/>
      <c r="F308" s="73"/>
      <c r="G308" s="75"/>
      <c r="H308" s="76">
        <v>12</v>
      </c>
      <c r="I308" s="75">
        <f t="shared" si="5"/>
        <v>0</v>
      </c>
      <c r="J308" s="77"/>
      <c r="K308" s="77"/>
    </row>
    <row r="309" spans="1:11" ht="12.75" customHeight="1" x14ac:dyDescent="0.2">
      <c r="A309" s="73"/>
      <c r="B309" s="73"/>
      <c r="C309" s="73"/>
      <c r="D309" s="73"/>
      <c r="E309" s="73"/>
      <c r="F309" s="73"/>
      <c r="G309" s="75"/>
      <c r="H309" s="76">
        <v>12</v>
      </c>
      <c r="I309" s="75">
        <f t="shared" si="5"/>
        <v>0</v>
      </c>
      <c r="J309" s="77"/>
      <c r="K309" s="77"/>
    </row>
    <row r="310" spans="1:11" ht="12.75" customHeight="1" x14ac:dyDescent="0.2">
      <c r="A310" s="73"/>
      <c r="B310" s="73"/>
      <c r="C310" s="73"/>
      <c r="D310" s="73"/>
      <c r="E310" s="73"/>
      <c r="F310" s="73"/>
      <c r="G310" s="75"/>
      <c r="H310" s="76">
        <v>12</v>
      </c>
      <c r="I310" s="75">
        <f t="shared" si="5"/>
        <v>0</v>
      </c>
      <c r="J310" s="77"/>
      <c r="K310" s="77"/>
    </row>
    <row r="311" spans="1:11" ht="12.75" customHeight="1" x14ac:dyDescent="0.2">
      <c r="A311" s="73"/>
      <c r="B311" s="73"/>
      <c r="C311" s="73"/>
      <c r="D311" s="73"/>
      <c r="E311" s="73"/>
      <c r="F311" s="73"/>
      <c r="G311" s="75"/>
      <c r="H311" s="76">
        <v>12</v>
      </c>
      <c r="I311" s="75">
        <f t="shared" si="5"/>
        <v>0</v>
      </c>
      <c r="J311" s="77"/>
      <c r="K311" s="77"/>
    </row>
    <row r="312" spans="1:11" ht="12.75" customHeight="1" x14ac:dyDescent="0.2">
      <c r="A312" s="73"/>
      <c r="B312" s="73"/>
      <c r="C312" s="73"/>
      <c r="D312" s="73"/>
      <c r="E312" s="73"/>
      <c r="F312" s="73"/>
      <c r="G312" s="75"/>
      <c r="H312" s="76">
        <v>12</v>
      </c>
      <c r="I312" s="75">
        <f t="shared" si="5"/>
        <v>0</v>
      </c>
      <c r="J312" s="77"/>
      <c r="K312" s="77"/>
    </row>
    <row r="313" spans="1:11" ht="12.75" customHeight="1" x14ac:dyDescent="0.2">
      <c r="A313" s="73"/>
      <c r="B313" s="73"/>
      <c r="C313" s="73"/>
      <c r="D313" s="73"/>
      <c r="E313" s="73"/>
      <c r="F313" s="73"/>
      <c r="G313" s="75"/>
      <c r="H313" s="76">
        <v>12</v>
      </c>
      <c r="I313" s="75">
        <f t="shared" si="5"/>
        <v>0</v>
      </c>
      <c r="J313" s="77"/>
      <c r="K313" s="77"/>
    </row>
    <row r="314" spans="1:11" ht="12.75" customHeight="1" x14ac:dyDescent="0.2">
      <c r="A314" s="73"/>
      <c r="B314" s="73"/>
      <c r="C314" s="73"/>
      <c r="D314" s="73"/>
      <c r="E314" s="73"/>
      <c r="F314" s="73"/>
      <c r="G314" s="75"/>
      <c r="H314" s="76">
        <v>12</v>
      </c>
      <c r="I314" s="75">
        <f t="shared" si="5"/>
        <v>0</v>
      </c>
      <c r="J314" s="77"/>
      <c r="K314" s="77"/>
    </row>
    <row r="315" spans="1:11" ht="12.75" customHeight="1" x14ac:dyDescent="0.2">
      <c r="A315" s="73"/>
      <c r="B315" s="73"/>
      <c r="C315" s="73"/>
      <c r="D315" s="73"/>
      <c r="E315" s="73"/>
      <c r="F315" s="73"/>
      <c r="G315" s="75"/>
      <c r="H315" s="76">
        <v>12</v>
      </c>
      <c r="I315" s="75">
        <f t="shared" si="5"/>
        <v>0</v>
      </c>
      <c r="J315" s="77"/>
      <c r="K315" s="77"/>
    </row>
    <row r="316" spans="1:11" ht="12.75" customHeight="1" x14ac:dyDescent="0.2">
      <c r="A316" s="73"/>
      <c r="B316" s="73"/>
      <c r="C316" s="73"/>
      <c r="D316" s="73"/>
      <c r="E316" s="73"/>
      <c r="F316" s="73"/>
      <c r="G316" s="75"/>
      <c r="H316" s="76">
        <v>12</v>
      </c>
      <c r="I316" s="75">
        <f t="shared" si="5"/>
        <v>0</v>
      </c>
      <c r="J316" s="77"/>
      <c r="K316" s="77"/>
    </row>
    <row r="317" spans="1:11" ht="12.75" customHeight="1" x14ac:dyDescent="0.2">
      <c r="A317" s="73"/>
      <c r="B317" s="73"/>
      <c r="C317" s="73"/>
      <c r="D317" s="73"/>
      <c r="E317" s="73"/>
      <c r="F317" s="73"/>
      <c r="G317" s="75"/>
      <c r="H317" s="76">
        <v>12</v>
      </c>
      <c r="I317" s="75">
        <f t="shared" si="5"/>
        <v>0</v>
      </c>
      <c r="J317" s="77"/>
      <c r="K317" s="77"/>
    </row>
    <row r="318" spans="1:11" ht="12.75" customHeight="1" x14ac:dyDescent="0.2">
      <c r="A318" s="73"/>
      <c r="B318" s="73"/>
      <c r="C318" s="73"/>
      <c r="D318" s="73"/>
      <c r="E318" s="73"/>
      <c r="F318" s="73"/>
      <c r="G318" s="75"/>
      <c r="H318" s="76">
        <v>12</v>
      </c>
      <c r="I318" s="75">
        <f t="shared" si="5"/>
        <v>0</v>
      </c>
      <c r="J318" s="77"/>
      <c r="K318" s="77"/>
    </row>
    <row r="319" spans="1:11" ht="12.75" customHeight="1" x14ac:dyDescent="0.2">
      <c r="A319" s="73"/>
      <c r="B319" s="73"/>
      <c r="C319" s="73"/>
      <c r="D319" s="73"/>
      <c r="E319" s="73"/>
      <c r="F319" s="73"/>
      <c r="G319" s="75"/>
      <c r="H319" s="76">
        <v>12</v>
      </c>
      <c r="I319" s="75">
        <f t="shared" si="5"/>
        <v>0</v>
      </c>
      <c r="J319" s="77"/>
      <c r="K319" s="77"/>
    </row>
    <row r="320" spans="1:11" ht="12.75" customHeight="1" x14ac:dyDescent="0.2">
      <c r="A320" s="73"/>
      <c r="B320" s="73"/>
      <c r="C320" s="73"/>
      <c r="D320" s="73"/>
      <c r="E320" s="73"/>
      <c r="F320" s="73"/>
      <c r="G320" s="75"/>
      <c r="H320" s="76">
        <v>12</v>
      </c>
      <c r="I320" s="75">
        <f t="shared" si="5"/>
        <v>0</v>
      </c>
      <c r="J320" s="77"/>
      <c r="K320" s="77"/>
    </row>
    <row r="321" spans="1:11" ht="12.75" customHeight="1" x14ac:dyDescent="0.2">
      <c r="A321" s="73"/>
      <c r="B321" s="73"/>
      <c r="C321" s="73"/>
      <c r="D321" s="73"/>
      <c r="E321" s="73"/>
      <c r="F321" s="73"/>
      <c r="G321" s="75"/>
      <c r="H321" s="76">
        <v>12</v>
      </c>
      <c r="I321" s="75">
        <f t="shared" si="5"/>
        <v>0</v>
      </c>
      <c r="J321" s="77"/>
      <c r="K321" s="77"/>
    </row>
    <row r="322" spans="1:11" ht="12.75" customHeight="1" x14ac:dyDescent="0.2">
      <c r="A322" s="73"/>
      <c r="B322" s="73"/>
      <c r="C322" s="73"/>
      <c r="D322" s="73"/>
      <c r="E322" s="73"/>
      <c r="F322" s="73"/>
      <c r="G322" s="75"/>
      <c r="H322" s="76">
        <v>12</v>
      </c>
      <c r="I322" s="75">
        <f t="shared" si="5"/>
        <v>0</v>
      </c>
      <c r="J322" s="77"/>
      <c r="K322" s="77"/>
    </row>
    <row r="323" spans="1:11" ht="12.75" customHeight="1" x14ac:dyDescent="0.2">
      <c r="A323" s="73"/>
      <c r="B323" s="73"/>
      <c r="C323" s="73"/>
      <c r="D323" s="73"/>
      <c r="E323" s="73"/>
      <c r="F323" s="73"/>
      <c r="G323" s="75"/>
      <c r="H323" s="76">
        <v>12</v>
      </c>
      <c r="I323" s="75">
        <f t="shared" si="5"/>
        <v>0</v>
      </c>
      <c r="J323" s="77"/>
      <c r="K323" s="77"/>
    </row>
    <row r="324" spans="1:11" ht="12.75" customHeight="1" x14ac:dyDescent="0.2">
      <c r="A324" s="73"/>
      <c r="B324" s="73"/>
      <c r="C324" s="73"/>
      <c r="D324" s="73"/>
      <c r="E324" s="73"/>
      <c r="F324" s="73"/>
      <c r="G324" s="75"/>
      <c r="H324" s="76">
        <v>12</v>
      </c>
      <c r="I324" s="75">
        <f t="shared" ref="I324:I345" si="6">+H324*G324</f>
        <v>0</v>
      </c>
      <c r="J324" s="77"/>
      <c r="K324" s="77"/>
    </row>
    <row r="325" spans="1:11" ht="12.75" customHeight="1" x14ac:dyDescent="0.2">
      <c r="A325" s="73"/>
      <c r="B325" s="73"/>
      <c r="C325" s="73"/>
      <c r="D325" s="73"/>
      <c r="E325" s="73"/>
      <c r="F325" s="73"/>
      <c r="G325" s="75"/>
      <c r="H325" s="76">
        <v>12</v>
      </c>
      <c r="I325" s="75">
        <f t="shared" si="6"/>
        <v>0</v>
      </c>
      <c r="J325" s="77"/>
      <c r="K325" s="77"/>
    </row>
    <row r="326" spans="1:11" ht="12.75" customHeight="1" x14ac:dyDescent="0.2">
      <c r="A326" s="73"/>
      <c r="B326" s="73"/>
      <c r="C326" s="73"/>
      <c r="D326" s="73"/>
      <c r="E326" s="73"/>
      <c r="F326" s="73"/>
      <c r="G326" s="75"/>
      <c r="H326" s="76">
        <v>12</v>
      </c>
      <c r="I326" s="75">
        <f t="shared" si="6"/>
        <v>0</v>
      </c>
      <c r="J326" s="77"/>
      <c r="K326" s="77"/>
    </row>
    <row r="327" spans="1:11" ht="12.75" customHeight="1" x14ac:dyDescent="0.2">
      <c r="A327" s="73"/>
      <c r="B327" s="73"/>
      <c r="C327" s="73"/>
      <c r="D327" s="73"/>
      <c r="E327" s="73"/>
      <c r="F327" s="73"/>
      <c r="G327" s="75"/>
      <c r="H327" s="76">
        <v>12</v>
      </c>
      <c r="I327" s="75">
        <f t="shared" si="6"/>
        <v>0</v>
      </c>
      <c r="J327" s="77"/>
      <c r="K327" s="77"/>
    </row>
    <row r="328" spans="1:11" ht="12.75" customHeight="1" x14ac:dyDescent="0.2">
      <c r="A328" s="73"/>
      <c r="B328" s="73"/>
      <c r="C328" s="73"/>
      <c r="D328" s="73"/>
      <c r="E328" s="73"/>
      <c r="F328" s="73"/>
      <c r="G328" s="75"/>
      <c r="H328" s="76">
        <v>12</v>
      </c>
      <c r="I328" s="75">
        <f t="shared" si="6"/>
        <v>0</v>
      </c>
      <c r="J328" s="77"/>
      <c r="K328" s="77"/>
    </row>
    <row r="329" spans="1:11" ht="12.75" customHeight="1" x14ac:dyDescent="0.2">
      <c r="A329" s="73"/>
      <c r="B329" s="73"/>
      <c r="C329" s="73"/>
      <c r="D329" s="73"/>
      <c r="E329" s="73"/>
      <c r="F329" s="73"/>
      <c r="G329" s="75"/>
      <c r="H329" s="76">
        <v>12</v>
      </c>
      <c r="I329" s="75">
        <f t="shared" si="6"/>
        <v>0</v>
      </c>
      <c r="J329" s="77"/>
      <c r="K329" s="77"/>
    </row>
    <row r="330" spans="1:11" ht="12.75" customHeight="1" x14ac:dyDescent="0.2">
      <c r="A330" s="73"/>
      <c r="B330" s="73"/>
      <c r="C330" s="73"/>
      <c r="D330" s="73"/>
      <c r="E330" s="73"/>
      <c r="F330" s="73"/>
      <c r="G330" s="75"/>
      <c r="H330" s="76">
        <v>12</v>
      </c>
      <c r="I330" s="75">
        <f t="shared" si="6"/>
        <v>0</v>
      </c>
      <c r="J330" s="77"/>
      <c r="K330" s="77"/>
    </row>
    <row r="331" spans="1:11" ht="12.75" customHeight="1" x14ac:dyDescent="0.2">
      <c r="A331" s="73"/>
      <c r="B331" s="73"/>
      <c r="C331" s="73"/>
      <c r="D331" s="73"/>
      <c r="E331" s="73"/>
      <c r="F331" s="73"/>
      <c r="G331" s="75"/>
      <c r="H331" s="76">
        <v>12</v>
      </c>
      <c r="I331" s="75">
        <f t="shared" si="6"/>
        <v>0</v>
      </c>
      <c r="J331" s="77"/>
      <c r="K331" s="77"/>
    </row>
    <row r="332" spans="1:11" ht="12.75" customHeight="1" x14ac:dyDescent="0.2">
      <c r="A332" s="73"/>
      <c r="B332" s="73"/>
      <c r="C332" s="73"/>
      <c r="D332" s="73"/>
      <c r="E332" s="73"/>
      <c r="F332" s="73"/>
      <c r="G332" s="75"/>
      <c r="H332" s="76">
        <v>12</v>
      </c>
      <c r="I332" s="75">
        <f t="shared" si="6"/>
        <v>0</v>
      </c>
      <c r="J332" s="77"/>
      <c r="K332" s="77"/>
    </row>
    <row r="333" spans="1:11" ht="12.75" customHeight="1" x14ac:dyDescent="0.2">
      <c r="A333" s="73"/>
      <c r="B333" s="73"/>
      <c r="C333" s="73"/>
      <c r="D333" s="73"/>
      <c r="E333" s="73"/>
      <c r="F333" s="73"/>
      <c r="G333" s="75"/>
      <c r="H333" s="76">
        <v>12</v>
      </c>
      <c r="I333" s="75">
        <f t="shared" si="6"/>
        <v>0</v>
      </c>
      <c r="J333" s="77"/>
      <c r="K333" s="77"/>
    </row>
    <row r="334" spans="1:11" ht="12.75" customHeight="1" x14ac:dyDescent="0.2">
      <c r="A334" s="73"/>
      <c r="B334" s="73"/>
      <c r="C334" s="73"/>
      <c r="D334" s="73"/>
      <c r="E334" s="73"/>
      <c r="F334" s="73"/>
      <c r="G334" s="75"/>
      <c r="H334" s="76">
        <v>12</v>
      </c>
      <c r="I334" s="75">
        <f t="shared" si="6"/>
        <v>0</v>
      </c>
      <c r="J334" s="77"/>
      <c r="K334" s="77"/>
    </row>
    <row r="335" spans="1:11" ht="12.75" customHeight="1" x14ac:dyDescent="0.2">
      <c r="A335" s="73"/>
      <c r="B335" s="73"/>
      <c r="C335" s="73"/>
      <c r="D335" s="73"/>
      <c r="E335" s="73"/>
      <c r="F335" s="73"/>
      <c r="G335" s="75"/>
      <c r="H335" s="76">
        <v>12</v>
      </c>
      <c r="I335" s="75">
        <f t="shared" si="6"/>
        <v>0</v>
      </c>
      <c r="J335" s="77"/>
      <c r="K335" s="77"/>
    </row>
    <row r="336" spans="1:11" ht="12.75" customHeight="1" x14ac:dyDescent="0.2">
      <c r="A336" s="73"/>
      <c r="B336" s="73"/>
      <c r="C336" s="73"/>
      <c r="D336" s="73"/>
      <c r="E336" s="73"/>
      <c r="F336" s="73"/>
      <c r="G336" s="75"/>
      <c r="H336" s="76">
        <v>12</v>
      </c>
      <c r="I336" s="75">
        <f t="shared" si="6"/>
        <v>0</v>
      </c>
      <c r="J336" s="77"/>
      <c r="K336" s="77"/>
    </row>
    <row r="337" spans="1:11" ht="12.75" customHeight="1" x14ac:dyDescent="0.2">
      <c r="A337" s="73"/>
      <c r="B337" s="73"/>
      <c r="C337" s="73"/>
      <c r="D337" s="73"/>
      <c r="E337" s="73"/>
      <c r="F337" s="73"/>
      <c r="G337" s="75"/>
      <c r="H337" s="76">
        <v>12</v>
      </c>
      <c r="I337" s="75">
        <f t="shared" si="6"/>
        <v>0</v>
      </c>
      <c r="J337" s="77"/>
      <c r="K337" s="77"/>
    </row>
    <row r="338" spans="1:11" ht="12.75" customHeight="1" x14ac:dyDescent="0.2">
      <c r="A338" s="73"/>
      <c r="B338" s="73"/>
      <c r="C338" s="73"/>
      <c r="D338" s="73"/>
      <c r="E338" s="73"/>
      <c r="F338" s="73"/>
      <c r="G338" s="75"/>
      <c r="H338" s="76">
        <v>12</v>
      </c>
      <c r="I338" s="75">
        <f t="shared" si="6"/>
        <v>0</v>
      </c>
      <c r="J338" s="77"/>
      <c r="K338" s="77"/>
    </row>
    <row r="339" spans="1:11" ht="12.75" customHeight="1" x14ac:dyDescent="0.2">
      <c r="A339" s="73"/>
      <c r="B339" s="73"/>
      <c r="C339" s="73"/>
      <c r="D339" s="73"/>
      <c r="E339" s="73"/>
      <c r="F339" s="73"/>
      <c r="G339" s="75"/>
      <c r="H339" s="76">
        <v>12</v>
      </c>
      <c r="I339" s="75">
        <f t="shared" si="6"/>
        <v>0</v>
      </c>
      <c r="J339" s="77"/>
      <c r="K339" s="77"/>
    </row>
    <row r="340" spans="1:11" ht="12.75" customHeight="1" x14ac:dyDescent="0.2">
      <c r="A340" s="73"/>
      <c r="B340" s="73"/>
      <c r="C340" s="73"/>
      <c r="D340" s="73"/>
      <c r="E340" s="73"/>
      <c r="F340" s="73"/>
      <c r="G340" s="75"/>
      <c r="H340" s="76">
        <v>12</v>
      </c>
      <c r="I340" s="75">
        <f t="shared" si="6"/>
        <v>0</v>
      </c>
      <c r="J340" s="77"/>
      <c r="K340" s="77"/>
    </row>
    <row r="341" spans="1:11" ht="12.75" customHeight="1" x14ac:dyDescent="0.2">
      <c r="A341" s="73"/>
      <c r="B341" s="73"/>
      <c r="C341" s="73"/>
      <c r="D341" s="73"/>
      <c r="E341" s="73"/>
      <c r="F341" s="73"/>
      <c r="G341" s="75"/>
      <c r="H341" s="76">
        <v>12</v>
      </c>
      <c r="I341" s="75">
        <f t="shared" si="6"/>
        <v>0</v>
      </c>
      <c r="J341" s="77"/>
      <c r="K341" s="77"/>
    </row>
    <row r="342" spans="1:11" ht="12.75" customHeight="1" x14ac:dyDescent="0.2">
      <c r="A342" s="73"/>
      <c r="B342" s="73"/>
      <c r="C342" s="73"/>
      <c r="D342" s="73"/>
      <c r="E342" s="73"/>
      <c r="F342" s="73"/>
      <c r="G342" s="75"/>
      <c r="H342" s="76">
        <v>12</v>
      </c>
      <c r="I342" s="75">
        <f t="shared" si="6"/>
        <v>0</v>
      </c>
      <c r="J342" s="77"/>
      <c r="K342" s="77"/>
    </row>
    <row r="343" spans="1:11" ht="12.75" customHeight="1" x14ac:dyDescent="0.2">
      <c r="A343" s="73"/>
      <c r="B343" s="73"/>
      <c r="C343" s="73"/>
      <c r="D343" s="73"/>
      <c r="E343" s="73"/>
      <c r="F343" s="73"/>
      <c r="G343" s="75"/>
      <c r="H343" s="76">
        <v>12</v>
      </c>
      <c r="I343" s="75">
        <f t="shared" si="6"/>
        <v>0</v>
      </c>
      <c r="J343" s="77"/>
      <c r="K343" s="77"/>
    </row>
    <row r="344" spans="1:11" ht="12.75" customHeight="1" x14ac:dyDescent="0.2">
      <c r="A344" s="73"/>
      <c r="B344" s="73"/>
      <c r="C344" s="73"/>
      <c r="D344" s="73"/>
      <c r="E344" s="73"/>
      <c r="F344" s="73"/>
      <c r="G344" s="75"/>
      <c r="H344" s="76">
        <v>12</v>
      </c>
      <c r="I344" s="75">
        <f t="shared" si="6"/>
        <v>0</v>
      </c>
      <c r="J344" s="77"/>
      <c r="K344" s="77"/>
    </row>
    <row r="345" spans="1:11" ht="12.75" customHeight="1" x14ac:dyDescent="0.2">
      <c r="A345" s="73"/>
      <c r="B345" s="73"/>
      <c r="C345" s="73"/>
      <c r="D345" s="73"/>
      <c r="E345" s="73"/>
      <c r="F345" s="73"/>
      <c r="G345" s="75"/>
      <c r="H345" s="76">
        <v>12</v>
      </c>
      <c r="I345" s="75">
        <f t="shared" si="6"/>
        <v>0</v>
      </c>
      <c r="J345" s="77"/>
      <c r="K345" s="7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88AA9-850B-4785-A4C7-B61697D37023}">
  <sheetPr codeName="Sheet7"/>
  <dimension ref="B1:Q54"/>
  <sheetViews>
    <sheetView workbookViewId="0">
      <pane xSplit="8" ySplit="8" topLeftCell="I18" activePane="bottomRight" state="frozen"/>
      <selection activeCell="I33" sqref="I33"/>
      <selection pane="topRight" activeCell="I33" sqref="I33"/>
      <selection pane="bottomLeft" activeCell="I33" sqref="I33"/>
      <selection pane="bottomRight" activeCell="I33" sqref="I33"/>
    </sheetView>
  </sheetViews>
  <sheetFormatPr defaultColWidth="9.140625" defaultRowHeight="12.75" x14ac:dyDescent="0.2"/>
  <cols>
    <col min="1" max="1" width="4.7109375" style="3" customWidth="1"/>
    <col min="2" max="2" width="74.140625" style="3" bestFit="1" customWidth="1"/>
    <col min="3" max="4" width="4" style="3" bestFit="1" customWidth="1"/>
    <col min="5" max="5" width="5" style="3" bestFit="1" customWidth="1"/>
    <col min="6" max="8" width="3.28515625" style="3" bestFit="1" customWidth="1"/>
    <col min="9" max="15" width="12.42578125" style="3" bestFit="1" customWidth="1"/>
    <col min="16" max="16" width="9.140625" style="3"/>
    <col min="17" max="17" width="12.42578125" style="3" bestFit="1" customWidth="1"/>
    <col min="18" max="16384" width="9.140625" style="3"/>
  </cols>
  <sheetData>
    <row r="1" spans="2:15" ht="12.75" customHeight="1" x14ac:dyDescent="0.2">
      <c r="B1" s="96" t="str">
        <f>'# of Students'!A1</f>
        <v>Beacon Academy of Nevada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2:15" ht="12.75" customHeight="1" x14ac:dyDescent="0.2">
      <c r="B2" s="96" t="s">
        <v>127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2:15" ht="12.75" customHeight="1" x14ac:dyDescent="0.2">
      <c r="B3" s="96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</row>
    <row r="4" spans="2:15" ht="12.75" customHeight="1" x14ac:dyDescent="0.2">
      <c r="B4" s="98"/>
      <c r="C4" s="99"/>
      <c r="D4" s="99"/>
      <c r="E4" s="99"/>
      <c r="F4" s="99"/>
      <c r="G4" s="99"/>
      <c r="H4" s="370" t="s">
        <v>805</v>
      </c>
      <c r="I4" s="491">
        <f>PCFP!B5</f>
        <v>0</v>
      </c>
      <c r="J4" s="491">
        <f>PCFP!C5</f>
        <v>1.9591496456857024E-2</v>
      </c>
      <c r="K4" s="491">
        <f>PCFP!D5</f>
        <v>0</v>
      </c>
      <c r="L4" s="491">
        <f>PCFP!E5</f>
        <v>0</v>
      </c>
      <c r="M4" s="491">
        <f>PCFP!F5</f>
        <v>0</v>
      </c>
      <c r="N4" s="491">
        <f>PCFP!G5</f>
        <v>0</v>
      </c>
      <c r="O4" s="491">
        <f>PCFP!H5</f>
        <v>0</v>
      </c>
    </row>
    <row r="5" spans="2:15" ht="12.75" customHeight="1" x14ac:dyDescent="0.2">
      <c r="B5" s="98"/>
      <c r="C5" s="99"/>
      <c r="D5" s="99"/>
      <c r="E5" s="99"/>
      <c r="F5" s="99"/>
      <c r="G5" s="99"/>
      <c r="H5" s="370" t="s">
        <v>1003</v>
      </c>
      <c r="I5" s="544">
        <f>PCFP!B10</f>
        <v>7197</v>
      </c>
      <c r="J5" s="544">
        <f>PCFP!C10</f>
        <v>7338</v>
      </c>
      <c r="K5" s="544">
        <f>PCFP!D10</f>
        <v>7411.38</v>
      </c>
      <c r="L5" s="544">
        <f>PCFP!E10</f>
        <v>7485.4938000000002</v>
      </c>
      <c r="M5" s="544">
        <f>PCFP!F10</f>
        <v>7560.3487380000006</v>
      </c>
      <c r="N5" s="544">
        <f>PCFP!G10</f>
        <v>7635.9522253800005</v>
      </c>
      <c r="O5" s="544">
        <f>PCFP!H10</f>
        <v>7712.3117476338002</v>
      </c>
    </row>
    <row r="6" spans="2:15" ht="12.75" customHeight="1" x14ac:dyDescent="0.2">
      <c r="B6" s="100"/>
      <c r="C6" s="100"/>
      <c r="D6" s="100"/>
      <c r="E6" s="100"/>
      <c r="F6" s="100"/>
      <c r="G6" s="100"/>
      <c r="H6" s="112" t="s">
        <v>372</v>
      </c>
      <c r="I6" s="288">
        <f>'# of Students'!C23</f>
        <v>370</v>
      </c>
      <c r="J6" s="288">
        <f>'# of Students'!D23</f>
        <v>585</v>
      </c>
      <c r="K6" s="288">
        <f>'# of Students'!E23</f>
        <v>650</v>
      </c>
      <c r="L6" s="288">
        <f>'# of Students'!F23</f>
        <v>700</v>
      </c>
      <c r="M6" s="288">
        <f>'# of Students'!G23</f>
        <v>735</v>
      </c>
      <c r="N6" s="288">
        <f>'# of Students'!H23</f>
        <v>740</v>
      </c>
      <c r="O6" s="288">
        <f>'# of Students'!I23</f>
        <v>735</v>
      </c>
    </row>
    <row r="7" spans="2:15" ht="12.75" customHeight="1" x14ac:dyDescent="0.2">
      <c r="B7" s="100"/>
      <c r="C7" s="100"/>
      <c r="D7" s="100"/>
      <c r="E7" s="100"/>
      <c r="F7" s="100"/>
      <c r="G7" s="100"/>
      <c r="H7" s="112" t="s">
        <v>804</v>
      </c>
      <c r="I7" s="288"/>
      <c r="J7" s="288"/>
      <c r="K7" s="288"/>
      <c r="L7" s="288"/>
      <c r="M7" s="288"/>
      <c r="N7" s="288"/>
      <c r="O7" s="288"/>
    </row>
    <row r="8" spans="2:15" ht="51" customHeight="1" x14ac:dyDescent="0.2">
      <c r="B8" s="81"/>
      <c r="C8" s="106" t="s">
        <v>117</v>
      </c>
      <c r="D8" s="106" t="s">
        <v>128</v>
      </c>
      <c r="E8" s="106" t="s">
        <v>129</v>
      </c>
      <c r="F8" s="106" t="s">
        <v>119</v>
      </c>
      <c r="G8" s="106" t="s">
        <v>120</v>
      </c>
      <c r="H8" s="106" t="s">
        <v>121</v>
      </c>
      <c r="I8" s="291" t="str">
        <f>'# of Students'!C6</f>
        <v>FY2122</v>
      </c>
      <c r="J8" s="291" t="str">
        <f>'# of Students'!D6</f>
        <v>FY2223</v>
      </c>
      <c r="K8" s="291" t="str">
        <f>'# of Students'!E6</f>
        <v>FY2324</v>
      </c>
      <c r="L8" s="291" t="str">
        <f>'# of Students'!F6</f>
        <v>FY2425</v>
      </c>
      <c r="M8" s="291" t="str">
        <f>'# of Students'!G6</f>
        <v>FY2526</v>
      </c>
      <c r="N8" s="291" t="str">
        <f>'# of Students'!H6</f>
        <v>FY2627</v>
      </c>
      <c r="O8" s="291" t="str">
        <f>'# of Students'!I6</f>
        <v>FY2728</v>
      </c>
    </row>
    <row r="9" spans="2:15" ht="12.75" customHeight="1" x14ac:dyDescent="0.2">
      <c r="B9" s="82" t="s">
        <v>1110</v>
      </c>
      <c r="C9" s="101">
        <v>100</v>
      </c>
      <c r="D9" s="102" t="s">
        <v>130</v>
      </c>
      <c r="E9" s="103">
        <v>3110</v>
      </c>
      <c r="F9" s="107"/>
      <c r="G9" s="108"/>
      <c r="H9" s="109"/>
      <c r="I9" s="538">
        <f>PCFP!B13+PCFP!B36</f>
        <v>3212754</v>
      </c>
      <c r="J9" s="538">
        <f>PCFP!C13</f>
        <v>4292730</v>
      </c>
      <c r="K9" s="538">
        <f>PCFP!D13</f>
        <v>4817397</v>
      </c>
      <c r="L9" s="538">
        <f>PCFP!E13</f>
        <v>5239845.66</v>
      </c>
      <c r="M9" s="538">
        <f>PCFP!F13</f>
        <v>5556856.3224300006</v>
      </c>
      <c r="N9" s="538">
        <f>PCFP!G13</f>
        <v>5650604.6467812005</v>
      </c>
      <c r="O9" s="538">
        <f>PCFP!H13</f>
        <v>5668549.1345108431</v>
      </c>
    </row>
    <row r="10" spans="2:15" ht="12.75" customHeight="1" x14ac:dyDescent="0.2">
      <c r="B10" s="82" t="s">
        <v>131</v>
      </c>
      <c r="C10" s="101">
        <v>250</v>
      </c>
      <c r="D10" s="102" t="s">
        <v>132</v>
      </c>
      <c r="E10" s="101">
        <v>3270</v>
      </c>
      <c r="F10" s="107"/>
      <c r="G10" s="108"/>
      <c r="H10" s="109"/>
      <c r="I10" s="538">
        <f>PCFP!B50</f>
        <v>281269.72007736948</v>
      </c>
      <c r="J10" s="543">
        <f>PCFP!C50</f>
        <v>281269.72007736948</v>
      </c>
      <c r="K10" s="543">
        <f>PCFP!D50</f>
        <v>313985.82962321083</v>
      </c>
      <c r="L10" s="543">
        <f>PCFP!E50</f>
        <v>349869.92443729209</v>
      </c>
      <c r="M10" s="543">
        <f>PCFP!F50</f>
        <v>376782.99554785306</v>
      </c>
      <c r="N10" s="543">
        <f>PCFP!G50</f>
        <v>418647.77283094783</v>
      </c>
      <c r="O10" s="543">
        <f>PCFP!H50</f>
        <v>421638.11406545457</v>
      </c>
    </row>
    <row r="11" spans="2:15" ht="12.75" customHeight="1" x14ac:dyDescent="0.2">
      <c r="B11" s="82" t="s">
        <v>1108</v>
      </c>
      <c r="C11" s="101">
        <v>250</v>
      </c>
      <c r="D11" s="102" t="s">
        <v>756</v>
      </c>
      <c r="E11" s="101">
        <v>3115</v>
      </c>
      <c r="F11" s="107"/>
      <c r="G11" s="108"/>
      <c r="H11" s="109"/>
      <c r="I11" s="12">
        <f>PCFP!B33</f>
        <v>11843.870427440739</v>
      </c>
      <c r="J11" s="12">
        <f>PCFP!C33</f>
        <v>11843.870427440739</v>
      </c>
      <c r="K11" s="12">
        <f>PCFP!D33</f>
        <v>11843.870427440739</v>
      </c>
      <c r="L11" s="12">
        <f>PCFP!E33</f>
        <v>11843.870427440739</v>
      </c>
      <c r="M11" s="12">
        <f>PCFP!F33</f>
        <v>11843.870427440739</v>
      </c>
      <c r="N11" s="12">
        <f>PCFP!G33</f>
        <v>11843.870427440739</v>
      </c>
      <c r="O11" s="12">
        <f>PCFP!H33</f>
        <v>11843.870427440739</v>
      </c>
    </row>
    <row r="12" spans="2:15" ht="12.75" customHeight="1" x14ac:dyDescent="0.2">
      <c r="B12" s="82" t="s">
        <v>1105</v>
      </c>
      <c r="C12" s="101">
        <v>206</v>
      </c>
      <c r="D12" s="102" t="s">
        <v>757</v>
      </c>
      <c r="E12" s="101">
        <v>3254</v>
      </c>
      <c r="F12" s="107"/>
      <c r="G12" s="108"/>
      <c r="H12" s="109"/>
      <c r="I12" s="12">
        <f>PCFP!B30</f>
        <v>44134.764409989715</v>
      </c>
      <c r="J12" s="12">
        <f>PCFP!C30</f>
        <v>55964.68</v>
      </c>
      <c r="K12" s="12">
        <f>PCFP!D30</f>
        <v>75716.92</v>
      </c>
      <c r="L12" s="12">
        <f>PCFP!E30</f>
        <v>80654.98</v>
      </c>
      <c r="M12" s="12">
        <f>PCFP!F30</f>
        <v>83947.02</v>
      </c>
      <c r="N12" s="12">
        <f>PCFP!G30</f>
        <v>85593.04</v>
      </c>
      <c r="O12" s="12">
        <f>PCFP!H30</f>
        <v>83947.02</v>
      </c>
    </row>
    <row r="13" spans="2:15" ht="12.75" customHeight="1" x14ac:dyDescent="0.2">
      <c r="B13" s="82" t="s">
        <v>1106</v>
      </c>
      <c r="C13" s="101">
        <v>208</v>
      </c>
      <c r="D13" s="102" t="s">
        <v>758</v>
      </c>
      <c r="E13" s="101">
        <v>3255</v>
      </c>
      <c r="F13" s="107"/>
      <c r="G13" s="108"/>
      <c r="H13" s="109"/>
      <c r="I13" s="12">
        <f>PCFP!B31</f>
        <v>30349.870044702835</v>
      </c>
      <c r="J13" s="12">
        <f>PCFP!C31</f>
        <v>37110.15</v>
      </c>
      <c r="K13" s="12">
        <f>PCFP!D31</f>
        <v>47297.25</v>
      </c>
      <c r="L13" s="12">
        <f>PCFP!E31</f>
        <v>50935.5</v>
      </c>
      <c r="M13" s="12">
        <f>PCFP!F31</f>
        <v>53603.55</v>
      </c>
      <c r="N13" s="12">
        <f>PCFP!G31</f>
        <v>53846.100000000006</v>
      </c>
      <c r="O13" s="12">
        <f>PCFP!H31</f>
        <v>53603.55</v>
      </c>
    </row>
    <row r="14" spans="2:15" ht="12.75" customHeight="1" x14ac:dyDescent="0.2">
      <c r="B14" s="82" t="s">
        <v>134</v>
      </c>
      <c r="C14" s="101">
        <v>240</v>
      </c>
      <c r="D14" s="102" t="s">
        <v>135</v>
      </c>
      <c r="E14" s="101">
        <v>3200</v>
      </c>
      <c r="F14" s="107"/>
      <c r="G14" s="108"/>
      <c r="H14" s="109"/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</row>
    <row r="15" spans="2:15" ht="12.75" customHeight="1" x14ac:dyDescent="0.2">
      <c r="B15" s="82" t="s">
        <v>469</v>
      </c>
      <c r="C15" s="101">
        <v>240</v>
      </c>
      <c r="D15" s="102" t="s">
        <v>470</v>
      </c>
      <c r="E15" s="101">
        <v>3200</v>
      </c>
      <c r="F15" s="107"/>
      <c r="G15" s="108"/>
      <c r="H15" s="109"/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</row>
    <row r="16" spans="2:15" ht="12.75" customHeight="1" x14ac:dyDescent="0.2">
      <c r="B16" s="82" t="s">
        <v>136</v>
      </c>
      <c r="C16" s="101">
        <v>240</v>
      </c>
      <c r="D16" s="102" t="s">
        <v>137</v>
      </c>
      <c r="E16" s="101">
        <v>3200</v>
      </c>
      <c r="F16" s="107"/>
      <c r="G16" s="108"/>
      <c r="H16" s="109"/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</row>
    <row r="17" spans="2:17" ht="12.75" customHeight="1" x14ac:dyDescent="0.2">
      <c r="B17" s="82" t="s">
        <v>471</v>
      </c>
      <c r="C17" s="101">
        <v>240</v>
      </c>
      <c r="D17" s="102" t="s">
        <v>472</v>
      </c>
      <c r="E17" s="101">
        <v>3200</v>
      </c>
      <c r="F17" s="107"/>
      <c r="G17" s="108"/>
      <c r="H17" s="109"/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</row>
    <row r="18" spans="2:17" ht="12.75" customHeight="1" x14ac:dyDescent="0.2">
      <c r="B18" s="204" t="s">
        <v>138</v>
      </c>
      <c r="C18" s="83"/>
      <c r="D18" s="84"/>
      <c r="E18" s="83"/>
      <c r="F18" s="83"/>
      <c r="G18" s="85"/>
      <c r="H18" s="110"/>
      <c r="I18" s="86">
        <f t="shared" ref="I18:O18" si="0">SUM(I9:I17)</f>
        <v>3580352.2249595025</v>
      </c>
      <c r="J18" s="86">
        <f t="shared" si="0"/>
        <v>4678918.4205048103</v>
      </c>
      <c r="K18" s="86">
        <f t="shared" si="0"/>
        <v>5266240.870050652</v>
      </c>
      <c r="L18" s="86">
        <f t="shared" si="0"/>
        <v>5733149.9348647334</v>
      </c>
      <c r="M18" s="86">
        <f t="shared" si="0"/>
        <v>6083033.7584052943</v>
      </c>
      <c r="N18" s="86">
        <f t="shared" si="0"/>
        <v>6220535.4300395893</v>
      </c>
      <c r="O18" s="86">
        <f t="shared" si="0"/>
        <v>6239581.6890037376</v>
      </c>
    </row>
    <row r="19" spans="2:17" ht="12.75" customHeight="1" x14ac:dyDescent="0.2">
      <c r="B19" s="82" t="s">
        <v>376</v>
      </c>
      <c r="C19" s="101">
        <v>280</v>
      </c>
      <c r="D19" s="102">
        <v>340</v>
      </c>
      <c r="E19" s="101">
        <v>4500</v>
      </c>
      <c r="F19" s="107"/>
      <c r="G19" s="108"/>
      <c r="H19" s="109"/>
      <c r="I19" s="481">
        <v>0</v>
      </c>
      <c r="J19" s="115">
        <v>0</v>
      </c>
      <c r="K19" s="115">
        <v>0</v>
      </c>
      <c r="L19" s="115">
        <v>0</v>
      </c>
      <c r="M19" s="115">
        <v>0</v>
      </c>
      <c r="N19" s="115">
        <v>0</v>
      </c>
      <c r="O19" s="115">
        <v>0</v>
      </c>
    </row>
    <row r="20" spans="2:17" ht="12.75" customHeight="1" x14ac:dyDescent="0.2">
      <c r="B20" s="82" t="s">
        <v>139</v>
      </c>
      <c r="C20" s="101">
        <v>280</v>
      </c>
      <c r="D20" s="102">
        <v>624</v>
      </c>
      <c r="E20" s="101">
        <v>4500</v>
      </c>
      <c r="F20" s="107"/>
      <c r="G20" s="108"/>
      <c r="H20" s="109"/>
      <c r="I20" s="481">
        <v>382156</v>
      </c>
      <c r="J20" s="12">
        <f>I20</f>
        <v>382156</v>
      </c>
      <c r="K20" s="12">
        <f t="shared" ref="K20:O20" si="1">J20</f>
        <v>382156</v>
      </c>
      <c r="L20" s="12">
        <f t="shared" si="1"/>
        <v>382156</v>
      </c>
      <c r="M20" s="12">
        <f t="shared" si="1"/>
        <v>382156</v>
      </c>
      <c r="N20" s="12">
        <f t="shared" si="1"/>
        <v>382156</v>
      </c>
      <c r="O20" s="12">
        <f t="shared" si="1"/>
        <v>382156</v>
      </c>
    </row>
    <row r="21" spans="2:17" ht="12.75" customHeight="1" x14ac:dyDescent="0.2">
      <c r="B21" s="82" t="s">
        <v>140</v>
      </c>
      <c r="C21" s="101">
        <v>280</v>
      </c>
      <c r="D21" s="102">
        <v>633</v>
      </c>
      <c r="E21" s="101">
        <v>4500</v>
      </c>
      <c r="F21" s="107"/>
      <c r="G21" s="108"/>
      <c r="H21" s="109"/>
      <c r="I21" s="481">
        <v>101706</v>
      </c>
      <c r="J21" s="12">
        <f>I21</f>
        <v>101706</v>
      </c>
      <c r="K21" s="12">
        <f t="shared" ref="K21:O21" si="2">J21</f>
        <v>101706</v>
      </c>
      <c r="L21" s="12">
        <f t="shared" si="2"/>
        <v>101706</v>
      </c>
      <c r="M21" s="12">
        <f t="shared" si="2"/>
        <v>101706</v>
      </c>
      <c r="N21" s="12">
        <f t="shared" si="2"/>
        <v>101706</v>
      </c>
      <c r="O21" s="12">
        <f t="shared" si="2"/>
        <v>101706</v>
      </c>
    </row>
    <row r="22" spans="2:17" ht="12.75" customHeight="1" x14ac:dyDescent="0.2">
      <c r="B22" s="82" t="s">
        <v>141</v>
      </c>
      <c r="C22" s="101">
        <v>280</v>
      </c>
      <c r="D22" s="102">
        <v>639</v>
      </c>
      <c r="E22" s="101">
        <v>4500</v>
      </c>
      <c r="F22" s="107"/>
      <c r="G22" s="108"/>
      <c r="H22" s="109"/>
      <c r="I22" s="301">
        <v>119918</v>
      </c>
      <c r="J22" s="301">
        <f>PCFP!C52</f>
        <v>119918</v>
      </c>
      <c r="K22" s="301">
        <f>PCFP!D52</f>
        <v>132540.94736842107</v>
      </c>
      <c r="L22" s="301">
        <f>PCFP!E52</f>
        <v>147688.48421052631</v>
      </c>
      <c r="M22" s="301">
        <f>PCFP!F52</f>
        <v>159049.13684210528</v>
      </c>
      <c r="N22" s="301">
        <f>PCFP!G52</f>
        <v>176721.26315789475</v>
      </c>
      <c r="O22" s="301">
        <f>PCFP!H52</f>
        <v>177983.55789473685</v>
      </c>
    </row>
    <row r="23" spans="2:17" ht="12.75" customHeight="1" x14ac:dyDescent="0.2">
      <c r="B23" s="82" t="s">
        <v>880</v>
      </c>
      <c r="C23" s="101">
        <v>280</v>
      </c>
      <c r="D23" s="102">
        <v>650</v>
      </c>
      <c r="E23" s="101">
        <v>4500</v>
      </c>
      <c r="F23" s="107"/>
      <c r="G23" s="108"/>
      <c r="H23" s="109"/>
      <c r="I23" s="817">
        <v>0</v>
      </c>
      <c r="J23" s="817">
        <v>0</v>
      </c>
      <c r="K23" s="817">
        <v>0</v>
      </c>
      <c r="L23" s="817">
        <v>0</v>
      </c>
      <c r="M23" s="817">
        <v>0</v>
      </c>
      <c r="N23" s="817">
        <v>0</v>
      </c>
      <c r="O23" s="817">
        <v>0</v>
      </c>
    </row>
    <row r="24" spans="2:17" ht="12.75" customHeight="1" x14ac:dyDescent="0.2">
      <c r="B24" s="82" t="s">
        <v>379</v>
      </c>
      <c r="C24" s="101">
        <v>280</v>
      </c>
      <c r="D24" s="102">
        <v>658</v>
      </c>
      <c r="E24" s="101">
        <v>4500</v>
      </c>
      <c r="F24" s="107"/>
      <c r="G24" s="108"/>
      <c r="H24" s="109"/>
      <c r="I24" s="367">
        <v>6683</v>
      </c>
      <c r="J24" s="12">
        <f>I24</f>
        <v>6683</v>
      </c>
      <c r="K24" s="12">
        <f t="shared" ref="K24:O24" si="3">J24</f>
        <v>6683</v>
      </c>
      <c r="L24" s="12">
        <f t="shared" si="3"/>
        <v>6683</v>
      </c>
      <c r="M24" s="12">
        <f t="shared" si="3"/>
        <v>6683</v>
      </c>
      <c r="N24" s="12">
        <f t="shared" si="3"/>
        <v>6683</v>
      </c>
      <c r="O24" s="12">
        <f t="shared" si="3"/>
        <v>6683</v>
      </c>
      <c r="Q24" s="355"/>
    </row>
    <row r="25" spans="2:17" ht="12.75" customHeight="1" x14ac:dyDescent="0.2">
      <c r="B25" s="82" t="s">
        <v>922</v>
      </c>
      <c r="C25" s="101">
        <v>280</v>
      </c>
      <c r="D25" s="102">
        <v>661</v>
      </c>
      <c r="E25" s="101">
        <v>4500</v>
      </c>
      <c r="F25" s="107"/>
      <c r="G25" s="108"/>
      <c r="H25" s="109"/>
      <c r="I25" s="367">
        <f>1500000-373261.55-J25</f>
        <v>781732.36142455798</v>
      </c>
      <c r="J25" s="301">
        <v>345006.08857544197</v>
      </c>
      <c r="K25" s="301">
        <v>0</v>
      </c>
      <c r="L25" s="301">
        <v>0</v>
      </c>
      <c r="M25" s="301">
        <v>0</v>
      </c>
      <c r="N25" s="301">
        <v>0</v>
      </c>
      <c r="O25" s="301">
        <v>0</v>
      </c>
      <c r="Q25" s="355">
        <f>+I25+J25+373261.55</f>
        <v>1500000</v>
      </c>
    </row>
    <row r="26" spans="2:17" ht="12.75" customHeight="1" x14ac:dyDescent="0.2">
      <c r="B26" s="82" t="s">
        <v>1041</v>
      </c>
      <c r="C26" s="101">
        <v>280</v>
      </c>
      <c r="D26" s="102" t="s">
        <v>1042</v>
      </c>
      <c r="E26" s="101">
        <v>4500</v>
      </c>
      <c r="F26" s="107"/>
      <c r="G26" s="108"/>
      <c r="H26" s="109"/>
      <c r="I26" s="367">
        <v>9280</v>
      </c>
      <c r="J26" s="301">
        <v>0</v>
      </c>
      <c r="K26" s="301">
        <v>0</v>
      </c>
      <c r="L26" s="301">
        <v>0</v>
      </c>
      <c r="M26" s="301">
        <v>0</v>
      </c>
      <c r="N26" s="301">
        <v>0</v>
      </c>
      <c r="O26" s="301">
        <v>0</v>
      </c>
      <c r="Q26" s="355"/>
    </row>
    <row r="27" spans="2:17" ht="12.75" customHeight="1" x14ac:dyDescent="0.2">
      <c r="B27" s="82" t="s">
        <v>142</v>
      </c>
      <c r="C27" s="101">
        <v>280</v>
      </c>
      <c r="D27" s="102">
        <v>709</v>
      </c>
      <c r="E27" s="101">
        <v>4500</v>
      </c>
      <c r="F27" s="107"/>
      <c r="G27" s="108"/>
      <c r="H27" s="109"/>
      <c r="I27" s="481">
        <v>27650</v>
      </c>
      <c r="J27" s="12">
        <f>I27</f>
        <v>27650</v>
      </c>
      <c r="K27" s="12">
        <f t="shared" ref="K27:O27" si="4">J27</f>
        <v>27650</v>
      </c>
      <c r="L27" s="12">
        <f t="shared" si="4"/>
        <v>27650</v>
      </c>
      <c r="M27" s="12">
        <f t="shared" si="4"/>
        <v>27650</v>
      </c>
      <c r="N27" s="12">
        <f t="shared" si="4"/>
        <v>27650</v>
      </c>
      <c r="O27" s="12">
        <f t="shared" si="4"/>
        <v>27650</v>
      </c>
    </row>
    <row r="28" spans="2:17" ht="12.75" customHeight="1" x14ac:dyDescent="0.2">
      <c r="B28" s="82" t="s">
        <v>377</v>
      </c>
      <c r="C28" s="101">
        <v>280</v>
      </c>
      <c r="D28" s="102">
        <v>715</v>
      </c>
      <c r="E28" s="101">
        <v>4500</v>
      </c>
      <c r="F28" s="107"/>
      <c r="G28" s="108"/>
      <c r="H28" s="109"/>
      <c r="I28" s="367">
        <v>11644</v>
      </c>
      <c r="J28" s="12">
        <f>I28</f>
        <v>11644</v>
      </c>
      <c r="K28" s="12">
        <f t="shared" ref="K28:O28" si="5">J28</f>
        <v>11644</v>
      </c>
      <c r="L28" s="12">
        <f t="shared" si="5"/>
        <v>11644</v>
      </c>
      <c r="M28" s="12">
        <f t="shared" si="5"/>
        <v>11644</v>
      </c>
      <c r="N28" s="12">
        <f t="shared" si="5"/>
        <v>11644</v>
      </c>
      <c r="O28" s="12">
        <f t="shared" si="5"/>
        <v>11644</v>
      </c>
    </row>
    <row r="29" spans="2:17" ht="12.75" customHeight="1" x14ac:dyDescent="0.2">
      <c r="B29" s="82" t="s">
        <v>555</v>
      </c>
      <c r="C29" s="101">
        <v>280</v>
      </c>
      <c r="D29" s="102">
        <v>729</v>
      </c>
      <c r="E29" s="101">
        <v>4500</v>
      </c>
      <c r="F29" s="107"/>
      <c r="G29" s="108"/>
      <c r="H29" s="109"/>
      <c r="I29" s="367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</row>
    <row r="30" spans="2:17" ht="12.75" customHeight="1" x14ac:dyDescent="0.2">
      <c r="B30" s="82" t="s">
        <v>378</v>
      </c>
      <c r="C30" s="101">
        <v>280</v>
      </c>
      <c r="D30" s="102">
        <v>740</v>
      </c>
      <c r="E30" s="101">
        <v>4500</v>
      </c>
      <c r="F30" s="107"/>
      <c r="G30" s="108"/>
      <c r="H30" s="109"/>
      <c r="I30" s="481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</row>
    <row r="31" spans="2:17" ht="12.75" customHeight="1" x14ac:dyDescent="0.2">
      <c r="B31" s="82" t="s">
        <v>998</v>
      </c>
      <c r="C31" s="101">
        <v>280</v>
      </c>
      <c r="D31" s="102" t="s">
        <v>1030</v>
      </c>
      <c r="E31" s="101">
        <v>4500</v>
      </c>
      <c r="F31" s="107"/>
      <c r="G31" s="108"/>
      <c r="H31" s="109"/>
      <c r="I31" s="481">
        <v>157511.79999999999</v>
      </c>
      <c r="J31" s="481">
        <v>0</v>
      </c>
      <c r="K31" s="481">
        <v>0</v>
      </c>
      <c r="L31" s="481">
        <v>0</v>
      </c>
      <c r="M31" s="481">
        <v>0</v>
      </c>
      <c r="N31" s="481">
        <v>0</v>
      </c>
      <c r="O31" s="481">
        <v>0</v>
      </c>
    </row>
    <row r="32" spans="2:17" ht="12.75" customHeight="1" x14ac:dyDescent="0.2">
      <c r="B32" s="82" t="s">
        <v>1034</v>
      </c>
      <c r="C32" s="101">
        <v>280</v>
      </c>
      <c r="D32" s="102" t="s">
        <v>1035</v>
      </c>
      <c r="E32" s="101">
        <v>4500</v>
      </c>
      <c r="F32" s="107"/>
      <c r="G32" s="108"/>
      <c r="H32" s="109"/>
      <c r="I32" s="481">
        <v>0</v>
      </c>
      <c r="J32" s="481">
        <v>267545.73938045162</v>
      </c>
      <c r="K32" s="481">
        <v>0</v>
      </c>
      <c r="L32" s="481">
        <v>0</v>
      </c>
      <c r="M32" s="481">
        <v>0</v>
      </c>
      <c r="N32" s="481">
        <v>0</v>
      </c>
      <c r="O32" s="481">
        <v>0</v>
      </c>
    </row>
    <row r="33" spans="2:17" ht="12.75" customHeight="1" x14ac:dyDescent="0.2">
      <c r="B33" s="82" t="s">
        <v>1027</v>
      </c>
      <c r="C33" s="101">
        <v>280</v>
      </c>
      <c r="D33" s="102" t="s">
        <v>1031</v>
      </c>
      <c r="E33" s="101">
        <v>4500</v>
      </c>
      <c r="F33" s="107"/>
      <c r="G33" s="108"/>
      <c r="H33" s="109"/>
      <c r="I33" s="481">
        <v>5688</v>
      </c>
      <c r="J33" s="481">
        <v>0</v>
      </c>
      <c r="K33" s="481">
        <v>0</v>
      </c>
      <c r="L33" s="481">
        <v>0</v>
      </c>
      <c r="M33" s="481">
        <v>0</v>
      </c>
      <c r="N33" s="481">
        <v>0</v>
      </c>
      <c r="O33" s="481">
        <v>0</v>
      </c>
    </row>
    <row r="34" spans="2:17" ht="12.75" customHeight="1" x14ac:dyDescent="0.2">
      <c r="B34" s="82" t="s">
        <v>1028</v>
      </c>
      <c r="C34" s="101">
        <v>280</v>
      </c>
      <c r="D34" s="102" t="s">
        <v>1032</v>
      </c>
      <c r="E34" s="101">
        <v>4500</v>
      </c>
      <c r="F34" s="107"/>
      <c r="G34" s="108"/>
      <c r="H34" s="109"/>
      <c r="I34" s="481">
        <v>10970</v>
      </c>
      <c r="J34" s="481">
        <v>0</v>
      </c>
      <c r="K34" s="481">
        <v>0</v>
      </c>
      <c r="L34" s="481">
        <v>0</v>
      </c>
      <c r="M34" s="481">
        <v>0</v>
      </c>
      <c r="N34" s="481">
        <v>0</v>
      </c>
      <c r="O34" s="481">
        <v>0</v>
      </c>
    </row>
    <row r="35" spans="2:17" ht="12.75" customHeight="1" x14ac:dyDescent="0.2">
      <c r="B35" s="82" t="s">
        <v>1029</v>
      </c>
      <c r="C35" s="101">
        <v>280</v>
      </c>
      <c r="D35" s="102" t="s">
        <v>1033</v>
      </c>
      <c r="E35" s="101">
        <v>4500</v>
      </c>
      <c r="F35" s="107"/>
      <c r="G35" s="108"/>
      <c r="H35" s="109"/>
      <c r="I35" s="481">
        <v>2368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</row>
    <row r="36" spans="2:17" ht="12.75" customHeight="1" x14ac:dyDescent="0.2">
      <c r="B36" s="82" t="s">
        <v>893</v>
      </c>
      <c r="C36" s="101">
        <v>280</v>
      </c>
      <c r="D36" s="102">
        <v>749</v>
      </c>
      <c r="E36" s="101">
        <v>4500</v>
      </c>
      <c r="F36" s="107"/>
      <c r="G36" s="108"/>
      <c r="H36" s="109"/>
      <c r="I36" s="481">
        <v>91.31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</row>
    <row r="37" spans="2:17" ht="12.75" customHeight="1" x14ac:dyDescent="0.2">
      <c r="B37" s="82" t="s">
        <v>516</v>
      </c>
      <c r="C37" s="101">
        <v>280</v>
      </c>
      <c r="D37" s="104" t="s">
        <v>145</v>
      </c>
      <c r="E37" s="101">
        <v>4703</v>
      </c>
      <c r="F37" s="107"/>
      <c r="G37" s="108"/>
      <c r="H37" s="109"/>
      <c r="I37" s="481">
        <v>4831.9999999999991</v>
      </c>
      <c r="J37" s="12">
        <f>I37</f>
        <v>4831.9999999999991</v>
      </c>
      <c r="K37" s="12">
        <f t="shared" ref="K37:O37" si="6">J37</f>
        <v>4831.9999999999991</v>
      </c>
      <c r="L37" s="12">
        <f t="shared" si="6"/>
        <v>4831.9999999999991</v>
      </c>
      <c r="M37" s="12">
        <f t="shared" si="6"/>
        <v>4831.9999999999991</v>
      </c>
      <c r="N37" s="12">
        <f t="shared" si="6"/>
        <v>4831.9999999999991</v>
      </c>
      <c r="O37" s="12">
        <f t="shared" si="6"/>
        <v>4831.9999999999991</v>
      </c>
      <c r="Q37" s="355"/>
    </row>
    <row r="38" spans="2:17" ht="12.75" customHeight="1" x14ac:dyDescent="0.2">
      <c r="B38" s="204" t="s">
        <v>143</v>
      </c>
      <c r="C38" s="83"/>
      <c r="D38" s="84"/>
      <c r="E38" s="83"/>
      <c r="F38" s="83"/>
      <c r="G38" s="85"/>
      <c r="H38" s="110"/>
      <c r="I38" s="86">
        <f t="shared" ref="I38:O38" si="7">SUM(I19:I37)</f>
        <v>1622230.471424558</v>
      </c>
      <c r="J38" s="86">
        <f t="shared" si="7"/>
        <v>1267140.8279558937</v>
      </c>
      <c r="K38" s="86">
        <f t="shared" si="7"/>
        <v>667211.94736842113</v>
      </c>
      <c r="L38" s="86">
        <f t="shared" si="7"/>
        <v>682359.48421052634</v>
      </c>
      <c r="M38" s="86">
        <f t="shared" si="7"/>
        <v>693720.1368421053</v>
      </c>
      <c r="N38" s="86">
        <f t="shared" si="7"/>
        <v>711392.26315789472</v>
      </c>
      <c r="O38" s="86">
        <f t="shared" si="7"/>
        <v>712654.55789473688</v>
      </c>
      <c r="Q38" s="355"/>
    </row>
    <row r="39" spans="2:17" ht="12.75" customHeight="1" x14ac:dyDescent="0.2">
      <c r="B39" s="82" t="s">
        <v>1203</v>
      </c>
      <c r="C39" s="101">
        <v>100</v>
      </c>
      <c r="D39" s="102" t="s">
        <v>145</v>
      </c>
      <c r="E39" s="103" t="s">
        <v>1202</v>
      </c>
      <c r="F39" s="107"/>
      <c r="G39" s="108"/>
      <c r="H39" s="109"/>
      <c r="I39" s="713">
        <v>2575.94</v>
      </c>
      <c r="J39" s="12"/>
      <c r="K39" s="12"/>
      <c r="L39" s="12"/>
      <c r="M39" s="12"/>
      <c r="N39" s="12"/>
      <c r="O39" s="12"/>
    </row>
    <row r="40" spans="2:17" ht="12.75" customHeight="1" x14ac:dyDescent="0.2">
      <c r="B40" s="82" t="s">
        <v>144</v>
      </c>
      <c r="C40" s="101">
        <v>100</v>
      </c>
      <c r="D40" s="102" t="s">
        <v>145</v>
      </c>
      <c r="E40" s="103">
        <v>1510</v>
      </c>
      <c r="F40" s="107"/>
      <c r="G40" s="108"/>
      <c r="H40" s="109"/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</row>
    <row r="41" spans="2:17" ht="12.75" customHeight="1" x14ac:dyDescent="0.2">
      <c r="B41" s="82" t="s">
        <v>1040</v>
      </c>
      <c r="C41" s="101">
        <v>300</v>
      </c>
      <c r="D41" s="102" t="s">
        <v>145</v>
      </c>
      <c r="E41" s="103">
        <v>1510</v>
      </c>
      <c r="F41" s="107"/>
      <c r="G41" s="108"/>
      <c r="H41" s="109"/>
      <c r="I41" s="12">
        <v>0</v>
      </c>
      <c r="J41" s="481">
        <v>0</v>
      </c>
      <c r="K41" s="481">
        <v>0</v>
      </c>
      <c r="L41" s="481">
        <v>0</v>
      </c>
      <c r="M41" s="481">
        <v>0</v>
      </c>
      <c r="N41" s="481">
        <v>0</v>
      </c>
      <c r="O41" s="481">
        <v>0</v>
      </c>
    </row>
    <row r="42" spans="2:17" ht="12.75" customHeight="1" x14ac:dyDescent="0.2">
      <c r="B42" s="82" t="s">
        <v>1037</v>
      </c>
      <c r="C42" s="101">
        <v>100</v>
      </c>
      <c r="D42" s="104" t="s">
        <v>145</v>
      </c>
      <c r="E42" s="103" t="s">
        <v>1036</v>
      </c>
      <c r="F42" s="107"/>
      <c r="G42" s="108"/>
      <c r="H42" s="109"/>
      <c r="I42" s="12">
        <v>0</v>
      </c>
      <c r="J42" s="481">
        <v>0</v>
      </c>
      <c r="K42" s="481">
        <v>0</v>
      </c>
      <c r="L42" s="481">
        <v>0</v>
      </c>
      <c r="M42" s="481">
        <v>0</v>
      </c>
      <c r="N42" s="481">
        <v>0</v>
      </c>
      <c r="O42" s="481">
        <v>0</v>
      </c>
    </row>
    <row r="43" spans="2:17" ht="12.75" customHeight="1" x14ac:dyDescent="0.2">
      <c r="B43" s="82" t="s">
        <v>1039</v>
      </c>
      <c r="C43" s="101">
        <v>100</v>
      </c>
      <c r="D43" s="104" t="s">
        <v>145</v>
      </c>
      <c r="E43" s="103" t="s">
        <v>1038</v>
      </c>
      <c r="F43" s="107"/>
      <c r="G43" s="108"/>
      <c r="H43" s="109"/>
      <c r="I43" s="12">
        <v>0</v>
      </c>
      <c r="J43" s="481">
        <v>0</v>
      </c>
      <c r="K43" s="481">
        <v>0</v>
      </c>
      <c r="L43" s="481">
        <v>0</v>
      </c>
      <c r="M43" s="481">
        <v>0</v>
      </c>
      <c r="N43" s="481">
        <v>0</v>
      </c>
      <c r="O43" s="481">
        <v>0</v>
      </c>
    </row>
    <row r="44" spans="2:17" ht="12.75" customHeight="1" x14ac:dyDescent="0.2">
      <c r="B44" s="82" t="s">
        <v>146</v>
      </c>
      <c r="C44" s="101">
        <v>100</v>
      </c>
      <c r="D44" s="104" t="s">
        <v>145</v>
      </c>
      <c r="E44" s="103">
        <v>1740</v>
      </c>
      <c r="F44" s="107"/>
      <c r="G44" s="108"/>
      <c r="H44" s="109"/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</row>
    <row r="45" spans="2:17" ht="12.75" customHeight="1" x14ac:dyDescent="0.2">
      <c r="B45" s="88" t="s">
        <v>147</v>
      </c>
      <c r="C45" s="101">
        <v>100</v>
      </c>
      <c r="D45" s="102" t="s">
        <v>145</v>
      </c>
      <c r="E45" s="101">
        <v>1790</v>
      </c>
      <c r="F45" s="107"/>
      <c r="G45" s="108"/>
      <c r="H45" s="109"/>
      <c r="I45" s="12">
        <v>500</v>
      </c>
      <c r="J45" s="12">
        <v>500</v>
      </c>
      <c r="K45" s="12">
        <f t="shared" ref="K45:O45" si="8">J45</f>
        <v>500</v>
      </c>
      <c r="L45" s="12">
        <f t="shared" si="8"/>
        <v>500</v>
      </c>
      <c r="M45" s="12">
        <f t="shared" si="8"/>
        <v>500</v>
      </c>
      <c r="N45" s="12">
        <f t="shared" si="8"/>
        <v>500</v>
      </c>
      <c r="O45" s="12">
        <f t="shared" si="8"/>
        <v>500</v>
      </c>
    </row>
    <row r="46" spans="2:17" ht="12.75" customHeight="1" x14ac:dyDescent="0.2">
      <c r="B46" s="88" t="s">
        <v>381</v>
      </c>
      <c r="C46" s="101">
        <v>279</v>
      </c>
      <c r="D46" s="102" t="s">
        <v>145</v>
      </c>
      <c r="E46" s="101">
        <v>1790</v>
      </c>
      <c r="F46" s="107"/>
      <c r="G46" s="108"/>
      <c r="H46" s="109"/>
      <c r="I46" s="12">
        <v>2393</v>
      </c>
      <c r="J46" s="12">
        <f t="shared" ref="J46:O46" si="9">I46</f>
        <v>2393</v>
      </c>
      <c r="K46" s="12">
        <f t="shared" si="9"/>
        <v>2393</v>
      </c>
      <c r="L46" s="12">
        <f t="shared" si="9"/>
        <v>2393</v>
      </c>
      <c r="M46" s="12">
        <f t="shared" si="9"/>
        <v>2393</v>
      </c>
      <c r="N46" s="12">
        <f t="shared" si="9"/>
        <v>2393</v>
      </c>
      <c r="O46" s="12">
        <f t="shared" si="9"/>
        <v>2393</v>
      </c>
    </row>
    <row r="47" spans="2:17" ht="12.75" customHeight="1" x14ac:dyDescent="0.2">
      <c r="B47" s="88" t="s">
        <v>380</v>
      </c>
      <c r="C47" s="101">
        <v>100</v>
      </c>
      <c r="D47" s="102" t="s">
        <v>145</v>
      </c>
      <c r="E47" s="101">
        <v>1900</v>
      </c>
      <c r="F47" s="107"/>
      <c r="G47" s="108"/>
      <c r="H47" s="109"/>
      <c r="I47" s="12">
        <v>1708.13</v>
      </c>
      <c r="J47" s="12">
        <v>0</v>
      </c>
      <c r="K47" s="12">
        <f t="shared" ref="K47:O51" si="10">J47</f>
        <v>0</v>
      </c>
      <c r="L47" s="12">
        <f t="shared" si="10"/>
        <v>0</v>
      </c>
      <c r="M47" s="12">
        <f t="shared" si="10"/>
        <v>0</v>
      </c>
      <c r="N47" s="12">
        <f t="shared" si="10"/>
        <v>0</v>
      </c>
      <c r="O47" s="12">
        <f t="shared" si="10"/>
        <v>0</v>
      </c>
    </row>
    <row r="48" spans="2:17" ht="12.75" customHeight="1" x14ac:dyDescent="0.2">
      <c r="B48" s="82" t="s">
        <v>148</v>
      </c>
      <c r="C48" s="101">
        <v>260</v>
      </c>
      <c r="D48" s="104" t="s">
        <v>145</v>
      </c>
      <c r="E48" s="101">
        <v>1920</v>
      </c>
      <c r="F48" s="107"/>
      <c r="G48" s="108"/>
      <c r="H48" s="109"/>
      <c r="I48" s="12">
        <v>0</v>
      </c>
      <c r="J48" s="12">
        <v>0</v>
      </c>
      <c r="K48" s="12">
        <f t="shared" si="10"/>
        <v>0</v>
      </c>
      <c r="L48" s="12">
        <f t="shared" si="10"/>
        <v>0</v>
      </c>
      <c r="M48" s="12">
        <f t="shared" si="10"/>
        <v>0</v>
      </c>
      <c r="N48" s="12">
        <f t="shared" si="10"/>
        <v>0</v>
      </c>
      <c r="O48" s="12">
        <f t="shared" si="10"/>
        <v>0</v>
      </c>
    </row>
    <row r="49" spans="2:15" ht="12.75" customHeight="1" x14ac:dyDescent="0.2">
      <c r="B49" s="88" t="s">
        <v>1061</v>
      </c>
      <c r="C49" s="101">
        <v>100</v>
      </c>
      <c r="D49" s="102" t="s">
        <v>145</v>
      </c>
      <c r="E49" s="101">
        <v>1980</v>
      </c>
      <c r="F49" s="107"/>
      <c r="G49" s="108"/>
      <c r="H49" s="109"/>
      <c r="I49" s="12">
        <v>2692.03</v>
      </c>
      <c r="J49" s="12">
        <v>0</v>
      </c>
      <c r="K49" s="12">
        <f t="shared" si="10"/>
        <v>0</v>
      </c>
      <c r="L49" s="12">
        <f t="shared" si="10"/>
        <v>0</v>
      </c>
      <c r="M49" s="12">
        <f t="shared" si="10"/>
        <v>0</v>
      </c>
      <c r="N49" s="12">
        <f t="shared" si="10"/>
        <v>0</v>
      </c>
      <c r="O49" s="12">
        <f t="shared" si="10"/>
        <v>0</v>
      </c>
    </row>
    <row r="50" spans="2:15" ht="12.75" customHeight="1" x14ac:dyDescent="0.2">
      <c r="B50" s="88" t="s">
        <v>1060</v>
      </c>
      <c r="C50" s="101">
        <v>250</v>
      </c>
      <c r="D50" s="102" t="s">
        <v>132</v>
      </c>
      <c r="E50" s="101">
        <v>5200</v>
      </c>
      <c r="F50" s="107"/>
      <c r="G50" s="108"/>
      <c r="H50" s="109"/>
      <c r="I50" s="12">
        <v>0</v>
      </c>
      <c r="J50" s="12">
        <v>0</v>
      </c>
      <c r="K50" s="12">
        <f t="shared" ref="K50" si="11">J50</f>
        <v>0</v>
      </c>
      <c r="L50" s="12">
        <f t="shared" ref="L50" si="12">K50</f>
        <v>0</v>
      </c>
      <c r="M50" s="12">
        <f t="shared" ref="M50" si="13">L50</f>
        <v>0</v>
      </c>
      <c r="N50" s="12">
        <f t="shared" ref="N50" si="14">M50</f>
        <v>0</v>
      </c>
      <c r="O50" s="12">
        <f t="shared" ref="O50" si="15">N50</f>
        <v>0</v>
      </c>
    </row>
    <row r="51" spans="2:15" ht="12.75" customHeight="1" x14ac:dyDescent="0.2">
      <c r="B51" s="88" t="s">
        <v>815</v>
      </c>
      <c r="C51" s="101">
        <v>300</v>
      </c>
      <c r="D51" s="104" t="s">
        <v>145</v>
      </c>
      <c r="E51" s="101">
        <v>5200</v>
      </c>
      <c r="F51" s="107"/>
      <c r="G51" s="108"/>
      <c r="H51" s="109"/>
      <c r="I51" s="12">
        <v>1559311.38</v>
      </c>
      <c r="J51" s="12">
        <v>0</v>
      </c>
      <c r="K51" s="12">
        <f>J51</f>
        <v>0</v>
      </c>
      <c r="L51" s="12">
        <f t="shared" si="10"/>
        <v>0</v>
      </c>
      <c r="M51" s="12">
        <f t="shared" si="10"/>
        <v>0</v>
      </c>
      <c r="N51" s="12">
        <f t="shared" si="10"/>
        <v>0</v>
      </c>
      <c r="O51" s="12">
        <f t="shared" si="10"/>
        <v>0</v>
      </c>
    </row>
    <row r="52" spans="2:15" ht="12.75" customHeight="1" x14ac:dyDescent="0.2">
      <c r="B52" s="205" t="s">
        <v>149</v>
      </c>
      <c r="C52" s="89"/>
      <c r="D52" s="89"/>
      <c r="E52" s="89"/>
      <c r="F52" s="89"/>
      <c r="G52" s="89"/>
      <c r="H52" s="90"/>
      <c r="I52" s="86">
        <f t="shared" ref="I52:O52" si="16">SUM(I39:I51)</f>
        <v>1569180.48</v>
      </c>
      <c r="J52" s="86">
        <f t="shared" si="16"/>
        <v>2893</v>
      </c>
      <c r="K52" s="86">
        <f t="shared" si="16"/>
        <v>2893</v>
      </c>
      <c r="L52" s="86">
        <f t="shared" si="16"/>
        <v>2893</v>
      </c>
      <c r="M52" s="86">
        <f t="shared" si="16"/>
        <v>2893</v>
      </c>
      <c r="N52" s="86">
        <f t="shared" si="16"/>
        <v>2893</v>
      </c>
      <c r="O52" s="86">
        <f t="shared" si="16"/>
        <v>2893</v>
      </c>
    </row>
    <row r="53" spans="2:15" ht="12.75" customHeight="1" thickBot="1" x14ac:dyDescent="0.25">
      <c r="B53" s="206" t="s">
        <v>150</v>
      </c>
      <c r="C53" s="105"/>
      <c r="D53" s="105"/>
      <c r="E53" s="105"/>
      <c r="F53" s="105"/>
      <c r="G53" s="105"/>
      <c r="H53" s="105"/>
      <c r="I53" s="91">
        <f t="shared" ref="I53:O53" si="17">SUM(I52,I38,I18)</f>
        <v>6771763.1763840597</v>
      </c>
      <c r="J53" s="91">
        <f t="shared" si="17"/>
        <v>5948952.2484607045</v>
      </c>
      <c r="K53" s="91">
        <f t="shared" si="17"/>
        <v>5936345.8174190726</v>
      </c>
      <c r="L53" s="91">
        <f t="shared" si="17"/>
        <v>6418402.4190752599</v>
      </c>
      <c r="M53" s="91">
        <f t="shared" si="17"/>
        <v>6779646.8952473998</v>
      </c>
      <c r="N53" s="91">
        <f t="shared" si="17"/>
        <v>6934820.6931974841</v>
      </c>
      <c r="O53" s="91">
        <f t="shared" si="17"/>
        <v>6955129.2468984742</v>
      </c>
    </row>
    <row r="54" spans="2:15" ht="12.75" customHeight="1" thickTop="1" x14ac:dyDescent="0.2"/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3EDDC-D14B-446A-81D9-17E256F2DDCC}">
  <sheetPr codeName="Sheet8">
    <pageSetUpPr fitToPage="1"/>
  </sheetPr>
  <dimension ref="A1:AO550"/>
  <sheetViews>
    <sheetView workbookViewId="0">
      <pane xSplit="9" ySplit="8" topLeftCell="N9" activePane="bottomRight" state="frozen"/>
      <selection activeCell="C412" sqref="C412"/>
      <selection pane="topRight" activeCell="C412" sqref="C412"/>
      <selection pane="bottomLeft" activeCell="C412" sqref="C412"/>
      <selection pane="bottomRight" activeCell="AA413" sqref="AA413"/>
    </sheetView>
  </sheetViews>
  <sheetFormatPr defaultRowHeight="12.75" outlineLevelRow="1" x14ac:dyDescent="0.2"/>
  <cols>
    <col min="1" max="1" width="4.7109375" style="3" customWidth="1"/>
    <col min="2" max="2" width="41.140625" customWidth="1"/>
    <col min="3" max="4" width="3.7109375" customWidth="1"/>
    <col min="5" max="5" width="4.7109375" customWidth="1"/>
    <col min="6" max="6" width="3.7109375" customWidth="1"/>
    <col min="7" max="8" width="4.7109375" customWidth="1"/>
    <col min="9" max="9" width="3.7109375" customWidth="1"/>
    <col min="10" max="13" width="12.42578125" customWidth="1"/>
    <col min="14" max="14" width="13.140625" bestFit="1" customWidth="1"/>
    <col min="15" max="18" width="12.42578125" customWidth="1"/>
    <col min="19" max="19" width="13.140625" customWidth="1"/>
    <col min="20" max="22" width="12.42578125" customWidth="1"/>
    <col min="23" max="23" width="1.7109375" customWidth="1"/>
    <col min="24" max="24" width="13.5703125" customWidth="1"/>
    <col min="25" max="25" width="9.140625" style="327" customWidth="1"/>
    <col min="26" max="26" width="14.5703125" customWidth="1"/>
    <col min="27" max="28" width="13.140625" customWidth="1"/>
    <col min="29" max="29" width="11.5703125" customWidth="1"/>
    <col min="30" max="30" width="12.28515625" style="3" customWidth="1"/>
    <col min="31" max="31" width="13.140625" style="3" bestFit="1" customWidth="1"/>
    <col min="32" max="32" width="11.5703125" style="3" bestFit="1" customWidth="1"/>
    <col min="33" max="41" width="9.140625" style="3"/>
  </cols>
  <sheetData>
    <row r="1" spans="1:32" x14ac:dyDescent="0.2">
      <c r="B1" s="96" t="str">
        <f>'# of Students'!A1</f>
        <v>Beacon Academy of Nevada</v>
      </c>
      <c r="C1" s="97"/>
      <c r="D1" s="97"/>
      <c r="E1" s="97"/>
      <c r="F1" s="97"/>
      <c r="G1" s="97"/>
      <c r="H1" s="97"/>
      <c r="I1" s="97"/>
      <c r="J1" s="100" t="s">
        <v>64</v>
      </c>
      <c r="K1" s="100" t="s">
        <v>66</v>
      </c>
      <c r="L1" s="100" t="s">
        <v>69</v>
      </c>
      <c r="M1" s="100" t="s">
        <v>71</v>
      </c>
      <c r="N1" s="100" t="s">
        <v>74</v>
      </c>
      <c r="O1" s="100" t="s">
        <v>77</v>
      </c>
      <c r="P1" s="100" t="s">
        <v>79</v>
      </c>
      <c r="Q1" s="100" t="s">
        <v>82</v>
      </c>
      <c r="R1" s="100" t="s">
        <v>85</v>
      </c>
      <c r="S1" s="100" t="s">
        <v>88</v>
      </c>
      <c r="T1" s="100" t="s">
        <v>91</v>
      </c>
      <c r="U1" s="100" t="s">
        <v>94</v>
      </c>
      <c r="V1" s="100" t="s">
        <v>97</v>
      </c>
      <c r="W1" s="3"/>
      <c r="X1" s="116" t="s">
        <v>64</v>
      </c>
      <c r="Y1" s="279"/>
      <c r="Z1" s="3"/>
      <c r="AA1" s="3"/>
      <c r="AB1" s="3"/>
      <c r="AC1" s="3"/>
    </row>
    <row r="2" spans="1:32" x14ac:dyDescent="0.2">
      <c r="B2" s="96" t="s">
        <v>151</v>
      </c>
      <c r="C2" s="99"/>
      <c r="D2" s="99"/>
      <c r="E2" s="99"/>
      <c r="F2" s="99"/>
      <c r="G2" s="99"/>
      <c r="H2" s="99"/>
      <c r="I2" s="99"/>
      <c r="J2" s="357"/>
      <c r="K2" s="357"/>
      <c r="L2" s="357"/>
      <c r="M2" s="357"/>
      <c r="N2" s="99"/>
      <c r="O2" s="99"/>
      <c r="P2" s="3"/>
      <c r="Q2" s="3"/>
      <c r="R2" s="3"/>
      <c r="S2" s="3"/>
      <c r="T2" s="3"/>
      <c r="U2" s="3"/>
      <c r="V2" s="3"/>
      <c r="W2" s="3"/>
      <c r="X2" s="116" t="s">
        <v>158</v>
      </c>
      <c r="Y2" s="279"/>
      <c r="Z2" s="3"/>
      <c r="AA2" s="355"/>
      <c r="AB2" s="3"/>
      <c r="AC2" s="3"/>
    </row>
    <row r="3" spans="1:32" x14ac:dyDescent="0.2">
      <c r="B3" s="96"/>
      <c r="C3" s="99"/>
      <c r="D3" s="99"/>
      <c r="E3" s="99"/>
      <c r="F3" s="99"/>
      <c r="G3" s="99"/>
      <c r="H3" s="99"/>
      <c r="I3" s="99"/>
      <c r="J3" s="357"/>
      <c r="K3" s="357"/>
      <c r="L3" s="357"/>
      <c r="M3" s="357"/>
      <c r="N3" s="99"/>
      <c r="O3" s="99"/>
      <c r="P3" s="3"/>
      <c r="Q3" s="3"/>
      <c r="R3" s="3"/>
      <c r="S3" s="3"/>
      <c r="T3" s="3"/>
      <c r="U3" s="3"/>
      <c r="V3" s="3"/>
      <c r="W3" s="3"/>
      <c r="X3" s="116"/>
      <c r="Y3" s="279"/>
      <c r="Z3" s="3"/>
      <c r="AA3" s="3"/>
      <c r="AB3" s="3"/>
      <c r="AC3" s="3"/>
    </row>
    <row r="4" spans="1:32" x14ac:dyDescent="0.2">
      <c r="B4" s="98"/>
      <c r="C4" s="99"/>
      <c r="D4" s="99"/>
      <c r="E4" s="99"/>
      <c r="F4" s="99"/>
      <c r="G4" s="99"/>
      <c r="I4" s="370" t="s">
        <v>805</v>
      </c>
      <c r="J4" s="99"/>
      <c r="K4" s="99"/>
      <c r="L4" s="99"/>
      <c r="M4" s="99"/>
      <c r="N4" s="99"/>
      <c r="O4" s="99"/>
      <c r="P4" s="3"/>
      <c r="Q4" s="3"/>
      <c r="R4" s="3"/>
      <c r="S4" s="3"/>
      <c r="T4" s="3"/>
      <c r="U4" s="3"/>
      <c r="V4" s="3"/>
      <c r="W4" s="3"/>
      <c r="X4" s="116" t="s">
        <v>97</v>
      </c>
      <c r="Y4" s="279"/>
      <c r="Z4" s="7"/>
      <c r="AA4" s="434">
        <f>PCFP!B5</f>
        <v>0</v>
      </c>
      <c r="AB4" s="3"/>
      <c r="AC4" s="3"/>
    </row>
    <row r="5" spans="1:32" x14ac:dyDescent="0.2">
      <c r="B5" s="98"/>
      <c r="C5" s="99"/>
      <c r="D5" s="99"/>
      <c r="E5" s="99"/>
      <c r="F5" s="99"/>
      <c r="G5" s="99"/>
      <c r="I5" s="370" t="s">
        <v>1003</v>
      </c>
      <c r="J5" s="99"/>
      <c r="K5" s="99"/>
      <c r="L5" s="99"/>
      <c r="M5" s="99"/>
      <c r="N5" s="99"/>
      <c r="O5" s="99"/>
      <c r="P5" s="3"/>
      <c r="Q5" s="3"/>
      <c r="R5" s="3"/>
      <c r="S5" s="3"/>
      <c r="T5" s="3"/>
      <c r="U5" s="3"/>
      <c r="V5" s="3"/>
      <c r="W5" s="3"/>
      <c r="X5" s="116"/>
      <c r="Y5" s="279"/>
      <c r="Z5" s="545">
        <v>7197</v>
      </c>
      <c r="AA5" s="545">
        <f>PCFP!B10</f>
        <v>7197</v>
      </c>
      <c r="AB5" s="3"/>
      <c r="AC5" s="3"/>
    </row>
    <row r="6" spans="1:32" x14ac:dyDescent="0.2">
      <c r="B6" s="100"/>
      <c r="C6" s="100"/>
      <c r="D6" s="100"/>
      <c r="E6" s="100"/>
      <c r="F6" s="100"/>
      <c r="G6" s="100"/>
      <c r="I6" s="112" t="s">
        <v>372</v>
      </c>
      <c r="J6" s="100"/>
      <c r="K6" s="111"/>
      <c r="L6" s="111">
        <f>'Avg. ADE'!D17</f>
        <v>335.10809999999998</v>
      </c>
      <c r="M6" s="111"/>
      <c r="N6" s="111"/>
      <c r="O6" s="111">
        <f>'Avg. ADE'!E17</f>
        <v>366.33333000000005</v>
      </c>
      <c r="P6" s="113"/>
      <c r="Q6" s="113"/>
      <c r="R6" s="113">
        <f>'Avg. ADE'!F17</f>
        <v>405.71187000000003</v>
      </c>
      <c r="S6" s="113"/>
      <c r="T6" s="113"/>
      <c r="U6" s="113">
        <f>'Avg. ADE'!G17</f>
        <v>0</v>
      </c>
      <c r="V6" s="3"/>
      <c r="W6" s="3"/>
      <c r="X6" s="3"/>
      <c r="Y6" s="279"/>
      <c r="Z6" s="435">
        <v>335</v>
      </c>
      <c r="AA6" s="435">
        <f>'# of Students'!C23</f>
        <v>370</v>
      </c>
      <c r="AB6" s="3"/>
      <c r="AC6" s="3"/>
    </row>
    <row r="7" spans="1:32" x14ac:dyDescent="0.2">
      <c r="B7" s="100"/>
      <c r="C7" s="100"/>
      <c r="D7" s="100"/>
      <c r="E7" s="100"/>
      <c r="F7" s="100"/>
      <c r="G7" s="100"/>
      <c r="I7" s="112" t="s">
        <v>804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3"/>
      <c r="Y7" s="279"/>
      <c r="Z7" s="287">
        <v>44516</v>
      </c>
      <c r="AA7" s="611" t="s">
        <v>1201</v>
      </c>
      <c r="AB7" s="3"/>
      <c r="AC7" s="3"/>
    </row>
    <row r="8" spans="1:32" ht="51" customHeight="1" x14ac:dyDescent="0.2">
      <c r="B8" s="685"/>
      <c r="C8" s="686" t="s">
        <v>117</v>
      </c>
      <c r="D8" s="686" t="s">
        <v>128</v>
      </c>
      <c r="E8" s="686" t="s">
        <v>129</v>
      </c>
      <c r="F8" s="686" t="s">
        <v>119</v>
      </c>
      <c r="G8" s="686" t="s">
        <v>120</v>
      </c>
      <c r="H8" s="686" t="s">
        <v>121</v>
      </c>
      <c r="I8" s="686" t="s">
        <v>373</v>
      </c>
      <c r="J8" s="120" t="s">
        <v>1200</v>
      </c>
      <c r="K8" s="120" t="s">
        <v>1200</v>
      </c>
      <c r="L8" s="120" t="s">
        <v>1200</v>
      </c>
      <c r="M8" s="120" t="s">
        <v>1200</v>
      </c>
      <c r="N8" s="120" t="s">
        <v>1200</v>
      </c>
      <c r="O8" s="684" t="s">
        <v>1201</v>
      </c>
      <c r="P8" s="684" t="s">
        <v>1201</v>
      </c>
      <c r="Q8" s="684" t="s">
        <v>1201</v>
      </c>
      <c r="R8" s="684" t="s">
        <v>1201</v>
      </c>
      <c r="S8" s="684" t="s">
        <v>1201</v>
      </c>
      <c r="T8" s="684" t="s">
        <v>1201</v>
      </c>
      <c r="U8" s="684" t="s">
        <v>1201</v>
      </c>
      <c r="V8" s="684" t="s">
        <v>1201</v>
      </c>
      <c r="W8" s="542"/>
      <c r="X8" s="684" t="s">
        <v>154</v>
      </c>
      <c r="Y8" s="687" t="s">
        <v>155</v>
      </c>
      <c r="Z8" s="688" t="s">
        <v>1120</v>
      </c>
      <c r="AA8" s="688" t="s">
        <v>1121</v>
      </c>
      <c r="AB8" s="688" t="s">
        <v>159</v>
      </c>
      <c r="AC8" s="687" t="s">
        <v>157</v>
      </c>
    </row>
    <row r="9" spans="1:32" ht="12.75" customHeight="1" outlineLevel="1" x14ac:dyDescent="0.2">
      <c r="A9" s="366" t="s">
        <v>563</v>
      </c>
      <c r="B9" s="82" t="str">
        <f>Revenues!B9</f>
        <v>Pupil Centered Funding Plan</v>
      </c>
      <c r="C9" s="102">
        <f>Revenues!C9</f>
        <v>100</v>
      </c>
      <c r="D9" s="102" t="str">
        <f>Revenues!D9</f>
        <v>201</v>
      </c>
      <c r="E9" s="102">
        <f>Revenues!E9</f>
        <v>3110</v>
      </c>
      <c r="F9" s="107"/>
      <c r="G9" s="108"/>
      <c r="H9" s="275"/>
      <c r="I9" s="353"/>
      <c r="J9" s="12">
        <v>351594.62</v>
      </c>
      <c r="K9" s="12">
        <v>0</v>
      </c>
      <c r="L9" s="12">
        <v>219481.84</v>
      </c>
      <c r="M9" s="12">
        <v>346241.4</v>
      </c>
      <c r="N9" s="12">
        <v>237888.69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/>
      <c r="X9" s="121">
        <f>SUM(J9:W9)</f>
        <v>1155206.55</v>
      </c>
      <c r="Y9" s="314">
        <f>IFERROR(X9/Z9,0)</f>
        <v>0.39015925783699934</v>
      </c>
      <c r="Z9" s="115">
        <v>2960859</v>
      </c>
      <c r="AA9" s="117">
        <f>ROUND(Revenues!I9,0)</f>
        <v>3212754</v>
      </c>
      <c r="AB9" s="117">
        <f>AA9-Z9</f>
        <v>251895</v>
      </c>
      <c r="AC9" s="358">
        <f>IFERROR(X9/AA9,0)</f>
        <v>0.35956893991883598</v>
      </c>
      <c r="AF9" s="355"/>
    </row>
    <row r="10" spans="1:32" ht="12.75" customHeight="1" outlineLevel="1" x14ac:dyDescent="0.2">
      <c r="A10" s="366" t="s">
        <v>497</v>
      </c>
      <c r="B10" s="82" t="str">
        <f>Revenues!B10</f>
        <v xml:space="preserve">SPED Funds from DSA                          </v>
      </c>
      <c r="C10" s="102">
        <f>Revenues!C10</f>
        <v>250</v>
      </c>
      <c r="D10" s="102" t="str">
        <f>Revenues!D10</f>
        <v>205</v>
      </c>
      <c r="E10" s="102">
        <f>Revenues!E10</f>
        <v>3270</v>
      </c>
      <c r="F10" s="107"/>
      <c r="G10" s="108"/>
      <c r="H10" s="275"/>
      <c r="I10" s="109"/>
      <c r="J10" s="12">
        <v>65438.28</v>
      </c>
      <c r="K10" s="12">
        <v>0</v>
      </c>
      <c r="L10" s="12">
        <v>0</v>
      </c>
      <c r="M10" s="12">
        <v>0</v>
      </c>
      <c r="N10" s="12">
        <v>65441.17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/>
      <c r="X10" s="121">
        <f t="shared" ref="X10:X17" si="0">SUM(J10:W10)</f>
        <v>130879.45</v>
      </c>
      <c r="Y10" s="314">
        <f t="shared" ref="Y10:Y124" si="1">IFERROR(X10/Z10,0)</f>
        <v>0.46531606641305506</v>
      </c>
      <c r="Z10" s="115">
        <v>281270</v>
      </c>
      <c r="AA10" s="117">
        <f>ROUND(Revenues!I10,0)</f>
        <v>281270</v>
      </c>
      <c r="AB10" s="117">
        <f>AA10-Z10</f>
        <v>0</v>
      </c>
      <c r="AC10" s="358">
        <f t="shared" ref="AC10:AC132" si="2">IFERROR(X10/AA10,0)</f>
        <v>0.46531606641305506</v>
      </c>
      <c r="AF10" s="62"/>
    </row>
    <row r="11" spans="1:32" ht="12.75" customHeight="1" outlineLevel="1" x14ac:dyDescent="0.2">
      <c r="A11" s="366" t="s">
        <v>1154</v>
      </c>
      <c r="B11" s="82" t="str">
        <f>Revenues!B11</f>
        <v>SPED Local Funding (210)</v>
      </c>
      <c r="C11" s="102">
        <f>Revenues!C11</f>
        <v>250</v>
      </c>
      <c r="D11" s="102" t="str">
        <f>Revenues!D11</f>
        <v>210</v>
      </c>
      <c r="E11" s="102">
        <f>Revenues!E11</f>
        <v>3115</v>
      </c>
      <c r="F11" s="107"/>
      <c r="G11" s="108"/>
      <c r="H11" s="275"/>
      <c r="I11" s="109"/>
      <c r="J11" s="12">
        <v>986.99</v>
      </c>
      <c r="K11" s="12">
        <v>0</v>
      </c>
      <c r="L11" s="12">
        <v>986.99</v>
      </c>
      <c r="M11" s="12">
        <v>986.99</v>
      </c>
      <c r="N11" s="12">
        <v>986.99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/>
      <c r="X11" s="121">
        <f t="shared" ref="X11:X13" si="3">SUM(J11:W11)</f>
        <v>3947.96</v>
      </c>
      <c r="Y11" s="314">
        <f t="shared" ref="Y11:Y13" si="4">IFERROR(X11/Z11,0)</f>
        <v>0.33332995609591354</v>
      </c>
      <c r="Z11" s="115">
        <v>11844</v>
      </c>
      <c r="AA11" s="117">
        <f>ROUND(Revenues!I11,0)</f>
        <v>11844</v>
      </c>
      <c r="AB11" s="117">
        <f t="shared" ref="AB11:AB13" si="5">AA11-Z11</f>
        <v>0</v>
      </c>
      <c r="AC11" s="358">
        <f t="shared" ref="AC11:AC13" si="6">IFERROR(X11/AA11,0)</f>
        <v>0.33332995609591354</v>
      </c>
      <c r="AF11" s="62"/>
    </row>
    <row r="12" spans="1:32" ht="12.75" customHeight="1" outlineLevel="1" x14ac:dyDescent="0.2">
      <c r="A12" s="366" t="s">
        <v>577</v>
      </c>
      <c r="B12" s="82" t="str">
        <f>Revenues!B12</f>
        <v>English Learner Allocation (211)</v>
      </c>
      <c r="C12" s="102">
        <f>Revenues!C12</f>
        <v>206</v>
      </c>
      <c r="D12" s="102" t="str">
        <f>Revenues!D12</f>
        <v>211</v>
      </c>
      <c r="E12" s="102">
        <f>Revenues!E12</f>
        <v>3254</v>
      </c>
      <c r="F12" s="107"/>
      <c r="G12" s="108"/>
      <c r="H12" s="275"/>
      <c r="I12" s="109"/>
      <c r="J12" s="12">
        <v>3677.9</v>
      </c>
      <c r="K12" s="12">
        <v>0</v>
      </c>
      <c r="L12" s="12">
        <v>3677.9</v>
      </c>
      <c r="M12" s="12">
        <v>3677.9</v>
      </c>
      <c r="N12" s="12">
        <v>3677.9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/>
      <c r="X12" s="121">
        <f t="shared" si="3"/>
        <v>14711.6</v>
      </c>
      <c r="Y12" s="314">
        <f t="shared" si="4"/>
        <v>0.33333182281635892</v>
      </c>
      <c r="Z12" s="115">
        <v>44135</v>
      </c>
      <c r="AA12" s="117">
        <f>ROUND(Revenues!I12,0)</f>
        <v>44135</v>
      </c>
      <c r="AB12" s="117">
        <f t="shared" si="5"/>
        <v>0</v>
      </c>
      <c r="AC12" s="358">
        <f t="shared" si="6"/>
        <v>0.33333182281635892</v>
      </c>
      <c r="AF12" s="62"/>
    </row>
    <row r="13" spans="1:32" ht="12.75" customHeight="1" outlineLevel="1" x14ac:dyDescent="0.2">
      <c r="A13" s="366" t="s">
        <v>578</v>
      </c>
      <c r="B13" s="82" t="str">
        <f>Revenues!B13</f>
        <v>At-Risk Allocation (212)</v>
      </c>
      <c r="C13" s="102">
        <f>Revenues!C13</f>
        <v>208</v>
      </c>
      <c r="D13" s="102" t="str">
        <f>Revenues!D13</f>
        <v>212</v>
      </c>
      <c r="E13" s="102">
        <f>Revenues!E13</f>
        <v>3255</v>
      </c>
      <c r="F13" s="107"/>
      <c r="G13" s="108"/>
      <c r="H13" s="275"/>
      <c r="I13" s="109"/>
      <c r="J13" s="12">
        <v>2529.16</v>
      </c>
      <c r="K13" s="12">
        <v>0</v>
      </c>
      <c r="L13" s="12">
        <v>2529.16</v>
      </c>
      <c r="M13" s="12">
        <v>2529.16</v>
      </c>
      <c r="N13" s="12">
        <v>2529.16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/>
      <c r="X13" s="121">
        <f t="shared" si="3"/>
        <v>10116.64</v>
      </c>
      <c r="Y13" s="314">
        <f t="shared" si="4"/>
        <v>0.33333245469522238</v>
      </c>
      <c r="Z13" s="115">
        <v>30350</v>
      </c>
      <c r="AA13" s="117">
        <f>ROUND(Revenues!I13,0)</f>
        <v>30350</v>
      </c>
      <c r="AB13" s="117">
        <f t="shared" si="5"/>
        <v>0</v>
      </c>
      <c r="AC13" s="358">
        <f t="shared" si="6"/>
        <v>0.33333245469522238</v>
      </c>
      <c r="AF13" s="62"/>
    </row>
    <row r="14" spans="1:32" ht="12.75" customHeight="1" outlineLevel="1" x14ac:dyDescent="0.2">
      <c r="A14" s="366" t="s">
        <v>579</v>
      </c>
      <c r="B14" s="82" t="str">
        <f>Revenues!B14</f>
        <v xml:space="preserve">New Nv Education Funding Plan SB178 (2017) </v>
      </c>
      <c r="C14" s="102">
        <f>Revenues!C14</f>
        <v>240</v>
      </c>
      <c r="D14" s="102" t="str">
        <f>Revenues!D14</f>
        <v>280</v>
      </c>
      <c r="E14" s="102">
        <f>Revenues!E14</f>
        <v>3200</v>
      </c>
      <c r="F14" s="107"/>
      <c r="G14" s="108"/>
      <c r="H14" s="275"/>
      <c r="I14" s="109"/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/>
      <c r="X14" s="121">
        <f t="shared" si="0"/>
        <v>0</v>
      </c>
      <c r="Y14" s="314">
        <f t="shared" si="1"/>
        <v>0</v>
      </c>
      <c r="Z14" s="115">
        <v>0</v>
      </c>
      <c r="AA14" s="117">
        <f>ROUND(Revenues!I14,0)</f>
        <v>0</v>
      </c>
      <c r="AB14" s="117">
        <f t="shared" ref="AB14" si="7">AA14-Z14</f>
        <v>0</v>
      </c>
      <c r="AC14" s="358">
        <f t="shared" si="2"/>
        <v>0</v>
      </c>
      <c r="AF14" s="62"/>
    </row>
    <row r="15" spans="1:32" ht="12.75" customHeight="1" outlineLevel="1" x14ac:dyDescent="0.2">
      <c r="A15" s="366" t="s">
        <v>1155</v>
      </c>
      <c r="B15" s="82" t="str">
        <f>Revenues!B15</f>
        <v>ZOOM</v>
      </c>
      <c r="C15" s="102">
        <f>Revenues!C15</f>
        <v>240</v>
      </c>
      <c r="D15" s="102" t="str">
        <f>Revenues!D15</f>
        <v>289</v>
      </c>
      <c r="E15" s="102">
        <f>Revenues!E15</f>
        <v>3200</v>
      </c>
      <c r="F15" s="107"/>
      <c r="G15" s="108"/>
      <c r="H15" s="275"/>
      <c r="I15" s="109"/>
      <c r="J15" s="12">
        <v>4308.1499999999996</v>
      </c>
      <c r="K15" s="12">
        <v>-4308.1499999999996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/>
      <c r="X15" s="121">
        <f t="shared" si="0"/>
        <v>0</v>
      </c>
      <c r="Y15" s="314">
        <f t="shared" si="1"/>
        <v>0</v>
      </c>
      <c r="Z15" s="115">
        <v>0</v>
      </c>
      <c r="AA15" s="117">
        <f>ROUND(Revenues!I15,0)</f>
        <v>0</v>
      </c>
      <c r="AB15" s="117">
        <f t="shared" ref="AB15" si="8">AA15-Z15</f>
        <v>0</v>
      </c>
      <c r="AC15" s="358">
        <f t="shared" si="2"/>
        <v>0</v>
      </c>
      <c r="AF15" s="62"/>
    </row>
    <row r="16" spans="1:32" ht="12.75" customHeight="1" outlineLevel="1" x14ac:dyDescent="0.2">
      <c r="A16" s="366" t="s">
        <v>1156</v>
      </c>
      <c r="B16" s="82" t="str">
        <f>Revenues!B16</f>
        <v>Teacher Reimbursement Grant</v>
      </c>
      <c r="C16" s="102">
        <f>Revenues!C16</f>
        <v>240</v>
      </c>
      <c r="D16" s="102" t="str">
        <f>Revenues!D16</f>
        <v>325</v>
      </c>
      <c r="E16" s="102">
        <f>Revenues!E16</f>
        <v>3200</v>
      </c>
      <c r="F16" s="107"/>
      <c r="G16" s="108"/>
      <c r="H16" s="275"/>
      <c r="I16" s="109"/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/>
      <c r="X16" s="121">
        <f t="shared" si="0"/>
        <v>0</v>
      </c>
      <c r="Y16" s="314">
        <f t="shared" si="1"/>
        <v>0</v>
      </c>
      <c r="Z16" s="115">
        <v>0</v>
      </c>
      <c r="AA16" s="117">
        <f>ROUND(Revenues!I16,0)</f>
        <v>0</v>
      </c>
      <c r="AB16" s="117">
        <f>AA16-Z16</f>
        <v>0</v>
      </c>
      <c r="AC16" s="358">
        <f t="shared" si="2"/>
        <v>0</v>
      </c>
      <c r="AF16" s="62"/>
    </row>
    <row r="17" spans="1:32" ht="12.75" customHeight="1" outlineLevel="1" x14ac:dyDescent="0.2">
      <c r="A17" s="366" t="s">
        <v>574</v>
      </c>
      <c r="B17" s="82" t="str">
        <f>Revenues!B17</f>
        <v>AB309</v>
      </c>
      <c r="C17" s="102">
        <f>Revenues!C17</f>
        <v>240</v>
      </c>
      <c r="D17" s="102" t="str">
        <f>Revenues!D17</f>
        <v>390</v>
      </c>
      <c r="E17" s="102">
        <f>Revenues!E17</f>
        <v>3200</v>
      </c>
      <c r="F17" s="107"/>
      <c r="G17" s="108"/>
      <c r="H17" s="275"/>
      <c r="I17" s="109"/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/>
      <c r="X17" s="121">
        <f t="shared" si="0"/>
        <v>0</v>
      </c>
      <c r="Y17" s="314">
        <f t="shared" si="1"/>
        <v>0</v>
      </c>
      <c r="Z17" s="115">
        <v>0</v>
      </c>
      <c r="AA17" s="117">
        <f>ROUND(Revenues!I17,0)</f>
        <v>0</v>
      </c>
      <c r="AB17" s="117">
        <f>AA17-Z17</f>
        <v>0</v>
      </c>
      <c r="AC17" s="358">
        <f t="shared" si="2"/>
        <v>0</v>
      </c>
      <c r="AF17" s="62"/>
    </row>
    <row r="18" spans="1:32" ht="12.75" customHeight="1" x14ac:dyDescent="0.2">
      <c r="A18" s="366" t="s">
        <v>580</v>
      </c>
      <c r="B18" s="205" t="s">
        <v>138</v>
      </c>
      <c r="C18" s="614"/>
      <c r="D18" s="273"/>
      <c r="E18" s="614"/>
      <c r="F18" s="614"/>
      <c r="G18" s="615"/>
      <c r="H18" s="615"/>
      <c r="I18" s="716"/>
      <c r="J18" s="86">
        <f t="shared" ref="J18:V18" si="9">SUM(J9:J17)</f>
        <v>428535.10000000003</v>
      </c>
      <c r="K18" s="86">
        <f t="shared" si="9"/>
        <v>-4308.1499999999996</v>
      </c>
      <c r="L18" s="86">
        <f t="shared" si="9"/>
        <v>226675.88999999998</v>
      </c>
      <c r="M18" s="86">
        <f t="shared" si="9"/>
        <v>353435.45</v>
      </c>
      <c r="N18" s="86">
        <f t="shared" si="9"/>
        <v>310523.90999999997</v>
      </c>
      <c r="O18" s="86">
        <f t="shared" si="9"/>
        <v>0</v>
      </c>
      <c r="P18" s="86">
        <f t="shared" si="9"/>
        <v>0</v>
      </c>
      <c r="Q18" s="86">
        <f t="shared" si="9"/>
        <v>0</v>
      </c>
      <c r="R18" s="86">
        <f t="shared" si="9"/>
        <v>0</v>
      </c>
      <c r="S18" s="86">
        <f t="shared" si="9"/>
        <v>0</v>
      </c>
      <c r="T18" s="86">
        <f t="shared" si="9"/>
        <v>0</v>
      </c>
      <c r="U18" s="86">
        <f t="shared" si="9"/>
        <v>0</v>
      </c>
      <c r="V18" s="86">
        <f t="shared" si="9"/>
        <v>0</v>
      </c>
      <c r="W18" s="86"/>
      <c r="X18" s="86">
        <f>SUM(X9:X17)</f>
        <v>1314862.2</v>
      </c>
      <c r="Y18" s="315">
        <f>IFERROR(X18/Z18,0)</f>
        <v>0.39503644029757923</v>
      </c>
      <c r="Z18" s="86">
        <f>SUM(Z9:Z17)</f>
        <v>3328458</v>
      </c>
      <c r="AA18" s="86">
        <f>SUM(AA9:AA17)</f>
        <v>3580353</v>
      </c>
      <c r="AB18" s="86">
        <f>SUM(AB9:AB17)</f>
        <v>251895</v>
      </c>
      <c r="AC18" s="315">
        <f t="shared" si="2"/>
        <v>0.36724373267105226</v>
      </c>
      <c r="AF18" s="62"/>
    </row>
    <row r="19" spans="1:32" ht="12.75" customHeight="1" outlineLevel="1" x14ac:dyDescent="0.2">
      <c r="A19" s="366" t="s">
        <v>581</v>
      </c>
      <c r="B19" s="82" t="str">
        <f>Revenues!B19</f>
        <v>AB3 ESSER</v>
      </c>
      <c r="C19" s="102">
        <f>Revenues!C19</f>
        <v>280</v>
      </c>
      <c r="D19" s="405">
        <f>Revenues!D19</f>
        <v>340</v>
      </c>
      <c r="E19" s="102">
        <f>Revenues!E19</f>
        <v>4500</v>
      </c>
      <c r="F19" s="107"/>
      <c r="G19" s="108"/>
      <c r="H19" s="275"/>
      <c r="I19" s="109"/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/>
      <c r="X19" s="122">
        <f t="shared" ref="X19:X37" si="10">SUM(J19:W19)</f>
        <v>0</v>
      </c>
      <c r="Y19" s="316">
        <f t="shared" si="1"/>
        <v>0</v>
      </c>
      <c r="Z19" s="119">
        <v>0</v>
      </c>
      <c r="AA19" s="118">
        <f>ROUND(Revenues!I19,0)</f>
        <v>0</v>
      </c>
      <c r="AB19" s="118">
        <f>AA19-Z19</f>
        <v>0</v>
      </c>
      <c r="AC19" s="358">
        <f t="shared" si="2"/>
        <v>0</v>
      </c>
      <c r="AF19" s="62"/>
    </row>
    <row r="20" spans="1:32" ht="12.75" customHeight="1" outlineLevel="1" x14ac:dyDescent="0.2">
      <c r="A20" s="366" t="s">
        <v>582</v>
      </c>
      <c r="B20" s="82" t="str">
        <f>Revenues!B20</f>
        <v>Title I - School Improvement, 1003(a)</v>
      </c>
      <c r="C20" s="102">
        <f>Revenues!C20</f>
        <v>280</v>
      </c>
      <c r="D20" s="405">
        <f>Revenues!D20</f>
        <v>624</v>
      </c>
      <c r="E20" s="102">
        <f>Revenues!E20</f>
        <v>4500</v>
      </c>
      <c r="F20" s="107"/>
      <c r="G20" s="108"/>
      <c r="H20" s="275"/>
      <c r="I20" s="109"/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/>
      <c r="X20" s="122">
        <f t="shared" si="10"/>
        <v>0</v>
      </c>
      <c r="Y20" s="316">
        <f t="shared" si="1"/>
        <v>0</v>
      </c>
      <c r="Z20" s="119">
        <v>382156</v>
      </c>
      <c r="AA20" s="118">
        <f>ROUND(Revenues!I20,0)</f>
        <v>382156</v>
      </c>
      <c r="AB20" s="118">
        <f t="shared" ref="AB20:AB21" si="11">AA20-Z20</f>
        <v>0</v>
      </c>
      <c r="AC20" s="358">
        <f t="shared" si="2"/>
        <v>0</v>
      </c>
      <c r="AF20" s="62"/>
    </row>
    <row r="21" spans="1:32" ht="12.75" customHeight="1" outlineLevel="1" x14ac:dyDescent="0.2">
      <c r="A21" s="366" t="s">
        <v>583</v>
      </c>
      <c r="B21" s="82" t="str">
        <f>Revenues!B21</f>
        <v>IASA(ESEA) Title I-A Helping Disadvantaged Students Meet High Standards/School Imprvmnt</v>
      </c>
      <c r="C21" s="102">
        <f>Revenues!C21</f>
        <v>280</v>
      </c>
      <c r="D21" s="405">
        <f>Revenues!D21</f>
        <v>633</v>
      </c>
      <c r="E21" s="102">
        <f>Revenues!E21</f>
        <v>4500</v>
      </c>
      <c r="F21" s="107"/>
      <c r="G21" s="108"/>
      <c r="H21" s="275"/>
      <c r="I21" s="109"/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/>
      <c r="X21" s="122">
        <f t="shared" si="10"/>
        <v>0</v>
      </c>
      <c r="Y21" s="316">
        <f t="shared" si="1"/>
        <v>0</v>
      </c>
      <c r="Z21" s="119">
        <v>101706</v>
      </c>
      <c r="AA21" s="118">
        <f>ROUND(Revenues!I21,0)</f>
        <v>101706</v>
      </c>
      <c r="AB21" s="118">
        <f t="shared" si="11"/>
        <v>0</v>
      </c>
      <c r="AC21" s="358">
        <f t="shared" si="2"/>
        <v>0</v>
      </c>
      <c r="AF21" s="62"/>
    </row>
    <row r="22" spans="1:32" ht="12.75" customHeight="1" outlineLevel="1" x14ac:dyDescent="0.2">
      <c r="A22" s="366" t="s">
        <v>584</v>
      </c>
      <c r="B22" s="82" t="str">
        <f>Revenues!B22</f>
        <v xml:space="preserve">SPED- IDEA Part B                            </v>
      </c>
      <c r="C22" s="102">
        <f>Revenues!C22</f>
        <v>280</v>
      </c>
      <c r="D22" s="405">
        <f>Revenues!D22</f>
        <v>639</v>
      </c>
      <c r="E22" s="102">
        <f>Revenues!E22</f>
        <v>4500</v>
      </c>
      <c r="F22" s="107"/>
      <c r="G22" s="108"/>
      <c r="H22" s="275"/>
      <c r="I22" s="109"/>
      <c r="J22" s="87">
        <v>0</v>
      </c>
      <c r="K22" s="87">
        <v>0</v>
      </c>
      <c r="L22" s="87">
        <v>0</v>
      </c>
      <c r="M22" s="87">
        <v>0</v>
      </c>
      <c r="N22" s="87">
        <v>4152.05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/>
      <c r="X22" s="122">
        <f t="shared" si="10"/>
        <v>4152.05</v>
      </c>
      <c r="Y22" s="316">
        <f t="shared" si="1"/>
        <v>3.4624076452242365E-2</v>
      </c>
      <c r="Z22" s="119">
        <v>119918</v>
      </c>
      <c r="AA22" s="118">
        <f>ROUND(Revenues!I22,0)</f>
        <v>119918</v>
      </c>
      <c r="AB22" s="118">
        <f t="shared" ref="AB22:AB30" si="12">AA22-Z22</f>
        <v>0</v>
      </c>
      <c r="AC22" s="358">
        <f t="shared" si="2"/>
        <v>3.4624076452242365E-2</v>
      </c>
      <c r="AF22" s="62"/>
    </row>
    <row r="23" spans="1:32" ht="12.75" customHeight="1" outlineLevel="1" x14ac:dyDescent="0.2">
      <c r="A23" s="366" t="s">
        <v>575</v>
      </c>
      <c r="B23" s="82" t="str">
        <f>Revenues!B23</f>
        <v>McKinney-Vento Set Aside</v>
      </c>
      <c r="C23" s="102">
        <f>Revenues!C23</f>
        <v>280</v>
      </c>
      <c r="D23" s="405">
        <f>Revenues!D23</f>
        <v>650</v>
      </c>
      <c r="E23" s="102">
        <f>Revenues!E23</f>
        <v>4500</v>
      </c>
      <c r="F23" s="107"/>
      <c r="G23" s="108"/>
      <c r="H23" s="275"/>
      <c r="I23" s="109"/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/>
      <c r="X23" s="122">
        <f t="shared" si="10"/>
        <v>0</v>
      </c>
      <c r="Y23" s="316">
        <f t="shared" ref="Y23" si="13">IFERROR(X23/Z23,0)</f>
        <v>0</v>
      </c>
      <c r="Z23" s="119">
        <v>0</v>
      </c>
      <c r="AA23" s="118">
        <f>ROUND(Revenues!I23,0)</f>
        <v>0</v>
      </c>
      <c r="AB23" s="118">
        <f t="shared" ref="AB23" si="14">AA23-Z23</f>
        <v>0</v>
      </c>
      <c r="AC23" s="358">
        <f t="shared" ref="AC23" si="15">IFERROR(X23/AA23,0)</f>
        <v>0</v>
      </c>
      <c r="AF23" s="62"/>
    </row>
    <row r="24" spans="1:32" ht="12.75" customHeight="1" outlineLevel="1" x14ac:dyDescent="0.2">
      <c r="A24" s="366" t="s">
        <v>585</v>
      </c>
      <c r="B24" s="82" t="str">
        <f>Revenues!B24</f>
        <v>TITLE III LEP</v>
      </c>
      <c r="C24" s="102">
        <f>Revenues!C24</f>
        <v>280</v>
      </c>
      <c r="D24" s="405">
        <f>Revenues!D24</f>
        <v>658</v>
      </c>
      <c r="E24" s="102">
        <f>Revenues!E24</f>
        <v>4500</v>
      </c>
      <c r="F24" s="107"/>
      <c r="G24" s="108"/>
      <c r="H24" s="275"/>
      <c r="I24" s="109"/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/>
      <c r="X24" s="122">
        <f t="shared" si="10"/>
        <v>0</v>
      </c>
      <c r="Y24" s="316">
        <f t="shared" si="1"/>
        <v>0</v>
      </c>
      <c r="Z24" s="119">
        <v>6683</v>
      </c>
      <c r="AA24" s="118">
        <f>ROUND(Revenues!I24,0)</f>
        <v>6683</v>
      </c>
      <c r="AB24" s="118">
        <f t="shared" si="12"/>
        <v>0</v>
      </c>
      <c r="AC24" s="358">
        <f t="shared" si="2"/>
        <v>0</v>
      </c>
      <c r="AF24" s="62"/>
    </row>
    <row r="25" spans="1:32" ht="12.75" customHeight="1" outlineLevel="1" x14ac:dyDescent="0.2">
      <c r="A25" s="366" t="s">
        <v>586</v>
      </c>
      <c r="B25" s="82" t="str">
        <f>Revenues!B25</f>
        <v>CSP GRANT</v>
      </c>
      <c r="C25" s="102">
        <f>Revenues!C25</f>
        <v>280</v>
      </c>
      <c r="D25" s="405">
        <f>Revenues!D25</f>
        <v>661</v>
      </c>
      <c r="E25" s="102">
        <f>Revenues!E25</f>
        <v>4500</v>
      </c>
      <c r="F25" s="107"/>
      <c r="G25" s="108"/>
      <c r="H25" s="275"/>
      <c r="I25" s="109"/>
      <c r="J25" s="87">
        <v>0</v>
      </c>
      <c r="K25" s="87">
        <v>0</v>
      </c>
      <c r="L25" s="87">
        <v>0</v>
      </c>
      <c r="M25" s="87">
        <v>77866.350000000006</v>
      </c>
      <c r="N25" s="87">
        <v>39637.879999999997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/>
      <c r="X25" s="122">
        <f t="shared" si="10"/>
        <v>117504.23000000001</v>
      </c>
      <c r="Y25" s="316">
        <f t="shared" ref="Y25" si="16">IFERROR(X25/Z25,0)</f>
        <v>0.10169960316945141</v>
      </c>
      <c r="Z25" s="119">
        <v>1155405</v>
      </c>
      <c r="AA25" s="118">
        <f>ROUND(Revenues!I25,0)</f>
        <v>781732</v>
      </c>
      <c r="AB25" s="118">
        <f t="shared" ref="AB25" si="17">AA25-Z25</f>
        <v>-373673</v>
      </c>
      <c r="AC25" s="358">
        <f t="shared" ref="AC25" si="18">IFERROR(X25/AA25,0)</f>
        <v>0.15031267749049548</v>
      </c>
      <c r="AF25" s="62"/>
    </row>
    <row r="26" spans="1:32" ht="12.75" customHeight="1" outlineLevel="1" x14ac:dyDescent="0.2">
      <c r="A26" s="366" t="s">
        <v>587</v>
      </c>
      <c r="B26" s="82" t="str">
        <f>Revenues!B26</f>
        <v>Project Aware</v>
      </c>
      <c r="C26" s="102">
        <f>Revenues!C26</f>
        <v>280</v>
      </c>
      <c r="D26" s="405" t="str">
        <f>Revenues!D26</f>
        <v>698</v>
      </c>
      <c r="E26" s="102">
        <f>Revenues!E26</f>
        <v>4500</v>
      </c>
      <c r="F26" s="107"/>
      <c r="G26" s="108"/>
      <c r="H26" s="275"/>
      <c r="I26" s="109"/>
      <c r="J26" s="87">
        <v>0</v>
      </c>
      <c r="K26" s="87">
        <v>0</v>
      </c>
      <c r="L26" s="87">
        <v>0</v>
      </c>
      <c r="M26" s="87">
        <v>1510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/>
      <c r="X26" s="122">
        <f t="shared" si="10"/>
        <v>1510</v>
      </c>
      <c r="Y26" s="316">
        <f t="shared" ref="Y26" si="19">IFERROR(X26/Z26,0)</f>
        <v>0.16271551724137931</v>
      </c>
      <c r="Z26" s="119">
        <v>9280</v>
      </c>
      <c r="AA26" s="118">
        <f>ROUND(Revenues!I26,0)</f>
        <v>9280</v>
      </c>
      <c r="AB26" s="118">
        <f t="shared" ref="AB26" si="20">AA26-Z26</f>
        <v>0</v>
      </c>
      <c r="AC26" s="358">
        <f t="shared" ref="AC26" si="21">IFERROR(X26/AA26,0)</f>
        <v>0.16271551724137931</v>
      </c>
      <c r="AF26" s="62"/>
    </row>
    <row r="27" spans="1:32" ht="12.75" customHeight="1" outlineLevel="1" x14ac:dyDescent="0.2">
      <c r="A27" s="366" t="s">
        <v>588</v>
      </c>
      <c r="B27" s="82" t="str">
        <f>Revenues!B27</f>
        <v>Title II</v>
      </c>
      <c r="C27" s="102">
        <f>Revenues!C27</f>
        <v>280</v>
      </c>
      <c r="D27" s="405">
        <f>Revenues!D27</f>
        <v>709</v>
      </c>
      <c r="E27" s="102">
        <f>Revenues!E27</f>
        <v>4500</v>
      </c>
      <c r="F27" s="107"/>
      <c r="G27" s="108"/>
      <c r="H27" s="275"/>
      <c r="I27" s="109"/>
      <c r="J27" s="87">
        <v>0</v>
      </c>
      <c r="K27" s="87">
        <v>0</v>
      </c>
      <c r="L27" s="87">
        <v>0</v>
      </c>
      <c r="M27" s="87">
        <v>0</v>
      </c>
      <c r="N27" s="87">
        <v>15626.99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/>
      <c r="X27" s="122">
        <f t="shared" si="10"/>
        <v>15626.99</v>
      </c>
      <c r="Y27" s="316">
        <f t="shared" si="1"/>
        <v>0.56517142857142855</v>
      </c>
      <c r="Z27" s="119">
        <v>27650</v>
      </c>
      <c r="AA27" s="118">
        <f>ROUND(Revenues!I27,0)</f>
        <v>27650</v>
      </c>
      <c r="AB27" s="118">
        <f t="shared" si="12"/>
        <v>0</v>
      </c>
      <c r="AC27" s="358">
        <f t="shared" si="2"/>
        <v>0.56517142857142855</v>
      </c>
      <c r="AF27" s="62"/>
    </row>
    <row r="28" spans="1:32" ht="12.75" customHeight="1" outlineLevel="1" x14ac:dyDescent="0.2">
      <c r="A28" s="366" t="s">
        <v>589</v>
      </c>
      <c r="B28" s="82" t="str">
        <f>Revenues!B28</f>
        <v>TITLE IV</v>
      </c>
      <c r="C28" s="102">
        <f>Revenues!C28</f>
        <v>280</v>
      </c>
      <c r="D28" s="405">
        <f>Revenues!D28</f>
        <v>715</v>
      </c>
      <c r="E28" s="102">
        <f>Revenues!E28</f>
        <v>4500</v>
      </c>
      <c r="F28" s="107"/>
      <c r="G28" s="108"/>
      <c r="H28" s="275"/>
      <c r="I28" s="109"/>
      <c r="J28" s="87">
        <v>0</v>
      </c>
      <c r="K28" s="87">
        <v>0</v>
      </c>
      <c r="L28" s="87">
        <v>0</v>
      </c>
      <c r="M28" s="87">
        <v>0</v>
      </c>
      <c r="N28" s="87">
        <v>9549.51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/>
      <c r="X28" s="122">
        <f t="shared" si="10"/>
        <v>9549.51</v>
      </c>
      <c r="Y28" s="316">
        <f t="shared" si="1"/>
        <v>0.82012281003091725</v>
      </c>
      <c r="Z28" s="119">
        <v>11644</v>
      </c>
      <c r="AA28" s="118">
        <f>ROUND(Revenues!I28,0)</f>
        <v>11644</v>
      </c>
      <c r="AB28" s="118">
        <f t="shared" si="12"/>
        <v>0</v>
      </c>
      <c r="AC28" s="358">
        <f t="shared" si="2"/>
        <v>0.82012281003091725</v>
      </c>
      <c r="AF28" s="62"/>
    </row>
    <row r="29" spans="1:32" ht="12.75" customHeight="1" outlineLevel="1" x14ac:dyDescent="0.2">
      <c r="A29" s="366" t="s">
        <v>590</v>
      </c>
      <c r="B29" s="82" t="str">
        <f>Revenues!B29</f>
        <v>Nevada Digital Learning Collaborative (NvDLC)</v>
      </c>
      <c r="C29" s="102">
        <f>Revenues!C29</f>
        <v>280</v>
      </c>
      <c r="D29" s="405">
        <f>Revenues!D29</f>
        <v>729</v>
      </c>
      <c r="E29" s="102">
        <f>Revenues!E29</f>
        <v>4500</v>
      </c>
      <c r="F29" s="107"/>
      <c r="G29" s="108"/>
      <c r="H29" s="275"/>
      <c r="I29" s="109"/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/>
      <c r="X29" s="122">
        <f t="shared" si="10"/>
        <v>0</v>
      </c>
      <c r="Y29" s="316">
        <f t="shared" si="1"/>
        <v>0</v>
      </c>
      <c r="Z29" s="119">
        <v>0</v>
      </c>
      <c r="AA29" s="118">
        <f>ROUND(Revenues!I29,0)</f>
        <v>0</v>
      </c>
      <c r="AB29" s="118">
        <f t="shared" ref="AB29" si="22">AA29-Z29</f>
        <v>0</v>
      </c>
      <c r="AC29" s="358">
        <f t="shared" si="2"/>
        <v>0</v>
      </c>
      <c r="AF29" s="62"/>
    </row>
    <row r="30" spans="1:32" ht="12.75" customHeight="1" outlineLevel="1" x14ac:dyDescent="0.2">
      <c r="A30" s="366" t="s">
        <v>591</v>
      </c>
      <c r="B30" s="82" t="str">
        <f>Revenues!B30</f>
        <v>ESSER CARES</v>
      </c>
      <c r="C30" s="102">
        <f>Revenues!C30</f>
        <v>280</v>
      </c>
      <c r="D30" s="405">
        <f>Revenues!D30</f>
        <v>740</v>
      </c>
      <c r="E30" s="102">
        <f>Revenues!E30</f>
        <v>4500</v>
      </c>
      <c r="F30" s="107"/>
      <c r="G30" s="108"/>
      <c r="H30" s="275"/>
      <c r="I30" s="109"/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/>
      <c r="X30" s="122">
        <f t="shared" si="10"/>
        <v>0</v>
      </c>
      <c r="Y30" s="316">
        <f t="shared" si="1"/>
        <v>0</v>
      </c>
      <c r="Z30" s="119">
        <v>0</v>
      </c>
      <c r="AA30" s="118">
        <f>ROUND(Revenues!I30,0)</f>
        <v>0</v>
      </c>
      <c r="AB30" s="118">
        <f t="shared" si="12"/>
        <v>0</v>
      </c>
      <c r="AC30" s="358">
        <f t="shared" si="2"/>
        <v>0</v>
      </c>
      <c r="AF30" s="62"/>
    </row>
    <row r="31" spans="1:32" ht="12.75" customHeight="1" outlineLevel="1" x14ac:dyDescent="0.2">
      <c r="A31" s="366" t="s">
        <v>592</v>
      </c>
      <c r="B31" s="82" t="str">
        <f>Revenues!B31</f>
        <v>ESSER II</v>
      </c>
      <c r="C31" s="102">
        <f>Revenues!C31</f>
        <v>280</v>
      </c>
      <c r="D31" s="405" t="str">
        <f>Revenues!D31</f>
        <v>741</v>
      </c>
      <c r="E31" s="102">
        <f>Revenues!E31</f>
        <v>4500</v>
      </c>
      <c r="F31" s="107"/>
      <c r="G31" s="108"/>
      <c r="H31" s="275"/>
      <c r="I31" s="109"/>
      <c r="J31" s="87">
        <v>0</v>
      </c>
      <c r="K31" s="87">
        <v>0</v>
      </c>
      <c r="L31" s="87">
        <v>0</v>
      </c>
      <c r="M31" s="87">
        <v>0</v>
      </c>
      <c r="N31" s="87">
        <v>19021.169999999998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/>
      <c r="X31" s="122">
        <f t="shared" si="10"/>
        <v>19021.169999999998</v>
      </c>
      <c r="Y31" s="316">
        <f t="shared" ref="Y31:Y35" si="23">IFERROR(X31/Z31,0)</f>
        <v>0.12076013256132866</v>
      </c>
      <c r="Z31" s="119">
        <v>157512</v>
      </c>
      <c r="AA31" s="118">
        <f>ROUND(Revenues!I31,0)</f>
        <v>157512</v>
      </c>
      <c r="AB31" s="118">
        <f t="shared" ref="AB31:AB35" si="24">AA31-Z31</f>
        <v>0</v>
      </c>
      <c r="AC31" s="358">
        <f t="shared" ref="AC31:AC35" si="25">IFERROR(X31/AA31,0)</f>
        <v>0.12076013256132866</v>
      </c>
      <c r="AF31" s="62"/>
    </row>
    <row r="32" spans="1:32" ht="12.75" customHeight="1" outlineLevel="1" x14ac:dyDescent="0.2">
      <c r="A32" s="366" t="s">
        <v>571</v>
      </c>
      <c r="B32" s="82" t="str">
        <f>Revenues!B32</f>
        <v>ESSER III</v>
      </c>
      <c r="C32" s="102">
        <f>Revenues!C32</f>
        <v>280</v>
      </c>
      <c r="D32" s="405" t="str">
        <f>Revenues!D32</f>
        <v>742</v>
      </c>
      <c r="E32" s="102">
        <f>Revenues!E32</f>
        <v>4500</v>
      </c>
      <c r="F32" s="107"/>
      <c r="G32" s="108"/>
      <c r="H32" s="275"/>
      <c r="I32" s="109"/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/>
      <c r="X32" s="122">
        <f t="shared" si="10"/>
        <v>0</v>
      </c>
      <c r="Y32" s="316">
        <f t="shared" si="23"/>
        <v>0</v>
      </c>
      <c r="Z32" s="119">
        <v>0</v>
      </c>
      <c r="AA32" s="118">
        <f>ROUND(Revenues!I32,0)</f>
        <v>0</v>
      </c>
      <c r="AB32" s="118">
        <f t="shared" si="24"/>
        <v>0</v>
      </c>
      <c r="AC32" s="358">
        <f t="shared" si="25"/>
        <v>0</v>
      </c>
      <c r="AF32" s="62"/>
    </row>
    <row r="33" spans="1:32" ht="12.75" customHeight="1" outlineLevel="1" x14ac:dyDescent="0.2">
      <c r="A33" s="366" t="s">
        <v>566</v>
      </c>
      <c r="B33" s="82" t="str">
        <f>Revenues!B33</f>
        <v>ESSER -PD</v>
      </c>
      <c r="C33" s="102">
        <f>Revenues!C33</f>
        <v>280</v>
      </c>
      <c r="D33" s="405" t="str">
        <f>Revenues!D33</f>
        <v>744</v>
      </c>
      <c r="E33" s="102">
        <f>Revenues!E33</f>
        <v>4500</v>
      </c>
      <c r="F33" s="107"/>
      <c r="G33" s="108"/>
      <c r="H33" s="275"/>
      <c r="I33" s="109"/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/>
      <c r="X33" s="122">
        <f t="shared" si="10"/>
        <v>0</v>
      </c>
      <c r="Y33" s="316">
        <f t="shared" si="23"/>
        <v>0</v>
      </c>
      <c r="Z33" s="119">
        <v>0</v>
      </c>
      <c r="AA33" s="118">
        <f>ROUND(Revenues!I33,0)</f>
        <v>5688</v>
      </c>
      <c r="AB33" s="118">
        <f t="shared" si="24"/>
        <v>5688</v>
      </c>
      <c r="AC33" s="358">
        <f t="shared" si="25"/>
        <v>0</v>
      </c>
      <c r="AF33" s="62"/>
    </row>
    <row r="34" spans="1:32" ht="12.75" customHeight="1" outlineLevel="1" x14ac:dyDescent="0.2">
      <c r="A34" s="366" t="s">
        <v>593</v>
      </c>
      <c r="B34" s="82" t="str">
        <f>Revenues!B34</f>
        <v>ESSER -DIM</v>
      </c>
      <c r="C34" s="102">
        <f>Revenues!C34</f>
        <v>280</v>
      </c>
      <c r="D34" s="405" t="str">
        <f>Revenues!D34</f>
        <v>745</v>
      </c>
      <c r="E34" s="102">
        <f>Revenues!E34</f>
        <v>4500</v>
      </c>
      <c r="F34" s="107"/>
      <c r="G34" s="108"/>
      <c r="H34" s="275"/>
      <c r="I34" s="109"/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/>
      <c r="X34" s="122">
        <f t="shared" si="10"/>
        <v>0</v>
      </c>
      <c r="Y34" s="316">
        <f t="shared" si="23"/>
        <v>0</v>
      </c>
      <c r="Z34" s="119">
        <v>10970</v>
      </c>
      <c r="AA34" s="118">
        <f>ROUND(Revenues!I34,0)</f>
        <v>10970</v>
      </c>
      <c r="AB34" s="118">
        <f t="shared" si="24"/>
        <v>0</v>
      </c>
      <c r="AC34" s="358">
        <f t="shared" si="25"/>
        <v>0</v>
      </c>
      <c r="AF34" s="62"/>
    </row>
    <row r="35" spans="1:32" ht="12.75" customHeight="1" outlineLevel="1" x14ac:dyDescent="0.2">
      <c r="A35" s="366" t="s">
        <v>594</v>
      </c>
      <c r="B35" s="82" t="str">
        <f>Revenues!B35</f>
        <v>ESSER -WAS</v>
      </c>
      <c r="C35" s="102">
        <f>Revenues!C35</f>
        <v>280</v>
      </c>
      <c r="D35" s="405" t="str">
        <f>Revenues!D35</f>
        <v>746</v>
      </c>
      <c r="E35" s="102">
        <f>Revenues!E35</f>
        <v>4500</v>
      </c>
      <c r="F35" s="107"/>
      <c r="G35" s="108"/>
      <c r="H35" s="275"/>
      <c r="I35" s="109"/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/>
      <c r="X35" s="122">
        <f t="shared" si="10"/>
        <v>0</v>
      </c>
      <c r="Y35" s="316">
        <f t="shared" si="23"/>
        <v>0</v>
      </c>
      <c r="Z35" s="119">
        <v>2368</v>
      </c>
      <c r="AA35" s="118">
        <f>ROUND(Revenues!I35,0)</f>
        <v>2368</v>
      </c>
      <c r="AB35" s="118">
        <f t="shared" si="24"/>
        <v>0</v>
      </c>
      <c r="AC35" s="358">
        <f t="shared" si="25"/>
        <v>0</v>
      </c>
      <c r="AF35" s="62"/>
    </row>
    <row r="36" spans="1:32" ht="12.75" customHeight="1" outlineLevel="1" x14ac:dyDescent="0.2">
      <c r="A36" s="366" t="s">
        <v>595</v>
      </c>
      <c r="B36" s="82" t="str">
        <f>Revenues!B36</f>
        <v>GEER 1 Grant</v>
      </c>
      <c r="C36" s="102">
        <f>Revenues!C36</f>
        <v>280</v>
      </c>
      <c r="D36" s="405">
        <f>Revenues!D36</f>
        <v>749</v>
      </c>
      <c r="E36" s="102">
        <f>Revenues!E36</f>
        <v>4500</v>
      </c>
      <c r="F36" s="107"/>
      <c r="G36" s="108"/>
      <c r="H36" s="275"/>
      <c r="I36" s="109"/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/>
      <c r="X36" s="122">
        <f t="shared" si="10"/>
        <v>0</v>
      </c>
      <c r="Y36" s="316">
        <f t="shared" ref="Y36" si="26">IFERROR(X36/Z36,0)</f>
        <v>0</v>
      </c>
      <c r="Z36" s="119">
        <v>91</v>
      </c>
      <c r="AA36" s="118">
        <f>ROUND(Revenues!I36,0)</f>
        <v>91</v>
      </c>
      <c r="AB36" s="118">
        <f t="shared" ref="AB36" si="27">AA36-Z36</f>
        <v>0</v>
      </c>
      <c r="AC36" s="358">
        <f t="shared" ref="AC36" si="28">IFERROR(X36/AA36,0)</f>
        <v>0</v>
      </c>
      <c r="AF36" s="62"/>
    </row>
    <row r="37" spans="1:32" ht="12.75" customHeight="1" outlineLevel="1" x14ac:dyDescent="0.2">
      <c r="A37" s="366" t="s">
        <v>576</v>
      </c>
      <c r="B37" s="82" t="str">
        <f>Revenues!B37</f>
        <v>E-rate</v>
      </c>
      <c r="C37" s="102">
        <f>Revenues!C37</f>
        <v>280</v>
      </c>
      <c r="D37" s="406" t="str">
        <f>Revenues!D37</f>
        <v>000</v>
      </c>
      <c r="E37" s="102">
        <f>Revenues!E37</f>
        <v>4703</v>
      </c>
      <c r="F37" s="107"/>
      <c r="G37" s="108"/>
      <c r="H37" s="275"/>
      <c r="I37" s="109"/>
      <c r="J37" s="87">
        <v>241.6</v>
      </c>
      <c r="K37" s="87">
        <v>268.76</v>
      </c>
      <c r="L37" s="87">
        <v>268.76</v>
      </c>
      <c r="M37" s="87">
        <v>268.76</v>
      </c>
      <c r="N37" s="87">
        <v>268.76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/>
      <c r="X37" s="122">
        <f t="shared" si="10"/>
        <v>1316.64</v>
      </c>
      <c r="Y37" s="316">
        <f t="shared" si="1"/>
        <v>0.27248344370860927</v>
      </c>
      <c r="Z37" s="119">
        <v>4832</v>
      </c>
      <c r="AA37" s="118">
        <f>ROUND(Revenues!I37,0)</f>
        <v>4832</v>
      </c>
      <c r="AB37" s="118">
        <f t="shared" ref="AB37" si="29">AA37-Z37</f>
        <v>0</v>
      </c>
      <c r="AC37" s="358">
        <f t="shared" si="2"/>
        <v>0.27248344370860927</v>
      </c>
      <c r="AF37" s="62"/>
    </row>
    <row r="38" spans="1:32" ht="12.75" customHeight="1" x14ac:dyDescent="0.2">
      <c r="A38" s="366" t="s">
        <v>1157</v>
      </c>
      <c r="B38" s="204" t="s">
        <v>143</v>
      </c>
      <c r="C38" s="83"/>
      <c r="D38" s="83"/>
      <c r="E38" s="83"/>
      <c r="F38" s="83"/>
      <c r="G38" s="85"/>
      <c r="H38" s="85"/>
      <c r="I38" s="433"/>
      <c r="J38" s="86">
        <f t="shared" ref="J38:V38" si="30">SUM(J19:J37)</f>
        <v>241.6</v>
      </c>
      <c r="K38" s="86">
        <f t="shared" si="30"/>
        <v>268.76</v>
      </c>
      <c r="L38" s="86">
        <f t="shared" si="30"/>
        <v>268.76</v>
      </c>
      <c r="M38" s="86">
        <f t="shared" si="30"/>
        <v>79645.11</v>
      </c>
      <c r="N38" s="86">
        <f t="shared" si="30"/>
        <v>88256.359999999986</v>
      </c>
      <c r="O38" s="86">
        <f t="shared" si="30"/>
        <v>0</v>
      </c>
      <c r="P38" s="86">
        <f t="shared" si="30"/>
        <v>0</v>
      </c>
      <c r="Q38" s="86">
        <f t="shared" si="30"/>
        <v>0</v>
      </c>
      <c r="R38" s="86">
        <f t="shared" si="30"/>
        <v>0</v>
      </c>
      <c r="S38" s="86">
        <f t="shared" si="30"/>
        <v>0</v>
      </c>
      <c r="T38" s="86">
        <f t="shared" si="30"/>
        <v>0</v>
      </c>
      <c r="U38" s="86">
        <f t="shared" si="30"/>
        <v>0</v>
      </c>
      <c r="V38" s="86">
        <f t="shared" si="30"/>
        <v>0</v>
      </c>
      <c r="W38" s="86"/>
      <c r="X38" s="86">
        <f>SUM(X19:X37)</f>
        <v>168680.59000000003</v>
      </c>
      <c r="Y38" s="315">
        <f t="shared" si="1"/>
        <v>8.4754958635122349E-2</v>
      </c>
      <c r="Z38" s="86">
        <f>SUM(Z19:Z37)</f>
        <v>1990215</v>
      </c>
      <c r="AA38" s="86">
        <f>SUM(AA19:AA37)</f>
        <v>1622230</v>
      </c>
      <c r="AB38" s="86">
        <f>SUM(AB19:AB37)</f>
        <v>-367985</v>
      </c>
      <c r="AC38" s="360">
        <f t="shared" si="2"/>
        <v>0.10398068707889759</v>
      </c>
      <c r="AE38" s="355"/>
      <c r="AF38" s="62"/>
    </row>
    <row r="39" spans="1:32" ht="12.75" customHeight="1" outlineLevel="1" x14ac:dyDescent="0.2">
      <c r="A39" s="366" t="s">
        <v>596</v>
      </c>
      <c r="B39" s="82" t="str">
        <f>Revenues!B39</f>
        <v>Other Revenue- Taxes</v>
      </c>
      <c r="C39" s="102">
        <f>Revenues!C39</f>
        <v>100</v>
      </c>
      <c r="D39" s="102" t="str">
        <f>Revenues!D39</f>
        <v>000</v>
      </c>
      <c r="E39" s="104" t="str">
        <f>Revenues!E39</f>
        <v>1290</v>
      </c>
      <c r="F39" s="107"/>
      <c r="G39" s="108"/>
      <c r="H39" s="275"/>
      <c r="I39" s="353" t="s">
        <v>497</v>
      </c>
      <c r="J39" s="12">
        <v>0</v>
      </c>
      <c r="K39" s="12">
        <v>0</v>
      </c>
      <c r="L39" s="12">
        <v>0</v>
      </c>
      <c r="M39" s="12">
        <v>0</v>
      </c>
      <c r="N39" s="12">
        <v>2575.94</v>
      </c>
      <c r="O39" s="12"/>
      <c r="P39" s="12"/>
      <c r="Q39" s="12"/>
      <c r="R39" s="12"/>
      <c r="S39" s="12"/>
      <c r="T39" s="12"/>
      <c r="U39" s="12"/>
      <c r="V39" s="12"/>
      <c r="W39" s="12"/>
      <c r="X39" s="121">
        <f>SUM(J39:W39)</f>
        <v>2575.94</v>
      </c>
      <c r="Y39" s="314">
        <f>IFERROR(X39/Z39,0)</f>
        <v>0</v>
      </c>
      <c r="Z39" s="115">
        <v>0</v>
      </c>
      <c r="AA39" s="117">
        <f>ROUND(Revenues!I39,0)</f>
        <v>2576</v>
      </c>
      <c r="AB39" s="117">
        <f t="shared" ref="AB39" si="31">AA39-Z39</f>
        <v>2576</v>
      </c>
      <c r="AC39" s="358">
        <f>IFERROR(X39/AA39,0)</f>
        <v>0.9999767080745342</v>
      </c>
      <c r="AF39" s="62"/>
    </row>
    <row r="40" spans="1:32" ht="12.75" customHeight="1" outlineLevel="1" x14ac:dyDescent="0.2">
      <c r="A40" s="366" t="s">
        <v>1158</v>
      </c>
      <c r="B40" s="82" t="str">
        <f>Revenues!B40</f>
        <v xml:space="preserve">Interest Income                                   </v>
      </c>
      <c r="C40" s="102">
        <f>Revenues!C40</f>
        <v>100</v>
      </c>
      <c r="D40" s="102" t="str">
        <f>Revenues!D40</f>
        <v>000</v>
      </c>
      <c r="E40" s="104">
        <f>Revenues!E40</f>
        <v>1510</v>
      </c>
      <c r="F40" s="107"/>
      <c r="G40" s="108"/>
      <c r="H40" s="275"/>
      <c r="I40" s="109"/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/>
      <c r="X40" s="121">
        <f>SUM(J40:W40)</f>
        <v>0</v>
      </c>
      <c r="Y40" s="314">
        <f>IFERROR(X40/Z40,0)</f>
        <v>0</v>
      </c>
      <c r="Z40" s="115">
        <v>0</v>
      </c>
      <c r="AA40" s="117">
        <f>ROUND(Revenues!I40,0)</f>
        <v>0</v>
      </c>
      <c r="AB40" s="117">
        <f t="shared" ref="AB40" si="32">AA40-Z40</f>
        <v>0</v>
      </c>
      <c r="AC40" s="358">
        <f>IFERROR(X40/AA40,0)</f>
        <v>0</v>
      </c>
      <c r="AF40" s="62"/>
    </row>
    <row r="41" spans="1:32" ht="12.75" customHeight="1" outlineLevel="1" x14ac:dyDescent="0.2">
      <c r="A41" s="366" t="s">
        <v>1159</v>
      </c>
      <c r="B41" s="82" t="str">
        <f>Revenues!B41</f>
        <v>Interest Income -Capital Projects</v>
      </c>
      <c r="C41" s="102">
        <f>Revenues!C41</f>
        <v>300</v>
      </c>
      <c r="D41" s="102" t="str">
        <f>Revenues!D41</f>
        <v>000</v>
      </c>
      <c r="E41" s="104">
        <f>Revenues!E41</f>
        <v>1510</v>
      </c>
      <c r="F41" s="107"/>
      <c r="G41" s="108"/>
      <c r="H41" s="275"/>
      <c r="I41" s="109"/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/>
      <c r="X41" s="121">
        <f t="shared" ref="X41:X51" si="33">SUM(J41:W41)</f>
        <v>0</v>
      </c>
      <c r="Y41" s="314">
        <f t="shared" ref="Y41:Y43" si="34">IFERROR(X41/Z41,0)</f>
        <v>0</v>
      </c>
      <c r="Z41" s="115">
        <v>0</v>
      </c>
      <c r="AA41" s="117">
        <f>ROUND(Revenues!I41,0)</f>
        <v>0</v>
      </c>
      <c r="AB41" s="117">
        <f t="shared" ref="AB41:AB43" si="35">AA41-Z41</f>
        <v>0</v>
      </c>
      <c r="AC41" s="358">
        <f t="shared" ref="AC41:AC43" si="36">IFERROR(X41/AA41,0)</f>
        <v>0</v>
      </c>
      <c r="AF41" s="62"/>
    </row>
    <row r="42" spans="1:32" ht="12.75" customHeight="1" outlineLevel="1" x14ac:dyDescent="0.2">
      <c r="A42" s="366" t="s">
        <v>597</v>
      </c>
      <c r="B42" s="82" t="str">
        <f>Revenues!B42</f>
        <v>Dividends on Investments</v>
      </c>
      <c r="C42" s="102">
        <f>Revenues!C42</f>
        <v>100</v>
      </c>
      <c r="D42" s="104" t="str">
        <f>Revenues!D42</f>
        <v>000</v>
      </c>
      <c r="E42" s="104" t="str">
        <f>Revenues!E42</f>
        <v>1520</v>
      </c>
      <c r="F42" s="107"/>
      <c r="G42" s="108"/>
      <c r="H42" s="275"/>
      <c r="I42" s="109"/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/>
      <c r="X42" s="121">
        <f t="shared" si="33"/>
        <v>0</v>
      </c>
      <c r="Y42" s="314">
        <f t="shared" si="34"/>
        <v>0</v>
      </c>
      <c r="Z42" s="115">
        <v>0</v>
      </c>
      <c r="AA42" s="117">
        <f>ROUND(Revenues!I42,0)</f>
        <v>0</v>
      </c>
      <c r="AB42" s="117">
        <f t="shared" si="35"/>
        <v>0</v>
      </c>
      <c r="AC42" s="358">
        <f t="shared" si="36"/>
        <v>0</v>
      </c>
      <c r="AF42" s="62"/>
    </row>
    <row r="43" spans="1:32" ht="12.75" customHeight="1" outlineLevel="1" x14ac:dyDescent="0.2">
      <c r="A43" s="366" t="s">
        <v>598</v>
      </c>
      <c r="B43" s="82" t="str">
        <f>Revenues!B43</f>
        <v>FV Increase on Invesments</v>
      </c>
      <c r="C43" s="102">
        <f>Revenues!C43</f>
        <v>100</v>
      </c>
      <c r="D43" s="104" t="str">
        <f>Revenues!D43</f>
        <v>000</v>
      </c>
      <c r="E43" s="104" t="str">
        <f>Revenues!E43</f>
        <v>1530</v>
      </c>
      <c r="F43" s="107"/>
      <c r="G43" s="108"/>
      <c r="H43" s="275"/>
      <c r="I43" s="109"/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/>
      <c r="X43" s="121">
        <f t="shared" si="33"/>
        <v>0</v>
      </c>
      <c r="Y43" s="314">
        <f t="shared" si="34"/>
        <v>0</v>
      </c>
      <c r="Z43" s="115">
        <v>0</v>
      </c>
      <c r="AA43" s="117">
        <f>ROUND(Revenues!I43,0)</f>
        <v>0</v>
      </c>
      <c r="AB43" s="117">
        <f t="shared" si="35"/>
        <v>0</v>
      </c>
      <c r="AC43" s="358">
        <f t="shared" si="36"/>
        <v>0</v>
      </c>
      <c r="AF43" s="62"/>
    </row>
    <row r="44" spans="1:32" ht="12.75" customHeight="1" outlineLevel="1" x14ac:dyDescent="0.2">
      <c r="A44" s="366" t="s">
        <v>599</v>
      </c>
      <c r="B44" s="82" t="str">
        <f>Revenues!B44</f>
        <v>Other Fees</v>
      </c>
      <c r="C44" s="102">
        <f>Revenues!C44</f>
        <v>100</v>
      </c>
      <c r="D44" s="104" t="str">
        <f>Revenues!D44</f>
        <v>000</v>
      </c>
      <c r="E44" s="104">
        <f>Revenues!E44</f>
        <v>1740</v>
      </c>
      <c r="F44" s="107"/>
      <c r="G44" s="108"/>
      <c r="H44" s="275"/>
      <c r="I44" s="109"/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/>
      <c r="X44" s="121">
        <f t="shared" si="33"/>
        <v>0</v>
      </c>
      <c r="Y44" s="314">
        <f t="shared" si="1"/>
        <v>0</v>
      </c>
      <c r="Z44" s="115">
        <v>0</v>
      </c>
      <c r="AA44" s="117">
        <f>ROUND(Revenues!I44,0)</f>
        <v>0</v>
      </c>
      <c r="AB44" s="117">
        <f t="shared" ref="AB44:AB49" si="37">AA44-Z44</f>
        <v>0</v>
      </c>
      <c r="AC44" s="358">
        <f t="shared" si="2"/>
        <v>0</v>
      </c>
      <c r="AF44" s="62"/>
    </row>
    <row r="45" spans="1:32" ht="12.75" customHeight="1" outlineLevel="1" x14ac:dyDescent="0.2">
      <c r="A45" s="366" t="s">
        <v>600</v>
      </c>
      <c r="B45" s="88" t="str">
        <f>Revenues!B45</f>
        <v xml:space="preserve">OTHER ACTIVITY FEES </v>
      </c>
      <c r="C45" s="102">
        <f>Revenues!C45</f>
        <v>100</v>
      </c>
      <c r="D45" s="102" t="str">
        <f>Revenues!D45</f>
        <v>000</v>
      </c>
      <c r="E45" s="102">
        <f>Revenues!E45</f>
        <v>1790</v>
      </c>
      <c r="F45" s="107"/>
      <c r="G45" s="108"/>
      <c r="H45" s="275"/>
      <c r="I45" s="109"/>
      <c r="J45" s="12">
        <v>0</v>
      </c>
      <c r="K45" s="12">
        <v>0</v>
      </c>
      <c r="L45" s="12">
        <v>1200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/>
      <c r="X45" s="121">
        <f t="shared" si="33"/>
        <v>1200</v>
      </c>
      <c r="Y45" s="314">
        <f t="shared" si="1"/>
        <v>2.4</v>
      </c>
      <c r="Z45" s="115">
        <v>500</v>
      </c>
      <c r="AA45" s="117">
        <f>ROUND(Revenues!I45,0)</f>
        <v>500</v>
      </c>
      <c r="AB45" s="117">
        <f t="shared" si="37"/>
        <v>0</v>
      </c>
      <c r="AC45" s="358">
        <f t="shared" si="2"/>
        <v>2.4</v>
      </c>
      <c r="AF45" s="62"/>
    </row>
    <row r="46" spans="1:32" ht="12.75" customHeight="1" outlineLevel="1" x14ac:dyDescent="0.2">
      <c r="A46" s="366" t="s">
        <v>601</v>
      </c>
      <c r="B46" s="88" t="str">
        <f>Revenues!B46</f>
        <v>Student Generated Funds</v>
      </c>
      <c r="C46" s="102">
        <f>Revenues!C46</f>
        <v>279</v>
      </c>
      <c r="D46" s="102" t="str">
        <f>Revenues!D46</f>
        <v>000</v>
      </c>
      <c r="E46" s="102">
        <f>Revenues!E46</f>
        <v>1790</v>
      </c>
      <c r="F46" s="107"/>
      <c r="G46" s="108"/>
      <c r="H46" s="275"/>
      <c r="I46" s="109"/>
      <c r="J46" s="12">
        <v>0</v>
      </c>
      <c r="K46" s="12">
        <v>162</v>
      </c>
      <c r="L46" s="12">
        <v>92.75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/>
      <c r="X46" s="121">
        <f t="shared" si="33"/>
        <v>254.75</v>
      </c>
      <c r="Y46" s="314">
        <f t="shared" si="1"/>
        <v>0.10645633096531551</v>
      </c>
      <c r="Z46" s="115">
        <v>2393</v>
      </c>
      <c r="AA46" s="117">
        <f>ROUND(Revenues!I46,0)</f>
        <v>2393</v>
      </c>
      <c r="AB46" s="117">
        <f>AA46-Z46</f>
        <v>0</v>
      </c>
      <c r="AC46" s="358">
        <f t="shared" si="2"/>
        <v>0.10645633096531551</v>
      </c>
      <c r="AF46" s="62"/>
    </row>
    <row r="47" spans="1:32" ht="12.75" customHeight="1" outlineLevel="1" x14ac:dyDescent="0.2">
      <c r="A47" s="366" t="s">
        <v>572</v>
      </c>
      <c r="B47" s="88" t="str">
        <f>Revenues!B47</f>
        <v>Other Revenue from Local Sources</v>
      </c>
      <c r="C47" s="102">
        <f>Revenues!C47</f>
        <v>100</v>
      </c>
      <c r="D47" s="102" t="str">
        <f>Revenues!D47</f>
        <v>000</v>
      </c>
      <c r="E47" s="102">
        <f>Revenues!E47</f>
        <v>1900</v>
      </c>
      <c r="F47" s="107"/>
      <c r="G47" s="108"/>
      <c r="H47" s="275"/>
      <c r="I47" s="109"/>
      <c r="J47" s="12">
        <v>0</v>
      </c>
      <c r="K47" s="12">
        <v>0</v>
      </c>
      <c r="L47" s="12">
        <v>484.49</v>
      </c>
      <c r="M47" s="12">
        <v>30</v>
      </c>
      <c r="N47" s="12">
        <v>1193.6400000000001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/>
      <c r="X47" s="121">
        <f t="shared" si="33"/>
        <v>1708.13</v>
      </c>
      <c r="Y47" s="314">
        <f t="shared" si="1"/>
        <v>0</v>
      </c>
      <c r="Z47" s="115">
        <v>0</v>
      </c>
      <c r="AA47" s="117">
        <f>ROUND(Revenues!I47,0)</f>
        <v>1708</v>
      </c>
      <c r="AB47" s="117">
        <f t="shared" si="37"/>
        <v>1708</v>
      </c>
      <c r="AC47" s="358">
        <f t="shared" si="2"/>
        <v>1.000076112412178</v>
      </c>
      <c r="AF47" s="62"/>
    </row>
    <row r="48" spans="1:32" ht="12.75" customHeight="1" outlineLevel="1" x14ac:dyDescent="0.2">
      <c r="A48" s="366" t="s">
        <v>570</v>
      </c>
      <c r="B48" s="82" t="str">
        <f>Revenues!B48</f>
        <v xml:space="preserve">GIFTS &amp; DONATIONS FROM LOCAL COMMUNITY            </v>
      </c>
      <c r="C48" s="102">
        <f>Revenues!C48</f>
        <v>260</v>
      </c>
      <c r="D48" s="104" t="str">
        <f>Revenues!D48</f>
        <v>000</v>
      </c>
      <c r="E48" s="102">
        <f>Revenues!E48</f>
        <v>1920</v>
      </c>
      <c r="F48" s="107"/>
      <c r="G48" s="108"/>
      <c r="H48" s="275"/>
      <c r="I48" s="109"/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/>
      <c r="X48" s="121">
        <f t="shared" si="33"/>
        <v>0</v>
      </c>
      <c r="Y48" s="314">
        <f t="shared" si="1"/>
        <v>0</v>
      </c>
      <c r="Z48" s="115">
        <v>0</v>
      </c>
      <c r="AA48" s="117">
        <f>ROUND(Revenues!I48,0)</f>
        <v>0</v>
      </c>
      <c r="AB48" s="117">
        <f t="shared" si="37"/>
        <v>0</v>
      </c>
      <c r="AC48" s="358">
        <f t="shared" si="2"/>
        <v>0</v>
      </c>
      <c r="AE48" s="355"/>
      <c r="AF48" s="62"/>
    </row>
    <row r="49" spans="1:32" ht="12.75" customHeight="1" outlineLevel="1" x14ac:dyDescent="0.2">
      <c r="A49" s="366" t="s">
        <v>602</v>
      </c>
      <c r="B49" s="88" t="str">
        <f>Revenues!B49</f>
        <v>Refund of Prior Year's Expenses</v>
      </c>
      <c r="C49" s="102">
        <f>Revenues!C49</f>
        <v>100</v>
      </c>
      <c r="D49" s="102" t="str">
        <f>Revenues!D49</f>
        <v>000</v>
      </c>
      <c r="E49" s="102">
        <f>Revenues!E49</f>
        <v>1980</v>
      </c>
      <c r="F49" s="107"/>
      <c r="G49" s="108"/>
      <c r="H49" s="275"/>
      <c r="I49" s="109"/>
      <c r="J49" s="12">
        <v>0</v>
      </c>
      <c r="K49" s="12">
        <v>0</v>
      </c>
      <c r="L49" s="12">
        <v>0</v>
      </c>
      <c r="M49" s="12">
        <v>0</v>
      </c>
      <c r="N49" s="12">
        <v>2692.03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/>
      <c r="X49" s="121">
        <f t="shared" si="33"/>
        <v>2692.03</v>
      </c>
      <c r="Y49" s="314">
        <f t="shared" si="1"/>
        <v>0</v>
      </c>
      <c r="Z49" s="115">
        <v>0</v>
      </c>
      <c r="AA49" s="117">
        <f>ROUND(Revenues!I49,0)</f>
        <v>2692</v>
      </c>
      <c r="AB49" s="117">
        <f t="shared" si="37"/>
        <v>2692</v>
      </c>
      <c r="AC49" s="358">
        <f t="shared" si="2"/>
        <v>1.000011144130758</v>
      </c>
      <c r="AF49" s="62"/>
    </row>
    <row r="50" spans="1:32" ht="12.75" customHeight="1" outlineLevel="1" x14ac:dyDescent="0.2">
      <c r="A50" s="366" t="s">
        <v>603</v>
      </c>
      <c r="B50" s="88" t="str">
        <f>Revenues!B50</f>
        <v>Transfers from Gen Fund to SPED FUND</v>
      </c>
      <c r="C50" s="102">
        <f>Revenues!C50</f>
        <v>250</v>
      </c>
      <c r="D50" s="102" t="str">
        <f>Revenues!D50</f>
        <v>205</v>
      </c>
      <c r="E50" s="102">
        <f>Revenues!E50</f>
        <v>5200</v>
      </c>
      <c r="F50" s="107"/>
      <c r="G50" s="108"/>
      <c r="H50" s="275"/>
      <c r="I50" s="109"/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/>
      <c r="X50" s="121">
        <f t="shared" si="33"/>
        <v>0</v>
      </c>
      <c r="Y50" s="314">
        <f t="shared" ref="Y50" si="38">IFERROR(X50/Z50,0)</f>
        <v>0</v>
      </c>
      <c r="Z50" s="115">
        <v>0</v>
      </c>
      <c r="AA50" s="117">
        <f>ROUND(Revenues!I50,0)</f>
        <v>0</v>
      </c>
      <c r="AB50" s="117">
        <f t="shared" ref="AB50" si="39">AA50-Z50</f>
        <v>0</v>
      </c>
      <c r="AC50" s="358">
        <f t="shared" ref="AC50" si="40">IFERROR(X50/AA50,0)</f>
        <v>0</v>
      </c>
      <c r="AF50" s="62"/>
    </row>
    <row r="51" spans="1:32" ht="12.75" customHeight="1" outlineLevel="1" x14ac:dyDescent="0.2">
      <c r="A51" s="366" t="s">
        <v>604</v>
      </c>
      <c r="B51" s="88" t="str">
        <f>Revenues!B51</f>
        <v>Capital Projects Transfer In</v>
      </c>
      <c r="C51" s="102">
        <f>Revenues!C51</f>
        <v>300</v>
      </c>
      <c r="D51" s="104" t="str">
        <f>Revenues!D51</f>
        <v>000</v>
      </c>
      <c r="E51" s="102">
        <f>Revenues!E51</f>
        <v>5200</v>
      </c>
      <c r="F51" s="107"/>
      <c r="G51" s="108"/>
      <c r="H51" s="275"/>
      <c r="I51" s="109"/>
      <c r="J51" s="12">
        <v>0</v>
      </c>
      <c r="K51" s="12">
        <v>0</v>
      </c>
      <c r="L51" s="12">
        <v>0</v>
      </c>
      <c r="M51" s="12">
        <v>0</v>
      </c>
      <c r="N51" s="12">
        <v>1559311.38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/>
      <c r="X51" s="121">
        <f t="shared" si="33"/>
        <v>1559311.38</v>
      </c>
      <c r="Y51" s="314">
        <f t="shared" si="1"/>
        <v>0</v>
      </c>
      <c r="Z51" s="115">
        <v>0</v>
      </c>
      <c r="AA51" s="117">
        <f>ROUND(Revenues!I51,0)</f>
        <v>1559311</v>
      </c>
      <c r="AB51" s="117">
        <f t="shared" ref="AB51" si="41">AA51-Z51</f>
        <v>1559311</v>
      </c>
      <c r="AC51" s="358">
        <f t="shared" si="2"/>
        <v>1.0000002436973765</v>
      </c>
      <c r="AE51" s="355"/>
      <c r="AF51" s="62"/>
    </row>
    <row r="52" spans="1:32" ht="12.75" customHeight="1" x14ac:dyDescent="0.2">
      <c r="A52" s="366" t="s">
        <v>605</v>
      </c>
      <c r="B52" s="205" t="s">
        <v>149</v>
      </c>
      <c r="C52" s="89"/>
      <c r="D52" s="89"/>
      <c r="E52" s="89"/>
      <c r="F52" s="89"/>
      <c r="G52" s="89"/>
      <c r="H52" s="89"/>
      <c r="I52" s="89"/>
      <c r="J52" s="86">
        <f t="shared" ref="J52:V52" si="42">SUM(J39:J51)</f>
        <v>0</v>
      </c>
      <c r="K52" s="86">
        <f t="shared" si="42"/>
        <v>162</v>
      </c>
      <c r="L52" s="86">
        <f t="shared" si="42"/>
        <v>1777.24</v>
      </c>
      <c r="M52" s="86">
        <f t="shared" si="42"/>
        <v>30</v>
      </c>
      <c r="N52" s="86">
        <f t="shared" si="42"/>
        <v>1565772.99</v>
      </c>
      <c r="O52" s="86">
        <f t="shared" si="42"/>
        <v>0</v>
      </c>
      <c r="P52" s="86">
        <f t="shared" si="42"/>
        <v>0</v>
      </c>
      <c r="Q52" s="86">
        <f t="shared" si="42"/>
        <v>0</v>
      </c>
      <c r="R52" s="86">
        <f t="shared" si="42"/>
        <v>0</v>
      </c>
      <c r="S52" s="86">
        <f t="shared" si="42"/>
        <v>0</v>
      </c>
      <c r="T52" s="86">
        <f t="shared" si="42"/>
        <v>0</v>
      </c>
      <c r="U52" s="86">
        <f t="shared" si="42"/>
        <v>0</v>
      </c>
      <c r="V52" s="86">
        <f t="shared" si="42"/>
        <v>0</v>
      </c>
      <c r="W52" s="86"/>
      <c r="X52" s="86">
        <f>SUM(X39:X51)</f>
        <v>1567742.23</v>
      </c>
      <c r="Y52" s="315">
        <f t="shared" si="1"/>
        <v>541.90882474939508</v>
      </c>
      <c r="Z52" s="86">
        <f>SUM(Z39:Z51)</f>
        <v>2893</v>
      </c>
      <c r="AA52" s="86">
        <f>SUM(AA39:AA51)</f>
        <v>1569180</v>
      </c>
      <c r="AB52" s="86">
        <f>SUM(AB39:AB51)</f>
        <v>1566287</v>
      </c>
      <c r="AC52" s="315">
        <f t="shared" si="2"/>
        <v>0.99908374437604353</v>
      </c>
      <c r="AF52" s="62"/>
    </row>
    <row r="53" spans="1:32" ht="12.75" customHeight="1" thickBot="1" x14ac:dyDescent="0.25">
      <c r="A53" s="366" t="s">
        <v>606</v>
      </c>
      <c r="B53" s="206" t="s">
        <v>150</v>
      </c>
      <c r="C53" s="105"/>
      <c r="D53" s="105"/>
      <c r="E53" s="105"/>
      <c r="F53" s="105"/>
      <c r="G53" s="105"/>
      <c r="H53" s="105"/>
      <c r="I53" s="105"/>
      <c r="J53" s="91">
        <f t="shared" ref="J53:V53" si="43">SUM(J52,J38,J18)</f>
        <v>428776.7</v>
      </c>
      <c r="K53" s="91">
        <f t="shared" si="43"/>
        <v>-3877.3899999999994</v>
      </c>
      <c r="L53" s="91">
        <f t="shared" si="43"/>
        <v>228721.88999999998</v>
      </c>
      <c r="M53" s="91">
        <f t="shared" si="43"/>
        <v>433110.56</v>
      </c>
      <c r="N53" s="91">
        <f t="shared" si="43"/>
        <v>1964553.26</v>
      </c>
      <c r="O53" s="91">
        <f t="shared" si="43"/>
        <v>0</v>
      </c>
      <c r="P53" s="91">
        <f t="shared" si="43"/>
        <v>0</v>
      </c>
      <c r="Q53" s="91">
        <f t="shared" si="43"/>
        <v>0</v>
      </c>
      <c r="R53" s="91">
        <f t="shared" si="43"/>
        <v>0</v>
      </c>
      <c r="S53" s="91">
        <f t="shared" si="43"/>
        <v>0</v>
      </c>
      <c r="T53" s="91">
        <f t="shared" si="43"/>
        <v>0</v>
      </c>
      <c r="U53" s="91">
        <f t="shared" si="43"/>
        <v>0</v>
      </c>
      <c r="V53" s="91">
        <f t="shared" si="43"/>
        <v>0</v>
      </c>
      <c r="W53" s="91"/>
      <c r="X53" s="91">
        <f>SUM(X52,X38,X18)</f>
        <v>3051285.02</v>
      </c>
      <c r="Y53" s="317">
        <f t="shared" si="1"/>
        <v>0.57338103483072467</v>
      </c>
      <c r="Z53" s="91">
        <f>SUM(Z52,Z38,Z18)</f>
        <v>5321566</v>
      </c>
      <c r="AA53" s="91">
        <f>SUM(AA52,AA38,AA18)</f>
        <v>6771763</v>
      </c>
      <c r="AB53" s="91">
        <f>SUM(AB52,AB38,AB18)</f>
        <v>1450197</v>
      </c>
      <c r="AC53" s="317">
        <f t="shared" si="2"/>
        <v>0.45058945801853961</v>
      </c>
      <c r="AF53" s="62"/>
    </row>
    <row r="54" spans="1:32" ht="13.5" outlineLevel="1" thickTop="1" x14ac:dyDescent="0.2">
      <c r="A54" s="366" t="s">
        <v>607</v>
      </c>
      <c r="B54" s="82" t="s">
        <v>160</v>
      </c>
      <c r="C54" s="900"/>
      <c r="D54" s="900"/>
      <c r="E54" s="900"/>
      <c r="F54" s="900"/>
      <c r="G54" s="900"/>
      <c r="H54" s="901" t="s">
        <v>161</v>
      </c>
      <c r="I54" s="103"/>
      <c r="J54" s="12"/>
      <c r="K54" s="12"/>
      <c r="L54" s="12"/>
      <c r="M54" s="12"/>
      <c r="N54" s="12"/>
      <c r="O54" s="115"/>
      <c r="P54" s="115"/>
      <c r="Q54" s="115"/>
      <c r="R54" s="115"/>
      <c r="S54" s="115"/>
      <c r="T54" s="115"/>
      <c r="U54" s="115"/>
      <c r="V54" s="115">
        <v>0</v>
      </c>
      <c r="W54" s="12"/>
      <c r="X54" s="12"/>
      <c r="Y54" s="521"/>
      <c r="Z54" s="114"/>
      <c r="AA54" s="114"/>
      <c r="AB54" s="114"/>
      <c r="AC54" s="521"/>
      <c r="AF54" s="62"/>
    </row>
    <row r="55" spans="1:32" outlineLevel="1" x14ac:dyDescent="0.2">
      <c r="A55" s="366" t="s">
        <v>608</v>
      </c>
      <c r="B55" s="82"/>
      <c r="C55" s="904" t="s">
        <v>468</v>
      </c>
      <c r="D55" s="902" t="s">
        <v>145</v>
      </c>
      <c r="E55" s="902"/>
      <c r="F55" s="902" t="s">
        <v>468</v>
      </c>
      <c r="G55" s="902" t="s">
        <v>461</v>
      </c>
      <c r="H55" s="903" t="s">
        <v>161</v>
      </c>
      <c r="I55" s="104"/>
      <c r="J55" s="12">
        <v>0</v>
      </c>
      <c r="K55" s="12">
        <v>26760.25</v>
      </c>
      <c r="L55" s="12">
        <v>37636.47</v>
      </c>
      <c r="M55" s="12">
        <v>22722.84</v>
      </c>
      <c r="N55" s="12">
        <v>22342.39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/>
      <c r="X55" s="121">
        <f>SUM(J55:V55)</f>
        <v>109461.95</v>
      </c>
      <c r="Y55" s="314">
        <f t="shared" si="1"/>
        <v>0.33540246966540016</v>
      </c>
      <c r="Z55" s="115">
        <v>326360</v>
      </c>
      <c r="AA55" s="117">
        <f>ROUND(SUMIFS('Employee Detail FY22'!$AA:$AA,'Employee Detail FY22'!$B:$B,$C55,'Employee Detail FY22'!$C:$C,$D55,'Employee Detail FY22'!$E:$E,$F55,'Employee Detail FY22'!$F:$F,$G55,'Employee Detail FY22'!$G:$G,$H55),0)</f>
        <v>326360</v>
      </c>
      <c r="AB55" s="117">
        <f t="shared" ref="AB55:AB64" si="44">AA55-Z55</f>
        <v>0</v>
      </c>
      <c r="AC55" s="358">
        <f t="shared" si="2"/>
        <v>0.33540246966540016</v>
      </c>
      <c r="AF55" s="62"/>
    </row>
    <row r="56" spans="1:32" outlineLevel="1" x14ac:dyDescent="0.2">
      <c r="A56" s="366" t="s">
        <v>609</v>
      </c>
      <c r="B56" s="382" t="s">
        <v>812</v>
      </c>
      <c r="C56" s="904" t="s">
        <v>468</v>
      </c>
      <c r="D56" s="902" t="s">
        <v>145</v>
      </c>
      <c r="E56" s="902"/>
      <c r="F56" s="902" t="s">
        <v>689</v>
      </c>
      <c r="G56" s="902" t="s">
        <v>461</v>
      </c>
      <c r="H56" s="903" t="s">
        <v>161</v>
      </c>
      <c r="I56" s="104"/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/>
      <c r="X56" s="121">
        <f t="shared" ref="X56:X121" si="45">SUM(J56:V56)</f>
        <v>0</v>
      </c>
      <c r="Y56" s="314">
        <f t="shared" si="1"/>
        <v>0</v>
      </c>
      <c r="Z56" s="115">
        <v>0</v>
      </c>
      <c r="AA56" s="117">
        <f>ROUND(SUMIFS('Employee Detail FY22'!$AA:$AA,'Employee Detail FY22'!$B:$B,$C56,'Employee Detail FY22'!$C:$C,$D56,'Employee Detail FY22'!$E:$E,$F56,'Employee Detail FY22'!$F:$F,$G56,'Employee Detail FY22'!$G:$G,$H56),0)</f>
        <v>0</v>
      </c>
      <c r="AB56" s="117">
        <f t="shared" ref="AB56" si="46">AA56-Z56</f>
        <v>0</v>
      </c>
      <c r="AC56" s="358">
        <f t="shared" si="2"/>
        <v>0</v>
      </c>
      <c r="AF56" s="62"/>
    </row>
    <row r="57" spans="1:32" outlineLevel="1" x14ac:dyDescent="0.2">
      <c r="A57" s="366" t="s">
        <v>610</v>
      </c>
      <c r="B57" s="82"/>
      <c r="C57" s="904" t="s">
        <v>468</v>
      </c>
      <c r="D57" s="902" t="s">
        <v>145</v>
      </c>
      <c r="E57" s="902"/>
      <c r="F57" s="902" t="s">
        <v>468</v>
      </c>
      <c r="G57" s="902" t="s">
        <v>534</v>
      </c>
      <c r="H57" s="903" t="s">
        <v>161</v>
      </c>
      <c r="I57" s="104"/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/>
      <c r="X57" s="121">
        <f t="shared" si="45"/>
        <v>0</v>
      </c>
      <c r="Y57" s="314">
        <f t="shared" si="1"/>
        <v>0</v>
      </c>
      <c r="Z57" s="115">
        <v>0</v>
      </c>
      <c r="AA57" s="117">
        <f>ROUND(SUMIFS('Employee Detail FY22'!$AA:$AA,'Employee Detail FY22'!$B:$B,$C57,'Employee Detail FY22'!$C:$C,$D57,'Employee Detail FY22'!$E:$E,$F57,'Employee Detail FY22'!$F:$F,$G57,'Employee Detail FY22'!$G:$G,$H57),0)</f>
        <v>0</v>
      </c>
      <c r="AB57" s="117">
        <f t="shared" si="44"/>
        <v>0</v>
      </c>
      <c r="AC57" s="358">
        <f t="shared" si="2"/>
        <v>0</v>
      </c>
      <c r="AF57" s="62"/>
    </row>
    <row r="58" spans="1:32" outlineLevel="1" x14ac:dyDescent="0.2">
      <c r="A58" s="366" t="s">
        <v>611</v>
      </c>
      <c r="B58" s="82"/>
      <c r="C58" s="902" t="s">
        <v>462</v>
      </c>
      <c r="D58" s="902" t="s">
        <v>145</v>
      </c>
      <c r="E58" s="902"/>
      <c r="F58" s="902" t="s">
        <v>463</v>
      </c>
      <c r="G58" s="902" t="s">
        <v>461</v>
      </c>
      <c r="H58" s="903" t="s">
        <v>161</v>
      </c>
      <c r="I58" s="104"/>
      <c r="J58" s="12">
        <v>6079.7</v>
      </c>
      <c r="K58" s="12">
        <v>12794.88</v>
      </c>
      <c r="L58" s="12">
        <v>13359.64</v>
      </c>
      <c r="M58" s="12">
        <v>16832.09</v>
      </c>
      <c r="N58" s="12">
        <v>19185.27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/>
      <c r="X58" s="121">
        <f t="shared" si="45"/>
        <v>68251.58</v>
      </c>
      <c r="Y58" s="314">
        <f t="shared" si="1"/>
        <v>0.29246582621290163</v>
      </c>
      <c r="Z58" s="115">
        <v>233366</v>
      </c>
      <c r="AA58" s="117">
        <f>ROUND(SUMIFS('Employee Detail FY22'!$AA:$AA,'Employee Detail FY22'!$B:$B,$C58,'Employee Detail FY22'!$C:$C,$D58,'Employee Detail FY22'!$E:$E,$F58,'Employee Detail FY22'!$F:$F,$G58,'Employee Detail FY22'!$G:$G,$H58),0)</f>
        <v>187866</v>
      </c>
      <c r="AB58" s="117">
        <f t="shared" si="44"/>
        <v>-45500</v>
      </c>
      <c r="AC58" s="358">
        <f t="shared" si="2"/>
        <v>0.36329926649846167</v>
      </c>
      <c r="AF58" s="62"/>
    </row>
    <row r="59" spans="1:32" outlineLevel="1" x14ac:dyDescent="0.2">
      <c r="A59" s="366" t="s">
        <v>567</v>
      </c>
      <c r="B59" s="382" t="s">
        <v>812</v>
      </c>
      <c r="C59" s="902" t="s">
        <v>462</v>
      </c>
      <c r="D59" s="902" t="s">
        <v>132</v>
      </c>
      <c r="E59" s="902"/>
      <c r="F59" s="902" t="s">
        <v>473</v>
      </c>
      <c r="G59" s="902" t="s">
        <v>461</v>
      </c>
      <c r="H59" s="903" t="s">
        <v>161</v>
      </c>
      <c r="I59" s="104"/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/>
      <c r="X59" s="121">
        <f t="shared" ref="X59" si="47">SUM(J59:V59)</f>
        <v>0</v>
      </c>
      <c r="Y59" s="314">
        <f t="shared" ref="Y59" si="48">IFERROR(X59/Z59,0)</f>
        <v>0</v>
      </c>
      <c r="Z59" s="115">
        <v>0</v>
      </c>
      <c r="AA59" s="117">
        <f>ROUND(SUMIFS('Employee Detail FY22'!$AA:$AA,'Employee Detail FY22'!$B:$B,$C59,'Employee Detail FY22'!$C:$C,$D59,'Employee Detail FY22'!$E:$E,$F59,'Employee Detail FY22'!$F:$F,$G59,'Employee Detail FY22'!$G:$G,$H59),0)</f>
        <v>0</v>
      </c>
      <c r="AB59" s="117">
        <f t="shared" ref="AB59" si="49">AA59-Z59</f>
        <v>0</v>
      </c>
      <c r="AC59" s="358">
        <f t="shared" ref="AC59" si="50">IFERROR(X59/AA59,0)</f>
        <v>0</v>
      </c>
      <c r="AF59" s="62"/>
    </row>
    <row r="60" spans="1:32" outlineLevel="1" x14ac:dyDescent="0.2">
      <c r="A60" s="366" t="s">
        <v>612</v>
      </c>
      <c r="B60" s="82"/>
      <c r="C60" s="904" t="s">
        <v>135</v>
      </c>
      <c r="D60" s="902" t="s">
        <v>242</v>
      </c>
      <c r="E60" s="902"/>
      <c r="F60" s="902" t="s">
        <v>532</v>
      </c>
      <c r="G60" s="902" t="s">
        <v>461</v>
      </c>
      <c r="H60" s="903" t="s">
        <v>161</v>
      </c>
      <c r="I60" s="103"/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/>
      <c r="X60" s="121">
        <f t="shared" si="45"/>
        <v>0</v>
      </c>
      <c r="Y60" s="314">
        <f t="shared" ref="Y60" si="51">IFERROR(X60/Z60,0)</f>
        <v>0</v>
      </c>
      <c r="Z60" s="115">
        <v>0</v>
      </c>
      <c r="AA60" s="117">
        <f>ROUND(SUMIFS('Employee Detail FY22'!$AA:$AA,'Employee Detail FY22'!$B:$B,$C60,'Employee Detail FY22'!$C:$C,$D60,'Employee Detail FY22'!$E:$E,$F60,'Employee Detail FY22'!$F:$F,$G60,'Employee Detail FY22'!$G:$G,$H60),0)</f>
        <v>0</v>
      </c>
      <c r="AB60" s="117">
        <f t="shared" ref="AB60" si="52">AA60-Z60</f>
        <v>0</v>
      </c>
      <c r="AC60" s="358">
        <f t="shared" ref="AC60" si="53">IFERROR(X60/AA60,0)</f>
        <v>0</v>
      </c>
      <c r="AF60" s="62"/>
    </row>
    <row r="61" spans="1:32" outlineLevel="1" x14ac:dyDescent="0.2">
      <c r="A61" s="366" t="s">
        <v>568</v>
      </c>
      <c r="B61" s="82"/>
      <c r="C61" s="904" t="s">
        <v>135</v>
      </c>
      <c r="D61" s="902" t="s">
        <v>242</v>
      </c>
      <c r="E61" s="902"/>
      <c r="F61" s="902" t="s">
        <v>532</v>
      </c>
      <c r="G61" s="902" t="s">
        <v>534</v>
      </c>
      <c r="H61" s="903" t="s">
        <v>161</v>
      </c>
      <c r="I61" s="104"/>
      <c r="J61" s="12">
        <v>0</v>
      </c>
      <c r="K61" s="12">
        <v>4954.7</v>
      </c>
      <c r="L61" s="12">
        <v>7432.05</v>
      </c>
      <c r="M61" s="12">
        <v>4954.7</v>
      </c>
      <c r="N61" s="12">
        <v>4954.7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/>
      <c r="X61" s="121">
        <f t="shared" si="45"/>
        <v>22296.15</v>
      </c>
      <c r="Y61" s="314">
        <f t="shared" si="1"/>
        <v>0.34615438356802414</v>
      </c>
      <c r="Z61" s="115">
        <v>64411</v>
      </c>
      <c r="AA61" s="117">
        <f>ROUND(SUMIFS('Employee Detail FY22'!$AA:$AA,'Employee Detail FY22'!$B:$B,$C61,'Employee Detail FY22'!$C:$C,$D61,'Employee Detail FY22'!$E:$E,$F61,'Employee Detail FY22'!$F:$F,$G61,'Employee Detail FY22'!$G:$G,$H61),0)</f>
        <v>64411</v>
      </c>
      <c r="AB61" s="117">
        <f t="shared" ref="AB61" si="54">AA61-Z61</f>
        <v>0</v>
      </c>
      <c r="AC61" s="358">
        <f t="shared" si="2"/>
        <v>0.34615438356802414</v>
      </c>
      <c r="AF61" s="62"/>
    </row>
    <row r="62" spans="1:32" outlineLevel="1" x14ac:dyDescent="0.2">
      <c r="A62" s="366" t="s">
        <v>613</v>
      </c>
      <c r="B62" s="82"/>
      <c r="C62" s="904" t="s">
        <v>135</v>
      </c>
      <c r="D62" s="902" t="s">
        <v>245</v>
      </c>
      <c r="E62" s="902"/>
      <c r="F62" s="902" t="s">
        <v>532</v>
      </c>
      <c r="G62" s="902" t="s">
        <v>461</v>
      </c>
      <c r="H62" s="903" t="s">
        <v>161</v>
      </c>
      <c r="I62" s="104"/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/>
      <c r="X62" s="121">
        <f t="shared" si="45"/>
        <v>0</v>
      </c>
      <c r="Y62" s="314">
        <f t="shared" si="1"/>
        <v>0</v>
      </c>
      <c r="Z62" s="115">
        <v>0</v>
      </c>
      <c r="AA62" s="117">
        <f>ROUND(SUMIFS('Employee Detail FY22'!$AA:$AA,'Employee Detail FY22'!$B:$B,$C62,'Employee Detail FY22'!$C:$C,$D62,'Employee Detail FY22'!$E:$E,$F62,'Employee Detail FY22'!$F:$F,$G62,'Employee Detail FY22'!$G:$G,$H62),0)</f>
        <v>0</v>
      </c>
      <c r="AB62" s="117">
        <f t="shared" si="44"/>
        <v>0</v>
      </c>
      <c r="AC62" s="358">
        <f t="shared" si="2"/>
        <v>0</v>
      </c>
      <c r="AD62" s="355"/>
      <c r="AF62" s="62"/>
    </row>
    <row r="63" spans="1:32" outlineLevel="1" x14ac:dyDescent="0.2">
      <c r="A63" s="366" t="s">
        <v>614</v>
      </c>
      <c r="B63" s="82"/>
      <c r="C63" s="904" t="s">
        <v>135</v>
      </c>
      <c r="D63" s="902" t="s">
        <v>245</v>
      </c>
      <c r="E63" s="902"/>
      <c r="F63" s="902" t="s">
        <v>532</v>
      </c>
      <c r="G63" s="902" t="s">
        <v>534</v>
      </c>
      <c r="H63" s="903" t="s">
        <v>161</v>
      </c>
      <c r="I63" s="104"/>
      <c r="J63" s="12">
        <v>0</v>
      </c>
      <c r="K63" s="12">
        <v>5830.02</v>
      </c>
      <c r="L63" s="12">
        <v>8730.67</v>
      </c>
      <c r="M63" s="12">
        <v>5830.02</v>
      </c>
      <c r="N63" s="12">
        <v>5830.02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/>
      <c r="X63" s="121">
        <f t="shared" si="45"/>
        <v>26220.73</v>
      </c>
      <c r="Y63" s="314">
        <f t="shared" si="1"/>
        <v>0.3459701275910752</v>
      </c>
      <c r="Z63" s="115">
        <v>75789</v>
      </c>
      <c r="AA63" s="117">
        <f>ROUND(SUMIFS('Employee Detail FY22'!$AA:$AA,'Employee Detail FY22'!$B:$B,$C63,'Employee Detail FY22'!$C:$C,$D63,'Employee Detail FY22'!$E:$E,$F63,'Employee Detail FY22'!$F:$F,$G63,'Employee Detail FY22'!$G:$G,$H63),0)</f>
        <v>75789</v>
      </c>
      <c r="AB63" s="117">
        <f t="shared" si="44"/>
        <v>0</v>
      </c>
      <c r="AC63" s="358">
        <f t="shared" si="2"/>
        <v>0.3459701275910752</v>
      </c>
      <c r="AF63" s="62"/>
    </row>
    <row r="64" spans="1:32" outlineLevel="1" x14ac:dyDescent="0.2">
      <c r="A64" s="366" t="s">
        <v>615</v>
      </c>
      <c r="B64" s="82"/>
      <c r="C64" s="904" t="s">
        <v>135</v>
      </c>
      <c r="D64" s="902" t="s">
        <v>247</v>
      </c>
      <c r="E64" s="902"/>
      <c r="F64" s="902" t="s">
        <v>463</v>
      </c>
      <c r="G64" s="902" t="s">
        <v>461</v>
      </c>
      <c r="H64" s="903" t="s">
        <v>161</v>
      </c>
      <c r="I64" s="104"/>
      <c r="J64" s="12">
        <v>0</v>
      </c>
      <c r="K64" s="12">
        <v>8484.14</v>
      </c>
      <c r="L64" s="12">
        <v>21043.99</v>
      </c>
      <c r="M64" s="12">
        <v>8484.14</v>
      </c>
      <c r="N64" s="12">
        <v>8484.14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/>
      <c r="X64" s="121">
        <f t="shared" si="45"/>
        <v>46496.41</v>
      </c>
      <c r="Y64" s="314">
        <f t="shared" si="1"/>
        <v>0.42156790033909375</v>
      </c>
      <c r="Z64" s="115">
        <v>110294</v>
      </c>
      <c r="AA64" s="117">
        <f>ROUND(SUMIFS('Employee Detail FY22'!$AA:$AA,'Employee Detail FY22'!$B:$B,$C64,'Employee Detail FY22'!$C:$C,$D64,'Employee Detail FY22'!$E:$E,$F64,'Employee Detail FY22'!$F:$F,$G64,'Employee Detail FY22'!$G:$G,$H64),0)</f>
        <v>110294</v>
      </c>
      <c r="AB64" s="117">
        <f t="shared" si="44"/>
        <v>0</v>
      </c>
      <c r="AC64" s="358">
        <f t="shared" si="2"/>
        <v>0.42156790033909375</v>
      </c>
      <c r="AD64" s="355"/>
      <c r="AE64" s="355"/>
      <c r="AF64" s="62"/>
    </row>
    <row r="65" spans="1:32" outlineLevel="1" x14ac:dyDescent="0.2">
      <c r="A65" s="366" t="s">
        <v>616</v>
      </c>
      <c r="B65" s="382" t="s">
        <v>811</v>
      </c>
      <c r="C65" s="904" t="s">
        <v>135</v>
      </c>
      <c r="D65" s="902" t="s">
        <v>247</v>
      </c>
      <c r="E65" s="902"/>
      <c r="F65" s="902" t="s">
        <v>473</v>
      </c>
      <c r="G65" s="902" t="s">
        <v>461</v>
      </c>
      <c r="H65" s="903" t="s">
        <v>161</v>
      </c>
      <c r="I65" s="104"/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/>
      <c r="X65" s="121">
        <f>SUM(J65:V65)</f>
        <v>0</v>
      </c>
      <c r="Y65" s="314">
        <f>IFERROR(X65/Z65,0)</f>
        <v>0</v>
      </c>
      <c r="Z65" s="115">
        <v>0</v>
      </c>
      <c r="AA65" s="117">
        <f>ROUND(SUMIFS('Employee Detail FY22'!$AA:$AA,'Employee Detail FY22'!$B:$B,$C65,'Employee Detail FY22'!$C:$C,$D65,'Employee Detail FY22'!$E:$E,$F65,'Employee Detail FY22'!$F:$F,$G65,'Employee Detail FY22'!$G:$G,$H65),0)</f>
        <v>0</v>
      </c>
      <c r="AB65" s="117">
        <f>AA65-Z65</f>
        <v>0</v>
      </c>
      <c r="AC65" s="358">
        <f>IFERROR(X65/AA65,0)</f>
        <v>0</v>
      </c>
      <c r="AD65" s="355"/>
      <c r="AE65" s="355"/>
      <c r="AF65" s="62"/>
    </row>
    <row r="66" spans="1:32" outlineLevel="1" x14ac:dyDescent="0.2">
      <c r="A66" s="366" t="s">
        <v>573</v>
      </c>
      <c r="B66" s="82"/>
      <c r="C66" s="904" t="s">
        <v>135</v>
      </c>
      <c r="D66" s="905" t="s">
        <v>864</v>
      </c>
      <c r="E66" s="900"/>
      <c r="F66" s="919" t="s">
        <v>557</v>
      </c>
      <c r="G66" s="919" t="s">
        <v>534</v>
      </c>
      <c r="H66" s="901" t="s">
        <v>161</v>
      </c>
      <c r="I66" s="103"/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/>
      <c r="X66" s="121">
        <f>SUM(J66:V66)</f>
        <v>0</v>
      </c>
      <c r="Y66" s="314">
        <f>IFERROR(X66/Z66,0)</f>
        <v>0</v>
      </c>
      <c r="Z66" s="115">
        <v>0</v>
      </c>
      <c r="AA66" s="117">
        <f>ROUND(SUMIFS('Employee Detail FY22'!$AA:$AA,'Employee Detail FY22'!$B:$B,$C66,'Employee Detail FY22'!$C:$C,$D66,'Employee Detail FY22'!$E:$E,$F66,'Employee Detail FY22'!$F:$F,$G66,'Employee Detail FY22'!$G:$G,$H66),0)</f>
        <v>0</v>
      </c>
      <c r="AB66" s="117">
        <f>AA66-Z66</f>
        <v>0</v>
      </c>
      <c r="AC66" s="358">
        <f>IFERROR(X66/AA66,0)</f>
        <v>0</v>
      </c>
      <c r="AF66" s="62"/>
    </row>
    <row r="67" spans="1:32" outlineLevel="1" x14ac:dyDescent="0.2">
      <c r="A67" s="366" t="s">
        <v>617</v>
      </c>
      <c r="B67" s="82"/>
      <c r="C67" s="904" t="s">
        <v>135</v>
      </c>
      <c r="D67" s="902" t="s">
        <v>923</v>
      </c>
      <c r="E67" s="904"/>
      <c r="F67" s="904" t="s">
        <v>468</v>
      </c>
      <c r="G67" s="902" t="s">
        <v>461</v>
      </c>
      <c r="H67" s="903" t="s">
        <v>161</v>
      </c>
      <c r="I67" s="103"/>
      <c r="J67" s="12">
        <v>0</v>
      </c>
      <c r="K67" s="12">
        <v>4782.6400000000003</v>
      </c>
      <c r="L67" s="12">
        <v>7162.18</v>
      </c>
      <c r="M67" s="12">
        <v>4782.6400000000003</v>
      </c>
      <c r="N67" s="12">
        <v>4782.6400000000003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/>
      <c r="X67" s="121">
        <f t="shared" ref="X67" si="55">SUM(J67:V67)</f>
        <v>21510.1</v>
      </c>
      <c r="Y67" s="314">
        <f t="shared" ref="Y67" si="56">IFERROR(X67/Z67,0)</f>
        <v>0.34596615948788878</v>
      </c>
      <c r="Z67" s="115">
        <v>62174</v>
      </c>
      <c r="AA67" s="117">
        <f>ROUND(SUMIFS('Employee Detail FY22'!$AA:$AA,'Employee Detail FY22'!$B:$B,$C67,'Employee Detail FY22'!$C:$C,$D67,'Employee Detail FY22'!$E:$E,$F67,'Employee Detail FY22'!$F:$F,$G67,'Employee Detail FY22'!$G:$G,$H67),0)</f>
        <v>62174</v>
      </c>
      <c r="AB67" s="117">
        <f t="shared" ref="AB67" si="57">AA67-Z67</f>
        <v>0</v>
      </c>
      <c r="AC67" s="358">
        <f t="shared" ref="AC67" si="58">IFERROR(X67/AA67,0)</f>
        <v>0.34596615948788878</v>
      </c>
      <c r="AD67" s="355"/>
      <c r="AE67" s="355"/>
      <c r="AF67" s="62"/>
    </row>
    <row r="68" spans="1:32" outlineLevel="1" x14ac:dyDescent="0.2">
      <c r="A68" s="366" t="s">
        <v>618</v>
      </c>
      <c r="B68" s="82"/>
      <c r="C68" s="904" t="s">
        <v>135</v>
      </c>
      <c r="D68" s="905" t="s">
        <v>249</v>
      </c>
      <c r="E68" s="900"/>
      <c r="F68" s="904" t="s">
        <v>468</v>
      </c>
      <c r="G68" s="902" t="s">
        <v>461</v>
      </c>
      <c r="H68" s="901" t="s">
        <v>161</v>
      </c>
      <c r="I68" s="103"/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/>
      <c r="X68" s="121">
        <f>SUM(J68:V68)</f>
        <v>0</v>
      </c>
      <c r="Y68" s="314">
        <f>IFERROR(X68/Z68,0)</f>
        <v>0</v>
      </c>
      <c r="Z68" s="115">
        <v>0</v>
      </c>
      <c r="AA68" s="117">
        <f>ROUND(SUMIFS('Employee Detail FY22'!$AA:$AA,'Employee Detail FY22'!$B:$B,$C68,'Employee Detail FY22'!$C:$C,$D68,'Employee Detail FY22'!$E:$E,$F68,'Employee Detail FY22'!$F:$F,$G68,'Employee Detail FY22'!$G:$G,$H68),0)</f>
        <v>0</v>
      </c>
      <c r="AB68" s="117">
        <f>AA68-Z68</f>
        <v>0</v>
      </c>
      <c r="AC68" s="358">
        <f>IFERROR(X68/AA68,0)</f>
        <v>0</v>
      </c>
      <c r="AF68" s="62"/>
    </row>
    <row r="69" spans="1:32" outlineLevel="1" x14ac:dyDescent="0.2">
      <c r="A69" s="366" t="s">
        <v>619</v>
      </c>
      <c r="B69" s="519"/>
      <c r="C69" s="906"/>
      <c r="D69" s="906"/>
      <c r="E69" s="906"/>
      <c r="F69" s="906"/>
      <c r="G69" s="906"/>
      <c r="H69" s="907"/>
      <c r="I69" s="520"/>
      <c r="J69" s="114"/>
      <c r="K69" s="114"/>
      <c r="L69" s="114"/>
      <c r="M69" s="114"/>
      <c r="N69" s="114"/>
      <c r="O69" s="114">
        <f>SUM(J69:N69)</f>
        <v>0</v>
      </c>
      <c r="P69" s="114"/>
      <c r="Q69" s="114"/>
      <c r="R69" s="114"/>
      <c r="S69" s="114"/>
      <c r="T69" s="114"/>
      <c r="U69" s="114"/>
      <c r="V69" s="114"/>
      <c r="W69" s="114"/>
      <c r="X69" s="114"/>
      <c r="Y69" s="521"/>
      <c r="Z69" s="114"/>
      <c r="AA69" s="114"/>
      <c r="AB69" s="114"/>
      <c r="AC69" s="521"/>
      <c r="AD69" s="355"/>
      <c r="AE69" s="355"/>
      <c r="AF69" s="62"/>
    </row>
    <row r="70" spans="1:32" outlineLevel="1" x14ac:dyDescent="0.2">
      <c r="A70" s="366" t="s">
        <v>620</v>
      </c>
      <c r="B70" s="82" t="s">
        <v>1044</v>
      </c>
      <c r="C70" s="904" t="s">
        <v>468</v>
      </c>
      <c r="D70" s="902" t="s">
        <v>145</v>
      </c>
      <c r="E70" s="904"/>
      <c r="F70" s="904" t="s">
        <v>468</v>
      </c>
      <c r="G70" s="904" t="s">
        <v>461</v>
      </c>
      <c r="H70" s="901" t="s">
        <v>1043</v>
      </c>
      <c r="I70" s="104"/>
      <c r="J70" s="12">
        <v>0</v>
      </c>
      <c r="K70" s="12">
        <v>0</v>
      </c>
      <c r="L70" s="12">
        <v>0</v>
      </c>
      <c r="M70" s="12">
        <v>12006.25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/>
      <c r="X70" s="121">
        <f t="shared" ref="X70" si="59">SUM(J70:V70)</f>
        <v>12006.25</v>
      </c>
      <c r="Y70" s="314">
        <f t="shared" ref="Y70" si="60">IFERROR(X70/Z70,0)</f>
        <v>0</v>
      </c>
      <c r="Z70" s="115">
        <v>0</v>
      </c>
      <c r="AA70" s="117">
        <f>ROUND(SUMIFS('Employee Detail FY22'!$AA:$AA,'Employee Detail FY22'!$B:$B,$C70,'Employee Detail FY22'!$C:$C,$D70,'Employee Detail FY22'!$E:$E,$F70,'Employee Detail FY22'!$F:$F,$G70,'Employee Detail FY22'!$G:$G,$H70),0)</f>
        <v>0</v>
      </c>
      <c r="AB70" s="117">
        <f t="shared" ref="AB70" si="61">AA70-Z70</f>
        <v>0</v>
      </c>
      <c r="AC70" s="358">
        <f t="shared" ref="AC70" si="62">IFERROR(X70/AA70,0)</f>
        <v>0</v>
      </c>
      <c r="AD70" s="355"/>
      <c r="AE70" s="355"/>
      <c r="AF70" s="62"/>
    </row>
    <row r="71" spans="1:32" outlineLevel="1" x14ac:dyDescent="0.2">
      <c r="A71" s="366" t="s">
        <v>621</v>
      </c>
      <c r="B71" s="82" t="s">
        <v>1044</v>
      </c>
      <c r="C71" s="904" t="s">
        <v>468</v>
      </c>
      <c r="D71" s="902" t="s">
        <v>145</v>
      </c>
      <c r="E71" s="904"/>
      <c r="F71" s="904" t="s">
        <v>468</v>
      </c>
      <c r="G71" s="904" t="s">
        <v>534</v>
      </c>
      <c r="H71" s="901" t="s">
        <v>1043</v>
      </c>
      <c r="I71" s="520"/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14"/>
      <c r="X71" s="121">
        <f t="shared" ref="X71" si="63">SUM(J71:V71)</f>
        <v>0</v>
      </c>
      <c r="Y71" s="314">
        <f t="shared" ref="Y71" si="64">IFERROR(X71/Z71,0)</f>
        <v>0</v>
      </c>
      <c r="Z71" s="115">
        <v>0</v>
      </c>
      <c r="AA71" s="117">
        <f>ROUND(SUMIFS('Employee Detail FY22'!$AA:$AA,'Employee Detail FY22'!$B:$B,$C71,'Employee Detail FY22'!$C:$C,$D71,'Employee Detail FY22'!$E:$E,$F71,'Employee Detail FY22'!$F:$F,$G71,'Employee Detail FY22'!$G:$G,$H71),0)</f>
        <v>0</v>
      </c>
      <c r="AB71" s="117">
        <f t="shared" ref="AB71" si="65">AA71-Z71</f>
        <v>0</v>
      </c>
      <c r="AC71" s="358">
        <f t="shared" ref="AC71" si="66">IFERROR(X71/AA71,0)</f>
        <v>0</v>
      </c>
      <c r="AD71" s="355"/>
      <c r="AE71" s="355"/>
      <c r="AF71" s="62"/>
    </row>
    <row r="72" spans="1:32" outlineLevel="1" x14ac:dyDescent="0.2">
      <c r="A72" s="366" t="s">
        <v>622</v>
      </c>
      <c r="B72" s="82" t="s">
        <v>1044</v>
      </c>
      <c r="C72" s="904" t="s">
        <v>462</v>
      </c>
      <c r="D72" s="902" t="s">
        <v>145</v>
      </c>
      <c r="E72" s="904"/>
      <c r="F72" s="904" t="s">
        <v>463</v>
      </c>
      <c r="G72" s="904" t="s">
        <v>461</v>
      </c>
      <c r="H72" s="901" t="s">
        <v>1043</v>
      </c>
      <c r="I72" s="104"/>
      <c r="J72" s="12">
        <v>0</v>
      </c>
      <c r="K72" s="12">
        <v>0</v>
      </c>
      <c r="L72" s="12">
        <v>0</v>
      </c>
      <c r="M72" s="12">
        <v>2943.5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/>
      <c r="X72" s="121">
        <f t="shared" si="45"/>
        <v>2943.5</v>
      </c>
      <c r="Y72" s="314">
        <f t="shared" ref="Y72:Y94" si="67">IFERROR(X72/Z72,0)</f>
        <v>0</v>
      </c>
      <c r="Z72" s="115">
        <v>0</v>
      </c>
      <c r="AA72" s="117">
        <f>ROUND(SUMIFS('Employee Detail FY22'!$AA:$AA,'Employee Detail FY22'!$B:$B,$C72,'Employee Detail FY22'!$C:$C,$D72,'Employee Detail FY22'!$E:$E,$F72,'Employee Detail FY22'!$F:$F,$G72,'Employee Detail FY22'!$G:$G,$H72),0)</f>
        <v>0</v>
      </c>
      <c r="AB72" s="117">
        <f t="shared" ref="AB72:AB110" si="68">AA72-Z72</f>
        <v>0</v>
      </c>
      <c r="AC72" s="358">
        <f t="shared" ref="AC72:AC110" si="69">IFERROR(X72/AA72,0)</f>
        <v>0</v>
      </c>
      <c r="AD72" s="355"/>
      <c r="AE72" s="355"/>
      <c r="AF72" s="62"/>
    </row>
    <row r="73" spans="1:32" outlineLevel="1" x14ac:dyDescent="0.2">
      <c r="A73" s="366" t="s">
        <v>623</v>
      </c>
      <c r="B73" s="82" t="s">
        <v>1044</v>
      </c>
      <c r="C73" s="904" t="s">
        <v>135</v>
      </c>
      <c r="D73" s="902" t="s">
        <v>242</v>
      </c>
      <c r="E73" s="904"/>
      <c r="F73" s="904" t="s">
        <v>532</v>
      </c>
      <c r="G73" s="904" t="s">
        <v>461</v>
      </c>
      <c r="H73" s="901" t="s">
        <v>1043</v>
      </c>
      <c r="I73" s="104"/>
      <c r="J73" s="12">
        <v>0</v>
      </c>
      <c r="K73" s="12">
        <v>0</v>
      </c>
      <c r="L73" s="12">
        <v>0</v>
      </c>
      <c r="M73" s="12">
        <v>3800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/>
      <c r="X73" s="121">
        <f t="shared" si="45"/>
        <v>3800</v>
      </c>
      <c r="Y73" s="314">
        <f t="shared" si="67"/>
        <v>0.6333333333333333</v>
      </c>
      <c r="Z73" s="115">
        <v>6000</v>
      </c>
      <c r="AA73" s="117">
        <f>ROUND(SUMIFS('Employee Detail FY22'!$AA:$AA,'Employee Detail FY22'!$B:$B,$C73,'Employee Detail FY22'!$C:$C,$D73,'Employee Detail FY22'!$E:$E,$F73,'Employee Detail FY22'!$F:$F,$G73,'Employee Detail FY22'!$G:$G,$H73),0)</f>
        <v>6000</v>
      </c>
      <c r="AB73" s="117">
        <f t="shared" si="68"/>
        <v>0</v>
      </c>
      <c r="AC73" s="358">
        <f t="shared" si="69"/>
        <v>0.6333333333333333</v>
      </c>
      <c r="AD73" s="355"/>
      <c r="AE73" s="355"/>
      <c r="AF73" s="62"/>
    </row>
    <row r="74" spans="1:32" outlineLevel="1" x14ac:dyDescent="0.2">
      <c r="A74" s="366" t="s">
        <v>624</v>
      </c>
      <c r="B74" s="82" t="s">
        <v>1044</v>
      </c>
      <c r="C74" s="904" t="s">
        <v>135</v>
      </c>
      <c r="D74" s="902" t="s">
        <v>242</v>
      </c>
      <c r="E74" s="904"/>
      <c r="F74" s="904" t="s">
        <v>532</v>
      </c>
      <c r="G74" s="904" t="s">
        <v>534</v>
      </c>
      <c r="H74" s="901" t="s">
        <v>1043</v>
      </c>
      <c r="I74" s="104"/>
      <c r="J74" s="12">
        <v>0</v>
      </c>
      <c r="K74" s="12">
        <v>0</v>
      </c>
      <c r="L74" s="12">
        <v>0</v>
      </c>
      <c r="M74" s="12">
        <v>375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/>
      <c r="X74" s="121">
        <f t="shared" si="45"/>
        <v>375</v>
      </c>
      <c r="Y74" s="314">
        <f t="shared" si="67"/>
        <v>0</v>
      </c>
      <c r="Z74" s="115">
        <v>0</v>
      </c>
      <c r="AA74" s="117">
        <f>ROUND(SUMIFS('Employee Detail FY22'!$AA:$AA,'Employee Detail FY22'!$B:$B,$C74,'Employee Detail FY22'!$C:$C,$D74,'Employee Detail FY22'!$E:$E,$F74,'Employee Detail FY22'!$F:$F,$G74,'Employee Detail FY22'!$G:$G,$H74),0)</f>
        <v>0</v>
      </c>
      <c r="AB74" s="117">
        <f t="shared" si="68"/>
        <v>0</v>
      </c>
      <c r="AC74" s="358">
        <f t="shared" si="69"/>
        <v>0</v>
      </c>
      <c r="AD74" s="355"/>
      <c r="AE74" s="355"/>
      <c r="AF74" s="62"/>
    </row>
    <row r="75" spans="1:32" outlineLevel="1" x14ac:dyDescent="0.2">
      <c r="A75" s="366" t="s">
        <v>625</v>
      </c>
      <c r="B75" s="82" t="s">
        <v>1044</v>
      </c>
      <c r="C75" s="904" t="s">
        <v>135</v>
      </c>
      <c r="D75" s="902" t="s">
        <v>864</v>
      </c>
      <c r="E75" s="904"/>
      <c r="F75" s="904" t="s">
        <v>557</v>
      </c>
      <c r="G75" s="904" t="s">
        <v>534</v>
      </c>
      <c r="H75" s="901" t="s">
        <v>1043</v>
      </c>
      <c r="I75" s="104"/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/>
      <c r="X75" s="121">
        <f t="shared" si="45"/>
        <v>0</v>
      </c>
      <c r="Y75" s="314">
        <f t="shared" si="67"/>
        <v>0</v>
      </c>
      <c r="Z75" s="115">
        <v>0</v>
      </c>
      <c r="AA75" s="117">
        <f>ROUND(SUMIFS('Employee Detail FY22'!$AA:$AA,'Employee Detail FY22'!$B:$B,$C75,'Employee Detail FY22'!$C:$C,$D75,'Employee Detail FY22'!$E:$E,$F75,'Employee Detail FY22'!$F:$F,$G75,'Employee Detail FY22'!$G:$G,$H75),0)</f>
        <v>0</v>
      </c>
      <c r="AB75" s="117">
        <f t="shared" si="68"/>
        <v>0</v>
      </c>
      <c r="AC75" s="358">
        <f t="shared" si="69"/>
        <v>0</v>
      </c>
      <c r="AD75" s="355"/>
      <c r="AE75" s="355"/>
      <c r="AF75" s="62"/>
    </row>
    <row r="76" spans="1:32" outlineLevel="1" x14ac:dyDescent="0.2">
      <c r="A76" s="366" t="s">
        <v>626</v>
      </c>
      <c r="B76" s="82" t="s">
        <v>1044</v>
      </c>
      <c r="C76" s="904" t="s">
        <v>135</v>
      </c>
      <c r="D76" s="902" t="s">
        <v>923</v>
      </c>
      <c r="E76" s="904"/>
      <c r="F76" s="904" t="s">
        <v>468</v>
      </c>
      <c r="G76" s="904" t="s">
        <v>461</v>
      </c>
      <c r="H76" s="901" t="s">
        <v>1043</v>
      </c>
      <c r="I76" s="104"/>
      <c r="J76" s="12">
        <v>0</v>
      </c>
      <c r="K76" s="12">
        <v>3500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/>
      <c r="X76" s="121">
        <f t="shared" si="45"/>
        <v>3500</v>
      </c>
      <c r="Y76" s="314">
        <f t="shared" si="67"/>
        <v>4.3532338308457715E-2</v>
      </c>
      <c r="Z76" s="115">
        <v>80400</v>
      </c>
      <c r="AA76" s="117">
        <f>ROUND(SUMIFS('Employee Detail FY22'!$AA:$AA,'Employee Detail FY22'!$B:$B,$C76,'Employee Detail FY22'!$C:$C,$D76,'Employee Detail FY22'!$E:$E,$F76,'Employee Detail FY22'!$F:$F,$G76,'Employee Detail FY22'!$G:$G,$H76),0)</f>
        <v>66900</v>
      </c>
      <c r="AB76" s="117">
        <f t="shared" si="68"/>
        <v>-13500</v>
      </c>
      <c r="AC76" s="358">
        <f t="shared" si="69"/>
        <v>5.2316890881913304E-2</v>
      </c>
      <c r="AD76" s="355"/>
      <c r="AE76" s="355"/>
      <c r="AF76" s="62"/>
    </row>
    <row r="77" spans="1:32" outlineLevel="1" x14ac:dyDescent="0.2">
      <c r="A77" s="366" t="s">
        <v>627</v>
      </c>
      <c r="B77" s="82" t="s">
        <v>1044</v>
      </c>
      <c r="C77" s="904" t="s">
        <v>135</v>
      </c>
      <c r="D77" s="902" t="s">
        <v>249</v>
      </c>
      <c r="E77" s="904"/>
      <c r="F77" s="904" t="s">
        <v>468</v>
      </c>
      <c r="G77" s="904" t="s">
        <v>461</v>
      </c>
      <c r="H77" s="901" t="s">
        <v>1043</v>
      </c>
      <c r="I77" s="104"/>
      <c r="J77" s="12">
        <v>0</v>
      </c>
      <c r="K77" s="12">
        <v>5000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/>
      <c r="X77" s="121">
        <f t="shared" si="45"/>
        <v>5000</v>
      </c>
      <c r="Y77" s="314">
        <f t="shared" si="67"/>
        <v>0.2078915637603426</v>
      </c>
      <c r="Z77" s="115">
        <v>24051</v>
      </c>
      <c r="AA77" s="117">
        <f>ROUND(SUMIFS('Employee Detail FY22'!$AA:$AA,'Employee Detail FY22'!$B:$B,$C77,'Employee Detail FY22'!$C:$C,$D77,'Employee Detail FY22'!$E:$E,$F77,'Employee Detail FY22'!$F:$F,$G77,'Employee Detail FY22'!$G:$G,$H77),0)</f>
        <v>24051</v>
      </c>
      <c r="AB77" s="117">
        <f t="shared" si="68"/>
        <v>0</v>
      </c>
      <c r="AC77" s="358">
        <f t="shared" si="69"/>
        <v>0.2078915637603426</v>
      </c>
      <c r="AD77" s="355"/>
      <c r="AE77" s="355"/>
      <c r="AF77" s="62"/>
    </row>
    <row r="78" spans="1:32" outlineLevel="1" x14ac:dyDescent="0.2">
      <c r="A78" s="366" t="s">
        <v>628</v>
      </c>
      <c r="B78" s="82" t="s">
        <v>1044</v>
      </c>
      <c r="C78" s="904" t="s">
        <v>135</v>
      </c>
      <c r="D78" s="902" t="s">
        <v>249</v>
      </c>
      <c r="E78" s="904"/>
      <c r="F78" s="904" t="s">
        <v>468</v>
      </c>
      <c r="G78" s="904" t="s">
        <v>534</v>
      </c>
      <c r="H78" s="901" t="s">
        <v>1043</v>
      </c>
      <c r="I78" s="104"/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/>
      <c r="X78" s="121">
        <f t="shared" si="45"/>
        <v>0</v>
      </c>
      <c r="Y78" s="314">
        <f t="shared" si="67"/>
        <v>0</v>
      </c>
      <c r="Z78" s="115">
        <v>0</v>
      </c>
      <c r="AA78" s="117">
        <f>ROUND(SUMIFS('Employee Detail FY22'!$AA:$AA,'Employee Detail FY22'!$B:$B,$C78,'Employee Detail FY22'!$C:$C,$D78,'Employee Detail FY22'!$E:$E,$F78,'Employee Detail FY22'!$F:$F,$G78,'Employee Detail FY22'!$G:$G,$H78),0)</f>
        <v>0</v>
      </c>
      <c r="AB78" s="117">
        <f t="shared" si="68"/>
        <v>0</v>
      </c>
      <c r="AC78" s="358">
        <f t="shared" si="69"/>
        <v>0</v>
      </c>
      <c r="AD78" s="355"/>
      <c r="AE78" s="355"/>
      <c r="AF78" s="62"/>
    </row>
    <row r="79" spans="1:32" outlineLevel="1" x14ac:dyDescent="0.2">
      <c r="A79" s="366" t="s">
        <v>629</v>
      </c>
      <c r="B79" s="82" t="s">
        <v>1044</v>
      </c>
      <c r="C79" s="904" t="s">
        <v>468</v>
      </c>
      <c r="D79" s="902" t="s">
        <v>145</v>
      </c>
      <c r="E79" s="904"/>
      <c r="F79" s="904" t="s">
        <v>689</v>
      </c>
      <c r="G79" s="904" t="s">
        <v>461</v>
      </c>
      <c r="H79" s="901" t="s">
        <v>1063</v>
      </c>
      <c r="I79" s="104"/>
      <c r="J79" s="12">
        <v>0</v>
      </c>
      <c r="K79" s="12">
        <v>17712.5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/>
      <c r="X79" s="121">
        <f t="shared" ref="X79:X82" si="70">SUM(J79:V79)</f>
        <v>17712.5</v>
      </c>
      <c r="Y79" s="314">
        <f t="shared" ref="Y79:Y82" si="71">IFERROR(X79/Z79,0)</f>
        <v>0</v>
      </c>
      <c r="Z79" s="115">
        <v>0</v>
      </c>
      <c r="AA79" s="117">
        <f>ROUND(SUMIFS('Employee Detail FY22'!$AA:$AA,'Employee Detail FY22'!$B:$B,$C79,'Employee Detail FY22'!$C:$C,$D79,'Employee Detail FY22'!$E:$E,$F79,'Employee Detail FY22'!$F:$F,$G79,'Employee Detail FY22'!$G:$G,$H79),0)</f>
        <v>0</v>
      </c>
      <c r="AB79" s="117">
        <f t="shared" ref="AB79:AB82" si="72">AA79-Z79</f>
        <v>0</v>
      </c>
      <c r="AC79" s="358">
        <f t="shared" ref="AC79:AC82" si="73">IFERROR(X79/AA79,0)</f>
        <v>0</v>
      </c>
      <c r="AD79" s="355"/>
      <c r="AE79" s="355"/>
      <c r="AF79" s="62"/>
    </row>
    <row r="80" spans="1:32" outlineLevel="1" x14ac:dyDescent="0.2">
      <c r="A80" s="366" t="s">
        <v>630</v>
      </c>
      <c r="B80" s="82" t="s">
        <v>1044</v>
      </c>
      <c r="C80" s="904" t="s">
        <v>135</v>
      </c>
      <c r="D80" s="902" t="s">
        <v>923</v>
      </c>
      <c r="E80" s="904"/>
      <c r="F80" s="904" t="s">
        <v>468</v>
      </c>
      <c r="G80" s="904" t="s">
        <v>461</v>
      </c>
      <c r="H80" s="901" t="s">
        <v>1063</v>
      </c>
      <c r="I80" s="104"/>
      <c r="J80" s="12">
        <v>0</v>
      </c>
      <c r="K80" s="12">
        <v>7000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/>
      <c r="X80" s="121">
        <f t="shared" si="70"/>
        <v>7000</v>
      </c>
      <c r="Y80" s="314">
        <f t="shared" si="71"/>
        <v>0</v>
      </c>
      <c r="Z80" s="115">
        <v>0</v>
      </c>
      <c r="AA80" s="117">
        <f>ROUND(SUMIFS('Employee Detail FY22'!$AA:$AA,'Employee Detail FY22'!$B:$B,$C80,'Employee Detail FY22'!$C:$C,$D80,'Employee Detail FY22'!$E:$E,$F80,'Employee Detail FY22'!$F:$F,$G80,'Employee Detail FY22'!$G:$G,$H80),0)</f>
        <v>0</v>
      </c>
      <c r="AB80" s="117">
        <f t="shared" si="72"/>
        <v>0</v>
      </c>
      <c r="AC80" s="358">
        <f t="shared" si="73"/>
        <v>0</v>
      </c>
      <c r="AD80" s="355"/>
      <c r="AE80" s="355"/>
      <c r="AF80" s="62"/>
    </row>
    <row r="81" spans="1:32" outlineLevel="1" x14ac:dyDescent="0.2">
      <c r="A81" s="366" t="s">
        <v>1160</v>
      </c>
      <c r="B81" s="82" t="s">
        <v>1044</v>
      </c>
      <c r="C81" s="904" t="s">
        <v>135</v>
      </c>
      <c r="D81" s="902" t="s">
        <v>923</v>
      </c>
      <c r="E81" s="904"/>
      <c r="F81" s="904" t="s">
        <v>468</v>
      </c>
      <c r="G81" s="904" t="s">
        <v>534</v>
      </c>
      <c r="H81" s="901" t="s">
        <v>1063</v>
      </c>
      <c r="I81" s="104"/>
      <c r="J81" s="12">
        <v>0</v>
      </c>
      <c r="K81" s="12">
        <v>7000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/>
      <c r="X81" s="121">
        <f t="shared" si="70"/>
        <v>7000</v>
      </c>
      <c r="Y81" s="314">
        <f t="shared" si="71"/>
        <v>0</v>
      </c>
      <c r="Z81" s="115">
        <v>0</v>
      </c>
      <c r="AA81" s="117">
        <f>ROUND(SUMIFS('Employee Detail FY22'!$AA:$AA,'Employee Detail FY22'!$B:$B,$C81,'Employee Detail FY22'!$C:$C,$D81,'Employee Detail FY22'!$E:$E,$F81,'Employee Detail FY22'!$F:$F,$G81,'Employee Detail FY22'!$G:$G,$H81),0)</f>
        <v>0</v>
      </c>
      <c r="AB81" s="117">
        <f t="shared" si="72"/>
        <v>0</v>
      </c>
      <c r="AC81" s="358">
        <f t="shared" si="73"/>
        <v>0</v>
      </c>
      <c r="AD81" s="355"/>
      <c r="AE81" s="355"/>
      <c r="AF81" s="62"/>
    </row>
    <row r="82" spans="1:32" outlineLevel="1" x14ac:dyDescent="0.2">
      <c r="A82" s="366" t="s">
        <v>631</v>
      </c>
      <c r="B82" s="82" t="s">
        <v>1044</v>
      </c>
      <c r="C82" s="904" t="s">
        <v>135</v>
      </c>
      <c r="D82" s="902" t="s">
        <v>1042</v>
      </c>
      <c r="E82" s="904"/>
      <c r="F82" s="904" t="s">
        <v>532</v>
      </c>
      <c r="G82" s="904" t="s">
        <v>461</v>
      </c>
      <c r="H82" s="901" t="s">
        <v>1063</v>
      </c>
      <c r="I82" s="104"/>
      <c r="J82" s="12">
        <v>0</v>
      </c>
      <c r="K82" s="12">
        <v>360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/>
      <c r="X82" s="121">
        <f t="shared" si="70"/>
        <v>360</v>
      </c>
      <c r="Y82" s="314">
        <f t="shared" si="71"/>
        <v>0</v>
      </c>
      <c r="Z82" s="115">
        <v>0</v>
      </c>
      <c r="AA82" s="117">
        <f>ROUND(SUMIFS('Employee Detail FY22'!$AA:$AA,'Employee Detail FY22'!$B:$B,$C82,'Employee Detail FY22'!$C:$C,$D82,'Employee Detail FY22'!$E:$E,$F82,'Employee Detail FY22'!$F:$F,$G82,'Employee Detail FY22'!$G:$G,$H82),0)</f>
        <v>0</v>
      </c>
      <c r="AB82" s="117">
        <f t="shared" si="72"/>
        <v>0</v>
      </c>
      <c r="AC82" s="358">
        <f t="shared" si="73"/>
        <v>0</v>
      </c>
      <c r="AD82" s="355"/>
      <c r="AE82" s="355"/>
      <c r="AF82" s="62"/>
    </row>
    <row r="83" spans="1:32" outlineLevel="1" x14ac:dyDescent="0.2">
      <c r="A83" s="366" t="s">
        <v>632</v>
      </c>
      <c r="B83" s="82" t="s">
        <v>1044</v>
      </c>
      <c r="C83" s="904" t="s">
        <v>135</v>
      </c>
      <c r="D83" s="905" t="s">
        <v>247</v>
      </c>
      <c r="E83" s="900"/>
      <c r="F83" s="919" t="s">
        <v>473</v>
      </c>
      <c r="G83" s="904" t="s">
        <v>461</v>
      </c>
      <c r="H83" s="901" t="s">
        <v>1063</v>
      </c>
      <c r="I83" s="103"/>
      <c r="J83" s="12">
        <v>0</v>
      </c>
      <c r="K83" s="12">
        <v>3760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/>
      <c r="X83" s="121">
        <f>SUM(J83:V83)</f>
        <v>3760</v>
      </c>
      <c r="Y83" s="314">
        <f>IFERROR(X83/Z83,0)</f>
        <v>0</v>
      </c>
      <c r="Z83" s="115">
        <v>0</v>
      </c>
      <c r="AA83" s="117">
        <f>ROUND(SUMIFS('Employee Detail FY22'!$AA:$AA,'Employee Detail FY22'!$B:$B,$C83,'Employee Detail FY22'!$C:$C,$D83,'Employee Detail FY22'!$E:$E,$F83,'Employee Detail FY22'!$F:$F,$G83,'Employee Detail FY22'!$G:$G,$H83),0)</f>
        <v>0</v>
      </c>
      <c r="AB83" s="117">
        <f>AA83-Z83</f>
        <v>0</v>
      </c>
      <c r="AC83" s="358">
        <f>IFERROR(X83/AA83,0)</f>
        <v>0</v>
      </c>
      <c r="AF83" s="62"/>
    </row>
    <row r="84" spans="1:32" outlineLevel="1" x14ac:dyDescent="0.2">
      <c r="A84" s="366" t="s">
        <v>633</v>
      </c>
      <c r="B84" s="519"/>
      <c r="C84" s="906"/>
      <c r="D84" s="906"/>
      <c r="E84" s="906"/>
      <c r="F84" s="906"/>
      <c r="G84" s="906"/>
      <c r="H84" s="907"/>
      <c r="I84" s="520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521"/>
      <c r="Z84" s="114"/>
      <c r="AA84" s="114"/>
      <c r="AB84" s="114"/>
      <c r="AC84" s="521"/>
      <c r="AD84" s="355"/>
      <c r="AE84" s="355"/>
      <c r="AF84" s="62"/>
    </row>
    <row r="85" spans="1:32" outlineLevel="1" x14ac:dyDescent="0.2">
      <c r="A85" s="366" t="s">
        <v>634</v>
      </c>
      <c r="B85" s="82" t="s">
        <v>162</v>
      </c>
      <c r="C85" s="904" t="s">
        <v>468</v>
      </c>
      <c r="D85" s="904" t="s">
        <v>145</v>
      </c>
      <c r="E85" s="904"/>
      <c r="F85" s="904" t="s">
        <v>468</v>
      </c>
      <c r="G85" s="904" t="s">
        <v>461</v>
      </c>
      <c r="H85" s="901" t="s">
        <v>163</v>
      </c>
      <c r="I85" s="103"/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/>
      <c r="X85" s="121">
        <f t="shared" si="45"/>
        <v>0</v>
      </c>
      <c r="Y85" s="314">
        <f t="shared" si="67"/>
        <v>0</v>
      </c>
      <c r="Z85" s="365">
        <v>0</v>
      </c>
      <c r="AA85" s="117">
        <f>ROUND(SUMIFS('Employee Detail FY22'!$AA:$AA,'Employee Detail FY22'!$B:$B,$C85,'Employee Detail FY22'!$C:$C,$D85,'Employee Detail FY22'!$E:$E,$F85,'Employee Detail FY22'!$F:$F,$G85,'Employee Detail FY22'!$G:$G,$H85),0)</f>
        <v>0</v>
      </c>
      <c r="AB85" s="117">
        <f t="shared" si="68"/>
        <v>0</v>
      </c>
      <c r="AC85" s="358">
        <f t="shared" si="69"/>
        <v>0</v>
      </c>
      <c r="AF85" s="62"/>
    </row>
    <row r="86" spans="1:32" outlineLevel="1" x14ac:dyDescent="0.2">
      <c r="A86" s="366" t="s">
        <v>635</v>
      </c>
      <c r="B86" s="519"/>
      <c r="C86" s="906"/>
      <c r="D86" s="906"/>
      <c r="E86" s="906"/>
      <c r="F86" s="906"/>
      <c r="G86" s="906"/>
      <c r="H86" s="907"/>
      <c r="I86" s="520"/>
      <c r="J86" s="114"/>
      <c r="K86" s="114">
        <v>0</v>
      </c>
      <c r="L86" s="114">
        <v>0</v>
      </c>
      <c r="M86" s="114">
        <v>0</v>
      </c>
      <c r="N86" s="114">
        <v>0</v>
      </c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521"/>
      <c r="Z86" s="114"/>
      <c r="AA86" s="114"/>
      <c r="AB86" s="114"/>
      <c r="AC86" s="521"/>
      <c r="AD86" s="355"/>
      <c r="AE86" s="355"/>
      <c r="AF86" s="62"/>
    </row>
    <row r="87" spans="1:32" outlineLevel="1" x14ac:dyDescent="0.2">
      <c r="A87" s="366" t="s">
        <v>636</v>
      </c>
      <c r="B87" s="82" t="s">
        <v>164</v>
      </c>
      <c r="C87" s="904" t="s">
        <v>468</v>
      </c>
      <c r="D87" s="902" t="s">
        <v>145</v>
      </c>
      <c r="E87" s="904"/>
      <c r="F87" s="904" t="s">
        <v>468</v>
      </c>
      <c r="G87" s="904" t="s">
        <v>464</v>
      </c>
      <c r="H87" s="901" t="s">
        <v>165</v>
      </c>
      <c r="I87" s="103"/>
      <c r="J87" s="12">
        <v>20441.54</v>
      </c>
      <c r="K87" s="12">
        <v>20441.54</v>
      </c>
      <c r="L87" s="12">
        <v>30662.31</v>
      </c>
      <c r="M87" s="12">
        <v>20441.55</v>
      </c>
      <c r="N87" s="12">
        <v>20441.55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/>
      <c r="X87" s="121">
        <f t="shared" si="45"/>
        <v>112428.49</v>
      </c>
      <c r="Y87" s="314">
        <f t="shared" si="67"/>
        <v>0.42307703017987508</v>
      </c>
      <c r="Z87" s="115">
        <v>265740</v>
      </c>
      <c r="AA87" s="117">
        <f>ROUND(SUMIFS('Employee Detail FY22'!$AA:$AA,'Employee Detail FY22'!$B:$B,$C87,'Employee Detail FY22'!$C:$C,$D87,'Employee Detail FY22'!$E:$E,$F87,'Employee Detail FY22'!$F:$F,$G87,'Employee Detail FY22'!$G:$G,$H87),0)</f>
        <v>265740</v>
      </c>
      <c r="AB87" s="117">
        <f t="shared" si="68"/>
        <v>0</v>
      </c>
      <c r="AC87" s="358">
        <f t="shared" si="69"/>
        <v>0.42307703017987508</v>
      </c>
      <c r="AF87" s="62"/>
    </row>
    <row r="88" spans="1:32" outlineLevel="1" x14ac:dyDescent="0.2">
      <c r="A88" s="366" t="s">
        <v>564</v>
      </c>
      <c r="B88" s="82"/>
      <c r="C88" s="904" t="s">
        <v>468</v>
      </c>
      <c r="D88" s="903" t="s">
        <v>145</v>
      </c>
      <c r="E88" s="904"/>
      <c r="F88" s="904" t="s">
        <v>468</v>
      </c>
      <c r="G88" s="904" t="s">
        <v>460</v>
      </c>
      <c r="H88" s="901" t="s">
        <v>165</v>
      </c>
      <c r="I88" s="103"/>
      <c r="J88" s="12">
        <v>6500</v>
      </c>
      <c r="K88" s="12">
        <v>6500</v>
      </c>
      <c r="L88" s="12">
        <v>-13000</v>
      </c>
      <c r="M88" s="12">
        <v>0</v>
      </c>
      <c r="N88" s="12">
        <v>325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/>
      <c r="X88" s="121">
        <f t="shared" ref="X88" si="74">SUM(J88:V88)</f>
        <v>325</v>
      </c>
      <c r="Y88" s="314">
        <f t="shared" ref="Y88" si="75">IFERROR(X88/Z88,0)</f>
        <v>0</v>
      </c>
      <c r="Z88" s="115">
        <v>0</v>
      </c>
      <c r="AA88" s="117">
        <f>ROUND(SUMIFS('Employee Detail FY22'!$AA:$AA,'Employee Detail FY22'!$B:$B,$C88,'Employee Detail FY22'!$C:$C,$D88,'Employee Detail FY22'!$E:$E,$F88,'Employee Detail FY22'!$F:$F,$G88,'Employee Detail FY22'!$G:$G,$H88),0)</f>
        <v>0</v>
      </c>
      <c r="AB88" s="117">
        <f t="shared" ref="AB88" si="76">AA88-Z88</f>
        <v>0</v>
      </c>
      <c r="AC88" s="358">
        <f t="shared" ref="AC88" si="77">IFERROR(X88/AA88,0)</f>
        <v>0</v>
      </c>
      <c r="AD88" s="355"/>
      <c r="AF88" s="62"/>
    </row>
    <row r="89" spans="1:32" outlineLevel="1" x14ac:dyDescent="0.2">
      <c r="A89" s="366" t="s">
        <v>637</v>
      </c>
      <c r="B89" s="82"/>
      <c r="C89" s="904" t="s">
        <v>135</v>
      </c>
      <c r="D89" s="903" t="s">
        <v>242</v>
      </c>
      <c r="E89" s="904"/>
      <c r="F89" s="904" t="s">
        <v>532</v>
      </c>
      <c r="G89" s="904" t="s">
        <v>460</v>
      </c>
      <c r="H89" s="901" t="s">
        <v>165</v>
      </c>
      <c r="I89" s="103"/>
      <c r="J89" s="12">
        <v>0</v>
      </c>
      <c r="K89" s="12">
        <v>0</v>
      </c>
      <c r="L89" s="12">
        <v>22750</v>
      </c>
      <c r="M89" s="12">
        <v>6500</v>
      </c>
      <c r="N89" s="12">
        <v>6175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/>
      <c r="X89" s="121">
        <f t="shared" si="45"/>
        <v>35425</v>
      </c>
      <c r="Y89" s="314">
        <f t="shared" si="67"/>
        <v>0.41923076923076924</v>
      </c>
      <c r="Z89" s="115">
        <v>84500</v>
      </c>
      <c r="AA89" s="117">
        <f>ROUND(SUMIFS('Employee Detail FY22'!$AA:$AA,'Employee Detail FY22'!$B:$B,$C89,'Employee Detail FY22'!$C:$C,$D89,'Employee Detail FY22'!$E:$E,$F89,'Employee Detail FY22'!$F:$F,$G89,'Employee Detail FY22'!$G:$G,$H89),0)</f>
        <v>84500</v>
      </c>
      <c r="AB89" s="117">
        <f t="shared" si="68"/>
        <v>0</v>
      </c>
      <c r="AC89" s="358">
        <f t="shared" si="69"/>
        <v>0.41923076923076924</v>
      </c>
      <c r="AD89" s="355"/>
      <c r="AF89" s="62"/>
    </row>
    <row r="90" spans="1:32" outlineLevel="1" x14ac:dyDescent="0.2">
      <c r="A90" s="366" t="s">
        <v>638</v>
      </c>
      <c r="B90" s="519"/>
      <c r="C90" s="906"/>
      <c r="D90" s="902"/>
      <c r="E90" s="906"/>
      <c r="F90" s="906"/>
      <c r="G90" s="906"/>
      <c r="H90" s="907"/>
      <c r="I90" s="520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521"/>
      <c r="Z90" s="114"/>
      <c r="AA90" s="114"/>
      <c r="AB90" s="114"/>
      <c r="AC90" s="521"/>
      <c r="AD90" s="355"/>
      <c r="AE90" s="355"/>
      <c r="AF90" s="62"/>
    </row>
    <row r="91" spans="1:32" outlineLevel="1" x14ac:dyDescent="0.2">
      <c r="A91" s="366" t="s">
        <v>639</v>
      </c>
      <c r="B91" s="82" t="s">
        <v>1047</v>
      </c>
      <c r="C91" s="904" t="s">
        <v>135</v>
      </c>
      <c r="D91" s="903" t="s">
        <v>242</v>
      </c>
      <c r="E91" s="904"/>
      <c r="F91" s="904" t="s">
        <v>532</v>
      </c>
      <c r="G91" s="904" t="s">
        <v>464</v>
      </c>
      <c r="H91" s="901" t="s">
        <v>1045</v>
      </c>
      <c r="I91" s="103"/>
      <c r="J91" s="12">
        <v>0</v>
      </c>
      <c r="K91" s="12">
        <v>0</v>
      </c>
      <c r="L91" s="12">
        <v>0</v>
      </c>
      <c r="M91" s="12">
        <v>425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/>
      <c r="X91" s="121">
        <f t="shared" si="45"/>
        <v>425</v>
      </c>
      <c r="Y91" s="314">
        <f t="shared" si="67"/>
        <v>0</v>
      </c>
      <c r="Z91" s="115">
        <v>0</v>
      </c>
      <c r="AA91" s="117">
        <f>ROUND(SUMIFS('Employee Detail FY22'!$AA:$AA,'Employee Detail FY22'!$B:$B,$C91,'Employee Detail FY22'!$C:$C,$D91,'Employee Detail FY22'!$E:$E,$F91,'Employee Detail FY22'!$F:$F,$G91,'Employee Detail FY22'!$G:$G,$H91),0)</f>
        <v>0</v>
      </c>
      <c r="AB91" s="117">
        <f t="shared" si="68"/>
        <v>0</v>
      </c>
      <c r="AC91" s="358">
        <f t="shared" si="69"/>
        <v>0</v>
      </c>
      <c r="AF91" s="62"/>
    </row>
    <row r="92" spans="1:32" outlineLevel="1" x14ac:dyDescent="0.2">
      <c r="A92" s="366" t="s">
        <v>640</v>
      </c>
      <c r="B92" s="82" t="s">
        <v>1047</v>
      </c>
      <c r="C92" s="904" t="s">
        <v>135</v>
      </c>
      <c r="D92" s="903" t="s">
        <v>249</v>
      </c>
      <c r="E92" s="904"/>
      <c r="F92" s="904" t="s">
        <v>468</v>
      </c>
      <c r="G92" s="904" t="s">
        <v>464</v>
      </c>
      <c r="H92" s="901" t="s">
        <v>1045</v>
      </c>
      <c r="I92" s="103"/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/>
      <c r="X92" s="121">
        <f t="shared" ref="X92" si="78">SUM(J92:V92)</f>
        <v>0</v>
      </c>
      <c r="Y92" s="314">
        <f t="shared" ref="Y92" si="79">IFERROR(X92/Z92,0)</f>
        <v>0</v>
      </c>
      <c r="Z92" s="115">
        <v>0</v>
      </c>
      <c r="AA92" s="117">
        <f>ROUND(SUMIFS('Employee Detail FY22'!$AA:$AA,'Employee Detail FY22'!$B:$B,$C92,'Employee Detail FY22'!$C:$C,$D92,'Employee Detail FY22'!$E:$E,$F92,'Employee Detail FY22'!$F:$F,$G92,'Employee Detail FY22'!$G:$G,$H92),0)</f>
        <v>0</v>
      </c>
      <c r="AB92" s="117">
        <f t="shared" ref="AB92" si="80">AA92-Z92</f>
        <v>0</v>
      </c>
      <c r="AC92" s="358">
        <f t="shared" ref="AC92" si="81">IFERROR(X92/AA92,0)</f>
        <v>0</v>
      </c>
      <c r="AF92" s="62"/>
    </row>
    <row r="93" spans="1:32" outlineLevel="1" x14ac:dyDescent="0.2">
      <c r="A93" s="366" t="s">
        <v>641</v>
      </c>
      <c r="B93" s="82" t="s">
        <v>1047</v>
      </c>
      <c r="C93" s="904" t="s">
        <v>135</v>
      </c>
      <c r="D93" s="903" t="s">
        <v>242</v>
      </c>
      <c r="E93" s="904"/>
      <c r="F93" s="904" t="s">
        <v>532</v>
      </c>
      <c r="G93" s="904" t="s">
        <v>460</v>
      </c>
      <c r="H93" s="901" t="s">
        <v>1045</v>
      </c>
      <c r="I93" s="103"/>
      <c r="J93" s="12">
        <v>0</v>
      </c>
      <c r="K93" s="12">
        <v>0</v>
      </c>
      <c r="L93" s="12">
        <v>0</v>
      </c>
      <c r="M93" s="12">
        <v>425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/>
      <c r="X93" s="121">
        <f>SUM(J93:V93)</f>
        <v>425</v>
      </c>
      <c r="Y93" s="314">
        <f>IFERROR(X93/Z93,0)</f>
        <v>0.25</v>
      </c>
      <c r="Z93" s="115">
        <v>1700</v>
      </c>
      <c r="AA93" s="117">
        <f>ROUND(SUMIFS('Employee Detail FY22'!$AA:$AA,'Employee Detail FY22'!$B:$B,$C93,'Employee Detail FY22'!$C:$C,$D93,'Employee Detail FY22'!$E:$E,$F93,'Employee Detail FY22'!$F:$F,$G93,'Employee Detail FY22'!$G:$G,$H93),0)</f>
        <v>1700</v>
      </c>
      <c r="AB93" s="117">
        <f>AA93-Z93</f>
        <v>0</v>
      </c>
      <c r="AC93" s="358">
        <f>IFERROR(X93/AA93,0)</f>
        <v>0.25</v>
      </c>
      <c r="AF93" s="62"/>
    </row>
    <row r="94" spans="1:32" outlineLevel="1" x14ac:dyDescent="0.2">
      <c r="A94" s="366" t="s">
        <v>642</v>
      </c>
      <c r="B94" s="82" t="s">
        <v>1047</v>
      </c>
      <c r="C94" s="904" t="s">
        <v>135</v>
      </c>
      <c r="D94" s="903" t="s">
        <v>249</v>
      </c>
      <c r="E94" s="904"/>
      <c r="F94" s="904" t="s">
        <v>468</v>
      </c>
      <c r="G94" s="904" t="s">
        <v>460</v>
      </c>
      <c r="H94" s="901" t="s">
        <v>1045</v>
      </c>
      <c r="I94" s="103"/>
      <c r="J94" s="12">
        <v>1700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/>
      <c r="X94" s="121">
        <f t="shared" si="45"/>
        <v>1700</v>
      </c>
      <c r="Y94" s="314">
        <f t="shared" si="67"/>
        <v>0</v>
      </c>
      <c r="Z94" s="115">
        <v>0</v>
      </c>
      <c r="AA94" s="117">
        <f>ROUND(SUMIFS('Employee Detail FY22'!$AA:$AA,'Employee Detail FY22'!$B:$B,$C94,'Employee Detail FY22'!$C:$C,$D94,'Employee Detail FY22'!$E:$E,$F94,'Employee Detail FY22'!$F:$F,$G94,'Employee Detail FY22'!$G:$G,$H94),0)</f>
        <v>0</v>
      </c>
      <c r="AB94" s="117">
        <f t="shared" si="68"/>
        <v>0</v>
      </c>
      <c r="AC94" s="358">
        <f t="shared" si="69"/>
        <v>0</v>
      </c>
      <c r="AF94" s="62"/>
    </row>
    <row r="95" spans="1:32" outlineLevel="1" x14ac:dyDescent="0.2">
      <c r="A95" s="366" t="s">
        <v>643</v>
      </c>
      <c r="B95" s="519"/>
      <c r="C95" s="906"/>
      <c r="D95" s="902"/>
      <c r="E95" s="906"/>
      <c r="F95" s="906"/>
      <c r="G95" s="906"/>
      <c r="H95" s="907"/>
      <c r="I95" s="520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521"/>
      <c r="Z95" s="114"/>
      <c r="AA95" s="114"/>
      <c r="AB95" s="114"/>
      <c r="AC95" s="521"/>
      <c r="AD95" s="355"/>
      <c r="AE95" s="355"/>
      <c r="AF95" s="62"/>
    </row>
    <row r="96" spans="1:32" outlineLevel="1" x14ac:dyDescent="0.2">
      <c r="A96" s="366" t="s">
        <v>644</v>
      </c>
      <c r="B96" s="82" t="s">
        <v>166</v>
      </c>
      <c r="C96" s="904"/>
      <c r="D96" s="902"/>
      <c r="E96" s="904"/>
      <c r="F96" s="904"/>
      <c r="G96" s="904"/>
      <c r="H96" s="901" t="s">
        <v>167</v>
      </c>
      <c r="I96" s="103"/>
      <c r="J96" s="12"/>
      <c r="K96" s="12">
        <v>0</v>
      </c>
      <c r="L96" s="12">
        <v>0</v>
      </c>
      <c r="M96" s="12">
        <v>0</v>
      </c>
      <c r="N96" s="12">
        <v>0</v>
      </c>
      <c r="O96" s="12"/>
      <c r="P96" s="12"/>
      <c r="Q96" s="12"/>
      <c r="R96" s="12"/>
      <c r="S96" s="12"/>
      <c r="T96" s="12"/>
      <c r="U96" s="12"/>
      <c r="V96" s="12"/>
      <c r="W96" s="12"/>
      <c r="X96" s="121">
        <f t="shared" si="45"/>
        <v>0</v>
      </c>
      <c r="Y96" s="314">
        <f t="shared" si="1"/>
        <v>0</v>
      </c>
      <c r="Z96" s="115">
        <v>0</v>
      </c>
      <c r="AA96" s="117">
        <f>ROUND(SUMIFS('Employee Detail FY22'!$AA:$AA,'Employee Detail FY22'!$B:$B,$C96,'Employee Detail FY22'!$C:$C,$D96,'Employee Detail FY22'!$E:$E,$F96,'Employee Detail FY22'!$F:$F,$G96,'Employee Detail FY22'!$G:$G,$H96),0)</f>
        <v>0</v>
      </c>
      <c r="AB96" s="117">
        <f t="shared" si="68"/>
        <v>0</v>
      </c>
      <c r="AC96" s="358">
        <f t="shared" si="69"/>
        <v>0</v>
      </c>
      <c r="AF96" s="62"/>
    </row>
    <row r="97" spans="1:32" outlineLevel="1" x14ac:dyDescent="0.2">
      <c r="A97" s="366" t="s">
        <v>565</v>
      </c>
      <c r="B97" s="82"/>
      <c r="C97" s="902" t="s">
        <v>468</v>
      </c>
      <c r="D97" s="902" t="s">
        <v>145</v>
      </c>
      <c r="E97" s="902"/>
      <c r="F97" s="902" t="s">
        <v>468</v>
      </c>
      <c r="G97" s="902" t="s">
        <v>465</v>
      </c>
      <c r="H97" s="903" t="s">
        <v>167</v>
      </c>
      <c r="I97" s="104"/>
      <c r="J97" s="12">
        <v>13857.22</v>
      </c>
      <c r="K97" s="12">
        <v>9161.76</v>
      </c>
      <c r="L97" s="12">
        <v>15178.76</v>
      </c>
      <c r="M97" s="12">
        <v>7695.74</v>
      </c>
      <c r="N97" s="12">
        <v>7695.87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/>
      <c r="X97" s="121">
        <f t="shared" si="45"/>
        <v>53589.35</v>
      </c>
      <c r="Y97" s="314">
        <f t="shared" si="1"/>
        <v>0.53564710233292689</v>
      </c>
      <c r="Z97" s="365">
        <v>100046</v>
      </c>
      <c r="AA97" s="117">
        <f>ROUND(SUMIFS('Employee Detail FY22'!$AA:$AA,'Employee Detail FY22'!$B:$B,$C97,'Employee Detail FY22'!$C:$C,$D97,'Employee Detail FY22'!$E:$E,$F97,'Employee Detail FY22'!$F:$F,$G97,'Employee Detail FY22'!$G:$G,$H97),0)</f>
        <v>100046</v>
      </c>
      <c r="AB97" s="117">
        <f t="shared" si="68"/>
        <v>0</v>
      </c>
      <c r="AC97" s="358">
        <f t="shared" si="69"/>
        <v>0.53564710233292689</v>
      </c>
      <c r="AF97" s="62"/>
    </row>
    <row r="98" spans="1:32" outlineLevel="1" x14ac:dyDescent="0.2">
      <c r="A98" s="366" t="s">
        <v>569</v>
      </c>
      <c r="B98" s="82"/>
      <c r="C98" s="902" t="s">
        <v>473</v>
      </c>
      <c r="D98" s="902" t="s">
        <v>135</v>
      </c>
      <c r="E98" s="902"/>
      <c r="F98" s="902" t="s">
        <v>557</v>
      </c>
      <c r="G98" s="902" t="s">
        <v>465</v>
      </c>
      <c r="H98" s="903" t="s">
        <v>167</v>
      </c>
      <c r="I98" s="104"/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/>
      <c r="X98" s="121">
        <f t="shared" si="45"/>
        <v>0</v>
      </c>
      <c r="Y98" s="314"/>
      <c r="Z98" s="365">
        <v>0</v>
      </c>
      <c r="AA98" s="117">
        <f>ROUND(SUMIFS('Employee Detail FY22'!$AA:$AA,'Employee Detail FY22'!$B:$B,$C98,'Employee Detail FY22'!$C:$C,$D98,'Employee Detail FY22'!$E:$E,$F98,'Employee Detail FY22'!$F:$F,$G98,'Employee Detail FY22'!$G:$G,$H98),0)</f>
        <v>0</v>
      </c>
      <c r="AB98" s="117">
        <f t="shared" si="68"/>
        <v>0</v>
      </c>
      <c r="AC98" s="358">
        <f t="shared" si="69"/>
        <v>0</v>
      </c>
      <c r="AF98" s="62"/>
    </row>
    <row r="99" spans="1:32" outlineLevel="1" x14ac:dyDescent="0.2">
      <c r="A99" s="366" t="s">
        <v>645</v>
      </c>
      <c r="B99" s="82"/>
      <c r="C99" s="902" t="s">
        <v>135</v>
      </c>
      <c r="D99" s="902" t="s">
        <v>242</v>
      </c>
      <c r="E99" s="902"/>
      <c r="F99" s="902" t="s">
        <v>532</v>
      </c>
      <c r="G99" s="902" t="s">
        <v>465</v>
      </c>
      <c r="H99" s="903" t="s">
        <v>167</v>
      </c>
      <c r="I99" s="103"/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/>
      <c r="X99" s="121">
        <f t="shared" si="45"/>
        <v>0</v>
      </c>
      <c r="Y99" s="314">
        <f t="shared" ref="Y99:Y101" si="82">IFERROR(X99/Z99,0)</f>
        <v>0</v>
      </c>
      <c r="Z99" s="115">
        <v>0</v>
      </c>
      <c r="AA99" s="117">
        <f>ROUND(SUMIFS('Employee Detail FY22'!$AA:$AA,'Employee Detail FY22'!$B:$B,$C99,'Employee Detail FY22'!$C:$C,$D99,'Employee Detail FY22'!$E:$E,$F99,'Employee Detail FY22'!$F:$F,$G99,'Employee Detail FY22'!$G:$G,$H99),0)</f>
        <v>0</v>
      </c>
      <c r="AB99" s="117">
        <f t="shared" si="68"/>
        <v>0</v>
      </c>
      <c r="AC99" s="358">
        <f t="shared" si="69"/>
        <v>0</v>
      </c>
      <c r="AF99" s="62"/>
    </row>
    <row r="100" spans="1:32" outlineLevel="1" x14ac:dyDescent="0.2">
      <c r="A100" s="366" t="s">
        <v>646</v>
      </c>
      <c r="B100" s="82"/>
      <c r="C100" s="902" t="s">
        <v>135</v>
      </c>
      <c r="D100" s="902" t="s">
        <v>550</v>
      </c>
      <c r="E100" s="902"/>
      <c r="F100" s="902" t="s">
        <v>532</v>
      </c>
      <c r="G100" s="902" t="s">
        <v>465</v>
      </c>
      <c r="H100" s="903" t="s">
        <v>167</v>
      </c>
      <c r="I100" s="103"/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/>
      <c r="X100" s="121">
        <f t="shared" ref="X100" si="83">SUM(J100:V100)</f>
        <v>0</v>
      </c>
      <c r="Y100" s="314">
        <f t="shared" ref="Y100" si="84">IFERROR(X100/Z100,0)</f>
        <v>0</v>
      </c>
      <c r="Z100" s="115">
        <v>0</v>
      </c>
      <c r="AA100" s="117">
        <f>ROUND(SUMIFS('Employee Detail FY22'!$AA:$AA,'Employee Detail FY22'!$B:$B,$C100,'Employee Detail FY22'!$C:$C,$D100,'Employee Detail FY22'!$E:$E,$F100,'Employee Detail FY22'!$F:$F,$G100,'Employee Detail FY22'!$G:$G,$H100),0)</f>
        <v>0</v>
      </c>
      <c r="AB100" s="117">
        <f t="shared" ref="AB100" si="85">AA100-Z100</f>
        <v>0</v>
      </c>
      <c r="AC100" s="358">
        <f t="shared" ref="AC100" si="86">IFERROR(X100/AA100,0)</f>
        <v>0</v>
      </c>
      <c r="AF100" s="62"/>
    </row>
    <row r="101" spans="1:32" outlineLevel="1" x14ac:dyDescent="0.2">
      <c r="A101" s="366" t="s">
        <v>647</v>
      </c>
      <c r="B101" s="82"/>
      <c r="C101" s="902" t="s">
        <v>135</v>
      </c>
      <c r="D101" s="902" t="s">
        <v>923</v>
      </c>
      <c r="E101" s="902"/>
      <c r="F101" s="902" t="s">
        <v>468</v>
      </c>
      <c r="G101" s="902" t="s">
        <v>465</v>
      </c>
      <c r="H101" s="903" t="s">
        <v>167</v>
      </c>
      <c r="I101" s="103"/>
      <c r="J101" s="12">
        <v>0</v>
      </c>
      <c r="K101" s="12">
        <v>0</v>
      </c>
      <c r="L101" s="12">
        <v>6460.96</v>
      </c>
      <c r="M101" s="12">
        <v>2385.6</v>
      </c>
      <c r="N101" s="12">
        <v>3180.8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/>
      <c r="X101" s="121">
        <f t="shared" si="45"/>
        <v>12027.36</v>
      </c>
      <c r="Y101" s="314">
        <f t="shared" si="82"/>
        <v>0.2066556701030928</v>
      </c>
      <c r="Z101" s="115">
        <v>58200</v>
      </c>
      <c r="AA101" s="117">
        <f>ROUND(SUMIFS('Employee Detail FY22'!$AA:$AA,'Employee Detail FY22'!$B:$B,$C101,'Employee Detail FY22'!$C:$C,$D101,'Employee Detail FY22'!$E:$E,$F101,'Employee Detail FY22'!$F:$F,$G101,'Employee Detail FY22'!$G:$G,$H101),0)</f>
        <v>58200</v>
      </c>
      <c r="AB101" s="117">
        <f t="shared" si="68"/>
        <v>0</v>
      </c>
      <c r="AC101" s="358">
        <f t="shared" si="69"/>
        <v>0.2066556701030928</v>
      </c>
      <c r="AF101" s="62"/>
    </row>
    <row r="102" spans="1:32" outlineLevel="1" x14ac:dyDescent="0.2">
      <c r="A102" s="366" t="s">
        <v>648</v>
      </c>
      <c r="B102" s="82"/>
      <c r="C102" s="902" t="s">
        <v>135</v>
      </c>
      <c r="D102" s="903" t="s">
        <v>552</v>
      </c>
      <c r="E102" s="902"/>
      <c r="F102" s="902" t="s">
        <v>468</v>
      </c>
      <c r="G102" s="902" t="s">
        <v>465</v>
      </c>
      <c r="H102" s="903" t="s">
        <v>167</v>
      </c>
      <c r="I102" s="103"/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/>
      <c r="X102" s="121">
        <f t="shared" si="45"/>
        <v>0</v>
      </c>
      <c r="Y102" s="314">
        <f t="shared" ref="Y102:Y121" si="87">IFERROR(X102/Z102,0)</f>
        <v>0</v>
      </c>
      <c r="Z102" s="115">
        <v>0</v>
      </c>
      <c r="AA102" s="117">
        <f>ROUND(SUMIFS('Employee Detail FY22'!$AA:$AA,'Employee Detail FY22'!$B:$B,$C102,'Employee Detail FY22'!$C:$C,$D102,'Employee Detail FY22'!$E:$E,$F102,'Employee Detail FY22'!$F:$F,$G102,'Employee Detail FY22'!$G:$G,$H102),0)</f>
        <v>0</v>
      </c>
      <c r="AB102" s="117">
        <f t="shared" si="68"/>
        <v>0</v>
      </c>
      <c r="AC102" s="358">
        <f t="shared" si="69"/>
        <v>0</v>
      </c>
      <c r="AF102" s="62"/>
    </row>
    <row r="103" spans="1:32" outlineLevel="1" x14ac:dyDescent="0.2">
      <c r="A103" s="366" t="s">
        <v>649</v>
      </c>
      <c r="B103" s="82"/>
      <c r="C103" s="902" t="s">
        <v>135</v>
      </c>
      <c r="D103" s="902" t="s">
        <v>1030</v>
      </c>
      <c r="E103" s="902"/>
      <c r="F103" s="902" t="s">
        <v>468</v>
      </c>
      <c r="G103" s="902" t="s">
        <v>465</v>
      </c>
      <c r="H103" s="903" t="s">
        <v>167</v>
      </c>
      <c r="I103" s="103"/>
      <c r="J103" s="12">
        <v>0</v>
      </c>
      <c r="K103" s="12">
        <v>4938.75</v>
      </c>
      <c r="L103" s="12">
        <v>15185.74</v>
      </c>
      <c r="M103" s="12">
        <v>10663.62</v>
      </c>
      <c r="N103" s="12">
        <v>10811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/>
      <c r="X103" s="121">
        <f t="shared" ref="X103" si="88">SUM(J103:V103)</f>
        <v>41599.11</v>
      </c>
      <c r="Y103" s="314">
        <f t="shared" ref="Y103" si="89">IFERROR(X103/Z103,0)</f>
        <v>0.30008375112714158</v>
      </c>
      <c r="Z103" s="115">
        <v>138625</v>
      </c>
      <c r="AA103" s="117">
        <f>ROUND(SUMIFS('Employee Detail FY22'!$AA:$AA,'Employee Detail FY22'!$B:$B,$C103,'Employee Detail FY22'!$C:$C,$D103,'Employee Detail FY22'!$E:$E,$F103,'Employee Detail FY22'!$F:$F,$G103,'Employee Detail FY22'!$G:$G,$H103),0)</f>
        <v>138625</v>
      </c>
      <c r="AB103" s="117">
        <f t="shared" ref="AB103" si="90">AA103-Z103</f>
        <v>0</v>
      </c>
      <c r="AC103" s="358">
        <f t="shared" ref="AC103" si="91">IFERROR(X103/AA103,0)</f>
        <v>0.30008375112714158</v>
      </c>
      <c r="AF103" s="62"/>
    </row>
    <row r="104" spans="1:32" outlineLevel="1" x14ac:dyDescent="0.2">
      <c r="A104" s="366" t="s">
        <v>650</v>
      </c>
      <c r="B104" s="82"/>
      <c r="C104" s="902" t="s">
        <v>468</v>
      </c>
      <c r="D104" s="902" t="s">
        <v>145</v>
      </c>
      <c r="E104" s="902"/>
      <c r="F104" s="902" t="s">
        <v>468</v>
      </c>
      <c r="G104" s="902" t="s">
        <v>556</v>
      </c>
      <c r="H104" s="903" t="s">
        <v>167</v>
      </c>
      <c r="I104" s="104"/>
      <c r="J104" s="12">
        <v>5639.52</v>
      </c>
      <c r="K104" s="12">
        <v>5639.52</v>
      </c>
      <c r="L104" s="12">
        <v>8445.1299999999992</v>
      </c>
      <c r="M104" s="12">
        <v>5639.52</v>
      </c>
      <c r="N104" s="12">
        <v>5639.52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/>
      <c r="X104" s="121">
        <f t="shared" si="45"/>
        <v>31003.21</v>
      </c>
      <c r="Y104" s="314">
        <f t="shared" si="87"/>
        <v>0.42288830084705303</v>
      </c>
      <c r="Z104" s="365">
        <v>73313</v>
      </c>
      <c r="AA104" s="117">
        <f>ROUND(SUMIFS('Employee Detail FY22'!$AA:$AA,'Employee Detail FY22'!$B:$B,$C104,'Employee Detail FY22'!$C:$C,$D104,'Employee Detail FY22'!$E:$E,$F104,'Employee Detail FY22'!$F:$F,$G104,'Employee Detail FY22'!$G:$G,$H104),0)</f>
        <v>73313</v>
      </c>
      <c r="AB104" s="117">
        <f t="shared" si="68"/>
        <v>0</v>
      </c>
      <c r="AC104" s="358">
        <f t="shared" si="69"/>
        <v>0.42288830084705303</v>
      </c>
      <c r="AD104" s="355"/>
      <c r="AF104" s="62"/>
    </row>
    <row r="105" spans="1:32" outlineLevel="1" x14ac:dyDescent="0.2">
      <c r="A105" s="366" t="s">
        <v>651</v>
      </c>
      <c r="B105" s="82"/>
      <c r="C105" s="902" t="s">
        <v>135</v>
      </c>
      <c r="D105" s="902" t="s">
        <v>242</v>
      </c>
      <c r="E105" s="902"/>
      <c r="F105" s="902" t="s">
        <v>532</v>
      </c>
      <c r="G105" s="902" t="s">
        <v>556</v>
      </c>
      <c r="H105" s="903" t="s">
        <v>167</v>
      </c>
      <c r="I105" s="103"/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/>
      <c r="X105" s="121">
        <f t="shared" si="45"/>
        <v>0</v>
      </c>
      <c r="Y105" s="314">
        <f t="shared" si="87"/>
        <v>0</v>
      </c>
      <c r="Z105" s="115">
        <v>0</v>
      </c>
      <c r="AA105" s="117">
        <f>ROUND(SUMIFS('Employee Detail FY22'!$AA:$AA,'Employee Detail FY22'!$B:$B,$C105,'Employee Detail FY22'!$C:$C,$D105,'Employee Detail FY22'!$E:$E,$F105,'Employee Detail FY22'!$F:$F,$G105,'Employee Detail FY22'!$G:$G,$H105),0)</f>
        <v>0</v>
      </c>
      <c r="AB105" s="117">
        <f t="shared" si="68"/>
        <v>0</v>
      </c>
      <c r="AC105" s="358">
        <f t="shared" si="69"/>
        <v>0</v>
      </c>
      <c r="AF105" s="62"/>
    </row>
    <row r="106" spans="1:32" outlineLevel="1" x14ac:dyDescent="0.2">
      <c r="A106" s="366" t="s">
        <v>652</v>
      </c>
      <c r="B106" s="82"/>
      <c r="C106" s="902" t="s">
        <v>462</v>
      </c>
      <c r="D106" s="902" t="s">
        <v>132</v>
      </c>
      <c r="E106" s="902"/>
      <c r="F106" s="902" t="s">
        <v>463</v>
      </c>
      <c r="G106" s="902" t="s">
        <v>484</v>
      </c>
      <c r="H106" s="903" t="s">
        <v>167</v>
      </c>
      <c r="I106" s="104"/>
      <c r="J106" s="12">
        <v>1203.75</v>
      </c>
      <c r="K106" s="12">
        <v>0</v>
      </c>
      <c r="L106" s="12">
        <v>4896.5600000000004</v>
      </c>
      <c r="M106" s="12">
        <v>3203.3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/>
      <c r="X106" s="121">
        <f t="shared" si="45"/>
        <v>9303.61</v>
      </c>
      <c r="Y106" s="314">
        <f t="shared" si="87"/>
        <v>0.39455513146734522</v>
      </c>
      <c r="Z106" s="365">
        <v>23580</v>
      </c>
      <c r="AA106" s="117">
        <f>ROUND(SUMIFS('Employee Detail FY22'!$AA:$AA,'Employee Detail FY22'!$B:$B,$C106,'Employee Detail FY22'!$C:$C,$D106,'Employee Detail FY22'!$E:$E,$F106,'Employee Detail FY22'!$F:$F,$G106,'Employee Detail FY22'!$G:$G,$H106),0)</f>
        <v>23580</v>
      </c>
      <c r="AB106" s="117">
        <f t="shared" si="68"/>
        <v>0</v>
      </c>
      <c r="AC106" s="358">
        <f t="shared" si="69"/>
        <v>0.39455513146734522</v>
      </c>
      <c r="AF106" s="62"/>
    </row>
    <row r="107" spans="1:32" outlineLevel="1" x14ac:dyDescent="0.2">
      <c r="A107" s="366" t="s">
        <v>653</v>
      </c>
      <c r="B107" s="82"/>
      <c r="C107" s="902" t="s">
        <v>135</v>
      </c>
      <c r="D107" s="902" t="s">
        <v>550</v>
      </c>
      <c r="E107" s="902"/>
      <c r="F107" s="902" t="s">
        <v>532</v>
      </c>
      <c r="G107" s="902" t="s">
        <v>484</v>
      </c>
      <c r="H107" s="903" t="s">
        <v>167</v>
      </c>
      <c r="I107" s="103"/>
      <c r="J107" s="12">
        <v>0</v>
      </c>
      <c r="K107" s="12">
        <v>2013.75</v>
      </c>
      <c r="L107" s="12">
        <v>19.690000000000001</v>
      </c>
      <c r="M107" s="12">
        <v>1777.5</v>
      </c>
      <c r="N107" s="12">
        <v>3386.25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/>
      <c r="X107" s="121">
        <f t="shared" ref="X107" si="92">SUM(J107:V107)</f>
        <v>7197.1900000000005</v>
      </c>
      <c r="Y107" s="314">
        <f t="shared" ref="Y107" si="93">IFERROR(X107/Z107,0)</f>
        <v>0.61810288560632087</v>
      </c>
      <c r="Z107" s="115">
        <v>11644</v>
      </c>
      <c r="AA107" s="117">
        <f>ROUND(SUMIFS('Employee Detail FY22'!$AA:$AA,'Employee Detail FY22'!$B:$B,$C107,'Employee Detail FY22'!$C:$C,$D107,'Employee Detail FY22'!$E:$E,$F107,'Employee Detail FY22'!$F:$F,$G107,'Employee Detail FY22'!$G:$G,$H107),0)</f>
        <v>11644</v>
      </c>
      <c r="AB107" s="117">
        <f t="shared" ref="AB107" si="94">AA107-Z107</f>
        <v>0</v>
      </c>
      <c r="AC107" s="358">
        <f t="shared" ref="AC107" si="95">IFERROR(X107/AA107,0)</f>
        <v>0.61810288560632087</v>
      </c>
      <c r="AF107" s="62"/>
    </row>
    <row r="108" spans="1:32" ht="12.75" customHeight="1" outlineLevel="1" x14ac:dyDescent="0.2">
      <c r="A108" s="366" t="s">
        <v>468</v>
      </c>
      <c r="B108" s="82"/>
      <c r="C108" s="902" t="s">
        <v>462</v>
      </c>
      <c r="D108" s="902" t="s">
        <v>132</v>
      </c>
      <c r="E108" s="902"/>
      <c r="F108" s="902" t="s">
        <v>463</v>
      </c>
      <c r="G108" s="902" t="s">
        <v>485</v>
      </c>
      <c r="H108" s="903" t="s">
        <v>167</v>
      </c>
      <c r="I108" s="104"/>
      <c r="J108" s="12">
        <v>0</v>
      </c>
      <c r="K108" s="12">
        <v>6310.62</v>
      </c>
      <c r="L108" s="12">
        <v>9451.86</v>
      </c>
      <c r="M108" s="12">
        <v>6310.62</v>
      </c>
      <c r="N108" s="12">
        <v>6310.62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/>
      <c r="X108" s="121">
        <f t="shared" si="45"/>
        <v>28383.719999999998</v>
      </c>
      <c r="Y108" s="314">
        <f t="shared" si="87"/>
        <v>0.34598681082925992</v>
      </c>
      <c r="Z108" s="365">
        <v>82037</v>
      </c>
      <c r="AA108" s="117">
        <f>ROUND(SUMIFS('Employee Detail FY22'!$AA:$AA,'Employee Detail FY22'!$B:$B,$C108,'Employee Detail FY22'!$C:$C,$D108,'Employee Detail FY22'!$E:$E,$F108,'Employee Detail FY22'!$F:$F,$G108,'Employee Detail FY22'!$G:$G,$H108),0)</f>
        <v>82037</v>
      </c>
      <c r="AB108" s="117">
        <f t="shared" si="68"/>
        <v>0</v>
      </c>
      <c r="AC108" s="358">
        <f t="shared" si="69"/>
        <v>0.34598681082925992</v>
      </c>
      <c r="AD108" s="407"/>
      <c r="AE108" s="385"/>
      <c r="AF108" s="62"/>
    </row>
    <row r="109" spans="1:32" outlineLevel="1" x14ac:dyDescent="0.2">
      <c r="A109" s="366" t="s">
        <v>654</v>
      </c>
      <c r="B109" s="82"/>
      <c r="C109" s="904" t="s">
        <v>135</v>
      </c>
      <c r="D109" s="902" t="s">
        <v>242</v>
      </c>
      <c r="E109" s="904"/>
      <c r="F109" s="904" t="s">
        <v>532</v>
      </c>
      <c r="G109" s="904" t="s">
        <v>485</v>
      </c>
      <c r="H109" s="901" t="s">
        <v>167</v>
      </c>
      <c r="I109" s="103"/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/>
      <c r="X109" s="121">
        <f t="shared" si="45"/>
        <v>0</v>
      </c>
      <c r="Y109" s="314">
        <f t="shared" si="87"/>
        <v>0</v>
      </c>
      <c r="Z109" s="115">
        <v>0</v>
      </c>
      <c r="AA109" s="117">
        <f>ROUND(SUMIFS('Employee Detail FY22'!$AA:$AA,'Employee Detail FY22'!$B:$B,$C109,'Employee Detail FY22'!$C:$C,$D109,'Employee Detail FY22'!$E:$E,$F109,'Employee Detail FY22'!$F:$F,$G109,'Employee Detail FY22'!$G:$G,$H109),0)</f>
        <v>0</v>
      </c>
      <c r="AB109" s="117">
        <f t="shared" si="68"/>
        <v>0</v>
      </c>
      <c r="AC109" s="358">
        <f t="shared" si="69"/>
        <v>0</v>
      </c>
      <c r="AF109" s="62"/>
    </row>
    <row r="110" spans="1:32" outlineLevel="1" x14ac:dyDescent="0.2">
      <c r="A110" s="366" t="s">
        <v>655</v>
      </c>
      <c r="B110" s="82"/>
      <c r="C110" s="904" t="s">
        <v>135</v>
      </c>
      <c r="D110" s="902" t="s">
        <v>247</v>
      </c>
      <c r="E110" s="904"/>
      <c r="F110" s="904" t="s">
        <v>463</v>
      </c>
      <c r="G110" s="904" t="s">
        <v>485</v>
      </c>
      <c r="H110" s="901" t="s">
        <v>167</v>
      </c>
      <c r="I110" s="103"/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/>
      <c r="X110" s="121">
        <f t="shared" si="45"/>
        <v>0</v>
      </c>
      <c r="Y110" s="314">
        <f t="shared" si="87"/>
        <v>0</v>
      </c>
      <c r="Z110" s="115">
        <v>0</v>
      </c>
      <c r="AA110" s="117">
        <f>ROUND(SUMIFS('Employee Detail FY22'!$AA:$AA,'Employee Detail FY22'!$B:$B,$C110,'Employee Detail FY22'!$C:$C,$D110,'Employee Detail FY22'!$E:$E,$F110,'Employee Detail FY22'!$F:$F,$G110,'Employee Detail FY22'!$G:$G,$H110),0)</f>
        <v>0</v>
      </c>
      <c r="AB110" s="117">
        <f t="shared" si="68"/>
        <v>0</v>
      </c>
      <c r="AC110" s="358">
        <f t="shared" si="69"/>
        <v>0</v>
      </c>
      <c r="AF110" s="62"/>
    </row>
    <row r="111" spans="1:32" outlineLevel="1" x14ac:dyDescent="0.2">
      <c r="A111" s="366" t="s">
        <v>656</v>
      </c>
      <c r="B111" s="519"/>
      <c r="C111" s="906"/>
      <c r="D111" s="902"/>
      <c r="E111" s="906"/>
      <c r="F111" s="906"/>
      <c r="G111" s="906"/>
      <c r="H111" s="907"/>
      <c r="I111" s="520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521"/>
      <c r="Z111" s="114"/>
      <c r="AA111" s="114"/>
      <c r="AB111" s="114"/>
      <c r="AC111" s="521"/>
      <c r="AD111" s="355"/>
      <c r="AE111" s="355"/>
      <c r="AF111" s="62"/>
    </row>
    <row r="112" spans="1:32" outlineLevel="1" x14ac:dyDescent="0.2">
      <c r="A112" s="366" t="s">
        <v>657</v>
      </c>
      <c r="B112" s="82" t="s">
        <v>1048</v>
      </c>
      <c r="C112" s="904" t="s">
        <v>135</v>
      </c>
      <c r="D112" s="902" t="s">
        <v>242</v>
      </c>
      <c r="E112" s="904"/>
      <c r="F112" s="904" t="s">
        <v>532</v>
      </c>
      <c r="G112" s="904" t="s">
        <v>465</v>
      </c>
      <c r="H112" s="901" t="s">
        <v>1046</v>
      </c>
      <c r="I112" s="103"/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/>
      <c r="X112" s="121">
        <f t="shared" si="45"/>
        <v>0</v>
      </c>
      <c r="Y112" s="314">
        <f t="shared" si="87"/>
        <v>0</v>
      </c>
      <c r="Z112" s="115">
        <v>0</v>
      </c>
      <c r="AA112" s="117">
        <f>ROUND(SUMIFS('Employee Detail FY22'!$AA:$AA,'Employee Detail FY22'!$B:$B,$C112,'Employee Detail FY22'!$C:$C,$D112,'Employee Detail FY22'!$E:$E,$F112,'Employee Detail FY22'!$F:$F,$G112,'Employee Detail FY22'!$G:$G,$H112),0)</f>
        <v>0</v>
      </c>
      <c r="AB112" s="117">
        <f t="shared" ref="AB112:AB121" si="96">AA112-Z112</f>
        <v>0</v>
      </c>
      <c r="AC112" s="358">
        <f t="shared" ref="AC112:AC121" si="97">IFERROR(X112/AA112,0)</f>
        <v>0</v>
      </c>
      <c r="AF112" s="62"/>
    </row>
    <row r="113" spans="1:32" outlineLevel="1" x14ac:dyDescent="0.2">
      <c r="A113" s="366" t="s">
        <v>658</v>
      </c>
      <c r="B113" s="82" t="s">
        <v>1048</v>
      </c>
      <c r="C113" s="904" t="s">
        <v>135</v>
      </c>
      <c r="D113" s="902" t="s">
        <v>249</v>
      </c>
      <c r="E113" s="904"/>
      <c r="F113" s="904" t="s">
        <v>468</v>
      </c>
      <c r="G113" s="904" t="s">
        <v>465</v>
      </c>
      <c r="H113" s="901" t="s">
        <v>1046</v>
      </c>
      <c r="I113" s="103"/>
      <c r="J113" s="12">
        <v>1000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/>
      <c r="X113" s="121">
        <f>SUM(J113:V113)</f>
        <v>1000</v>
      </c>
      <c r="Y113" s="314">
        <f>IFERROR(X113/Z113,0)</f>
        <v>0</v>
      </c>
      <c r="Z113" s="115">
        <v>0</v>
      </c>
      <c r="AA113" s="117">
        <f>ROUND(SUMIFS('Employee Detail FY22'!$AA:$AA,'Employee Detail FY22'!$B:$B,$C113,'Employee Detail FY22'!$C:$C,$D113,'Employee Detail FY22'!$E:$E,$F113,'Employee Detail FY22'!$F:$F,$G113,'Employee Detail FY22'!$G:$G,$H113),0)</f>
        <v>0</v>
      </c>
      <c r="AB113" s="117">
        <f>AA113-Z113</f>
        <v>0</v>
      </c>
      <c r="AC113" s="358">
        <f>IFERROR(X113/AA113,0)</f>
        <v>0</v>
      </c>
      <c r="AF113" s="62"/>
    </row>
    <row r="114" spans="1:32" outlineLevel="1" x14ac:dyDescent="0.2">
      <c r="A114" s="366" t="s">
        <v>659</v>
      </c>
      <c r="B114" s="82" t="s">
        <v>1048</v>
      </c>
      <c r="C114" s="904" t="s">
        <v>468</v>
      </c>
      <c r="D114" s="903" t="s">
        <v>145</v>
      </c>
      <c r="E114" s="904"/>
      <c r="F114" s="904" t="s">
        <v>468</v>
      </c>
      <c r="G114" s="904" t="s">
        <v>556</v>
      </c>
      <c r="H114" s="901" t="s">
        <v>1046</v>
      </c>
      <c r="I114" s="103"/>
      <c r="J114" s="12">
        <v>0</v>
      </c>
      <c r="K114" s="12">
        <v>0</v>
      </c>
      <c r="L114" s="12">
        <v>0</v>
      </c>
      <c r="M114" s="12">
        <v>1500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/>
      <c r="X114" s="121">
        <f t="shared" ref="X114" si="98">SUM(J114:V114)</f>
        <v>1500</v>
      </c>
      <c r="Y114" s="314">
        <f t="shared" ref="Y114" si="99">IFERROR(X114/Z114,0)</f>
        <v>0</v>
      </c>
      <c r="Z114" s="115">
        <v>0</v>
      </c>
      <c r="AA114" s="117">
        <f>ROUND(SUMIFS('Employee Detail FY22'!$AA:$AA,'Employee Detail FY22'!$B:$B,$C114,'Employee Detail FY22'!$C:$C,$D114,'Employee Detail FY22'!$E:$E,$F114,'Employee Detail FY22'!$F:$F,$G114,'Employee Detail FY22'!$G:$G,$H114),0)</f>
        <v>0</v>
      </c>
      <c r="AB114" s="117">
        <f t="shared" ref="AB114" si="100">AA114-Z114</f>
        <v>0</v>
      </c>
      <c r="AC114" s="358">
        <f t="shared" ref="AC114" si="101">IFERROR(X114/AA114,0)</f>
        <v>0</v>
      </c>
      <c r="AF114" s="62"/>
    </row>
    <row r="115" spans="1:32" outlineLevel="1" x14ac:dyDescent="0.2">
      <c r="A115" s="366" t="s">
        <v>1161</v>
      </c>
      <c r="B115" s="82" t="s">
        <v>1048</v>
      </c>
      <c r="C115" s="904" t="s">
        <v>135</v>
      </c>
      <c r="D115" s="902" t="s">
        <v>242</v>
      </c>
      <c r="E115" s="904"/>
      <c r="F115" s="904" t="s">
        <v>532</v>
      </c>
      <c r="G115" s="904" t="s">
        <v>556</v>
      </c>
      <c r="H115" s="901" t="s">
        <v>1046</v>
      </c>
      <c r="I115" s="103"/>
      <c r="J115" s="12">
        <v>0</v>
      </c>
      <c r="K115" s="12">
        <v>0</v>
      </c>
      <c r="L115" s="12">
        <v>0</v>
      </c>
      <c r="M115" s="12">
        <v>375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/>
      <c r="X115" s="121">
        <f t="shared" si="45"/>
        <v>375</v>
      </c>
      <c r="Y115" s="314">
        <f t="shared" si="87"/>
        <v>0</v>
      </c>
      <c r="Z115" s="115">
        <v>0</v>
      </c>
      <c r="AA115" s="117">
        <f>ROUND(SUMIFS('Employee Detail FY22'!$AA:$AA,'Employee Detail FY22'!$B:$B,$C115,'Employee Detail FY22'!$C:$C,$D115,'Employee Detail FY22'!$E:$E,$F115,'Employee Detail FY22'!$F:$F,$G115,'Employee Detail FY22'!$G:$G,$H115),0)</f>
        <v>0</v>
      </c>
      <c r="AB115" s="117">
        <f t="shared" si="96"/>
        <v>0</v>
      </c>
      <c r="AC115" s="358">
        <f t="shared" si="97"/>
        <v>0</v>
      </c>
      <c r="AF115" s="62"/>
    </row>
    <row r="116" spans="1:32" outlineLevel="1" x14ac:dyDescent="0.2">
      <c r="A116" s="366" t="s">
        <v>1162</v>
      </c>
      <c r="B116" s="82" t="s">
        <v>1048</v>
      </c>
      <c r="C116" s="904" t="s">
        <v>135</v>
      </c>
      <c r="D116" s="902" t="s">
        <v>249</v>
      </c>
      <c r="E116" s="904"/>
      <c r="F116" s="904" t="s">
        <v>468</v>
      </c>
      <c r="G116" s="904" t="s">
        <v>556</v>
      </c>
      <c r="H116" s="901" t="s">
        <v>1046</v>
      </c>
      <c r="I116" s="103"/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/>
      <c r="X116" s="121">
        <f>SUM(J116:V116)</f>
        <v>0</v>
      </c>
      <c r="Y116" s="314">
        <f>IFERROR(X116/Z116,0)</f>
        <v>0</v>
      </c>
      <c r="Z116" s="115">
        <v>0</v>
      </c>
      <c r="AA116" s="117">
        <f>ROUND(SUMIFS('Employee Detail FY22'!$AA:$AA,'Employee Detail FY22'!$B:$B,$C116,'Employee Detail FY22'!$C:$C,$D116,'Employee Detail FY22'!$E:$E,$F116,'Employee Detail FY22'!$F:$F,$G116,'Employee Detail FY22'!$G:$G,$H116),0)</f>
        <v>0</v>
      </c>
      <c r="AB116" s="117">
        <f>AA116-Z116</f>
        <v>0</v>
      </c>
      <c r="AC116" s="358">
        <f>IFERROR(X116/AA116,0)</f>
        <v>0</v>
      </c>
      <c r="AF116" s="62"/>
    </row>
    <row r="117" spans="1:32" outlineLevel="1" x14ac:dyDescent="0.2">
      <c r="A117" s="366" t="s">
        <v>660</v>
      </c>
      <c r="B117" s="82" t="s">
        <v>1048</v>
      </c>
      <c r="C117" s="904" t="s">
        <v>135</v>
      </c>
      <c r="D117" s="902" t="s">
        <v>923</v>
      </c>
      <c r="E117" s="904"/>
      <c r="F117" s="904" t="s">
        <v>468</v>
      </c>
      <c r="G117" s="904" t="s">
        <v>465</v>
      </c>
      <c r="H117" s="901" t="s">
        <v>1204</v>
      </c>
      <c r="I117" s="103"/>
      <c r="J117" s="12">
        <v>0</v>
      </c>
      <c r="K117" s="12">
        <v>350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/>
      <c r="X117" s="121">
        <f t="shared" ref="X117:X118" si="102">SUM(J117:V117)</f>
        <v>350</v>
      </c>
      <c r="Y117" s="314">
        <f t="shared" ref="Y117:Y118" si="103">IFERROR(X117/Z117,0)</f>
        <v>0</v>
      </c>
      <c r="Z117" s="115">
        <v>0</v>
      </c>
      <c r="AA117" s="117">
        <f>ROUND(SUMIFS('Employee Detail FY22'!$AA:$AA,'Employee Detail FY22'!$B:$B,$C117,'Employee Detail FY22'!$C:$C,$D117,'Employee Detail FY22'!$E:$E,$F117,'Employee Detail FY22'!$F:$F,$G117,'Employee Detail FY22'!$G:$G,$H117),0)</f>
        <v>0</v>
      </c>
      <c r="AB117" s="117">
        <f t="shared" ref="AB117:AB118" si="104">AA117-Z117</f>
        <v>0</v>
      </c>
      <c r="AC117" s="358">
        <f t="shared" ref="AC117:AC118" si="105">IFERROR(X117/AA117,0)</f>
        <v>0</v>
      </c>
      <c r="AF117" s="62"/>
    </row>
    <row r="118" spans="1:32" outlineLevel="1" x14ac:dyDescent="0.2">
      <c r="A118" s="366" t="s">
        <v>1163</v>
      </c>
      <c r="B118" s="82" t="s">
        <v>1048</v>
      </c>
      <c r="C118" s="904" t="s">
        <v>135</v>
      </c>
      <c r="D118" s="902" t="s">
        <v>1042</v>
      </c>
      <c r="E118" s="904"/>
      <c r="F118" s="904" t="s">
        <v>532</v>
      </c>
      <c r="G118" s="904" t="s">
        <v>465</v>
      </c>
      <c r="H118" s="901" t="s">
        <v>1204</v>
      </c>
      <c r="I118" s="103"/>
      <c r="J118" s="12">
        <v>0</v>
      </c>
      <c r="K118" s="12">
        <v>360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/>
      <c r="X118" s="121">
        <f t="shared" si="102"/>
        <v>360</v>
      </c>
      <c r="Y118" s="314">
        <f t="shared" si="103"/>
        <v>0</v>
      </c>
      <c r="Z118" s="115">
        <v>0</v>
      </c>
      <c r="AA118" s="117">
        <f>ROUND(SUMIFS('Employee Detail FY22'!$AA:$AA,'Employee Detail FY22'!$B:$B,$C118,'Employee Detail FY22'!$C:$C,$D118,'Employee Detail FY22'!$E:$E,$F118,'Employee Detail FY22'!$F:$F,$G118,'Employee Detail FY22'!$G:$G,$H118),0)</f>
        <v>0</v>
      </c>
      <c r="AB118" s="117">
        <f t="shared" si="104"/>
        <v>0</v>
      </c>
      <c r="AC118" s="358">
        <f t="shared" si="105"/>
        <v>0</v>
      </c>
      <c r="AF118" s="62"/>
    </row>
    <row r="119" spans="1:32" outlineLevel="1" x14ac:dyDescent="0.2">
      <c r="A119" s="366" t="s">
        <v>661</v>
      </c>
      <c r="B119" s="82" t="s">
        <v>1048</v>
      </c>
      <c r="C119" s="904" t="s">
        <v>135</v>
      </c>
      <c r="D119" s="902" t="s">
        <v>242</v>
      </c>
      <c r="E119" s="904"/>
      <c r="F119" s="904" t="s">
        <v>532</v>
      </c>
      <c r="G119" s="904" t="s">
        <v>485</v>
      </c>
      <c r="H119" s="901" t="s">
        <v>1046</v>
      </c>
      <c r="I119" s="103"/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/>
      <c r="X119" s="121">
        <f t="shared" si="45"/>
        <v>0</v>
      </c>
      <c r="Y119" s="314">
        <f t="shared" si="87"/>
        <v>0</v>
      </c>
      <c r="Z119" s="115">
        <v>0</v>
      </c>
      <c r="AA119" s="117">
        <f>ROUND(SUMIFS('Employee Detail FY22'!$AA:$AA,'Employee Detail FY22'!$B:$B,$C119,'Employee Detail FY22'!$C:$C,$D119,'Employee Detail FY22'!$E:$E,$F119,'Employee Detail FY22'!$F:$F,$G119,'Employee Detail FY22'!$G:$G,$H119),0)</f>
        <v>0</v>
      </c>
      <c r="AB119" s="117">
        <f t="shared" si="96"/>
        <v>0</v>
      </c>
      <c r="AC119" s="358">
        <f t="shared" si="97"/>
        <v>0</v>
      </c>
      <c r="AF119" s="62"/>
    </row>
    <row r="120" spans="1:32" outlineLevel="1" x14ac:dyDescent="0.2">
      <c r="A120" s="366" t="s">
        <v>662</v>
      </c>
      <c r="B120" s="82" t="s">
        <v>1048</v>
      </c>
      <c r="C120" s="904" t="s">
        <v>135</v>
      </c>
      <c r="D120" s="902" t="s">
        <v>1042</v>
      </c>
      <c r="E120" s="904"/>
      <c r="F120" s="904" t="s">
        <v>468</v>
      </c>
      <c r="G120" s="904" t="s">
        <v>465</v>
      </c>
      <c r="H120" s="901" t="s">
        <v>1046</v>
      </c>
      <c r="I120" s="103"/>
      <c r="J120" s="12">
        <v>330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/>
      <c r="X120" s="121">
        <f t="shared" ref="X120" si="106">SUM(J120:V120)</f>
        <v>330</v>
      </c>
      <c r="Y120" s="314">
        <f t="shared" ref="Y120" si="107">IFERROR(X120/Z120,0)</f>
        <v>0</v>
      </c>
      <c r="Z120" s="115">
        <v>0</v>
      </c>
      <c r="AA120" s="117">
        <f>ROUND(SUMIFS('Employee Detail FY22'!$AA:$AA,'Employee Detail FY22'!$B:$B,$C120,'Employee Detail FY22'!$C:$C,$D120,'Employee Detail FY22'!$E:$E,$F120,'Employee Detail FY22'!$F:$F,$G120,'Employee Detail FY22'!$G:$G,$H120),0)</f>
        <v>0</v>
      </c>
      <c r="AB120" s="117">
        <f t="shared" ref="AB120" si="108">AA120-Z120</f>
        <v>0</v>
      </c>
      <c r="AC120" s="358">
        <f t="shared" ref="AC120" si="109">IFERROR(X120/AA120,0)</f>
        <v>0</v>
      </c>
      <c r="AF120" s="62"/>
    </row>
    <row r="121" spans="1:32" outlineLevel="1" x14ac:dyDescent="0.2">
      <c r="A121" s="366" t="s">
        <v>663</v>
      </c>
      <c r="B121" s="82" t="s">
        <v>1048</v>
      </c>
      <c r="C121" s="904" t="s">
        <v>135</v>
      </c>
      <c r="D121" s="902" t="s">
        <v>249</v>
      </c>
      <c r="E121" s="904"/>
      <c r="F121" s="904" t="s">
        <v>468</v>
      </c>
      <c r="G121" s="904" t="s">
        <v>485</v>
      </c>
      <c r="H121" s="901" t="s">
        <v>1046</v>
      </c>
      <c r="I121" s="103"/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/>
      <c r="X121" s="121">
        <f t="shared" si="45"/>
        <v>0</v>
      </c>
      <c r="Y121" s="314">
        <f t="shared" si="87"/>
        <v>0</v>
      </c>
      <c r="Z121" s="115">
        <v>0</v>
      </c>
      <c r="AA121" s="117">
        <f>ROUND(SUMIFS('Employee Detail FY22'!$AA:$AA,'Employee Detail FY22'!$B:$B,$C121,'Employee Detail FY22'!$C:$C,$D121,'Employee Detail FY22'!$E:$E,$F121,'Employee Detail FY22'!$F:$F,$G121,'Employee Detail FY22'!$G:$G,$H121),0)</f>
        <v>0</v>
      </c>
      <c r="AB121" s="117">
        <f t="shared" si="96"/>
        <v>0</v>
      </c>
      <c r="AC121" s="358">
        <f t="shared" si="97"/>
        <v>0</v>
      </c>
      <c r="AF121" s="62"/>
    </row>
    <row r="122" spans="1:32" x14ac:dyDescent="0.2">
      <c r="A122" s="366" t="s">
        <v>1164</v>
      </c>
      <c r="B122" s="212" t="s">
        <v>174</v>
      </c>
      <c r="C122" s="908"/>
      <c r="D122" s="909"/>
      <c r="E122" s="909"/>
      <c r="F122" s="908"/>
      <c r="G122" s="908"/>
      <c r="H122" s="908"/>
      <c r="I122" s="126"/>
      <c r="J122" s="303">
        <f t="shared" ref="J122:V122" si="110">SUM(J54:J121)</f>
        <v>56751.73000000001</v>
      </c>
      <c r="K122" s="303">
        <f t="shared" si="110"/>
        <v>163655.06999999998</v>
      </c>
      <c r="L122" s="303">
        <f t="shared" si="110"/>
        <v>195416.01</v>
      </c>
      <c r="M122" s="303">
        <f t="shared" si="110"/>
        <v>150073.62999999998</v>
      </c>
      <c r="N122" s="303">
        <f t="shared" si="110"/>
        <v>129544.77</v>
      </c>
      <c r="O122" s="364">
        <f t="shared" si="110"/>
        <v>0</v>
      </c>
      <c r="P122" s="303">
        <f t="shared" si="110"/>
        <v>0</v>
      </c>
      <c r="Q122" s="303">
        <f t="shared" si="110"/>
        <v>0</v>
      </c>
      <c r="R122" s="303">
        <f t="shared" si="110"/>
        <v>0</v>
      </c>
      <c r="S122" s="303">
        <f t="shared" si="110"/>
        <v>0</v>
      </c>
      <c r="T122" s="303">
        <f t="shared" si="110"/>
        <v>0</v>
      </c>
      <c r="U122" s="303">
        <f t="shared" si="110"/>
        <v>0</v>
      </c>
      <c r="V122" s="303">
        <f t="shared" si="110"/>
        <v>0</v>
      </c>
      <c r="W122" s="115"/>
      <c r="X122" s="303">
        <f>SUM(X54:X121)</f>
        <v>695441.20999999985</v>
      </c>
      <c r="Y122" s="318">
        <f t="shared" si="1"/>
        <v>0.38164293749965694</v>
      </c>
      <c r="Z122" s="303">
        <f>SUM(Z54:Z121)</f>
        <v>1822230</v>
      </c>
      <c r="AA122" s="303">
        <f>SUM(AA54:AA121)</f>
        <v>1763230</v>
      </c>
      <c r="AB122" s="303">
        <f t="shared" ref="AB122:AB219" si="111">AA122-Z122</f>
        <v>-59000</v>
      </c>
      <c r="AC122" s="303">
        <f t="shared" si="2"/>
        <v>0.3944132132506819</v>
      </c>
      <c r="AD122" s="384"/>
      <c r="AE122" s="385"/>
      <c r="AF122" s="62"/>
    </row>
    <row r="123" spans="1:32" outlineLevel="1" x14ac:dyDescent="0.2">
      <c r="A123" s="366" t="s">
        <v>664</v>
      </c>
      <c r="B123" s="82" t="s">
        <v>168</v>
      </c>
      <c r="C123" s="920"/>
      <c r="D123" s="910"/>
      <c r="E123" s="910"/>
      <c r="F123" s="910"/>
      <c r="G123" s="921"/>
      <c r="H123" s="913" t="s">
        <v>169</v>
      </c>
      <c r="I123" s="720"/>
      <c r="J123" s="115"/>
      <c r="K123" s="115">
        <v>0</v>
      </c>
      <c r="L123" s="115">
        <v>0</v>
      </c>
      <c r="M123" s="115">
        <v>0</v>
      </c>
      <c r="N123" s="115">
        <v>0</v>
      </c>
      <c r="O123" s="203"/>
      <c r="P123" s="115"/>
      <c r="Q123" s="115"/>
      <c r="R123" s="115"/>
      <c r="S123" s="115"/>
      <c r="T123" s="115"/>
      <c r="U123" s="115"/>
      <c r="V123" s="115"/>
      <c r="W123" s="12"/>
      <c r="X123" s="121"/>
      <c r="Y123" s="314"/>
      <c r="Z123" s="115"/>
      <c r="AA123" s="117"/>
      <c r="AB123" s="117"/>
      <c r="AC123" s="358"/>
      <c r="AF123" s="62"/>
    </row>
    <row r="124" spans="1:32" outlineLevel="1" x14ac:dyDescent="0.2">
      <c r="A124" s="366" t="s">
        <v>665</v>
      </c>
      <c r="B124" s="82"/>
      <c r="C124" s="911" t="s">
        <v>468</v>
      </c>
      <c r="D124" s="912" t="s">
        <v>145</v>
      </c>
      <c r="E124" s="911"/>
      <c r="F124" s="911" t="s">
        <v>468</v>
      </c>
      <c r="G124" s="911" t="s">
        <v>461</v>
      </c>
      <c r="H124" s="913" t="s">
        <v>169</v>
      </c>
      <c r="I124" s="515"/>
      <c r="J124" s="12">
        <v>0</v>
      </c>
      <c r="K124" s="12">
        <v>13586.51</v>
      </c>
      <c r="L124" s="12">
        <v>16463.32</v>
      </c>
      <c r="M124" s="12">
        <v>15599.13</v>
      </c>
      <c r="N124" s="12">
        <v>14337.7</v>
      </c>
      <c r="O124" s="72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/>
      <c r="X124" s="121">
        <f t="shared" ref="X124:X158" si="112">SUM(J124:V124)</f>
        <v>59986.66</v>
      </c>
      <c r="Y124" s="314">
        <f t="shared" si="1"/>
        <v>0.24163616003093633</v>
      </c>
      <c r="Z124" s="115">
        <v>248252</v>
      </c>
      <c r="AA124" s="117">
        <f>ROUND(SUMIFS('Employee Detail FY22'!$AA:$AA,'Employee Detail FY22'!$B:$B,$C124,'Employee Detail FY22'!$C:$C,$D124,'Employee Detail FY22'!$E:$E,$F124,'Employee Detail FY22'!$F:$F,$G124,'Employee Detail FY22'!$G:$G,$H124),0)</f>
        <v>192252</v>
      </c>
      <c r="AB124" s="117">
        <f t="shared" si="111"/>
        <v>-56000</v>
      </c>
      <c r="AC124" s="358">
        <f t="shared" si="2"/>
        <v>0.31202099327965382</v>
      </c>
      <c r="AF124" s="62"/>
    </row>
    <row r="125" spans="1:32" ht="12.75" customHeight="1" outlineLevel="1" x14ac:dyDescent="0.2">
      <c r="A125" s="366" t="s">
        <v>666</v>
      </c>
      <c r="B125" s="82"/>
      <c r="C125" s="911" t="s">
        <v>473</v>
      </c>
      <c r="D125" s="912" t="s">
        <v>470</v>
      </c>
      <c r="E125" s="911"/>
      <c r="F125" s="911" t="s">
        <v>557</v>
      </c>
      <c r="G125" s="911" t="s">
        <v>461</v>
      </c>
      <c r="H125" s="913" t="s">
        <v>169</v>
      </c>
      <c r="I125" s="515"/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72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/>
      <c r="X125" s="121">
        <f t="shared" si="112"/>
        <v>0</v>
      </c>
      <c r="Y125" s="314">
        <f t="shared" ref="Y125:Y157" si="113">IFERROR(X125/Z125,0)</f>
        <v>0</v>
      </c>
      <c r="Z125" s="115">
        <v>0</v>
      </c>
      <c r="AA125" s="117">
        <f>ROUND(SUMIFS('Employee Detail FY22'!$AA:$AA,'Employee Detail FY22'!$B:$B,$C125,'Employee Detail FY22'!$C:$C,$D125,'Employee Detail FY22'!$E:$E,$F125,'Employee Detail FY22'!$F:$F,$G125,'Employee Detail FY22'!$G:$G,$H125),0)</f>
        <v>0</v>
      </c>
      <c r="AB125" s="117">
        <f t="shared" si="111"/>
        <v>0</v>
      </c>
      <c r="AC125" s="358">
        <f t="shared" si="2"/>
        <v>0</v>
      </c>
      <c r="AD125" s="421"/>
      <c r="AE125" s="383"/>
      <c r="AF125" s="62"/>
    </row>
    <row r="126" spans="1:32" outlineLevel="1" x14ac:dyDescent="0.2">
      <c r="A126" s="366" t="s">
        <v>667</v>
      </c>
      <c r="B126" s="82"/>
      <c r="C126" s="911">
        <v>280</v>
      </c>
      <c r="D126" s="912" t="s">
        <v>242</v>
      </c>
      <c r="E126" s="911"/>
      <c r="F126" s="911">
        <v>430</v>
      </c>
      <c r="G126" s="911">
        <v>1000</v>
      </c>
      <c r="H126" s="913" t="s">
        <v>169</v>
      </c>
      <c r="I126" s="720"/>
      <c r="J126" s="12">
        <v>0</v>
      </c>
      <c r="K126" s="12">
        <v>0</v>
      </c>
      <c r="L126" s="12">
        <v>10259.83</v>
      </c>
      <c r="M126" s="12">
        <v>4614.3999999999996</v>
      </c>
      <c r="N126" s="12">
        <v>4607.1899999999996</v>
      </c>
      <c r="O126" s="72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/>
      <c r="X126" s="121">
        <f t="shared" si="112"/>
        <v>19481.419999999998</v>
      </c>
      <c r="Y126" s="314">
        <f t="shared" si="113"/>
        <v>0</v>
      </c>
      <c r="Z126" s="115">
        <v>0</v>
      </c>
      <c r="AA126" s="117">
        <f>ROUND(SUMIFS('Employee Detail FY22'!$AA:$AA,'Employee Detail FY22'!$B:$B,$C126,'Employee Detail FY22'!$C:$C,$D126,'Employee Detail FY22'!$E:$E,$F126,'Employee Detail FY22'!$F:$F,$G126,'Employee Detail FY22'!$G:$G,$H126),0)</f>
        <v>0</v>
      </c>
      <c r="AB126" s="117">
        <f t="shared" ref="AB126" si="114">AA126-Z126</f>
        <v>0</v>
      </c>
      <c r="AC126" s="358">
        <f t="shared" ref="AC126" si="115">IFERROR(X126/AA126,0)</f>
        <v>0</v>
      </c>
      <c r="AD126" s="355"/>
      <c r="AF126" s="62"/>
    </row>
    <row r="127" spans="1:32" outlineLevel="1" x14ac:dyDescent="0.2">
      <c r="A127" s="366" t="s">
        <v>668</v>
      </c>
      <c r="B127" s="82"/>
      <c r="C127" s="911">
        <v>280</v>
      </c>
      <c r="D127" s="912" t="s">
        <v>245</v>
      </c>
      <c r="E127" s="911"/>
      <c r="F127" s="911">
        <v>430</v>
      </c>
      <c r="G127" s="911">
        <v>1000</v>
      </c>
      <c r="H127" s="913" t="s">
        <v>169</v>
      </c>
      <c r="I127" s="720"/>
      <c r="J127" s="12">
        <v>0</v>
      </c>
      <c r="K127" s="12">
        <v>2263.94</v>
      </c>
      <c r="L127" s="12">
        <v>8003.1</v>
      </c>
      <c r="M127" s="12">
        <v>4614.3999999999996</v>
      </c>
      <c r="N127" s="12">
        <v>4614.3999999999996</v>
      </c>
      <c r="O127" s="72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/>
      <c r="X127" s="121">
        <f t="shared" ref="X127" si="116">SUM(J127:V127)</f>
        <v>19495.84</v>
      </c>
      <c r="Y127" s="314">
        <f t="shared" ref="Y127" si="117">IFERROR(X127/Z127,0)</f>
        <v>0.53651384225879251</v>
      </c>
      <c r="Z127" s="115">
        <v>36338</v>
      </c>
      <c r="AA127" s="117">
        <f>ROUND(SUMIFS('Employee Detail FY22'!$AA:$AA,'Employee Detail FY22'!$B:$B,$C127,'Employee Detail FY22'!$C:$C,$D127,'Employee Detail FY22'!$E:$E,$F127,'Employee Detail FY22'!$F:$F,$G127,'Employee Detail FY22'!$G:$G,$H127),0)</f>
        <v>36338</v>
      </c>
      <c r="AB127" s="117">
        <f t="shared" ref="AB127" si="118">AA127-Z127</f>
        <v>0</v>
      </c>
      <c r="AC127" s="358">
        <f t="shared" ref="AC127" si="119">IFERROR(X127/AA127,0)</f>
        <v>0.53651384225879251</v>
      </c>
      <c r="AD127" s="355"/>
      <c r="AF127" s="62"/>
    </row>
    <row r="128" spans="1:32" outlineLevel="1" x14ac:dyDescent="0.2">
      <c r="A128" s="366" t="s">
        <v>669</v>
      </c>
      <c r="B128" s="519"/>
      <c r="C128" s="914"/>
      <c r="D128" s="912"/>
      <c r="E128" s="914"/>
      <c r="F128" s="914"/>
      <c r="G128" s="914"/>
      <c r="H128" s="915"/>
      <c r="I128" s="721"/>
      <c r="J128" s="115"/>
      <c r="K128" s="115"/>
      <c r="L128" s="115"/>
      <c r="M128" s="115"/>
      <c r="N128" s="115"/>
      <c r="O128" s="203"/>
      <c r="P128" s="115"/>
      <c r="Q128" s="115"/>
      <c r="R128" s="115"/>
      <c r="S128" s="115"/>
      <c r="T128" s="115"/>
      <c r="U128" s="115"/>
      <c r="V128" s="115"/>
      <c r="W128" s="114"/>
      <c r="X128" s="114"/>
      <c r="Y128" s="521"/>
      <c r="Z128" s="114"/>
      <c r="AA128" s="114"/>
      <c r="AB128" s="114"/>
      <c r="AC128" s="521"/>
      <c r="AD128" s="355"/>
      <c r="AE128" s="355"/>
      <c r="AF128" s="62"/>
    </row>
    <row r="129" spans="1:32" outlineLevel="1" x14ac:dyDescent="0.2">
      <c r="A129" s="366" t="s">
        <v>670</v>
      </c>
      <c r="B129" s="82" t="s">
        <v>1126</v>
      </c>
      <c r="C129" s="911">
        <v>280</v>
      </c>
      <c r="D129" s="912" t="s">
        <v>242</v>
      </c>
      <c r="E129" s="911"/>
      <c r="F129" s="911">
        <v>430</v>
      </c>
      <c r="G129" s="911">
        <v>1000</v>
      </c>
      <c r="H129" s="913" t="s">
        <v>1062</v>
      </c>
      <c r="I129" s="720"/>
      <c r="J129" s="12">
        <v>0</v>
      </c>
      <c r="K129" s="12">
        <v>0</v>
      </c>
      <c r="L129" s="12">
        <v>0</v>
      </c>
      <c r="M129" s="12">
        <v>900</v>
      </c>
      <c r="N129" s="12">
        <v>0</v>
      </c>
      <c r="O129" s="72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/>
      <c r="X129" s="121">
        <f>SUM(J129:V129)</f>
        <v>900</v>
      </c>
      <c r="Y129" s="314"/>
      <c r="Z129" s="115">
        <v>0</v>
      </c>
      <c r="AA129" s="117">
        <f>ROUND(SUMIFS('Employee Detail FY22'!$AA:$AA,'Employee Detail FY22'!$B:$B,$C129,'Employee Detail FY22'!$C:$C,$D129,'Employee Detail FY22'!$E:$E,$F129,'Employee Detail FY22'!$F:$F,$G129,'Employee Detail FY22'!$G:$G,$H129),0)</f>
        <v>0</v>
      </c>
      <c r="AB129" s="117">
        <f t="shared" ref="AB129" si="120">AA129-Z129</f>
        <v>0</v>
      </c>
      <c r="AC129" s="358">
        <f t="shared" ref="AC129" si="121">IFERROR(X129/AA129,0)</f>
        <v>0</v>
      </c>
      <c r="AD129" s="355"/>
      <c r="AF129" s="62"/>
    </row>
    <row r="130" spans="1:32" outlineLevel="1" x14ac:dyDescent="0.2">
      <c r="A130" s="366" t="s">
        <v>671</v>
      </c>
      <c r="B130" s="519"/>
      <c r="C130" s="914"/>
      <c r="D130" s="912"/>
      <c r="E130" s="914"/>
      <c r="F130" s="914"/>
      <c r="G130" s="914"/>
      <c r="H130" s="915"/>
      <c r="I130" s="721"/>
      <c r="J130" s="115"/>
      <c r="K130" s="115"/>
      <c r="L130" s="115"/>
      <c r="M130" s="115"/>
      <c r="N130" s="115"/>
      <c r="O130" s="203"/>
      <c r="P130" s="115"/>
      <c r="Q130" s="115"/>
      <c r="R130" s="115"/>
      <c r="S130" s="115"/>
      <c r="T130" s="115"/>
      <c r="U130" s="115"/>
      <c r="V130" s="115"/>
      <c r="W130" s="114"/>
      <c r="X130" s="114"/>
      <c r="Y130" s="521"/>
      <c r="Z130" s="114"/>
      <c r="AA130" s="114"/>
      <c r="AB130" s="114"/>
      <c r="AC130" s="521"/>
      <c r="AD130" s="355"/>
      <c r="AE130" s="355"/>
      <c r="AF130" s="62"/>
    </row>
    <row r="131" spans="1:32" outlineLevel="1" x14ac:dyDescent="0.2">
      <c r="A131" s="366" t="s">
        <v>672</v>
      </c>
      <c r="B131" s="82" t="s">
        <v>170</v>
      </c>
      <c r="C131" s="920"/>
      <c r="D131" s="916"/>
      <c r="E131" s="910"/>
      <c r="F131" s="910"/>
      <c r="G131" s="921"/>
      <c r="H131" s="913" t="s">
        <v>171</v>
      </c>
      <c r="I131" s="720"/>
      <c r="J131" s="115"/>
      <c r="K131" s="115"/>
      <c r="L131" s="115"/>
      <c r="M131" s="115"/>
      <c r="N131" s="115"/>
      <c r="O131" s="203"/>
      <c r="P131" s="115"/>
      <c r="Q131" s="115"/>
      <c r="R131" s="115"/>
      <c r="S131" s="115"/>
      <c r="T131" s="115"/>
      <c r="U131" s="115"/>
      <c r="V131" s="115"/>
      <c r="W131" s="12"/>
      <c r="X131" s="121">
        <f t="shared" si="112"/>
        <v>0</v>
      </c>
      <c r="Y131" s="314"/>
      <c r="Z131" s="115"/>
      <c r="AA131" s="117"/>
      <c r="AB131" s="117"/>
      <c r="AC131" s="358"/>
      <c r="AD131" s="355"/>
      <c r="AF131" s="62"/>
    </row>
    <row r="132" spans="1:32" outlineLevel="1" x14ac:dyDescent="0.2">
      <c r="A132" s="366" t="s">
        <v>673</v>
      </c>
      <c r="B132" s="82"/>
      <c r="C132" s="911" t="s">
        <v>468</v>
      </c>
      <c r="D132" s="912" t="s">
        <v>145</v>
      </c>
      <c r="E132" s="911"/>
      <c r="F132" s="911" t="s">
        <v>468</v>
      </c>
      <c r="G132" s="911" t="s">
        <v>458</v>
      </c>
      <c r="H132" s="913" t="s">
        <v>171</v>
      </c>
      <c r="I132" s="515"/>
      <c r="J132" s="12">
        <v>7576.92</v>
      </c>
      <c r="K132" s="12">
        <v>7576.92</v>
      </c>
      <c r="L132" s="12">
        <v>11365.38</v>
      </c>
      <c r="M132" s="12">
        <v>7576.92</v>
      </c>
      <c r="N132" s="12">
        <v>9206.5300000000007</v>
      </c>
      <c r="O132" s="72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/>
      <c r="X132" s="121">
        <f t="shared" si="112"/>
        <v>43302.67</v>
      </c>
      <c r="Y132" s="314">
        <f t="shared" si="113"/>
        <v>0.43962101522842639</v>
      </c>
      <c r="Z132" s="115">
        <v>98500</v>
      </c>
      <c r="AA132" s="117">
        <f>ROUND(SUMIFS('Employee Detail FY22'!$AA:$AA,'Employee Detail FY22'!$B:$B,$C132,'Employee Detail FY22'!$C:$C,$D132,'Employee Detail FY22'!$E:$E,$F132,'Employee Detail FY22'!$F:$F,$G132,'Employee Detail FY22'!$G:$G,$H132),0)</f>
        <v>98500</v>
      </c>
      <c r="AB132" s="117">
        <f t="shared" si="111"/>
        <v>0</v>
      </c>
      <c r="AC132" s="358">
        <f t="shared" si="2"/>
        <v>0.43962101522842639</v>
      </c>
      <c r="AF132" s="62"/>
    </row>
    <row r="133" spans="1:32" outlineLevel="1" x14ac:dyDescent="0.2">
      <c r="A133" s="366" t="s">
        <v>674</v>
      </c>
      <c r="B133" s="82"/>
      <c r="C133" s="911" t="s">
        <v>462</v>
      </c>
      <c r="D133" s="912" t="s">
        <v>132</v>
      </c>
      <c r="E133" s="911"/>
      <c r="F133" s="911" t="s">
        <v>463</v>
      </c>
      <c r="G133" s="911" t="s">
        <v>461</v>
      </c>
      <c r="H133" s="913" t="s">
        <v>171</v>
      </c>
      <c r="I133" s="515"/>
      <c r="J133" s="12">
        <v>6269.24</v>
      </c>
      <c r="K133" s="12">
        <v>0</v>
      </c>
      <c r="L133" s="12">
        <v>0</v>
      </c>
      <c r="M133" s="12">
        <v>0</v>
      </c>
      <c r="N133" s="12">
        <v>0</v>
      </c>
      <c r="O133" s="72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/>
      <c r="X133" s="121">
        <f t="shared" ref="X133" si="122">SUM(J133:V133)</f>
        <v>6269.24</v>
      </c>
      <c r="Y133" s="314">
        <f t="shared" ref="Y133" si="123">IFERROR(X133/Z133,0)</f>
        <v>0</v>
      </c>
      <c r="Z133" s="115">
        <v>0</v>
      </c>
      <c r="AA133" s="117">
        <f>ROUND(SUMIFS('Employee Detail FY22'!$AA:$AA,'Employee Detail FY22'!$B:$B,$C133,'Employee Detail FY22'!$C:$C,$D133,'Employee Detail FY22'!$E:$E,$F133,'Employee Detail FY22'!$F:$F,$G133,'Employee Detail FY22'!$G:$G,$H133),0)</f>
        <v>0</v>
      </c>
      <c r="AB133" s="117">
        <f t="shared" si="111"/>
        <v>0</v>
      </c>
      <c r="AC133" s="358">
        <f t="shared" ref="AC133" si="124">IFERROR(X133/AA133,0)</f>
        <v>0</v>
      </c>
      <c r="AD133" s="355"/>
      <c r="AF133" s="62"/>
    </row>
    <row r="134" spans="1:32" outlineLevel="1" x14ac:dyDescent="0.2">
      <c r="A134" s="366" t="s">
        <v>675</v>
      </c>
      <c r="B134" s="82"/>
      <c r="C134" s="911" t="s">
        <v>135</v>
      </c>
      <c r="D134" s="912" t="s">
        <v>242</v>
      </c>
      <c r="E134" s="911"/>
      <c r="F134" s="911" t="s">
        <v>532</v>
      </c>
      <c r="G134" s="911" t="s">
        <v>461</v>
      </c>
      <c r="H134" s="913" t="s">
        <v>171</v>
      </c>
      <c r="I134" s="515"/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72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/>
      <c r="X134" s="121">
        <f t="shared" si="112"/>
        <v>0</v>
      </c>
      <c r="Y134" s="314">
        <f t="shared" si="113"/>
        <v>0</v>
      </c>
      <c r="Z134" s="115">
        <v>0</v>
      </c>
      <c r="AA134" s="117">
        <f>ROUND(SUMIFS('Employee Detail FY22'!$AA:$AA,'Employee Detail FY22'!$B:$B,$C134,'Employee Detail FY22'!$C:$C,$D134,'Employee Detail FY22'!$E:$E,$F134,'Employee Detail FY22'!$F:$F,$G134,'Employee Detail FY22'!$G:$G,$H134),0)</f>
        <v>0</v>
      </c>
      <c r="AB134" s="117">
        <f t="shared" ref="AB134" si="125">AA134-Z134</f>
        <v>0</v>
      </c>
      <c r="AC134" s="358">
        <f t="shared" ref="AC134" si="126">IFERROR(X134/AA134,0)</f>
        <v>0</v>
      </c>
      <c r="AD134" s="355"/>
      <c r="AF134" s="62"/>
    </row>
    <row r="135" spans="1:32" outlineLevel="1" x14ac:dyDescent="0.2">
      <c r="A135" s="366" t="s">
        <v>676</v>
      </c>
      <c r="B135" s="519"/>
      <c r="C135" s="914"/>
      <c r="D135" s="912"/>
      <c r="E135" s="914"/>
      <c r="F135" s="914"/>
      <c r="G135" s="914"/>
      <c r="H135" s="915"/>
      <c r="I135" s="721"/>
      <c r="J135" s="115"/>
      <c r="K135" s="115"/>
      <c r="L135" s="115"/>
      <c r="M135" s="115"/>
      <c r="N135" s="115"/>
      <c r="O135" s="203"/>
      <c r="P135" s="115"/>
      <c r="Q135" s="115"/>
      <c r="R135" s="115"/>
      <c r="S135" s="115"/>
      <c r="T135" s="115"/>
      <c r="U135" s="115"/>
      <c r="V135" s="115"/>
      <c r="W135" s="114"/>
      <c r="X135" s="114"/>
      <c r="Y135" s="521"/>
      <c r="Z135" s="114"/>
      <c r="AA135" s="114"/>
      <c r="AB135" s="114"/>
      <c r="AC135" s="521"/>
      <c r="AD135" s="355"/>
      <c r="AE135" s="355"/>
      <c r="AF135" s="62"/>
    </row>
    <row r="136" spans="1:32" outlineLevel="1" x14ac:dyDescent="0.2">
      <c r="A136" s="366" t="s">
        <v>677</v>
      </c>
      <c r="B136" s="82" t="s">
        <v>1049</v>
      </c>
      <c r="C136" s="911" t="s">
        <v>135</v>
      </c>
      <c r="D136" s="912" t="s">
        <v>242</v>
      </c>
      <c r="E136" s="911"/>
      <c r="F136" s="911" t="s">
        <v>532</v>
      </c>
      <c r="G136" s="911" t="s">
        <v>461</v>
      </c>
      <c r="H136" s="913" t="s">
        <v>992</v>
      </c>
      <c r="I136" s="515"/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72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/>
      <c r="X136" s="121">
        <f t="shared" si="112"/>
        <v>0</v>
      </c>
      <c r="Y136" s="314">
        <f t="shared" ref="Y136" si="127">IFERROR(X136/Z136,0)</f>
        <v>0</v>
      </c>
      <c r="Z136" s="115">
        <v>0</v>
      </c>
      <c r="AA136" s="117">
        <f>ROUND(SUMIFS('Employee Detail FY22'!$AA:$AA,'Employee Detail FY22'!$B:$B,$C136,'Employee Detail FY22'!$C:$C,$D136,'Employee Detail FY22'!$E:$E,$F136,'Employee Detail FY22'!$F:$F,$G136,'Employee Detail FY22'!$G:$G,$H136),0)</f>
        <v>0</v>
      </c>
      <c r="AB136" s="117">
        <f t="shared" ref="AB136" si="128">AA136-Z136</f>
        <v>0</v>
      </c>
      <c r="AC136" s="358">
        <f t="shared" ref="AC136" si="129">IFERROR(X136/AA136,0)</f>
        <v>0</v>
      </c>
      <c r="AD136" s="355"/>
      <c r="AF136" s="62"/>
    </row>
    <row r="137" spans="1:32" outlineLevel="1" x14ac:dyDescent="0.2">
      <c r="A137" s="366" t="s">
        <v>678</v>
      </c>
      <c r="B137" s="82" t="s">
        <v>1049</v>
      </c>
      <c r="C137" s="911" t="s">
        <v>135</v>
      </c>
      <c r="D137" s="912" t="s">
        <v>249</v>
      </c>
      <c r="E137" s="911"/>
      <c r="F137" s="911" t="s">
        <v>468</v>
      </c>
      <c r="G137" s="911" t="s">
        <v>461</v>
      </c>
      <c r="H137" s="913" t="s">
        <v>992</v>
      </c>
      <c r="I137" s="515"/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72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/>
      <c r="X137" s="121">
        <f t="shared" si="112"/>
        <v>0</v>
      </c>
      <c r="Y137" s="314">
        <f t="shared" si="113"/>
        <v>0</v>
      </c>
      <c r="Z137" s="115">
        <v>0</v>
      </c>
      <c r="AA137" s="117">
        <f>ROUND(SUMIFS('Employee Detail FY22'!$AA:$AA,'Employee Detail FY22'!$B:$B,$C137,'Employee Detail FY22'!$C:$C,$D137,'Employee Detail FY22'!$E:$E,$F137,'Employee Detail FY22'!$F:$F,$G137,'Employee Detail FY22'!$G:$G,$H137),0)</f>
        <v>0</v>
      </c>
      <c r="AB137" s="117">
        <f t="shared" ref="AB137:AB157" si="130">AA137-Z137</f>
        <v>0</v>
      </c>
      <c r="AC137" s="358">
        <f t="shared" ref="AC137:AC157" si="131">IFERROR(X137/AA137,0)</f>
        <v>0</v>
      </c>
      <c r="AD137" s="355"/>
      <c r="AF137" s="62"/>
    </row>
    <row r="138" spans="1:32" outlineLevel="1" x14ac:dyDescent="0.2">
      <c r="A138" s="366" t="s">
        <v>679</v>
      </c>
      <c r="B138" s="82" t="s">
        <v>1049</v>
      </c>
      <c r="C138" s="911" t="s">
        <v>468</v>
      </c>
      <c r="D138" s="912" t="s">
        <v>145</v>
      </c>
      <c r="E138" s="911"/>
      <c r="F138" s="911" t="s">
        <v>468</v>
      </c>
      <c r="G138" s="911" t="s">
        <v>458</v>
      </c>
      <c r="H138" s="913" t="s">
        <v>992</v>
      </c>
      <c r="I138" s="515"/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72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/>
      <c r="X138" s="121">
        <f t="shared" si="112"/>
        <v>0</v>
      </c>
      <c r="Y138" s="314">
        <f t="shared" si="113"/>
        <v>0</v>
      </c>
      <c r="Z138" s="115">
        <v>0</v>
      </c>
      <c r="AA138" s="117">
        <f>ROUND(SUMIFS('Employee Detail FY22'!$AA:$AA,'Employee Detail FY22'!$B:$B,$C138,'Employee Detail FY22'!$C:$C,$D138,'Employee Detail FY22'!$E:$E,$F138,'Employee Detail FY22'!$F:$F,$G138,'Employee Detail FY22'!$G:$G,$H138),0)</f>
        <v>0</v>
      </c>
      <c r="AB138" s="117">
        <f t="shared" si="130"/>
        <v>0</v>
      </c>
      <c r="AC138" s="358">
        <f t="shared" si="131"/>
        <v>0</v>
      </c>
      <c r="AD138" s="355"/>
      <c r="AF138" s="62"/>
    </row>
    <row r="139" spans="1:32" outlineLevel="1" x14ac:dyDescent="0.2">
      <c r="A139" s="366" t="s">
        <v>680</v>
      </c>
      <c r="B139" s="519"/>
      <c r="C139" s="914"/>
      <c r="D139" s="912"/>
      <c r="E139" s="914"/>
      <c r="F139" s="914"/>
      <c r="G139" s="914"/>
      <c r="H139" s="915"/>
      <c r="I139" s="721"/>
      <c r="J139" s="115"/>
      <c r="K139" s="115"/>
      <c r="L139" s="115"/>
      <c r="M139" s="115"/>
      <c r="N139" s="115"/>
      <c r="O139" s="203"/>
      <c r="P139" s="115"/>
      <c r="Q139" s="115"/>
      <c r="R139" s="115"/>
      <c r="S139" s="115"/>
      <c r="T139" s="115"/>
      <c r="U139" s="115"/>
      <c r="V139" s="115"/>
      <c r="W139" s="114"/>
      <c r="X139" s="114"/>
      <c r="Y139" s="521"/>
      <c r="Z139" s="114"/>
      <c r="AA139" s="114"/>
      <c r="AB139" s="114"/>
      <c r="AC139" s="521"/>
      <c r="AD139" s="355"/>
      <c r="AE139" s="355"/>
      <c r="AF139" s="62"/>
    </row>
    <row r="140" spans="1:32" outlineLevel="1" x14ac:dyDescent="0.2">
      <c r="A140" s="366" t="s">
        <v>681</v>
      </c>
      <c r="B140" s="82" t="s">
        <v>172</v>
      </c>
      <c r="C140" s="920"/>
      <c r="D140" s="916"/>
      <c r="E140" s="910"/>
      <c r="F140" s="910"/>
      <c r="G140" s="921"/>
      <c r="H140" s="913" t="s">
        <v>173</v>
      </c>
      <c r="I140" s="720"/>
      <c r="J140" s="115"/>
      <c r="K140" s="115"/>
      <c r="L140" s="115"/>
      <c r="M140" s="115"/>
      <c r="N140" s="115"/>
      <c r="O140" s="203"/>
      <c r="P140" s="115"/>
      <c r="Q140" s="115"/>
      <c r="R140" s="115"/>
      <c r="S140" s="115"/>
      <c r="T140" s="115"/>
      <c r="U140" s="115"/>
      <c r="V140" s="115"/>
      <c r="W140" s="12"/>
      <c r="X140" s="121">
        <f t="shared" si="112"/>
        <v>0</v>
      </c>
      <c r="Y140" s="314"/>
      <c r="Z140" s="115"/>
      <c r="AA140" s="117"/>
      <c r="AB140" s="117"/>
      <c r="AC140" s="358"/>
      <c r="AF140" s="62"/>
    </row>
    <row r="141" spans="1:32" outlineLevel="1" x14ac:dyDescent="0.2">
      <c r="A141" s="366" t="s">
        <v>682</v>
      </c>
      <c r="B141" s="82"/>
      <c r="C141" s="911" t="s">
        <v>468</v>
      </c>
      <c r="D141" s="912" t="s">
        <v>145</v>
      </c>
      <c r="E141" s="911"/>
      <c r="F141" s="911" t="s">
        <v>468</v>
      </c>
      <c r="G141" s="912" t="s">
        <v>465</v>
      </c>
      <c r="H141" s="917" t="s">
        <v>173</v>
      </c>
      <c r="I141" s="515"/>
      <c r="J141" s="12">
        <v>5503.03</v>
      </c>
      <c r="K141" s="12">
        <v>0</v>
      </c>
      <c r="L141" s="12">
        <v>0</v>
      </c>
      <c r="M141" s="12">
        <v>583.24</v>
      </c>
      <c r="N141" s="12">
        <v>0</v>
      </c>
      <c r="O141" s="72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/>
      <c r="X141" s="121">
        <f t="shared" si="112"/>
        <v>6086.2699999999995</v>
      </c>
      <c r="Y141" s="314">
        <f t="shared" si="113"/>
        <v>0</v>
      </c>
      <c r="Z141" s="115">
        <v>0</v>
      </c>
      <c r="AA141" s="117">
        <f>ROUND(SUMIFS('Employee Detail FY22'!$AA:$AA,'Employee Detail FY22'!$B:$B,$C141,'Employee Detail FY22'!$C:$C,$D141,'Employee Detail FY22'!$E:$E,$F141,'Employee Detail FY22'!$F:$F,$G141,'Employee Detail FY22'!$G:$G,$H141),0)</f>
        <v>0</v>
      </c>
      <c r="AB141" s="117">
        <f t="shared" si="130"/>
        <v>0</v>
      </c>
      <c r="AC141" s="358">
        <f t="shared" si="131"/>
        <v>0</v>
      </c>
      <c r="AF141" s="62"/>
    </row>
    <row r="142" spans="1:32" outlineLevel="1" x14ac:dyDescent="0.2">
      <c r="A142" s="366" t="s">
        <v>683</v>
      </c>
      <c r="B142" s="82"/>
      <c r="C142" s="911" t="s">
        <v>135</v>
      </c>
      <c r="D142" s="912" t="s">
        <v>864</v>
      </c>
      <c r="E142" s="911"/>
      <c r="F142" s="911" t="s">
        <v>557</v>
      </c>
      <c r="G142" s="911" t="s">
        <v>465</v>
      </c>
      <c r="H142" s="913" t="s">
        <v>173</v>
      </c>
      <c r="I142" s="720"/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72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/>
      <c r="X142" s="121">
        <f t="shared" si="112"/>
        <v>0</v>
      </c>
      <c r="Y142" s="314">
        <f t="shared" si="113"/>
        <v>0</v>
      </c>
      <c r="Z142" s="115">
        <v>0</v>
      </c>
      <c r="AA142" s="117">
        <f>ROUND(SUMIFS('Employee Detail FY22'!$AA:$AA,'Employee Detail FY22'!$B:$B,$C142,'Employee Detail FY22'!$C:$C,$D142,'Employee Detail FY22'!$E:$E,$F142,'Employee Detail FY22'!$F:$F,$G142,'Employee Detail FY22'!$G:$G,$H142),0)</f>
        <v>0</v>
      </c>
      <c r="AB142" s="117">
        <f t="shared" si="130"/>
        <v>0</v>
      </c>
      <c r="AC142" s="358">
        <f t="shared" si="131"/>
        <v>0</v>
      </c>
      <c r="AF142" s="62"/>
    </row>
    <row r="143" spans="1:32" outlineLevel="1" x14ac:dyDescent="0.2">
      <c r="A143" s="366" t="s">
        <v>684</v>
      </c>
      <c r="B143" s="82"/>
      <c r="C143" s="911" t="s">
        <v>135</v>
      </c>
      <c r="D143" s="912" t="s">
        <v>923</v>
      </c>
      <c r="E143" s="911"/>
      <c r="F143" s="911" t="s">
        <v>468</v>
      </c>
      <c r="G143" s="911" t="s">
        <v>465</v>
      </c>
      <c r="H143" s="913" t="s">
        <v>173</v>
      </c>
      <c r="I143" s="720"/>
      <c r="J143" s="12">
        <v>1380.86</v>
      </c>
      <c r="K143" s="12">
        <v>9447.41</v>
      </c>
      <c r="L143" s="12">
        <v>7761.94</v>
      </c>
      <c r="M143" s="12">
        <v>8257.98</v>
      </c>
      <c r="N143" s="12">
        <v>8946.5400000000009</v>
      </c>
      <c r="O143" s="72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/>
      <c r="X143" s="121">
        <f t="shared" si="112"/>
        <v>35794.729999999996</v>
      </c>
      <c r="Y143" s="314">
        <f t="shared" si="113"/>
        <v>0.86565247883917762</v>
      </c>
      <c r="Z143" s="115">
        <v>41350</v>
      </c>
      <c r="AA143" s="117">
        <f>ROUND(SUMIFS('Employee Detail FY22'!$AA:$AA,'Employee Detail FY22'!$B:$B,$C143,'Employee Detail FY22'!$C:$C,$D143,'Employee Detail FY22'!$E:$E,$F143,'Employee Detail FY22'!$F:$F,$G143,'Employee Detail FY22'!$G:$G,$H143),0)</f>
        <v>41350</v>
      </c>
      <c r="AB143" s="117">
        <f t="shared" si="130"/>
        <v>0</v>
      </c>
      <c r="AC143" s="358">
        <f t="shared" si="131"/>
        <v>0.86565247883917762</v>
      </c>
      <c r="AF143" s="62"/>
    </row>
    <row r="144" spans="1:32" outlineLevel="1" x14ac:dyDescent="0.2">
      <c r="A144" s="366" t="s">
        <v>685</v>
      </c>
      <c r="B144" s="82"/>
      <c r="C144" s="911" t="s">
        <v>135</v>
      </c>
      <c r="D144" s="912" t="s">
        <v>864</v>
      </c>
      <c r="E144" s="911"/>
      <c r="F144" s="911" t="s">
        <v>557</v>
      </c>
      <c r="G144" s="911" t="s">
        <v>556</v>
      </c>
      <c r="H144" s="913" t="s">
        <v>173</v>
      </c>
      <c r="I144" s="720"/>
      <c r="J144" s="12">
        <v>0</v>
      </c>
      <c r="K144" s="12">
        <v>0</v>
      </c>
      <c r="L144" s="12">
        <v>0</v>
      </c>
      <c r="M144" s="12">
        <v>780</v>
      </c>
      <c r="N144" s="12">
        <v>480</v>
      </c>
      <c r="O144" s="72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/>
      <c r="X144" s="121">
        <f t="shared" ref="X144" si="132">SUM(J144:V144)</f>
        <v>1260</v>
      </c>
      <c r="Y144" s="314">
        <f t="shared" ref="Y144" si="133">IFERROR(X144/Z144,0)</f>
        <v>0.18853808169983541</v>
      </c>
      <c r="Z144" s="115">
        <v>6683</v>
      </c>
      <c r="AA144" s="117">
        <f>ROUND(SUMIFS('Employee Detail FY22'!$AA:$AA,'Employee Detail FY22'!$B:$B,$C144,'Employee Detail FY22'!$C:$C,$D144,'Employee Detail FY22'!$E:$E,$F144,'Employee Detail FY22'!$F:$F,$G144,'Employee Detail FY22'!$G:$G,$H144),0)</f>
        <v>6683</v>
      </c>
      <c r="AB144" s="117">
        <f t="shared" ref="AB144" si="134">AA144-Z144</f>
        <v>0</v>
      </c>
      <c r="AC144" s="358">
        <f t="shared" ref="AC144" si="135">IFERROR(X144/AA144,0)</f>
        <v>0.18853808169983541</v>
      </c>
      <c r="AF144" s="62"/>
    </row>
    <row r="145" spans="1:32" outlineLevel="1" x14ac:dyDescent="0.2">
      <c r="A145" s="366" t="s">
        <v>686</v>
      </c>
      <c r="B145" s="82"/>
      <c r="C145" s="911" t="s">
        <v>468</v>
      </c>
      <c r="D145" s="912" t="s">
        <v>145</v>
      </c>
      <c r="E145" s="911"/>
      <c r="F145" s="911" t="s">
        <v>468</v>
      </c>
      <c r="G145" s="911" t="s">
        <v>558</v>
      </c>
      <c r="H145" s="913" t="s">
        <v>173</v>
      </c>
      <c r="I145" s="515"/>
      <c r="J145" s="12">
        <v>3904.5</v>
      </c>
      <c r="K145" s="12">
        <v>3904.5</v>
      </c>
      <c r="L145" s="12">
        <v>5846.96</v>
      </c>
      <c r="M145" s="12">
        <v>3904.49</v>
      </c>
      <c r="N145" s="12">
        <v>3904.5</v>
      </c>
      <c r="O145" s="72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/>
      <c r="X145" s="121">
        <f t="shared" si="112"/>
        <v>21464.949999999997</v>
      </c>
      <c r="Y145" s="314">
        <f t="shared" si="113"/>
        <v>0.4228880176523897</v>
      </c>
      <c r="Z145" s="115">
        <v>50758</v>
      </c>
      <c r="AA145" s="117">
        <f>ROUND(SUMIFS('Employee Detail FY22'!$AA:$AA,'Employee Detail FY22'!$B:$B,$C145,'Employee Detail FY22'!$C:$C,$D145,'Employee Detail FY22'!$E:$E,$F145,'Employee Detail FY22'!$F:$F,$G145,'Employee Detail FY22'!$G:$G,$H145),0)</f>
        <v>50758</v>
      </c>
      <c r="AB145" s="117">
        <f t="shared" si="130"/>
        <v>0</v>
      </c>
      <c r="AC145" s="358">
        <f t="shared" si="131"/>
        <v>0.4228880176523897</v>
      </c>
      <c r="AF145" s="62"/>
    </row>
    <row r="146" spans="1:32" outlineLevel="1" x14ac:dyDescent="0.2">
      <c r="A146" s="366" t="s">
        <v>687</v>
      </c>
      <c r="B146" s="82"/>
      <c r="C146" s="911" t="s">
        <v>135</v>
      </c>
      <c r="D146" s="912" t="s">
        <v>242</v>
      </c>
      <c r="E146" s="911"/>
      <c r="F146" s="911" t="s">
        <v>532</v>
      </c>
      <c r="G146" s="911" t="s">
        <v>558</v>
      </c>
      <c r="H146" s="913" t="s">
        <v>173</v>
      </c>
      <c r="I146" s="720"/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72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/>
      <c r="X146" s="121">
        <f t="shared" si="112"/>
        <v>0</v>
      </c>
      <c r="Y146" s="314">
        <f t="shared" si="113"/>
        <v>0</v>
      </c>
      <c r="Z146" s="115">
        <v>0</v>
      </c>
      <c r="AA146" s="117">
        <f>ROUND(SUMIFS('Employee Detail FY22'!$AA:$AA,'Employee Detail FY22'!$B:$B,$C146,'Employee Detail FY22'!$C:$C,$D146,'Employee Detail FY22'!$E:$E,$F146,'Employee Detail FY22'!$F:$F,$G146,'Employee Detail FY22'!$G:$G,$H146),0)</f>
        <v>0</v>
      </c>
      <c r="AB146" s="117">
        <f t="shared" si="130"/>
        <v>0</v>
      </c>
      <c r="AC146" s="358">
        <f t="shared" si="131"/>
        <v>0</v>
      </c>
      <c r="AF146" s="62"/>
    </row>
    <row r="147" spans="1:32" outlineLevel="1" x14ac:dyDescent="0.2">
      <c r="A147" s="366" t="s">
        <v>688</v>
      </c>
      <c r="B147" s="82"/>
      <c r="C147" s="911" t="s">
        <v>468</v>
      </c>
      <c r="D147" s="912" t="s">
        <v>145</v>
      </c>
      <c r="E147" s="911"/>
      <c r="F147" s="911" t="s">
        <v>468</v>
      </c>
      <c r="G147" s="911" t="s">
        <v>460</v>
      </c>
      <c r="H147" s="913" t="s">
        <v>173</v>
      </c>
      <c r="I147" s="515"/>
      <c r="J147" s="12">
        <v>8823.9</v>
      </c>
      <c r="K147" s="12">
        <v>9614.24</v>
      </c>
      <c r="L147" s="12">
        <v>14060.22</v>
      </c>
      <c r="M147" s="12">
        <v>9384.8799999999992</v>
      </c>
      <c r="N147" s="12">
        <v>12080.59</v>
      </c>
      <c r="O147" s="72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/>
      <c r="X147" s="121">
        <f t="shared" si="112"/>
        <v>53963.83</v>
      </c>
      <c r="Y147" s="314">
        <f t="shared" si="113"/>
        <v>0.33310594930926779</v>
      </c>
      <c r="Z147" s="115">
        <v>162002</v>
      </c>
      <c r="AA147" s="117">
        <f>ROUND(SUMIFS('Employee Detail FY22'!$AA:$AA,'Employee Detail FY22'!$B:$B,$C147,'Employee Detail FY22'!$C:$C,$D147,'Employee Detail FY22'!$E:$E,$F147,'Employee Detail FY22'!$F:$F,$G147,'Employee Detail FY22'!$G:$G,$H147),0)</f>
        <v>142002</v>
      </c>
      <c r="AB147" s="117">
        <f t="shared" si="130"/>
        <v>-20000</v>
      </c>
      <c r="AC147" s="358">
        <f t="shared" si="131"/>
        <v>0.38002161941381107</v>
      </c>
      <c r="AF147" s="62"/>
    </row>
    <row r="148" spans="1:32" outlineLevel="1" x14ac:dyDescent="0.2">
      <c r="A148" s="366" t="s">
        <v>689</v>
      </c>
      <c r="B148" s="82"/>
      <c r="C148" s="911" t="s">
        <v>462</v>
      </c>
      <c r="D148" s="912" t="s">
        <v>132</v>
      </c>
      <c r="E148" s="911"/>
      <c r="F148" s="911" t="s">
        <v>463</v>
      </c>
      <c r="G148" s="911" t="s">
        <v>460</v>
      </c>
      <c r="H148" s="913" t="s">
        <v>173</v>
      </c>
      <c r="I148" s="720"/>
      <c r="J148" s="12">
        <v>0</v>
      </c>
      <c r="K148" s="12">
        <v>0</v>
      </c>
      <c r="L148" s="12">
        <v>2321.5100000000002</v>
      </c>
      <c r="M148" s="12">
        <v>1785.78</v>
      </c>
      <c r="N148" s="12">
        <v>3571.56</v>
      </c>
      <c r="O148" s="72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/>
      <c r="X148" s="121">
        <f t="shared" si="112"/>
        <v>7678.85</v>
      </c>
      <c r="Y148" s="314">
        <f t="shared" si="113"/>
        <v>0.16538552659918157</v>
      </c>
      <c r="Z148" s="115">
        <v>46430</v>
      </c>
      <c r="AA148" s="117">
        <f>ROUND(SUMIFS('Employee Detail FY22'!$AA:$AA,'Employee Detail FY22'!$B:$B,$C148,'Employee Detail FY22'!$C:$C,$D148,'Employee Detail FY22'!$E:$E,$F148,'Employee Detail FY22'!$F:$F,$G148,'Employee Detail FY22'!$G:$G,$H148),0)</f>
        <v>46430</v>
      </c>
      <c r="AB148" s="117">
        <f t="shared" si="130"/>
        <v>0</v>
      </c>
      <c r="AC148" s="358">
        <f t="shared" si="131"/>
        <v>0.16538552659918157</v>
      </c>
      <c r="AF148" s="62"/>
    </row>
    <row r="149" spans="1:32" outlineLevel="1" x14ac:dyDescent="0.2">
      <c r="A149" s="366" t="s">
        <v>690</v>
      </c>
      <c r="B149" s="82"/>
      <c r="C149" s="911" t="s">
        <v>135</v>
      </c>
      <c r="D149" s="912" t="s">
        <v>923</v>
      </c>
      <c r="E149" s="911"/>
      <c r="F149" s="911" t="s">
        <v>468</v>
      </c>
      <c r="G149" s="911" t="s">
        <v>460</v>
      </c>
      <c r="H149" s="913" t="s">
        <v>173</v>
      </c>
      <c r="I149" s="720"/>
      <c r="J149" s="12">
        <v>0</v>
      </c>
      <c r="K149" s="12">
        <v>2155.4</v>
      </c>
      <c r="L149" s="12">
        <v>0</v>
      </c>
      <c r="M149" s="12">
        <v>0</v>
      </c>
      <c r="N149" s="12">
        <v>0</v>
      </c>
      <c r="O149" s="72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/>
      <c r="X149" s="121">
        <f t="shared" ref="X149" si="136">SUM(J149:V149)</f>
        <v>2155.4</v>
      </c>
      <c r="Y149" s="314">
        <f t="shared" ref="Y149:Y150" si="137">IFERROR(X149/Z149,0)</f>
        <v>3.6598577080467966E-2</v>
      </c>
      <c r="Z149" s="115">
        <v>58893</v>
      </c>
      <c r="AA149" s="117">
        <f>ROUND(SUMIFS('Employee Detail FY22'!$AA:$AA,'Employee Detail FY22'!$B:$B,$C149,'Employee Detail FY22'!$C:$C,$D149,'Employee Detail FY22'!$E:$E,$F149,'Employee Detail FY22'!$F:$F,$G149,'Employee Detail FY22'!$G:$G,$H149),0)</f>
        <v>58893</v>
      </c>
      <c r="AB149" s="117">
        <f t="shared" ref="AB149:AB150" si="138">AA149-Z149</f>
        <v>0</v>
      </c>
      <c r="AC149" s="358">
        <f t="shared" ref="AC149:AC150" si="139">IFERROR(X149/AA149,0)</f>
        <v>3.6598577080467966E-2</v>
      </c>
      <c r="AF149" s="62"/>
    </row>
    <row r="150" spans="1:32" outlineLevel="1" x14ac:dyDescent="0.2">
      <c r="A150" s="366" t="s">
        <v>691</v>
      </c>
      <c r="B150" s="82"/>
      <c r="C150" s="911" t="s">
        <v>135</v>
      </c>
      <c r="D150" s="912" t="s">
        <v>1030</v>
      </c>
      <c r="E150" s="911"/>
      <c r="F150" s="911" t="s">
        <v>468</v>
      </c>
      <c r="G150" s="911" t="s">
        <v>460</v>
      </c>
      <c r="H150" s="913" t="s">
        <v>173</v>
      </c>
      <c r="I150" s="720"/>
      <c r="J150" s="12">
        <v>0</v>
      </c>
      <c r="K150" s="12">
        <v>2743.35</v>
      </c>
      <c r="L150" s="12">
        <v>-2743.35</v>
      </c>
      <c r="M150" s="12">
        <v>0</v>
      </c>
      <c r="N150" s="12">
        <v>0</v>
      </c>
      <c r="O150" s="72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/>
      <c r="X150" s="121">
        <f t="shared" ref="X150" si="140">SUM(J150:V150)</f>
        <v>0</v>
      </c>
      <c r="Y150" s="314">
        <f t="shared" si="137"/>
        <v>0</v>
      </c>
      <c r="Z150" s="115">
        <v>0</v>
      </c>
      <c r="AA150" s="117">
        <f>ROUND(SUMIFS('Employee Detail FY22'!$AA:$AA,'Employee Detail FY22'!$B:$B,$C150,'Employee Detail FY22'!$C:$C,$D150,'Employee Detail FY22'!$E:$E,$F150,'Employee Detail FY22'!$F:$F,$G150,'Employee Detail FY22'!$G:$G,$H150),0)</f>
        <v>0</v>
      </c>
      <c r="AB150" s="117">
        <f t="shared" si="138"/>
        <v>0</v>
      </c>
      <c r="AC150" s="358">
        <f t="shared" si="139"/>
        <v>0</v>
      </c>
      <c r="AF150" s="62"/>
    </row>
    <row r="151" spans="1:32" outlineLevel="1" x14ac:dyDescent="0.2">
      <c r="A151" s="366" t="s">
        <v>692</v>
      </c>
      <c r="B151" s="82"/>
      <c r="C151" s="911" t="s">
        <v>468</v>
      </c>
      <c r="D151" s="912" t="s">
        <v>145</v>
      </c>
      <c r="E151" s="911"/>
      <c r="F151" s="911" t="s">
        <v>468</v>
      </c>
      <c r="G151" s="911" t="s">
        <v>479</v>
      </c>
      <c r="H151" s="913" t="s">
        <v>173</v>
      </c>
      <c r="I151" s="515"/>
      <c r="J151" s="12">
        <v>3846.16</v>
      </c>
      <c r="K151" s="12">
        <v>3846.16</v>
      </c>
      <c r="L151" s="12">
        <v>5769.24</v>
      </c>
      <c r="M151" s="12">
        <v>3846.16</v>
      </c>
      <c r="N151" s="12">
        <v>3846.16</v>
      </c>
      <c r="O151" s="72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/>
      <c r="X151" s="121">
        <f t="shared" si="112"/>
        <v>21153.88</v>
      </c>
      <c r="Y151" s="314">
        <f t="shared" si="113"/>
        <v>0.4230776</v>
      </c>
      <c r="Z151" s="115">
        <v>50000</v>
      </c>
      <c r="AA151" s="117">
        <f>ROUND(SUMIFS('Employee Detail FY22'!$AA:$AA,'Employee Detail FY22'!$B:$B,$C151,'Employee Detail FY22'!$C:$C,$D151,'Employee Detail FY22'!$E:$E,$F151,'Employee Detail FY22'!$F:$F,$G151,'Employee Detail FY22'!$G:$G,$H151),0)</f>
        <v>50000</v>
      </c>
      <c r="AB151" s="117">
        <f t="shared" si="130"/>
        <v>0</v>
      </c>
      <c r="AC151" s="358">
        <f t="shared" si="131"/>
        <v>0.4230776</v>
      </c>
      <c r="AF151" s="62"/>
    </row>
    <row r="152" spans="1:32" outlineLevel="1" x14ac:dyDescent="0.2">
      <c r="A152" s="366" t="s">
        <v>693</v>
      </c>
      <c r="B152" s="82"/>
      <c r="C152" s="911" t="s">
        <v>468</v>
      </c>
      <c r="D152" s="912" t="s">
        <v>145</v>
      </c>
      <c r="E152" s="911"/>
      <c r="F152" s="911" t="s">
        <v>468</v>
      </c>
      <c r="G152" s="911" t="s">
        <v>459</v>
      </c>
      <c r="H152" s="913" t="s">
        <v>173</v>
      </c>
      <c r="I152" s="515"/>
      <c r="J152" s="12">
        <v>7897.72</v>
      </c>
      <c r="K152" s="12">
        <v>7897.72</v>
      </c>
      <c r="L152" s="12">
        <v>11826.79</v>
      </c>
      <c r="M152" s="12">
        <v>7897.72</v>
      </c>
      <c r="N152" s="12">
        <v>7897.72</v>
      </c>
      <c r="O152" s="72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/>
      <c r="X152" s="121">
        <f t="shared" si="112"/>
        <v>43417.670000000006</v>
      </c>
      <c r="Y152" s="314">
        <f t="shared" si="113"/>
        <v>0.42288977198570166</v>
      </c>
      <c r="Z152" s="115">
        <v>102669</v>
      </c>
      <c r="AA152" s="117">
        <f>ROUND(SUMIFS('Employee Detail FY22'!$AA:$AA,'Employee Detail FY22'!$B:$B,$C152,'Employee Detail FY22'!$C:$C,$D152,'Employee Detail FY22'!$E:$E,$F152,'Employee Detail FY22'!$F:$F,$G152,'Employee Detail FY22'!$G:$G,$H152),0)</f>
        <v>102669</v>
      </c>
      <c r="AB152" s="117">
        <f t="shared" si="130"/>
        <v>0</v>
      </c>
      <c r="AC152" s="358">
        <f t="shared" si="131"/>
        <v>0.42288977198570166</v>
      </c>
      <c r="AD152" s="355"/>
      <c r="AF152" s="62"/>
    </row>
    <row r="153" spans="1:32" outlineLevel="1" x14ac:dyDescent="0.2">
      <c r="A153" s="366" t="s">
        <v>694</v>
      </c>
      <c r="B153" s="519"/>
      <c r="C153" s="914"/>
      <c r="D153" s="912"/>
      <c r="E153" s="914"/>
      <c r="F153" s="914"/>
      <c r="G153" s="914"/>
      <c r="H153" s="915"/>
      <c r="I153" s="721"/>
      <c r="J153" s="115"/>
      <c r="K153" s="115"/>
      <c r="L153" s="115"/>
      <c r="M153" s="115"/>
      <c r="N153" s="115"/>
      <c r="O153" s="203"/>
      <c r="P153" s="115"/>
      <c r="Q153" s="115"/>
      <c r="R153" s="115"/>
      <c r="S153" s="115"/>
      <c r="T153" s="115"/>
      <c r="U153" s="115"/>
      <c r="V153" s="115"/>
      <c r="W153" s="114"/>
      <c r="X153" s="114"/>
      <c r="Y153" s="521"/>
      <c r="Z153" s="114"/>
      <c r="AA153" s="114"/>
      <c r="AB153" s="114"/>
      <c r="AC153" s="521"/>
      <c r="AD153" s="355"/>
      <c r="AE153" s="355"/>
      <c r="AF153" s="62"/>
    </row>
    <row r="154" spans="1:32" outlineLevel="1" x14ac:dyDescent="0.2">
      <c r="A154" s="366" t="s">
        <v>695</v>
      </c>
      <c r="B154" s="82" t="s">
        <v>1206</v>
      </c>
      <c r="C154" s="911" t="s">
        <v>462</v>
      </c>
      <c r="D154" s="912" t="s">
        <v>132</v>
      </c>
      <c r="E154" s="911"/>
      <c r="F154" s="911" t="s">
        <v>463</v>
      </c>
      <c r="G154" s="911" t="s">
        <v>460</v>
      </c>
      <c r="H154" s="913" t="s">
        <v>1205</v>
      </c>
      <c r="I154" s="515"/>
      <c r="J154" s="12">
        <v>0</v>
      </c>
      <c r="K154" s="12">
        <v>0</v>
      </c>
      <c r="L154" s="12">
        <v>7.26</v>
      </c>
      <c r="M154" s="12">
        <v>0</v>
      </c>
      <c r="N154" s="12">
        <v>0</v>
      </c>
      <c r="O154" s="72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/>
      <c r="X154" s="121">
        <f t="shared" ref="X154" si="141">SUM(J154:V154)</f>
        <v>7.26</v>
      </c>
      <c r="Y154" s="314">
        <f>IFERROR(X154/Z154,0)</f>
        <v>0</v>
      </c>
      <c r="Z154" s="115">
        <v>0</v>
      </c>
      <c r="AA154" s="117">
        <f>ROUND(SUMIFS('Employee Detail FY22'!$AA:$AA,'Employee Detail FY22'!$B:$B,$C154,'Employee Detail FY22'!$C:$C,$D154,'Employee Detail FY22'!$E:$E,$F154,'Employee Detail FY22'!$F:$F,$G154,'Employee Detail FY22'!$G:$G,$H154),0)</f>
        <v>0</v>
      </c>
      <c r="AB154" s="117">
        <f>AA154-Z154</f>
        <v>0</v>
      </c>
      <c r="AC154" s="358">
        <f>IFERROR(X154/AA154,0)</f>
        <v>0</v>
      </c>
      <c r="AD154" s="355"/>
      <c r="AF154" s="62"/>
    </row>
    <row r="155" spans="1:32" outlineLevel="1" x14ac:dyDescent="0.2">
      <c r="A155" s="366" t="s">
        <v>696</v>
      </c>
      <c r="B155" s="82" t="s">
        <v>1050</v>
      </c>
      <c r="C155" s="911" t="s">
        <v>135</v>
      </c>
      <c r="D155" s="912" t="s">
        <v>242</v>
      </c>
      <c r="E155" s="911"/>
      <c r="F155" s="911" t="s">
        <v>532</v>
      </c>
      <c r="G155" s="911" t="s">
        <v>465</v>
      </c>
      <c r="H155" s="913" t="s">
        <v>993</v>
      </c>
      <c r="I155" s="515"/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72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/>
      <c r="X155" s="121">
        <f t="shared" si="112"/>
        <v>0</v>
      </c>
      <c r="Y155" s="314">
        <f>IFERROR(X155/Z155,0)</f>
        <v>0</v>
      </c>
      <c r="Z155" s="115">
        <v>0</v>
      </c>
      <c r="AA155" s="117">
        <f>ROUND(SUMIFS('Employee Detail FY22'!$AA:$AA,'Employee Detail FY22'!$B:$B,$C155,'Employee Detail FY22'!$C:$C,$D155,'Employee Detail FY22'!$E:$E,$F155,'Employee Detail FY22'!$F:$F,$G155,'Employee Detail FY22'!$G:$G,$H155),0)</f>
        <v>0</v>
      </c>
      <c r="AB155" s="117">
        <f>AA155-Z155</f>
        <v>0</v>
      </c>
      <c r="AC155" s="358">
        <f>IFERROR(X155/AA155,0)</f>
        <v>0</v>
      </c>
      <c r="AD155" s="355"/>
      <c r="AF155" s="62"/>
    </row>
    <row r="156" spans="1:32" outlineLevel="1" x14ac:dyDescent="0.2">
      <c r="A156" s="366" t="s">
        <v>697</v>
      </c>
      <c r="B156" s="82" t="s">
        <v>1050</v>
      </c>
      <c r="C156" s="911" t="s">
        <v>468</v>
      </c>
      <c r="D156" s="912" t="s">
        <v>145</v>
      </c>
      <c r="E156" s="911"/>
      <c r="F156" s="911" t="s">
        <v>468</v>
      </c>
      <c r="G156" s="911" t="s">
        <v>558</v>
      </c>
      <c r="H156" s="913" t="s">
        <v>993</v>
      </c>
      <c r="I156" s="515"/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72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/>
      <c r="X156" s="121">
        <f t="shared" si="112"/>
        <v>0</v>
      </c>
      <c r="Y156" s="314">
        <f t="shared" si="113"/>
        <v>0</v>
      </c>
      <c r="Z156" s="115">
        <v>0</v>
      </c>
      <c r="AA156" s="117">
        <f>ROUND(SUMIFS('Employee Detail FY22'!$AA:$AA,'Employee Detail FY22'!$B:$B,$C156,'Employee Detail FY22'!$C:$C,$D156,'Employee Detail FY22'!$E:$E,$F156,'Employee Detail FY22'!$F:$F,$G156,'Employee Detail FY22'!$G:$G,$H156),0)</f>
        <v>0</v>
      </c>
      <c r="AB156" s="117">
        <f t="shared" si="130"/>
        <v>0</v>
      </c>
      <c r="AC156" s="358">
        <f t="shared" si="131"/>
        <v>0</v>
      </c>
      <c r="AF156" s="62"/>
    </row>
    <row r="157" spans="1:32" outlineLevel="1" x14ac:dyDescent="0.2">
      <c r="A157" s="366" t="s">
        <v>698</v>
      </c>
      <c r="B157" s="82" t="s">
        <v>1050</v>
      </c>
      <c r="C157" s="911" t="s">
        <v>135</v>
      </c>
      <c r="D157" s="912" t="s">
        <v>242</v>
      </c>
      <c r="E157" s="911"/>
      <c r="F157" s="911" t="s">
        <v>532</v>
      </c>
      <c r="G157" s="911" t="s">
        <v>558</v>
      </c>
      <c r="H157" s="913" t="s">
        <v>993</v>
      </c>
      <c r="I157" s="515"/>
      <c r="J157" s="12">
        <v>0</v>
      </c>
      <c r="K157" s="12">
        <v>0</v>
      </c>
      <c r="L157" s="12">
        <v>0</v>
      </c>
      <c r="M157" s="12">
        <v>225</v>
      </c>
      <c r="N157" s="12">
        <v>0</v>
      </c>
      <c r="O157" s="72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/>
      <c r="X157" s="121">
        <f t="shared" si="112"/>
        <v>225</v>
      </c>
      <c r="Y157" s="314">
        <f t="shared" si="113"/>
        <v>0</v>
      </c>
      <c r="Z157" s="115">
        <v>0</v>
      </c>
      <c r="AA157" s="117">
        <f>ROUND(SUMIFS('Employee Detail FY22'!$AA:$AA,'Employee Detail FY22'!$B:$B,$C157,'Employee Detail FY22'!$C:$C,$D157,'Employee Detail FY22'!$E:$E,$F157,'Employee Detail FY22'!$F:$F,$G157,'Employee Detail FY22'!$G:$G,$H157),0)</f>
        <v>0</v>
      </c>
      <c r="AB157" s="117">
        <f t="shared" si="130"/>
        <v>0</v>
      </c>
      <c r="AC157" s="358">
        <f t="shared" si="131"/>
        <v>0</v>
      </c>
      <c r="AD157" s="355"/>
      <c r="AF157" s="62"/>
    </row>
    <row r="158" spans="1:32" outlineLevel="1" x14ac:dyDescent="0.2">
      <c r="A158" s="366" t="s">
        <v>699</v>
      </c>
      <c r="B158" s="82" t="s">
        <v>1050</v>
      </c>
      <c r="C158" s="911" t="s">
        <v>135</v>
      </c>
      <c r="D158" s="912" t="s">
        <v>864</v>
      </c>
      <c r="E158" s="911"/>
      <c r="F158" s="911" t="s">
        <v>532</v>
      </c>
      <c r="G158" s="911" t="s">
        <v>558</v>
      </c>
      <c r="H158" s="913" t="s">
        <v>993</v>
      </c>
      <c r="I158" s="515"/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72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/>
      <c r="X158" s="121">
        <f t="shared" si="112"/>
        <v>0</v>
      </c>
      <c r="Y158" s="314">
        <f t="shared" ref="Y158" si="142">IFERROR(X158/Z158,0)</f>
        <v>0</v>
      </c>
      <c r="Z158" s="115">
        <v>0</v>
      </c>
      <c r="AA158" s="117">
        <f>ROUND(SUMIFS('Employee Detail FY22'!$AA:$AA,'Employee Detail FY22'!$B:$B,$C158,'Employee Detail FY22'!$C:$C,$D158,'Employee Detail FY22'!$E:$E,$F158,'Employee Detail FY22'!$F:$F,$G158,'Employee Detail FY22'!$G:$G,$H158),0)</f>
        <v>0</v>
      </c>
      <c r="AB158" s="117">
        <f t="shared" ref="AB158" si="143">AA158-Z158</f>
        <v>0</v>
      </c>
      <c r="AC158" s="358">
        <f t="shared" ref="AC158" si="144">IFERROR(X158/AA158,0)</f>
        <v>0</v>
      </c>
      <c r="AD158" s="355"/>
      <c r="AF158" s="62"/>
    </row>
    <row r="159" spans="1:32" x14ac:dyDescent="0.2">
      <c r="A159" s="366" t="s">
        <v>700</v>
      </c>
      <c r="B159" s="212" t="s">
        <v>175</v>
      </c>
      <c r="C159" s="126"/>
      <c r="D159" s="125"/>
      <c r="E159" s="125"/>
      <c r="F159" s="126"/>
      <c r="G159" s="126"/>
      <c r="H159" s="126"/>
      <c r="I159" s="126"/>
      <c r="J159" s="303">
        <f t="shared" ref="J159:V159" si="145">SUM(J123:J158)</f>
        <v>45202.33</v>
      </c>
      <c r="K159" s="303">
        <f t="shared" si="145"/>
        <v>63036.149999999994</v>
      </c>
      <c r="L159" s="303">
        <f t="shared" si="145"/>
        <v>90942.2</v>
      </c>
      <c r="M159" s="303">
        <f t="shared" si="145"/>
        <v>69970.099999999991</v>
      </c>
      <c r="N159" s="303">
        <f t="shared" si="145"/>
        <v>73492.89</v>
      </c>
      <c r="O159" s="364">
        <f t="shared" si="145"/>
        <v>0</v>
      </c>
      <c r="P159" s="303">
        <f t="shared" si="145"/>
        <v>0</v>
      </c>
      <c r="Q159" s="303">
        <f t="shared" si="145"/>
        <v>0</v>
      </c>
      <c r="R159" s="303">
        <f t="shared" si="145"/>
        <v>0</v>
      </c>
      <c r="S159" s="303">
        <f t="shared" si="145"/>
        <v>0</v>
      </c>
      <c r="T159" s="303">
        <f t="shared" si="145"/>
        <v>0</v>
      </c>
      <c r="U159" s="303">
        <f t="shared" si="145"/>
        <v>0</v>
      </c>
      <c r="V159" s="303">
        <f t="shared" si="145"/>
        <v>0</v>
      </c>
      <c r="W159" s="115"/>
      <c r="X159" s="303">
        <f>SUM(X123:X158)</f>
        <v>342643.67</v>
      </c>
      <c r="Y159" s="318">
        <f t="shared" ref="Y159:Y214" si="146">IFERROR(X159/Z159,0)</f>
        <v>0.37992368121968118</v>
      </c>
      <c r="Z159" s="303">
        <f>SUM(Z123:Z158)</f>
        <v>901875</v>
      </c>
      <c r="AA159" s="303">
        <f>SUM(AA123:AA158)</f>
        <v>825875</v>
      </c>
      <c r="AB159" s="303">
        <f t="shared" si="111"/>
        <v>-76000</v>
      </c>
      <c r="AC159" s="318">
        <f t="shared" ref="AC159:AC214" si="147">IFERROR(X159/AA159,0)</f>
        <v>0.41488563039200843</v>
      </c>
      <c r="AF159" s="62"/>
    </row>
    <row r="160" spans="1:32" x14ac:dyDescent="0.2">
      <c r="A160" s="366" t="s">
        <v>701</v>
      </c>
      <c r="B160" s="213" t="s">
        <v>176</v>
      </c>
      <c r="C160" s="128"/>
      <c r="D160" s="127"/>
      <c r="E160" s="127"/>
      <c r="F160" s="128"/>
      <c r="G160" s="128"/>
      <c r="H160" s="128"/>
      <c r="I160" s="128"/>
      <c r="J160" s="304">
        <f t="shared" ref="J160:V160" si="148">SUM(J159,J122)</f>
        <v>101954.06000000001</v>
      </c>
      <c r="K160" s="304">
        <f t="shared" si="148"/>
        <v>226691.21999999997</v>
      </c>
      <c r="L160" s="304">
        <f t="shared" si="148"/>
        <v>286358.21000000002</v>
      </c>
      <c r="M160" s="304">
        <f t="shared" si="148"/>
        <v>220043.72999999998</v>
      </c>
      <c r="N160" s="304">
        <f t="shared" si="148"/>
        <v>203037.66</v>
      </c>
      <c r="O160" s="467">
        <f t="shared" si="148"/>
        <v>0</v>
      </c>
      <c r="P160" s="467">
        <f t="shared" si="148"/>
        <v>0</v>
      </c>
      <c r="Q160" s="467">
        <f t="shared" si="148"/>
        <v>0</v>
      </c>
      <c r="R160" s="467">
        <f t="shared" si="148"/>
        <v>0</v>
      </c>
      <c r="S160" s="467">
        <f t="shared" si="148"/>
        <v>0</v>
      </c>
      <c r="T160" s="467">
        <f t="shared" si="148"/>
        <v>0</v>
      </c>
      <c r="U160" s="467">
        <f t="shared" si="148"/>
        <v>0</v>
      </c>
      <c r="V160" s="467">
        <f t="shared" si="148"/>
        <v>0</v>
      </c>
      <c r="W160" s="130"/>
      <c r="X160" s="304">
        <f>SUM(X159,X122)</f>
        <v>1038084.8799999999</v>
      </c>
      <c r="Y160" s="319">
        <f t="shared" si="146"/>
        <v>0.38107373981546228</v>
      </c>
      <c r="Z160" s="304">
        <f>SUM(Z159,Z122)</f>
        <v>2724105</v>
      </c>
      <c r="AA160" s="304">
        <f>SUM(AA159,AA122)</f>
        <v>2589105</v>
      </c>
      <c r="AB160" s="304">
        <f t="shared" si="111"/>
        <v>-135000</v>
      </c>
      <c r="AC160" s="319">
        <f t="shared" si="147"/>
        <v>0.40094352295484342</v>
      </c>
      <c r="AE160" s="62"/>
      <c r="AF160" s="62"/>
    </row>
    <row r="161" spans="1:32" outlineLevel="1" x14ac:dyDescent="0.2">
      <c r="A161" s="366" t="s">
        <v>702</v>
      </c>
      <c r="B161" s="460"/>
      <c r="C161" s="132"/>
      <c r="D161" s="132"/>
      <c r="E161" s="132"/>
      <c r="F161" s="132"/>
      <c r="G161" s="132"/>
      <c r="H161" s="132"/>
      <c r="I161" s="132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463"/>
      <c r="Z161" s="271"/>
      <c r="AA161" s="271"/>
      <c r="AB161" s="271"/>
      <c r="AC161" s="462"/>
      <c r="AF161" s="62"/>
    </row>
    <row r="162" spans="1:32" outlineLevel="1" x14ac:dyDescent="0.2">
      <c r="A162" s="366" t="s">
        <v>703</v>
      </c>
      <c r="B162" s="82" t="s">
        <v>177</v>
      </c>
      <c r="C162" s="107"/>
      <c r="D162" s="275"/>
      <c r="E162" s="276"/>
      <c r="F162" s="276"/>
      <c r="G162" s="277"/>
      <c r="H162" s="918" t="s">
        <v>178</v>
      </c>
      <c r="I162" s="103"/>
      <c r="J162" s="12">
        <v>36624.589999999997</v>
      </c>
      <c r="K162" s="12">
        <v>23999.150000000009</v>
      </c>
      <c r="L162" s="12">
        <v>33980.009999999987</v>
      </c>
      <c r="M162" s="12">
        <v>27566.18</v>
      </c>
      <c r="N162" s="12">
        <v>28264.960000000006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/>
      <c r="X162" s="121">
        <f ca="1">+IF($X$4="NA",0,SUM(INDIRECT(+CONCATENATE(+VLOOKUP('2022 Budget &amp; CF'!$X$1,'Data Tables DONT EDIT'!$A$1:$B$15,2,FALSE),+ROW(B162)),TRUE):INDIRECT(+CONCATENATE(+VLOOKUP('2022 Budget &amp; CF'!$X$4,'Data Tables DONT EDIT'!$A$1:$B$15,2,FALSE),+ROW(B162)),TRUE)))</f>
        <v>150434.89000000001</v>
      </c>
      <c r="Y162" s="314">
        <f t="shared" ca="1" si="146"/>
        <v>0.42083338695103634</v>
      </c>
      <c r="Z162" s="115">
        <v>357469</v>
      </c>
      <c r="AA162" s="117">
        <f>ROUND('Employee Detail FY22'!$AC130,0)</f>
        <v>329666</v>
      </c>
      <c r="AB162" s="117">
        <f t="shared" si="111"/>
        <v>-27803</v>
      </c>
      <c r="AC162" s="358">
        <f t="shared" ca="1" si="147"/>
        <v>0.45632515940376023</v>
      </c>
      <c r="AD162" s="62"/>
      <c r="AF162" s="62"/>
    </row>
    <row r="163" spans="1:32" outlineLevel="1" x14ac:dyDescent="0.2">
      <c r="A163" s="366" t="s">
        <v>704</v>
      </c>
      <c r="B163" s="82" t="s">
        <v>179</v>
      </c>
      <c r="C163" s="107"/>
      <c r="D163" s="275"/>
      <c r="E163" s="276"/>
      <c r="F163" s="276"/>
      <c r="G163" s="277"/>
      <c r="H163" s="918" t="s">
        <v>180</v>
      </c>
      <c r="I163" s="103"/>
      <c r="J163" s="12">
        <v>74.63</v>
      </c>
      <c r="K163" s="12">
        <v>124.86</v>
      </c>
      <c r="L163" s="12">
        <v>304.78999999999996</v>
      </c>
      <c r="M163" s="12">
        <v>246.45999999999998</v>
      </c>
      <c r="N163" s="12">
        <v>239.70999999999998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/>
      <c r="X163" s="121">
        <f ca="1">+IF($X$4="NA",0,SUM(INDIRECT(+CONCATENATE(+VLOOKUP('2022 Budget &amp; CF'!$X$1,'Data Tables DONT EDIT'!$A$1:$B$15,2,FALSE),+ROW(B163)),TRUE):INDIRECT(+CONCATENATE(+VLOOKUP('2022 Budget &amp; CF'!$X$4,'Data Tables DONT EDIT'!$A$1:$B$15,2,FALSE),+ROW(B163)),TRUE)))</f>
        <v>990.45</v>
      </c>
      <c r="Y163" s="314">
        <f t="shared" ca="1" si="146"/>
        <v>0.45350274725274725</v>
      </c>
      <c r="Z163" s="115">
        <v>2184</v>
      </c>
      <c r="AA163" s="117">
        <f>ROUND('Employee Detail FY22'!$AD130,0)</f>
        <v>2184</v>
      </c>
      <c r="AB163" s="117">
        <f t="shared" si="111"/>
        <v>0</v>
      </c>
      <c r="AC163" s="358">
        <f t="shared" ca="1" si="147"/>
        <v>0.45350274725274725</v>
      </c>
      <c r="AD163" s="62"/>
      <c r="AF163" s="62"/>
    </row>
    <row r="164" spans="1:32" outlineLevel="1" x14ac:dyDescent="0.2">
      <c r="A164" s="366" t="s">
        <v>705</v>
      </c>
      <c r="B164" s="82" t="s">
        <v>181</v>
      </c>
      <c r="C164" s="107"/>
      <c r="D164" s="275"/>
      <c r="E164" s="276"/>
      <c r="F164" s="276"/>
      <c r="G164" s="277"/>
      <c r="H164" s="918" t="s">
        <v>182</v>
      </c>
      <c r="I164" s="103"/>
      <c r="J164" s="12">
        <v>24547.74</v>
      </c>
      <c r="K164" s="12">
        <v>40514.9</v>
      </c>
      <c r="L164" s="12">
        <v>63397.29</v>
      </c>
      <c r="M164" s="12">
        <v>44175.180000000008</v>
      </c>
      <c r="N164" s="12">
        <v>45024.530000000006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/>
      <c r="X164" s="121">
        <f ca="1">+IF($X$4="NA",0,SUM(INDIRECT(+CONCATENATE(+VLOOKUP('2022 Budget &amp; CF'!$X$1,'Data Tables DONT EDIT'!$A$1:$B$15,2,FALSE),+ROW(B164)),TRUE):INDIRECT(+CONCATENATE(+VLOOKUP('2022 Budget &amp; CF'!$X$4,'Data Tables DONT EDIT'!$A$1:$B$15,2,FALSE),+ROW(B164)),TRUE)))</f>
        <v>217659.63999999998</v>
      </c>
      <c r="Y164" s="314">
        <f t="shared" ca="1" si="146"/>
        <v>0.35894450417884255</v>
      </c>
      <c r="Z164" s="115">
        <v>606388</v>
      </c>
      <c r="AA164" s="117">
        <f>ROUND('Employee Detail FY22'!$AE130,0)</f>
        <v>570242</v>
      </c>
      <c r="AB164" s="117">
        <f t="shared" si="111"/>
        <v>-36146</v>
      </c>
      <c r="AC164" s="358">
        <f t="shared" ca="1" si="147"/>
        <v>0.38169696374521694</v>
      </c>
      <c r="AD164" s="62"/>
      <c r="AF164" s="62"/>
    </row>
    <row r="165" spans="1:32" outlineLevel="1" x14ac:dyDescent="0.2">
      <c r="A165" s="366" t="s">
        <v>706</v>
      </c>
      <c r="B165" s="82" t="s">
        <v>183</v>
      </c>
      <c r="C165" s="107"/>
      <c r="D165" s="275"/>
      <c r="E165" s="276"/>
      <c r="F165" s="276"/>
      <c r="G165" s="277"/>
      <c r="H165" s="918" t="s">
        <v>184</v>
      </c>
      <c r="I165" s="103"/>
      <c r="J165" s="12">
        <v>1502.25</v>
      </c>
      <c r="K165" s="12">
        <v>3257.5299999999997</v>
      </c>
      <c r="L165" s="12">
        <v>4098.4299999999994</v>
      </c>
      <c r="M165" s="12">
        <v>3153.5099999999998</v>
      </c>
      <c r="N165" s="12">
        <v>2893.9700000000003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/>
      <c r="X165" s="121">
        <f ca="1">+IF($X$4="NA",0,SUM(INDIRECT(+CONCATENATE(+VLOOKUP('2022 Budget &amp; CF'!$X$1,'Data Tables DONT EDIT'!$A$1:$B$15,2,FALSE),+ROW(B165)),TRUE):INDIRECT(+CONCATENATE(+VLOOKUP('2022 Budget &amp; CF'!$X$4,'Data Tables DONT EDIT'!$A$1:$B$15,2,FALSE),+ROW(B165)),TRUE)))</f>
        <v>14905.689999999999</v>
      </c>
      <c r="Y165" s="314">
        <f t="shared" ca="1" si="146"/>
        <v>0.37735924050632907</v>
      </c>
      <c r="Z165" s="115">
        <v>39500</v>
      </c>
      <c r="AA165" s="117">
        <f>ROUND('Employee Detail FY22'!$AF130,0)</f>
        <v>37542</v>
      </c>
      <c r="AB165" s="117">
        <f t="shared" si="111"/>
        <v>-1958</v>
      </c>
      <c r="AC165" s="358">
        <f t="shared" ca="1" si="147"/>
        <v>0.39704038143945442</v>
      </c>
      <c r="AD165" s="62"/>
      <c r="AF165" s="62"/>
    </row>
    <row r="166" spans="1:32" outlineLevel="1" x14ac:dyDescent="0.2">
      <c r="A166" s="366" t="s">
        <v>707</v>
      </c>
      <c r="B166" s="82" t="s">
        <v>185</v>
      </c>
      <c r="C166" s="107"/>
      <c r="D166" s="275"/>
      <c r="E166" s="276"/>
      <c r="F166" s="276"/>
      <c r="G166" s="277"/>
      <c r="H166" s="918" t="s">
        <v>186</v>
      </c>
      <c r="I166" s="103"/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/>
      <c r="X166" s="121">
        <f ca="1">+IF($X$4="NA",0,SUM(INDIRECT(+CONCATENATE(+VLOOKUP('2022 Budget &amp; CF'!$X$1,'Data Tables DONT EDIT'!$A$1:$B$15,2,FALSE),+ROW(B166)),TRUE):INDIRECT(+CONCATENATE(+VLOOKUP('2022 Budget &amp; CF'!$X$4,'Data Tables DONT EDIT'!$A$1:$B$15,2,FALSE),+ROW(B166)),TRUE)))</f>
        <v>0</v>
      </c>
      <c r="Y166" s="314">
        <f t="shared" ca="1" si="146"/>
        <v>0</v>
      </c>
      <c r="Z166" s="115">
        <v>0</v>
      </c>
      <c r="AA166" s="117">
        <f>ROUND('Employee Detail FY22'!$AG130,0)</f>
        <v>0</v>
      </c>
      <c r="AB166" s="117">
        <f t="shared" si="111"/>
        <v>0</v>
      </c>
      <c r="AC166" s="358">
        <f t="shared" ca="1" si="147"/>
        <v>0</v>
      </c>
      <c r="AD166" s="62"/>
      <c r="AF166" s="62"/>
    </row>
    <row r="167" spans="1:32" outlineLevel="1" x14ac:dyDescent="0.2">
      <c r="A167" s="366" t="s">
        <v>708</v>
      </c>
      <c r="B167" s="82" t="s">
        <v>187</v>
      </c>
      <c r="C167" s="107"/>
      <c r="D167" s="275"/>
      <c r="E167" s="276"/>
      <c r="F167" s="276"/>
      <c r="G167" s="277"/>
      <c r="H167" s="918" t="s">
        <v>188</v>
      </c>
      <c r="I167" s="103"/>
      <c r="J167" s="12">
        <v>654.61999999999989</v>
      </c>
      <c r="K167" s="12">
        <v>1245.1300000000001</v>
      </c>
      <c r="L167" s="12">
        <v>1710.92</v>
      </c>
      <c r="M167" s="12">
        <v>1229.79</v>
      </c>
      <c r="N167" s="12">
        <v>1055.0099999999998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/>
      <c r="X167" s="121">
        <f ca="1">+IF($X$4="NA",0,SUM(INDIRECT(+CONCATENATE(+VLOOKUP('2022 Budget &amp; CF'!$X$1,'Data Tables DONT EDIT'!$A$1:$B$15,2,FALSE),+ROW(B167)),TRUE):INDIRECT(+CONCATENATE(+VLOOKUP('2022 Budget &amp; CF'!$X$4,'Data Tables DONT EDIT'!$A$1:$B$15,2,FALSE),+ROW(B167)),TRUE)))</f>
        <v>5895.4699999999993</v>
      </c>
      <c r="Y167" s="314">
        <f t="shared" ca="1" si="146"/>
        <v>0.23775891272785932</v>
      </c>
      <c r="Z167" s="115">
        <v>24796</v>
      </c>
      <c r="AA167" s="117">
        <f>ROUND('Employee Detail FY22'!$AH130,0)</f>
        <v>23567</v>
      </c>
      <c r="AB167" s="117">
        <f t="shared" si="111"/>
        <v>-1229</v>
      </c>
      <c r="AC167" s="358">
        <f t="shared" ca="1" si="147"/>
        <v>0.25015784783807865</v>
      </c>
      <c r="AD167" s="62"/>
      <c r="AF167" s="62"/>
    </row>
    <row r="168" spans="1:32" outlineLevel="1" x14ac:dyDescent="0.2">
      <c r="A168" s="366" t="s">
        <v>709</v>
      </c>
      <c r="B168" s="82" t="s">
        <v>189</v>
      </c>
      <c r="C168" s="107"/>
      <c r="D168" s="275"/>
      <c r="E168" s="276"/>
      <c r="F168" s="276"/>
      <c r="G168" s="277"/>
      <c r="H168" s="918" t="s">
        <v>190</v>
      </c>
      <c r="I168" s="103"/>
      <c r="J168" s="12">
        <v>0</v>
      </c>
      <c r="K168" s="12">
        <v>0</v>
      </c>
      <c r="L168" s="12">
        <v>5565.0099999999993</v>
      </c>
      <c r="M168" s="12">
        <v>0</v>
      </c>
      <c r="N168" s="12">
        <v>2400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/>
      <c r="X168" s="121">
        <f ca="1">+IF($X$4="NA",0,SUM(INDIRECT(+CONCATENATE(+VLOOKUP('2022 Budget &amp; CF'!$X$1,'Data Tables DONT EDIT'!$A$1:$B$15,2,FALSE),+ROW(B168)),TRUE):INDIRECT(+CONCATENATE(+VLOOKUP('2022 Budget &amp; CF'!$X$4,'Data Tables DONT EDIT'!$A$1:$B$15,2,FALSE),+ROW(B168)),TRUE)))</f>
        <v>7965.0099999999993</v>
      </c>
      <c r="Y168" s="314">
        <f t="shared" ca="1" si="146"/>
        <v>1.4468683015440507</v>
      </c>
      <c r="Z168" s="115">
        <v>5505</v>
      </c>
      <c r="AA168" s="117">
        <f>ROUND('Employee Detail FY22'!$AI130,0)</f>
        <v>5232</v>
      </c>
      <c r="AB168" s="117">
        <f t="shared" si="111"/>
        <v>-273</v>
      </c>
      <c r="AC168" s="358">
        <f t="shared" ca="1" si="147"/>
        <v>1.5223642966360855</v>
      </c>
      <c r="AD168" s="62"/>
      <c r="AF168" s="62"/>
    </row>
    <row r="169" spans="1:32" outlineLevel="1" x14ac:dyDescent="0.2">
      <c r="A169" s="366" t="s">
        <v>710</v>
      </c>
      <c r="B169" s="82" t="s">
        <v>191</v>
      </c>
      <c r="C169" s="107"/>
      <c r="D169" s="275"/>
      <c r="E169" s="276"/>
      <c r="F169" s="276"/>
      <c r="G169" s="277"/>
      <c r="H169" s="918" t="s">
        <v>192</v>
      </c>
      <c r="I169" s="103"/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/>
      <c r="X169" s="121">
        <f ca="1">+IF($X$4="NA",0,SUM(INDIRECT(+CONCATENATE(+VLOOKUP('2022 Budget &amp; CF'!$X$1,'Data Tables DONT EDIT'!$A$1:$B$15,2,FALSE),+ROW(B169)),TRUE):INDIRECT(+CONCATENATE(+VLOOKUP('2022 Budget &amp; CF'!$X$4,'Data Tables DONT EDIT'!$A$1:$B$15,2,FALSE),+ROW(B169)),TRUE)))</f>
        <v>0</v>
      </c>
      <c r="Y169" s="314">
        <f t="shared" ca="1" si="146"/>
        <v>0</v>
      </c>
      <c r="Z169" s="115">
        <v>0</v>
      </c>
      <c r="AA169" s="117">
        <f>ROUND('Employee Detail FY22'!$AJ130,0)</f>
        <v>0</v>
      </c>
      <c r="AB169" s="117">
        <f t="shared" si="111"/>
        <v>0</v>
      </c>
      <c r="AC169" s="358">
        <f t="shared" ca="1" si="147"/>
        <v>0</v>
      </c>
      <c r="AD169" s="62"/>
      <c r="AF169" s="62"/>
    </row>
    <row r="170" spans="1:32" outlineLevel="1" x14ac:dyDescent="0.2">
      <c r="A170" s="366" t="s">
        <v>711</v>
      </c>
      <c r="B170" s="82" t="s">
        <v>193</v>
      </c>
      <c r="C170" s="107"/>
      <c r="D170" s="275"/>
      <c r="E170" s="276"/>
      <c r="F170" s="276"/>
      <c r="G170" s="277"/>
      <c r="H170" s="918" t="s">
        <v>194</v>
      </c>
      <c r="I170" s="103"/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/>
      <c r="X170" s="121">
        <f ca="1">+IF($X$4="NA",0,SUM(INDIRECT(+CONCATENATE(+VLOOKUP('2022 Budget &amp; CF'!$X$1,'Data Tables DONT EDIT'!$A$1:$B$15,2,FALSE),+ROW(B170)),TRUE):INDIRECT(+CONCATENATE(+VLOOKUP('2022 Budget &amp; CF'!$X$4,'Data Tables DONT EDIT'!$A$1:$B$15,2,FALSE),+ROW(B170)),TRUE)))</f>
        <v>0</v>
      </c>
      <c r="Y170" s="314">
        <f t="shared" ca="1" si="146"/>
        <v>0</v>
      </c>
      <c r="Z170" s="115">
        <v>0</v>
      </c>
      <c r="AA170" s="117">
        <f>ROUND('Employee Detail FY22'!$AK130,0)</f>
        <v>0</v>
      </c>
      <c r="AB170" s="117">
        <f t="shared" si="111"/>
        <v>0</v>
      </c>
      <c r="AC170" s="358">
        <f t="shared" ca="1" si="147"/>
        <v>0</v>
      </c>
      <c r="AD170" s="62"/>
      <c r="AF170" s="62"/>
    </row>
    <row r="171" spans="1:32" x14ac:dyDescent="0.2">
      <c r="A171" s="366" t="s">
        <v>712</v>
      </c>
      <c r="B171" s="213" t="s">
        <v>195</v>
      </c>
      <c r="C171" s="128"/>
      <c r="D171" s="127"/>
      <c r="E171" s="127"/>
      <c r="F171" s="128"/>
      <c r="G171" s="128"/>
      <c r="H171" s="128"/>
      <c r="I171" s="136"/>
      <c r="J171" s="466">
        <f>SUM(J162:J170)</f>
        <v>63403.829999999994</v>
      </c>
      <c r="K171" s="466">
        <f t="shared" ref="K171:V171" si="149">SUM(K162:K170)</f>
        <v>69141.570000000022</v>
      </c>
      <c r="L171" s="466">
        <f t="shared" si="149"/>
        <v>109056.44999999998</v>
      </c>
      <c r="M171" s="466">
        <f t="shared" si="149"/>
        <v>76371.12</v>
      </c>
      <c r="N171" s="466">
        <f t="shared" si="149"/>
        <v>79878.180000000008</v>
      </c>
      <c r="O171" s="466">
        <f t="shared" si="149"/>
        <v>0</v>
      </c>
      <c r="P171" s="466">
        <f t="shared" si="149"/>
        <v>0</v>
      </c>
      <c r="Q171" s="466">
        <f t="shared" si="149"/>
        <v>0</v>
      </c>
      <c r="R171" s="466">
        <f t="shared" si="149"/>
        <v>0</v>
      </c>
      <c r="S171" s="466">
        <f t="shared" si="149"/>
        <v>0</v>
      </c>
      <c r="T171" s="466">
        <f t="shared" si="149"/>
        <v>0</v>
      </c>
      <c r="U171" s="466">
        <f t="shared" si="149"/>
        <v>0</v>
      </c>
      <c r="V171" s="466">
        <f t="shared" si="149"/>
        <v>0</v>
      </c>
      <c r="W171" s="130"/>
      <c r="X171" s="304">
        <f ca="1">SUM(X162:X170)</f>
        <v>397851.14999999997</v>
      </c>
      <c r="Y171" s="319">
        <f t="shared" ca="1" si="146"/>
        <v>0.38408478320052669</v>
      </c>
      <c r="Z171" s="304">
        <f>SUM(Z162:Z170)</f>
        <v>1035842</v>
      </c>
      <c r="AA171" s="304">
        <f t="shared" ref="AA171" si="150">SUM(AA162:AA170)</f>
        <v>968433</v>
      </c>
      <c r="AB171" s="304">
        <f t="shared" si="111"/>
        <v>-67409</v>
      </c>
      <c r="AC171" s="319">
        <f t="shared" ca="1" si="147"/>
        <v>0.4108194888030457</v>
      </c>
      <c r="AF171" s="62"/>
    </row>
    <row r="172" spans="1:32" x14ac:dyDescent="0.2">
      <c r="A172" s="366" t="s">
        <v>713</v>
      </c>
      <c r="B172" s="213" t="s">
        <v>196</v>
      </c>
      <c r="C172" s="128"/>
      <c r="D172" s="127"/>
      <c r="E172" s="127"/>
      <c r="F172" s="128"/>
      <c r="G172" s="128"/>
      <c r="H172" s="128"/>
      <c r="I172" s="136"/>
      <c r="J172" s="466">
        <f>SUM(J171,J160)</f>
        <v>165357.89000000001</v>
      </c>
      <c r="K172" s="466">
        <f t="shared" ref="K172:V172" si="151">SUM(K171,K160)</f>
        <v>295832.78999999998</v>
      </c>
      <c r="L172" s="466">
        <f t="shared" si="151"/>
        <v>395414.66000000003</v>
      </c>
      <c r="M172" s="466">
        <f t="shared" si="151"/>
        <v>296414.84999999998</v>
      </c>
      <c r="N172" s="466">
        <f t="shared" si="151"/>
        <v>282915.84000000003</v>
      </c>
      <c r="O172" s="466">
        <f t="shared" si="151"/>
        <v>0</v>
      </c>
      <c r="P172" s="466">
        <f t="shared" si="151"/>
        <v>0</v>
      </c>
      <c r="Q172" s="466">
        <f t="shared" si="151"/>
        <v>0</v>
      </c>
      <c r="R172" s="466">
        <f t="shared" si="151"/>
        <v>0</v>
      </c>
      <c r="S172" s="466">
        <f t="shared" si="151"/>
        <v>0</v>
      </c>
      <c r="T172" s="466">
        <f t="shared" si="151"/>
        <v>0</v>
      </c>
      <c r="U172" s="466">
        <f t="shared" si="151"/>
        <v>0</v>
      </c>
      <c r="V172" s="466">
        <f t="shared" si="151"/>
        <v>0</v>
      </c>
      <c r="W172" s="130"/>
      <c r="X172" s="304">
        <f ca="1">SUM(X171,X160)</f>
        <v>1435936.0299999998</v>
      </c>
      <c r="Y172" s="319">
        <f t="shared" ca="1" si="146"/>
        <v>0.38190326353004439</v>
      </c>
      <c r="Z172" s="304">
        <f t="shared" ref="Z172:AA172" si="152">SUM(Z171,Z160)</f>
        <v>3759947</v>
      </c>
      <c r="AA172" s="304">
        <f t="shared" si="152"/>
        <v>3557538</v>
      </c>
      <c r="AB172" s="304">
        <f t="shared" si="111"/>
        <v>-202409</v>
      </c>
      <c r="AC172" s="319">
        <f t="shared" ca="1" si="147"/>
        <v>0.40363195839369803</v>
      </c>
      <c r="AF172" s="62"/>
    </row>
    <row r="173" spans="1:32" outlineLevel="1" x14ac:dyDescent="0.2">
      <c r="A173" s="366" t="s">
        <v>714</v>
      </c>
      <c r="B173" s="460" t="s">
        <v>197</v>
      </c>
      <c r="C173" s="132"/>
      <c r="D173" s="132"/>
      <c r="E173" s="132"/>
      <c r="F173" s="132"/>
      <c r="G173" s="132"/>
      <c r="H173" s="132"/>
      <c r="I173" s="132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463"/>
      <c r="Z173" s="271"/>
      <c r="AA173" s="271"/>
      <c r="AB173" s="271"/>
      <c r="AC173" s="462"/>
      <c r="AF173" s="62"/>
    </row>
    <row r="174" spans="1:32" outlineLevel="1" x14ac:dyDescent="0.2">
      <c r="A174" s="366" t="s">
        <v>715</v>
      </c>
      <c r="B174" s="88" t="s">
        <v>517</v>
      </c>
      <c r="C174" s="102">
        <v>100</v>
      </c>
      <c r="D174" s="102" t="s">
        <v>145</v>
      </c>
      <c r="E174" s="102"/>
      <c r="F174" s="102">
        <v>100</v>
      </c>
      <c r="G174" s="102">
        <v>1000</v>
      </c>
      <c r="H174" s="104" t="s">
        <v>203</v>
      </c>
      <c r="I174" s="104"/>
      <c r="J174" s="12">
        <v>0</v>
      </c>
      <c r="K174" s="12">
        <v>4987.5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/>
      <c r="X174" s="121">
        <f ca="1">+IF($X$4="NA",0,SUM(INDIRECT(+CONCATENATE(+VLOOKUP('2022 Budget &amp; CF'!$X$1,'Data Tables DONT EDIT'!$A$1:$B$15,2,FALSE),+ROW(B174)),TRUE):INDIRECT(+CONCATENATE(+VLOOKUP('2022 Budget &amp; CF'!$X$4,'Data Tables DONT EDIT'!$A$1:$B$15,2,FALSE),+ROW(B174)),TRUE)))</f>
        <v>4987.5</v>
      </c>
      <c r="Y174" s="314">
        <f t="shared" ca="1" si="146"/>
        <v>0.11083333333333334</v>
      </c>
      <c r="Z174" s="115">
        <v>45000</v>
      </c>
      <c r="AA174" s="117">
        <v>45000</v>
      </c>
      <c r="AB174" s="117">
        <f t="shared" ref="AB174" si="153">AA174-Z174</f>
        <v>0</v>
      </c>
      <c r="AC174" s="358">
        <f t="shared" ca="1" si="147"/>
        <v>0.11083333333333334</v>
      </c>
      <c r="AD174" s="3" t="s">
        <v>809</v>
      </c>
      <c r="AF174" s="62"/>
    </row>
    <row r="175" spans="1:32" outlineLevel="1" x14ac:dyDescent="0.2">
      <c r="A175" s="366" t="s">
        <v>716</v>
      </c>
      <c r="B175" s="88" t="s">
        <v>224</v>
      </c>
      <c r="C175" s="102">
        <v>100</v>
      </c>
      <c r="D175" s="102" t="s">
        <v>145</v>
      </c>
      <c r="E175" s="102"/>
      <c r="F175" s="102">
        <v>100</v>
      </c>
      <c r="G175" s="102">
        <v>1000</v>
      </c>
      <c r="H175" s="104" t="s">
        <v>225</v>
      </c>
      <c r="I175" s="104"/>
      <c r="J175" s="12">
        <v>94.35</v>
      </c>
      <c r="K175" s="12">
        <v>939.88</v>
      </c>
      <c r="L175" s="12">
        <v>321.79000000000002</v>
      </c>
      <c r="M175" s="12">
        <v>580.58999999999992</v>
      </c>
      <c r="N175" s="12">
        <v>369.19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/>
      <c r="X175" s="121">
        <f ca="1">+IF($X$4="NA",0,SUM(INDIRECT(+CONCATENATE(+VLOOKUP('2022 Budget &amp; CF'!$X$1,'Data Tables DONT EDIT'!$A$1:$B$15,2,FALSE),+ROW(B175)),TRUE):INDIRECT(+CONCATENATE(+VLOOKUP('2022 Budget &amp; CF'!$X$4,'Data Tables DONT EDIT'!$A$1:$B$15,2,FALSE),+ROW(B175)),TRUE)))</f>
        <v>2305.7999999999997</v>
      </c>
      <c r="Y175" s="314">
        <f t="shared" ca="1" si="146"/>
        <v>0.10104294478527606</v>
      </c>
      <c r="Z175" s="115">
        <v>22820</v>
      </c>
      <c r="AA175" s="117">
        <v>22820</v>
      </c>
      <c r="AB175" s="117">
        <f t="shared" ref="AB175" si="154">AA175-Z175</f>
        <v>0</v>
      </c>
      <c r="AC175" s="358">
        <f t="shared" ca="1" si="147"/>
        <v>0.10104294478527606</v>
      </c>
      <c r="AF175" s="62"/>
    </row>
    <row r="176" spans="1:32" outlineLevel="1" x14ac:dyDescent="0.2">
      <c r="A176" s="366" t="s">
        <v>717</v>
      </c>
      <c r="B176" s="460" t="s">
        <v>204</v>
      </c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271"/>
      <c r="X176" s="271"/>
      <c r="Y176" s="463"/>
      <c r="Z176" s="271"/>
      <c r="AA176" s="271"/>
      <c r="AB176" s="271"/>
      <c r="AC176" s="462">
        <f t="shared" si="147"/>
        <v>0</v>
      </c>
      <c r="AF176" s="62"/>
    </row>
    <row r="177" spans="1:32" outlineLevel="1" x14ac:dyDescent="0.2">
      <c r="A177" s="366" t="s">
        <v>718</v>
      </c>
      <c r="B177" s="88" t="s">
        <v>474</v>
      </c>
      <c r="C177" s="102">
        <v>100</v>
      </c>
      <c r="D177" s="102" t="s">
        <v>145</v>
      </c>
      <c r="E177" s="102"/>
      <c r="F177" s="102">
        <v>100</v>
      </c>
      <c r="G177" s="102">
        <v>2213</v>
      </c>
      <c r="H177" s="104" t="s">
        <v>199</v>
      </c>
      <c r="I177" s="104"/>
      <c r="J177" s="12">
        <v>0</v>
      </c>
      <c r="K177" s="12">
        <v>0</v>
      </c>
      <c r="L177" s="12">
        <v>1000</v>
      </c>
      <c r="M177" s="12">
        <v>990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/>
      <c r="X177" s="121">
        <f ca="1">+IF($X$4="NA",0,SUM(INDIRECT(+CONCATENATE(+VLOOKUP('2022 Budget &amp; CF'!$X$1,'Data Tables DONT EDIT'!$A$1:$B$15,2,FALSE),+ROW(B177)),TRUE):INDIRECT(+CONCATENATE(+VLOOKUP('2022 Budget &amp; CF'!$X$4,'Data Tables DONT EDIT'!$A$1:$B$15,2,FALSE),+ROW(B177)),TRUE)))</f>
        <v>1990</v>
      </c>
      <c r="Y177" s="314">
        <f t="shared" ca="1" si="146"/>
        <v>0.76012223071046603</v>
      </c>
      <c r="Z177" s="115">
        <v>2618</v>
      </c>
      <c r="AA177" s="117">
        <v>2618</v>
      </c>
      <c r="AB177" s="117">
        <f t="shared" ref="AB177:AB178" si="155">AA177-Z177</f>
        <v>0</v>
      </c>
      <c r="AC177" s="358">
        <f t="shared" ca="1" si="147"/>
        <v>0.76012223071046603</v>
      </c>
      <c r="AF177" s="62"/>
    </row>
    <row r="178" spans="1:32" outlineLevel="1" x14ac:dyDescent="0.2">
      <c r="A178" s="366" t="s">
        <v>719</v>
      </c>
      <c r="B178" s="88" t="s">
        <v>205</v>
      </c>
      <c r="C178" s="102">
        <v>100</v>
      </c>
      <c r="D178" s="102" t="s">
        <v>145</v>
      </c>
      <c r="E178" s="102"/>
      <c r="F178" s="102">
        <v>100</v>
      </c>
      <c r="G178" s="102" t="s">
        <v>534</v>
      </c>
      <c r="H178" s="102" t="s">
        <v>201</v>
      </c>
      <c r="I178" s="102"/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/>
      <c r="X178" s="121">
        <f ca="1">+IF($X$4="NA",0,SUM(INDIRECT(+CONCATENATE(+VLOOKUP('2022 Budget &amp; CF'!$X$1,'Data Tables DONT EDIT'!$A$1:$B$15,2,FALSE),+ROW(B178)),TRUE):INDIRECT(+CONCATENATE(+VLOOKUP('2022 Budget &amp; CF'!$X$4,'Data Tables DONT EDIT'!$A$1:$B$15,2,FALSE),+ROW(B178)),TRUE)))</f>
        <v>0</v>
      </c>
      <c r="Y178" s="314">
        <f t="shared" ref="Y178" ca="1" si="156">IFERROR(X178/Z178,0)</f>
        <v>0</v>
      </c>
      <c r="Z178" s="115">
        <v>0</v>
      </c>
      <c r="AA178" s="117">
        <v>0</v>
      </c>
      <c r="AB178" s="117">
        <f t="shared" si="155"/>
        <v>0</v>
      </c>
      <c r="AC178" s="358">
        <f t="shared" ref="AC178" ca="1" si="157">IFERROR(X178/AA178,0)</f>
        <v>0</v>
      </c>
      <c r="AF178" s="62"/>
    </row>
    <row r="179" spans="1:32" outlineLevel="1" x14ac:dyDescent="0.2">
      <c r="A179" s="366" t="s">
        <v>719</v>
      </c>
      <c r="B179" s="88" t="s">
        <v>205</v>
      </c>
      <c r="C179" s="102">
        <v>100</v>
      </c>
      <c r="D179" s="102" t="s">
        <v>145</v>
      </c>
      <c r="E179" s="102"/>
      <c r="F179" s="102">
        <v>100</v>
      </c>
      <c r="G179" s="102">
        <v>2213</v>
      </c>
      <c r="H179" s="102" t="s">
        <v>201</v>
      </c>
      <c r="I179" s="102"/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/>
      <c r="X179" s="121">
        <f ca="1">+IF($X$4="NA",0,SUM(INDIRECT(+CONCATENATE(+VLOOKUP('2022 Budget &amp; CF'!$X$1,'Data Tables DONT EDIT'!$A$1:$B$15,2,FALSE),+ROW(B179)),TRUE):INDIRECT(+CONCATENATE(+VLOOKUP('2022 Budget &amp; CF'!$X$4,'Data Tables DONT EDIT'!$A$1:$B$15,2,FALSE),+ROW(B179)),TRUE)))</f>
        <v>0</v>
      </c>
      <c r="Y179" s="314">
        <f t="shared" ca="1" si="146"/>
        <v>0</v>
      </c>
      <c r="Z179" s="115">
        <v>0</v>
      </c>
      <c r="AA179" s="117">
        <v>0</v>
      </c>
      <c r="AB179" s="117">
        <f t="shared" si="111"/>
        <v>0</v>
      </c>
      <c r="AC179" s="358">
        <f t="shared" ca="1" si="147"/>
        <v>0</v>
      </c>
      <c r="AF179" s="62"/>
    </row>
    <row r="180" spans="1:32" outlineLevel="1" x14ac:dyDescent="0.2">
      <c r="A180" s="366" t="s">
        <v>720</v>
      </c>
      <c r="B180" s="460" t="s">
        <v>206</v>
      </c>
      <c r="C180" s="132"/>
      <c r="D180" s="132"/>
      <c r="E180" s="132"/>
      <c r="F180" s="132"/>
      <c r="G180" s="132"/>
      <c r="H180" s="132"/>
      <c r="I180" s="132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463"/>
      <c r="Z180" s="271"/>
      <c r="AA180" s="271"/>
      <c r="AB180" s="271"/>
      <c r="AC180" s="462">
        <f t="shared" si="147"/>
        <v>0</v>
      </c>
      <c r="AF180" s="62"/>
    </row>
    <row r="181" spans="1:32" outlineLevel="1" x14ac:dyDescent="0.2">
      <c r="A181" s="366" t="s">
        <v>721</v>
      </c>
      <c r="B181" s="88" t="s">
        <v>519</v>
      </c>
      <c r="C181" s="102">
        <v>100</v>
      </c>
      <c r="D181" s="102" t="s">
        <v>145</v>
      </c>
      <c r="E181" s="102"/>
      <c r="F181" s="102">
        <v>100</v>
      </c>
      <c r="G181" s="102" t="s">
        <v>518</v>
      </c>
      <c r="H181" s="104" t="s">
        <v>203</v>
      </c>
      <c r="I181" s="104"/>
      <c r="J181" s="12">
        <v>0</v>
      </c>
      <c r="K181" s="12">
        <v>0</v>
      </c>
      <c r="L181" s="12">
        <v>0</v>
      </c>
      <c r="M181" s="12">
        <v>2000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/>
      <c r="X181" s="121">
        <f ca="1">+IF($X$4="NA",0,SUM(INDIRECT(+CONCATENATE(+VLOOKUP('2022 Budget &amp; CF'!$X$1,'Data Tables DONT EDIT'!$A$1:$B$15,2,FALSE),+ROW(B181)),TRUE):INDIRECT(+CONCATENATE(+VLOOKUP('2022 Budget &amp; CF'!$X$4,'Data Tables DONT EDIT'!$A$1:$B$15,2,FALSE),+ROW(B181)),TRUE)))</f>
        <v>2000</v>
      </c>
      <c r="Y181" s="314">
        <f ca="1">IFERROR(X181/Z181,0)</f>
        <v>0.31806615776081426</v>
      </c>
      <c r="Z181" s="115">
        <v>6288</v>
      </c>
      <c r="AA181" s="117">
        <v>6288</v>
      </c>
      <c r="AB181" s="117">
        <f t="shared" ref="AB181" si="158">AA181-Z181</f>
        <v>0</v>
      </c>
      <c r="AC181" s="358">
        <f ca="1">IFERROR(X181/AA181,0)</f>
        <v>0.31806615776081426</v>
      </c>
      <c r="AF181" s="62"/>
    </row>
    <row r="182" spans="1:32" outlineLevel="1" x14ac:dyDescent="0.2">
      <c r="A182" s="366" t="s">
        <v>722</v>
      </c>
      <c r="B182" s="88" t="s">
        <v>994</v>
      </c>
      <c r="C182" s="102">
        <v>100</v>
      </c>
      <c r="D182" s="102" t="s">
        <v>145</v>
      </c>
      <c r="E182" s="102"/>
      <c r="F182" s="102">
        <v>100</v>
      </c>
      <c r="G182" s="102" t="s">
        <v>518</v>
      </c>
      <c r="H182" s="104" t="s">
        <v>226</v>
      </c>
      <c r="I182" s="104"/>
      <c r="J182" s="12">
        <v>0</v>
      </c>
      <c r="K182" s="12">
        <v>0</v>
      </c>
      <c r="L182" s="12">
        <v>139.91999999999999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/>
      <c r="X182" s="121">
        <f ca="1">+IF($X$4="NA",0,SUM(INDIRECT(+CONCATENATE(+VLOOKUP('2022 Budget &amp; CF'!$X$1,'Data Tables DONT EDIT'!$A$1:$B$15,2,FALSE),+ROW(B182)),TRUE):INDIRECT(+CONCATENATE(+VLOOKUP('2022 Budget &amp; CF'!$X$4,'Data Tables DONT EDIT'!$A$1:$B$15,2,FALSE),+ROW(B182)),TRUE)))</f>
        <v>139.91999999999999</v>
      </c>
      <c r="Y182" s="314">
        <f t="shared" ref="Y182" ca="1" si="159">IFERROR(X182/Z182,0)</f>
        <v>0</v>
      </c>
      <c r="Z182" s="115">
        <v>0</v>
      </c>
      <c r="AA182" s="117">
        <v>0</v>
      </c>
      <c r="AB182" s="117">
        <f t="shared" ref="AB182" si="160">AA182-Z182</f>
        <v>0</v>
      </c>
      <c r="AC182" s="358">
        <f t="shared" ref="AC182" ca="1" si="161">IFERROR(X182/AA182,0)</f>
        <v>0</v>
      </c>
      <c r="AF182" s="62"/>
    </row>
    <row r="183" spans="1:32" outlineLevel="1" x14ac:dyDescent="0.2">
      <c r="A183" s="366" t="s">
        <v>723</v>
      </c>
      <c r="B183" s="88" t="s">
        <v>208</v>
      </c>
      <c r="C183" s="102">
        <v>100</v>
      </c>
      <c r="D183" s="102" t="s">
        <v>145</v>
      </c>
      <c r="E183" s="102"/>
      <c r="F183" s="102">
        <v>100</v>
      </c>
      <c r="G183" s="102" t="s">
        <v>464</v>
      </c>
      <c r="H183" s="102" t="s">
        <v>201</v>
      </c>
      <c r="I183" s="102"/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/>
      <c r="X183" s="121">
        <f ca="1">+IF($X$4="NA",0,SUM(INDIRECT(+CONCATENATE(+VLOOKUP('2022 Budget &amp; CF'!$X$1,'Data Tables DONT EDIT'!$A$1:$B$15,2,FALSE),+ROW(B183)),TRUE):INDIRECT(+CONCATENATE(+VLOOKUP('2022 Budget &amp; CF'!$X$4,'Data Tables DONT EDIT'!$A$1:$B$15,2,FALSE),+ROW(B183)),TRUE)))</f>
        <v>0</v>
      </c>
      <c r="Y183" s="314">
        <f ca="1">IFERROR(X183/Z183,0)</f>
        <v>0</v>
      </c>
      <c r="Z183" s="115">
        <v>0</v>
      </c>
      <c r="AA183" s="117">
        <v>0</v>
      </c>
      <c r="AB183" s="117">
        <f>AA183-Z183</f>
        <v>0</v>
      </c>
      <c r="AC183" s="358">
        <f ca="1">IFERROR(X183/AA183,0)</f>
        <v>0</v>
      </c>
      <c r="AF183" s="62"/>
    </row>
    <row r="184" spans="1:32" outlineLevel="1" x14ac:dyDescent="0.2">
      <c r="A184" s="366" t="s">
        <v>724</v>
      </c>
      <c r="B184" s="88" t="s">
        <v>944</v>
      </c>
      <c r="C184" s="102">
        <v>100</v>
      </c>
      <c r="D184" s="102" t="s">
        <v>130</v>
      </c>
      <c r="E184" s="102"/>
      <c r="F184" s="102">
        <v>100</v>
      </c>
      <c r="G184" s="102" t="s">
        <v>475</v>
      </c>
      <c r="H184" s="102" t="s">
        <v>210</v>
      </c>
      <c r="I184" s="102"/>
      <c r="J184" s="12">
        <v>0</v>
      </c>
      <c r="K184" s="12">
        <v>0</v>
      </c>
      <c r="L184" s="12">
        <v>5353.22</v>
      </c>
      <c r="M184" s="12">
        <v>2676.61</v>
      </c>
      <c r="N184" s="12">
        <v>2750.86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/>
      <c r="X184" s="121">
        <f ca="1">+IF($X$4="NA",0,SUM(INDIRECT(+CONCATENATE(+VLOOKUP('2022 Budget &amp; CF'!$X$1,'Data Tables DONT EDIT'!$A$1:$B$15,2,FALSE),+ROW(B184)),TRUE):INDIRECT(+CONCATENATE(+VLOOKUP('2022 Budget &amp; CF'!$X$4,'Data Tables DONT EDIT'!$A$1:$B$15,2,FALSE),+ROW(B184)),TRUE)))</f>
        <v>10780.69</v>
      </c>
      <c r="Y184" s="314">
        <f t="shared" ca="1" si="146"/>
        <v>0.2830320294040431</v>
      </c>
      <c r="Z184" s="115">
        <v>38090</v>
      </c>
      <c r="AA184" s="117">
        <f>ROUND(AA9*0.0125,0)</f>
        <v>40159</v>
      </c>
      <c r="AB184" s="117">
        <f t="shared" si="111"/>
        <v>2069</v>
      </c>
      <c r="AC184" s="358">
        <f t="shared" ca="1" si="147"/>
        <v>0.26845016061156901</v>
      </c>
      <c r="AF184" s="62"/>
    </row>
    <row r="185" spans="1:32" outlineLevel="1" x14ac:dyDescent="0.2">
      <c r="A185" s="366" t="s">
        <v>725</v>
      </c>
      <c r="B185" s="460" t="s">
        <v>211</v>
      </c>
      <c r="C185" s="132"/>
      <c r="D185" s="132"/>
      <c r="E185" s="132"/>
      <c r="F185" s="132"/>
      <c r="G185" s="132"/>
      <c r="H185" s="132"/>
      <c r="I185" s="132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463"/>
      <c r="Z185" s="271"/>
      <c r="AA185" s="271"/>
      <c r="AB185" s="271"/>
      <c r="AC185" s="462">
        <f t="shared" si="147"/>
        <v>0</v>
      </c>
      <c r="AF185" s="62"/>
    </row>
    <row r="186" spans="1:32" outlineLevel="1" x14ac:dyDescent="0.2">
      <c r="A186" s="366" t="s">
        <v>726</v>
      </c>
      <c r="B186" s="88" t="s">
        <v>212</v>
      </c>
      <c r="C186" s="102">
        <v>100</v>
      </c>
      <c r="D186" s="102" t="s">
        <v>145</v>
      </c>
      <c r="E186" s="102"/>
      <c r="F186" s="102">
        <v>100</v>
      </c>
      <c r="G186" s="102" t="s">
        <v>460</v>
      </c>
      <c r="H186" s="102" t="s">
        <v>199</v>
      </c>
      <c r="I186" s="102"/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/>
      <c r="X186" s="121">
        <f ca="1">+IF($X$4="NA",0,SUM(INDIRECT(+CONCATENATE(+VLOOKUP('2022 Budget &amp; CF'!$X$1,'Data Tables DONT EDIT'!$A$1:$B$15,2,FALSE),+ROW(B186)),TRUE):INDIRECT(+CONCATENATE(+VLOOKUP('2022 Budget &amp; CF'!$X$4,'Data Tables DONT EDIT'!$A$1:$B$15,2,FALSE),+ROW(B186)),TRUE)))</f>
        <v>0</v>
      </c>
      <c r="Y186" s="314">
        <f t="shared" ca="1" si="146"/>
        <v>0</v>
      </c>
      <c r="Z186" s="115">
        <v>0</v>
      </c>
      <c r="AA186" s="117">
        <v>0</v>
      </c>
      <c r="AB186" s="117">
        <f t="shared" si="111"/>
        <v>0</v>
      </c>
      <c r="AC186" s="358">
        <f t="shared" ca="1" si="147"/>
        <v>0</v>
      </c>
      <c r="AF186" s="62"/>
    </row>
    <row r="187" spans="1:32" outlineLevel="1" x14ac:dyDescent="0.2">
      <c r="A187" s="366" t="s">
        <v>727</v>
      </c>
      <c r="B187" s="88" t="s">
        <v>213</v>
      </c>
      <c r="C187" s="102">
        <v>100</v>
      </c>
      <c r="D187" s="102" t="s">
        <v>145</v>
      </c>
      <c r="E187" s="102"/>
      <c r="F187" s="102">
        <v>100</v>
      </c>
      <c r="G187" s="102" t="s">
        <v>460</v>
      </c>
      <c r="H187" s="102" t="s">
        <v>201</v>
      </c>
      <c r="I187" s="102"/>
      <c r="J187" s="12">
        <v>0</v>
      </c>
      <c r="K187" s="12">
        <v>0</v>
      </c>
      <c r="L187" s="12">
        <v>171.53</v>
      </c>
      <c r="M187" s="12">
        <v>0</v>
      </c>
      <c r="N187" s="12">
        <v>85.4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/>
      <c r="X187" s="121">
        <f ca="1">+IF($X$4="NA",0,SUM(INDIRECT(+CONCATENATE(+VLOOKUP('2022 Budget &amp; CF'!$X$1,'Data Tables DONT EDIT'!$A$1:$B$15,2,FALSE),+ROW(B187)),TRUE):INDIRECT(+CONCATENATE(+VLOOKUP('2022 Budget &amp; CF'!$X$4,'Data Tables DONT EDIT'!$A$1:$B$15,2,FALSE),+ROW(B187)),TRUE)))</f>
        <v>256.93</v>
      </c>
      <c r="Y187" s="314">
        <f t="shared" ca="1" si="146"/>
        <v>1.0036328125</v>
      </c>
      <c r="Z187" s="115">
        <v>256</v>
      </c>
      <c r="AA187" s="117">
        <v>256</v>
      </c>
      <c r="AB187" s="117">
        <f t="shared" si="111"/>
        <v>0</v>
      </c>
      <c r="AC187" s="358">
        <f t="shared" ca="1" si="147"/>
        <v>1.0036328125</v>
      </c>
      <c r="AF187" s="62"/>
    </row>
    <row r="188" spans="1:32" outlineLevel="1" x14ac:dyDescent="0.2">
      <c r="A188" s="366" t="s">
        <v>728</v>
      </c>
      <c r="B188" s="460" t="s">
        <v>214</v>
      </c>
      <c r="C188" s="132"/>
      <c r="D188" s="132"/>
      <c r="E188" s="132"/>
      <c r="F188" s="132"/>
      <c r="G188" s="132"/>
      <c r="H188" s="132"/>
      <c r="I188" s="132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463"/>
      <c r="Z188" s="271"/>
      <c r="AA188" s="271"/>
      <c r="AB188" s="271"/>
      <c r="AC188" s="462">
        <f t="shared" si="147"/>
        <v>0</v>
      </c>
      <c r="AF188" s="62"/>
    </row>
    <row r="189" spans="1:32" outlineLevel="1" x14ac:dyDescent="0.2">
      <c r="A189" s="366" t="s">
        <v>729</v>
      </c>
      <c r="B189" s="88" t="s">
        <v>945</v>
      </c>
      <c r="C189" s="102">
        <v>100</v>
      </c>
      <c r="D189" s="102" t="s">
        <v>145</v>
      </c>
      <c r="E189" s="102"/>
      <c r="F189" s="102">
        <v>100</v>
      </c>
      <c r="G189" s="102" t="s">
        <v>477</v>
      </c>
      <c r="H189" s="102" t="s">
        <v>207</v>
      </c>
      <c r="I189" s="102"/>
      <c r="J189" s="12">
        <v>63</v>
      </c>
      <c r="K189" s="12">
        <v>252</v>
      </c>
      <c r="L189" s="12">
        <v>189</v>
      </c>
      <c r="M189" s="12">
        <v>189</v>
      </c>
      <c r="N189" s="12">
        <v>189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/>
      <c r="X189" s="121">
        <f ca="1">+IF($X$4="NA",0,SUM(INDIRECT(+CONCATENATE(+VLOOKUP('2022 Budget &amp; CF'!$X$1,'Data Tables DONT EDIT'!$A$1:$B$15,2,FALSE),+ROW(B189)),TRUE):INDIRECT(+CONCATENATE(+VLOOKUP('2022 Budget &amp; CF'!$X$4,'Data Tables DONT EDIT'!$A$1:$B$15,2,FALSE),+ROW(B189)),TRUE)))</f>
        <v>882</v>
      </c>
      <c r="Y189" s="314">
        <f t="shared" ca="1" si="146"/>
        <v>0.72058823529411764</v>
      </c>
      <c r="Z189" s="115">
        <v>1224</v>
      </c>
      <c r="AA189" s="117">
        <v>1224</v>
      </c>
      <c r="AB189" s="117">
        <f t="shared" si="111"/>
        <v>0</v>
      </c>
      <c r="AC189" s="358">
        <f t="shared" ca="1" si="147"/>
        <v>0.72058823529411764</v>
      </c>
      <c r="AF189" s="62"/>
    </row>
    <row r="190" spans="1:32" outlineLevel="1" x14ac:dyDescent="0.2">
      <c r="A190" s="366" t="s">
        <v>730</v>
      </c>
      <c r="B190" s="88" t="s">
        <v>819</v>
      </c>
      <c r="C190" s="102" t="s">
        <v>468</v>
      </c>
      <c r="D190" s="102" t="s">
        <v>145</v>
      </c>
      <c r="E190" s="102"/>
      <c r="F190" s="102" t="s">
        <v>468</v>
      </c>
      <c r="G190" s="102" t="s">
        <v>477</v>
      </c>
      <c r="H190" s="102" t="s">
        <v>199</v>
      </c>
      <c r="I190" s="102"/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/>
      <c r="X190" s="121">
        <f ca="1">+IF($X$4="NA",0,SUM(INDIRECT(+CONCATENATE(+VLOOKUP('2022 Budget &amp; CF'!$X$1,'Data Tables DONT EDIT'!$A$1:$B$15,2,FALSE),+ROW(B190)),TRUE):INDIRECT(+CONCATENATE(+VLOOKUP('2022 Budget &amp; CF'!$X$4,'Data Tables DONT EDIT'!$A$1:$B$15,2,FALSE),+ROW(B190)),TRUE)))</f>
        <v>0</v>
      </c>
      <c r="Y190" s="314">
        <f t="shared" ref="Y190:Y191" ca="1" si="162">IFERROR(X190/Z190,0)</f>
        <v>0</v>
      </c>
      <c r="Z190" s="115">
        <v>0</v>
      </c>
      <c r="AA190" s="117">
        <v>0</v>
      </c>
      <c r="AB190" s="117">
        <f t="shared" ref="AB190:AB191" si="163">AA190-Z190</f>
        <v>0</v>
      </c>
      <c r="AC190" s="358">
        <f t="shared" ref="AC190:AC191" ca="1" si="164">IFERROR(X190/AA190,0)</f>
        <v>0</v>
      </c>
      <c r="AF190" s="62"/>
    </row>
    <row r="191" spans="1:32" outlineLevel="1" x14ac:dyDescent="0.2">
      <c r="A191" s="366" t="s">
        <v>731</v>
      </c>
      <c r="B191" s="88" t="s">
        <v>819</v>
      </c>
      <c r="C191" s="102" t="s">
        <v>468</v>
      </c>
      <c r="D191" s="102" t="s">
        <v>145</v>
      </c>
      <c r="E191" s="102"/>
      <c r="F191" s="102" t="s">
        <v>468</v>
      </c>
      <c r="G191" s="102" t="s">
        <v>479</v>
      </c>
      <c r="H191" s="102" t="s">
        <v>199</v>
      </c>
      <c r="I191" s="102"/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/>
      <c r="X191" s="121">
        <f ca="1">+IF($X$4="NA",0,SUM(INDIRECT(+CONCATENATE(+VLOOKUP('2022 Budget &amp; CF'!$X$1,'Data Tables DONT EDIT'!$A$1:$B$15,2,FALSE),+ROW(B191)),TRUE):INDIRECT(+CONCATENATE(+VLOOKUP('2022 Budget &amp; CF'!$X$4,'Data Tables DONT EDIT'!$A$1:$B$15,2,FALSE),+ROW(B191)),TRUE)))</f>
        <v>0</v>
      </c>
      <c r="Y191" s="314">
        <f t="shared" ca="1" si="162"/>
        <v>0</v>
      </c>
      <c r="Z191" s="115">
        <v>0</v>
      </c>
      <c r="AA191" s="117">
        <v>0</v>
      </c>
      <c r="AB191" s="117">
        <f t="shared" si="163"/>
        <v>0</v>
      </c>
      <c r="AC191" s="358">
        <f t="shared" ca="1" si="164"/>
        <v>0</v>
      </c>
      <c r="AF191" s="62"/>
    </row>
    <row r="192" spans="1:32" outlineLevel="1" x14ac:dyDescent="0.2">
      <c r="A192" s="366" t="s">
        <v>732</v>
      </c>
      <c r="B192" s="88" t="s">
        <v>946</v>
      </c>
      <c r="C192" s="102">
        <v>100</v>
      </c>
      <c r="D192" s="102" t="s">
        <v>145</v>
      </c>
      <c r="E192" s="102"/>
      <c r="F192" s="102">
        <v>100</v>
      </c>
      <c r="G192" s="102" t="s">
        <v>458</v>
      </c>
      <c r="H192" s="102" t="s">
        <v>203</v>
      </c>
      <c r="I192" s="102"/>
      <c r="J192" s="12">
        <v>10500</v>
      </c>
      <c r="K192" s="12">
        <v>24500</v>
      </c>
      <c r="L192" s="12">
        <v>10500</v>
      </c>
      <c r="M192" s="12">
        <v>21000</v>
      </c>
      <c r="N192" s="12">
        <v>21000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/>
      <c r="X192" s="121">
        <f ca="1">+IF($X$4="NA",0,SUM(INDIRECT(+CONCATENATE(+VLOOKUP('2022 Budget &amp; CF'!$X$1,'Data Tables DONT EDIT'!$A$1:$B$15,2,FALSE),+ROW(B192)),TRUE):INDIRECT(+CONCATENATE(+VLOOKUP('2022 Budget &amp; CF'!$X$4,'Data Tables DONT EDIT'!$A$1:$B$15,2,FALSE),+ROW(B192)),TRUE)))</f>
        <v>87500</v>
      </c>
      <c r="Y192" s="314">
        <f t="shared" ca="1" si="146"/>
        <v>0.70281124497991965</v>
      </c>
      <c r="Z192" s="115">
        <v>124500</v>
      </c>
      <c r="AA192" s="117">
        <v>124500</v>
      </c>
      <c r="AB192" s="117">
        <f t="shared" si="111"/>
        <v>0</v>
      </c>
      <c r="AC192" s="358">
        <f t="shared" ca="1" si="147"/>
        <v>0.70281124497991965</v>
      </c>
      <c r="AF192" s="62"/>
    </row>
    <row r="193" spans="1:32" outlineLevel="1" x14ac:dyDescent="0.2">
      <c r="A193" s="366" t="s">
        <v>733</v>
      </c>
      <c r="B193" s="88" t="s">
        <v>519</v>
      </c>
      <c r="C193" s="102">
        <v>100</v>
      </c>
      <c r="D193" s="102" t="s">
        <v>145</v>
      </c>
      <c r="E193" s="102"/>
      <c r="F193" s="102">
        <v>100</v>
      </c>
      <c r="G193" s="102" t="s">
        <v>1207</v>
      </c>
      <c r="H193" s="104" t="s">
        <v>203</v>
      </c>
      <c r="I193" s="102"/>
      <c r="J193" s="12">
        <v>398.64</v>
      </c>
      <c r="K193" s="12">
        <v>0</v>
      </c>
      <c r="L193" s="12">
        <v>0</v>
      </c>
      <c r="M193" s="12">
        <v>0</v>
      </c>
      <c r="N193" s="12">
        <v>0</v>
      </c>
      <c r="O193" s="12"/>
      <c r="P193" s="12"/>
      <c r="Q193" s="12"/>
      <c r="R193" s="12"/>
      <c r="S193" s="12"/>
      <c r="T193" s="12"/>
      <c r="U193" s="12"/>
      <c r="V193" s="12"/>
      <c r="W193" s="12"/>
      <c r="X193" s="121">
        <f ca="1">+IF($X$4="NA",0,SUM(INDIRECT(+CONCATENATE(+VLOOKUP('2022 Budget &amp; CF'!$X$1,'Data Tables DONT EDIT'!$A$1:$B$15,2,FALSE),+ROW(B193)),TRUE):INDIRECT(+CONCATENATE(+VLOOKUP('2022 Budget &amp; CF'!$X$4,'Data Tables DONT EDIT'!$A$1:$B$15,2,FALSE),+ROW(B193)),TRUE)))</f>
        <v>398.64</v>
      </c>
      <c r="Y193" s="314">
        <f t="shared" ref="Y193" ca="1" si="165">IFERROR(X193/Z193,0)</f>
        <v>0</v>
      </c>
      <c r="Z193" s="115">
        <v>0</v>
      </c>
      <c r="AA193" s="117">
        <v>399</v>
      </c>
      <c r="AB193" s="117">
        <f t="shared" ref="AB193" si="166">AA193-Z193</f>
        <v>399</v>
      </c>
      <c r="AC193" s="358">
        <f t="shared" ref="AC193" ca="1" si="167">IFERROR(X193/AA193,0)</f>
        <v>0.99909774436090226</v>
      </c>
      <c r="AF193" s="62"/>
    </row>
    <row r="194" spans="1:32" outlineLevel="1" x14ac:dyDescent="0.2">
      <c r="A194" s="366" t="s">
        <v>734</v>
      </c>
      <c r="B194" s="88" t="s">
        <v>927</v>
      </c>
      <c r="C194" s="102">
        <v>100</v>
      </c>
      <c r="D194" s="102" t="s">
        <v>145</v>
      </c>
      <c r="E194" s="102"/>
      <c r="F194" s="102">
        <v>100</v>
      </c>
      <c r="G194" s="102" t="s">
        <v>476</v>
      </c>
      <c r="H194" s="102" t="s">
        <v>217</v>
      </c>
      <c r="I194" s="102"/>
      <c r="J194" s="12">
        <v>1200</v>
      </c>
      <c r="K194" s="12">
        <v>3600</v>
      </c>
      <c r="L194" s="12">
        <v>1200</v>
      </c>
      <c r="M194" s="12">
        <v>1200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/>
      <c r="X194" s="121">
        <f ca="1">+IF($X$4="NA",0,SUM(INDIRECT(+CONCATENATE(+VLOOKUP('2022 Budget &amp; CF'!$X$1,'Data Tables DONT EDIT'!$A$1:$B$15,2,FALSE),+ROW(B194)),TRUE):INDIRECT(+CONCATENATE(+VLOOKUP('2022 Budget &amp; CF'!$X$4,'Data Tables DONT EDIT'!$A$1:$B$15,2,FALSE),+ROW(B194)),TRUE)))</f>
        <v>7200</v>
      </c>
      <c r="Y194" s="314">
        <f t="shared" ca="1" si="146"/>
        <v>1.2857142857142858</v>
      </c>
      <c r="Z194" s="115">
        <v>5600</v>
      </c>
      <c r="AA194" s="117">
        <v>5600</v>
      </c>
      <c r="AB194" s="117">
        <f t="shared" si="111"/>
        <v>0</v>
      </c>
      <c r="AC194" s="358">
        <f t="shared" ca="1" si="147"/>
        <v>1.2857142857142858</v>
      </c>
      <c r="AF194" s="62"/>
    </row>
    <row r="195" spans="1:32" outlineLevel="1" x14ac:dyDescent="0.2">
      <c r="A195" s="366" t="s">
        <v>735</v>
      </c>
      <c r="B195" s="88" t="s">
        <v>218</v>
      </c>
      <c r="C195" s="102">
        <v>100</v>
      </c>
      <c r="D195" s="102" t="s">
        <v>145</v>
      </c>
      <c r="E195" s="102"/>
      <c r="F195" s="102">
        <v>100</v>
      </c>
      <c r="G195" s="102" t="s">
        <v>520</v>
      </c>
      <c r="H195" s="102" t="s">
        <v>200</v>
      </c>
      <c r="I195" s="102"/>
      <c r="J195" s="12">
        <v>0</v>
      </c>
      <c r="K195" s="12">
        <v>1820</v>
      </c>
      <c r="L195" s="12">
        <v>622.5</v>
      </c>
      <c r="M195" s="12">
        <v>1072.5</v>
      </c>
      <c r="N195" s="12">
        <v>1690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/>
      <c r="X195" s="121">
        <f ca="1">+IF($X$4="NA",0,SUM(INDIRECT(+CONCATENATE(+VLOOKUP('2022 Budget &amp; CF'!$X$1,'Data Tables DONT EDIT'!$A$1:$B$15,2,FALSE),+ROW(B195)),TRUE):INDIRECT(+CONCATENATE(+VLOOKUP('2022 Budget &amp; CF'!$X$4,'Data Tables DONT EDIT'!$A$1:$B$15,2,FALSE),+ROW(B195)),TRUE)))</f>
        <v>5205</v>
      </c>
      <c r="Y195" s="314">
        <f t="shared" ca="1" si="146"/>
        <v>0.28122973849146315</v>
      </c>
      <c r="Z195" s="115">
        <v>18508</v>
      </c>
      <c r="AA195" s="117">
        <v>18508</v>
      </c>
      <c r="AB195" s="117">
        <f t="shared" si="111"/>
        <v>0</v>
      </c>
      <c r="AC195" s="358">
        <f t="shared" ca="1" si="147"/>
        <v>0.28122973849146315</v>
      </c>
      <c r="AF195" s="62"/>
    </row>
    <row r="196" spans="1:32" outlineLevel="1" x14ac:dyDescent="0.2">
      <c r="A196" s="366" t="s">
        <v>736</v>
      </c>
      <c r="B196" s="88" t="s">
        <v>521</v>
      </c>
      <c r="C196" s="102">
        <v>100</v>
      </c>
      <c r="D196" s="102" t="s">
        <v>145</v>
      </c>
      <c r="E196" s="102"/>
      <c r="F196" s="102">
        <v>100</v>
      </c>
      <c r="G196" s="102" t="s">
        <v>478</v>
      </c>
      <c r="H196" s="102" t="s">
        <v>219</v>
      </c>
      <c r="I196" s="102"/>
      <c r="J196" s="12">
        <v>1137.96</v>
      </c>
      <c r="K196" s="12">
        <v>483.96</v>
      </c>
      <c r="L196" s="12">
        <v>483.96</v>
      </c>
      <c r="M196" s="12">
        <v>483.96</v>
      </c>
      <c r="N196" s="12">
        <v>654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/>
      <c r="X196" s="121">
        <f ca="1">+IF($X$4="NA",0,SUM(INDIRECT(+CONCATENATE(+VLOOKUP('2022 Budget &amp; CF'!$X$1,'Data Tables DONT EDIT'!$A$1:$B$15,2,FALSE),+ROW(B196)),TRUE):INDIRECT(+CONCATENATE(+VLOOKUP('2022 Budget &amp; CF'!$X$4,'Data Tables DONT EDIT'!$A$1:$B$15,2,FALSE),+ROW(B196)),TRUE)))</f>
        <v>3243.84</v>
      </c>
      <c r="Y196" s="314">
        <f t="shared" ca="1" si="146"/>
        <v>0.38126939351198874</v>
      </c>
      <c r="Z196" s="115">
        <v>8508</v>
      </c>
      <c r="AA196" s="117">
        <v>8508</v>
      </c>
      <c r="AB196" s="117">
        <f t="shared" si="111"/>
        <v>0</v>
      </c>
      <c r="AC196" s="358">
        <f t="shared" ca="1" si="147"/>
        <v>0.38126939351198874</v>
      </c>
      <c r="AD196" s="3" t="s">
        <v>808</v>
      </c>
      <c r="AF196" s="62"/>
    </row>
    <row r="197" spans="1:32" outlineLevel="1" x14ac:dyDescent="0.2">
      <c r="A197" s="366" t="s">
        <v>737</v>
      </c>
      <c r="B197" s="88" t="s">
        <v>947</v>
      </c>
      <c r="C197" s="102">
        <v>100</v>
      </c>
      <c r="D197" s="102" t="s">
        <v>145</v>
      </c>
      <c r="E197" s="102"/>
      <c r="F197" s="102">
        <v>100</v>
      </c>
      <c r="G197" s="102" t="s">
        <v>479</v>
      </c>
      <c r="H197" s="102" t="s">
        <v>219</v>
      </c>
      <c r="I197" s="102"/>
      <c r="J197" s="12">
        <v>748.13</v>
      </c>
      <c r="K197" s="12">
        <v>391.88</v>
      </c>
      <c r="L197" s="12">
        <v>356.25</v>
      </c>
      <c r="M197" s="12">
        <v>356.25</v>
      </c>
      <c r="N197" s="12">
        <v>391.88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/>
      <c r="X197" s="121">
        <f ca="1">+IF($X$4="NA",0,SUM(INDIRECT(+CONCATENATE(+VLOOKUP('2022 Budget &amp; CF'!$X$1,'Data Tables DONT EDIT'!$A$1:$B$15,2,FALSE),+ROW(B197)),TRUE):INDIRECT(+CONCATENATE(+VLOOKUP('2022 Budget &amp; CF'!$X$4,'Data Tables DONT EDIT'!$A$1:$B$15,2,FALSE),+ROW(B197)),TRUE)))</f>
        <v>2244.39</v>
      </c>
      <c r="Y197" s="314">
        <f t="shared" ca="1" si="146"/>
        <v>0.52500350877192981</v>
      </c>
      <c r="Z197" s="115">
        <v>4275</v>
      </c>
      <c r="AA197" s="117">
        <v>4275</v>
      </c>
      <c r="AB197" s="117">
        <f t="shared" ref="AB197:AB198" si="168">AA197-Z197</f>
        <v>0</v>
      </c>
      <c r="AC197" s="358">
        <f t="shared" ca="1" si="147"/>
        <v>0.52500350877192981</v>
      </c>
      <c r="AD197" s="3" t="s">
        <v>807</v>
      </c>
      <c r="AF197" s="62"/>
    </row>
    <row r="198" spans="1:32" outlineLevel="1" x14ac:dyDescent="0.2">
      <c r="A198" s="366" t="s">
        <v>738</v>
      </c>
      <c r="B198" s="88" t="s">
        <v>948</v>
      </c>
      <c r="C198" s="102">
        <v>100</v>
      </c>
      <c r="D198" s="102" t="s">
        <v>145</v>
      </c>
      <c r="E198" s="102"/>
      <c r="F198" s="102">
        <v>100</v>
      </c>
      <c r="G198" s="102" t="s">
        <v>520</v>
      </c>
      <c r="H198" s="102" t="s">
        <v>219</v>
      </c>
      <c r="I198" s="102"/>
      <c r="J198" s="12">
        <v>961.89</v>
      </c>
      <c r="K198" s="12">
        <v>961.89</v>
      </c>
      <c r="L198" s="12">
        <v>3004.68</v>
      </c>
      <c r="M198" s="12">
        <v>946.8</v>
      </c>
      <c r="N198" s="12">
        <v>1693.62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/>
      <c r="X198" s="121">
        <f ca="1">+IF($X$4="NA",0,SUM(INDIRECT(+CONCATENATE(+VLOOKUP('2022 Budget &amp; CF'!$X$1,'Data Tables DONT EDIT'!$A$1:$B$15,2,FALSE),+ROW(B198)),TRUE):INDIRECT(+CONCATENATE(+VLOOKUP('2022 Budget &amp; CF'!$X$4,'Data Tables DONT EDIT'!$A$1:$B$15,2,FALSE),+ROW(B198)),TRUE)))</f>
        <v>7568.88</v>
      </c>
      <c r="Y198" s="314">
        <f t="shared" ca="1" si="146"/>
        <v>0.65571168673655034</v>
      </c>
      <c r="Z198" s="115">
        <v>11543</v>
      </c>
      <c r="AA198" s="117">
        <v>11543</v>
      </c>
      <c r="AB198" s="117">
        <f t="shared" si="168"/>
        <v>0</v>
      </c>
      <c r="AC198" s="358">
        <f t="shared" ca="1" si="147"/>
        <v>0.65571168673655034</v>
      </c>
      <c r="AD198" s="3" t="s">
        <v>806</v>
      </c>
      <c r="AF198" s="62"/>
    </row>
    <row r="199" spans="1:32" outlineLevel="1" x14ac:dyDescent="0.2">
      <c r="A199" s="366" t="s">
        <v>739</v>
      </c>
      <c r="B199" s="88" t="s">
        <v>220</v>
      </c>
      <c r="C199" s="102">
        <v>100</v>
      </c>
      <c r="D199" s="102" t="s">
        <v>145</v>
      </c>
      <c r="E199" s="102"/>
      <c r="F199" s="102">
        <v>100</v>
      </c>
      <c r="G199" s="102" t="s">
        <v>458</v>
      </c>
      <c r="H199" s="102" t="s">
        <v>221</v>
      </c>
      <c r="I199" s="102"/>
      <c r="J199" s="12">
        <v>0</v>
      </c>
      <c r="K199" s="12">
        <v>500</v>
      </c>
      <c r="L199" s="12">
        <v>700</v>
      </c>
      <c r="M199" s="12">
        <v>400</v>
      </c>
      <c r="N199" s="12">
        <v>250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/>
      <c r="X199" s="121">
        <f ca="1">+IF($X$4="NA",0,SUM(INDIRECT(+CONCATENATE(+VLOOKUP('2022 Budget &amp; CF'!$X$1,'Data Tables DONT EDIT'!$A$1:$B$15,2,FALSE),+ROW(B199)),TRUE):INDIRECT(+CONCATENATE(+VLOOKUP('2022 Budget &amp; CF'!$X$4,'Data Tables DONT EDIT'!$A$1:$B$15,2,FALSE),+ROW(B199)),TRUE)))</f>
        <v>1850</v>
      </c>
      <c r="Y199" s="314">
        <f t="shared" ca="1" si="146"/>
        <v>0.185</v>
      </c>
      <c r="Z199" s="115">
        <v>10000</v>
      </c>
      <c r="AA199" s="117">
        <v>10000</v>
      </c>
      <c r="AB199" s="117">
        <f t="shared" si="111"/>
        <v>0</v>
      </c>
      <c r="AC199" s="358">
        <f t="shared" ca="1" si="147"/>
        <v>0.185</v>
      </c>
      <c r="AD199" s="355"/>
      <c r="AF199" s="62"/>
    </row>
    <row r="200" spans="1:32" outlineLevel="1" x14ac:dyDescent="0.2">
      <c r="A200" s="366" t="s">
        <v>740</v>
      </c>
      <c r="B200" s="88" t="s">
        <v>222</v>
      </c>
      <c r="C200" s="102">
        <v>100</v>
      </c>
      <c r="D200" s="102" t="s">
        <v>145</v>
      </c>
      <c r="E200" s="102"/>
      <c r="F200" s="102">
        <v>100</v>
      </c>
      <c r="G200" s="102" t="s">
        <v>479</v>
      </c>
      <c r="H200" s="102" t="s">
        <v>223</v>
      </c>
      <c r="I200" s="102"/>
      <c r="J200" s="12">
        <v>0</v>
      </c>
      <c r="K200" s="12">
        <v>408.79</v>
      </c>
      <c r="L200" s="12">
        <v>0</v>
      </c>
      <c r="M200" s="12">
        <v>345.6</v>
      </c>
      <c r="N200" s="12">
        <v>345.6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/>
      <c r="X200" s="121">
        <f ca="1">+IF($X$4="NA",0,SUM(INDIRECT(+CONCATENATE(+VLOOKUP('2022 Budget &amp; CF'!$X$1,'Data Tables DONT EDIT'!$A$1:$B$15,2,FALSE),+ROW(B200)),TRUE):INDIRECT(+CONCATENATE(+VLOOKUP('2022 Budget &amp; CF'!$X$4,'Data Tables DONT EDIT'!$A$1:$B$15,2,FALSE),+ROW(B200)),TRUE)))</f>
        <v>1099.9900000000002</v>
      </c>
      <c r="Y200" s="314">
        <f t="shared" ca="1" si="146"/>
        <v>0.15126375137513753</v>
      </c>
      <c r="Z200" s="115">
        <v>7272</v>
      </c>
      <c r="AA200" s="117">
        <v>7272</v>
      </c>
      <c r="AB200" s="117">
        <f t="shared" si="111"/>
        <v>0</v>
      </c>
      <c r="AC200" s="358">
        <f t="shared" ca="1" si="147"/>
        <v>0.15126375137513753</v>
      </c>
      <c r="AF200" s="62"/>
    </row>
    <row r="201" spans="1:32" outlineLevel="1" x14ac:dyDescent="0.2">
      <c r="A201" s="366" t="s">
        <v>741</v>
      </c>
      <c r="B201" s="88" t="s">
        <v>949</v>
      </c>
      <c r="C201" s="102">
        <v>100</v>
      </c>
      <c r="D201" s="102" t="s">
        <v>145</v>
      </c>
      <c r="E201" s="102"/>
      <c r="F201" s="102">
        <v>100</v>
      </c>
      <c r="G201" s="102" t="s">
        <v>479</v>
      </c>
      <c r="H201" s="102" t="s">
        <v>225</v>
      </c>
      <c r="I201" s="102"/>
      <c r="J201" s="12">
        <v>519.47</v>
      </c>
      <c r="K201" s="12">
        <v>114.36999999999999</v>
      </c>
      <c r="L201" s="12">
        <v>121.99</v>
      </c>
      <c r="M201" s="12">
        <v>571.98</v>
      </c>
      <c r="N201" s="12">
        <v>121.99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/>
      <c r="X201" s="121">
        <f ca="1">+IF($X$4="NA",0,SUM(INDIRECT(+CONCATENATE(+VLOOKUP('2022 Budget &amp; CF'!$X$1,'Data Tables DONT EDIT'!$A$1:$B$15,2,FALSE),+ROW(B201)),TRUE):INDIRECT(+CONCATENATE(+VLOOKUP('2022 Budget &amp; CF'!$X$4,'Data Tables DONT EDIT'!$A$1:$B$15,2,FALSE),+ROW(B201)),TRUE)))</f>
        <v>1449.8</v>
      </c>
      <c r="Y201" s="314">
        <f t="shared" ca="1" si="146"/>
        <v>0.34725748502994008</v>
      </c>
      <c r="Z201" s="115">
        <v>4175</v>
      </c>
      <c r="AA201" s="117">
        <v>4175</v>
      </c>
      <c r="AB201" s="117">
        <f t="shared" ref="AB201:AB205" si="169">AA201-Z201</f>
        <v>0</v>
      </c>
      <c r="AC201" s="358">
        <f t="shared" ref="AC201:AC205" ca="1" si="170">IFERROR(X201/AA201,0)</f>
        <v>0.34725748502994008</v>
      </c>
      <c r="AF201" s="62"/>
    </row>
    <row r="202" spans="1:32" outlineLevel="1" x14ac:dyDescent="0.2">
      <c r="A202" s="366" t="s">
        <v>742</v>
      </c>
      <c r="B202" s="88" t="s">
        <v>1122</v>
      </c>
      <c r="C202" s="102">
        <v>100</v>
      </c>
      <c r="D202" s="102" t="s">
        <v>145</v>
      </c>
      <c r="E202" s="102"/>
      <c r="F202" s="102">
        <v>100</v>
      </c>
      <c r="G202" s="102" t="s">
        <v>476</v>
      </c>
      <c r="H202" s="102" t="s">
        <v>226</v>
      </c>
      <c r="I202" s="102"/>
      <c r="J202" s="12">
        <v>150</v>
      </c>
      <c r="K202" s="12">
        <v>580.91</v>
      </c>
      <c r="L202" s="12">
        <v>1052.1399999999999</v>
      </c>
      <c r="M202" s="12">
        <v>1013.7</v>
      </c>
      <c r="N202" s="12">
        <v>1000.23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/>
      <c r="X202" s="121">
        <f ca="1">+IF($X$4="NA",0,SUM(INDIRECT(+CONCATENATE(+VLOOKUP('2022 Budget &amp; CF'!$X$1,'Data Tables DONT EDIT'!$A$1:$B$15,2,FALSE),+ROW(B202)),TRUE):INDIRECT(+CONCATENATE(+VLOOKUP('2022 Budget &amp; CF'!$X$4,'Data Tables DONT EDIT'!$A$1:$B$15,2,FALSE),+ROW(B202)),TRUE)))</f>
        <v>3796.98</v>
      </c>
      <c r="Y202" s="314">
        <f t="shared" ca="1" si="146"/>
        <v>9.4924499999999995E-2</v>
      </c>
      <c r="Z202" s="115">
        <v>40000</v>
      </c>
      <c r="AA202" s="117">
        <v>29000</v>
      </c>
      <c r="AB202" s="117">
        <f t="shared" si="169"/>
        <v>-11000</v>
      </c>
      <c r="AC202" s="358">
        <f t="shared" ca="1" si="170"/>
        <v>0.1309303448275862</v>
      </c>
      <c r="AF202" s="62"/>
    </row>
    <row r="203" spans="1:32" outlineLevel="1" x14ac:dyDescent="0.2">
      <c r="A203" s="366" t="s">
        <v>743</v>
      </c>
      <c r="B203" s="88" t="s">
        <v>1123</v>
      </c>
      <c r="C203" s="102">
        <v>100</v>
      </c>
      <c r="D203" s="102" t="s">
        <v>145</v>
      </c>
      <c r="E203" s="102"/>
      <c r="F203" s="102">
        <v>100</v>
      </c>
      <c r="G203" s="102" t="s">
        <v>477</v>
      </c>
      <c r="H203" s="102" t="s">
        <v>226</v>
      </c>
      <c r="I203" s="102"/>
      <c r="J203" s="12">
        <v>0</v>
      </c>
      <c r="K203" s="12">
        <v>0</v>
      </c>
      <c r="L203" s="12">
        <v>369.78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/>
      <c r="X203" s="121">
        <f ca="1">+IF($X$4="NA",0,SUM(INDIRECT(+CONCATENATE(+VLOOKUP('2022 Budget &amp; CF'!$X$1,'Data Tables DONT EDIT'!$A$1:$B$15,2,FALSE),+ROW(B203)),TRUE):INDIRECT(+CONCATENATE(+VLOOKUP('2022 Budget &amp; CF'!$X$4,'Data Tables DONT EDIT'!$A$1:$B$15,2,FALSE),+ROW(B203)),TRUE)))</f>
        <v>369.78</v>
      </c>
      <c r="Y203" s="314">
        <f t="shared" ref="Y203" ca="1" si="171">IFERROR(X203/Z203,0)</f>
        <v>0</v>
      </c>
      <c r="Z203" s="115">
        <v>0</v>
      </c>
      <c r="AA203" s="117">
        <v>1000</v>
      </c>
      <c r="AB203" s="117">
        <f t="shared" si="169"/>
        <v>1000</v>
      </c>
      <c r="AC203" s="358">
        <f t="shared" ca="1" si="170"/>
        <v>0.36978</v>
      </c>
      <c r="AF203" s="62"/>
    </row>
    <row r="204" spans="1:32" outlineLevel="1" x14ac:dyDescent="0.2">
      <c r="A204" s="366" t="s">
        <v>744</v>
      </c>
      <c r="B204" s="88" t="s">
        <v>1124</v>
      </c>
      <c r="C204" s="102">
        <v>100</v>
      </c>
      <c r="D204" s="102" t="s">
        <v>145</v>
      </c>
      <c r="E204" s="102"/>
      <c r="F204" s="102">
        <v>100</v>
      </c>
      <c r="G204" s="102" t="s">
        <v>1051</v>
      </c>
      <c r="H204" s="104" t="s">
        <v>226</v>
      </c>
      <c r="I204" s="102"/>
      <c r="J204" s="12">
        <v>252.56</v>
      </c>
      <c r="K204" s="12">
        <v>246.15</v>
      </c>
      <c r="L204" s="12">
        <v>231.66</v>
      </c>
      <c r="M204" s="12">
        <v>243.95</v>
      </c>
      <c r="N204" s="12">
        <v>197.52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/>
      <c r="X204" s="121">
        <f ca="1">+IF($X$4="NA",0,SUM(INDIRECT(+CONCATENATE(+VLOOKUP('2022 Budget &amp; CF'!$X$1,'Data Tables DONT EDIT'!$A$1:$B$15,2,FALSE),+ROW(B204)),TRUE):INDIRECT(+CONCATENATE(+VLOOKUP('2022 Budget &amp; CF'!$X$4,'Data Tables DONT EDIT'!$A$1:$B$15,2,FALSE),+ROW(B204)),TRUE)))</f>
        <v>1171.8399999999999</v>
      </c>
      <c r="Y204" s="314">
        <f t="shared" ref="Y204" ca="1" si="172">IFERROR(X204/Z204,0)</f>
        <v>0</v>
      </c>
      <c r="Z204" s="115">
        <v>0</v>
      </c>
      <c r="AA204" s="117">
        <v>1172</v>
      </c>
      <c r="AB204" s="117">
        <f t="shared" si="169"/>
        <v>1172</v>
      </c>
      <c r="AC204" s="358">
        <f t="shared" ca="1" si="170"/>
        <v>0.99986348122866886</v>
      </c>
      <c r="AF204" s="62"/>
    </row>
    <row r="205" spans="1:32" outlineLevel="1" x14ac:dyDescent="0.2">
      <c r="A205" s="366" t="s">
        <v>745</v>
      </c>
      <c r="B205" s="88" t="s">
        <v>951</v>
      </c>
      <c r="C205" s="102">
        <v>100</v>
      </c>
      <c r="D205" s="102" t="s">
        <v>145</v>
      </c>
      <c r="E205" s="102"/>
      <c r="F205" s="102">
        <v>100</v>
      </c>
      <c r="G205" s="102" t="s">
        <v>478</v>
      </c>
      <c r="H205" s="102" t="s">
        <v>227</v>
      </c>
      <c r="I205" s="102"/>
      <c r="J205" s="12">
        <v>227.21</v>
      </c>
      <c r="K205" s="12">
        <v>0</v>
      </c>
      <c r="L205" s="12">
        <v>0</v>
      </c>
      <c r="M205" s="12">
        <v>514.53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/>
      <c r="X205" s="121">
        <f ca="1">+IF($X$4="NA",0,SUM(INDIRECT(+CONCATENATE(+VLOOKUP('2022 Budget &amp; CF'!$X$1,'Data Tables DONT EDIT'!$A$1:$B$15,2,FALSE),+ROW(B205)),TRUE):INDIRECT(+CONCATENATE(+VLOOKUP('2022 Budget &amp; CF'!$X$4,'Data Tables DONT EDIT'!$A$1:$B$15,2,FALSE),+ROW(B205)),TRUE)))</f>
        <v>741.74</v>
      </c>
      <c r="Y205" s="314">
        <f t="shared" ca="1" si="146"/>
        <v>0.37086999999999998</v>
      </c>
      <c r="Z205" s="115">
        <v>2000</v>
      </c>
      <c r="AA205" s="117">
        <v>2000</v>
      </c>
      <c r="AB205" s="117">
        <f t="shared" si="169"/>
        <v>0</v>
      </c>
      <c r="AC205" s="358">
        <f t="shared" ca="1" si="170"/>
        <v>0.37086999999999998</v>
      </c>
      <c r="AF205" s="62"/>
    </row>
    <row r="206" spans="1:32" outlineLevel="1" x14ac:dyDescent="0.2">
      <c r="A206" s="366" t="s">
        <v>746</v>
      </c>
      <c r="B206" s="460" t="s">
        <v>228</v>
      </c>
      <c r="C206" s="132"/>
      <c r="D206" s="132"/>
      <c r="E206" s="132"/>
      <c r="F206" s="132"/>
      <c r="G206" s="132"/>
      <c r="H206" s="132"/>
      <c r="I206" s="132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463"/>
      <c r="Z206" s="271"/>
      <c r="AA206" s="271"/>
      <c r="AB206" s="271"/>
      <c r="AC206" s="462">
        <f t="shared" si="147"/>
        <v>0</v>
      </c>
      <c r="AF206" s="62"/>
    </row>
    <row r="207" spans="1:32" outlineLevel="1" x14ac:dyDescent="0.2">
      <c r="A207" s="366" t="s">
        <v>747</v>
      </c>
      <c r="B207" s="88" t="s">
        <v>229</v>
      </c>
      <c r="C207" s="102">
        <v>100</v>
      </c>
      <c r="D207" s="102" t="s">
        <v>145</v>
      </c>
      <c r="E207" s="102"/>
      <c r="F207" s="102">
        <v>100</v>
      </c>
      <c r="G207" s="102" t="s">
        <v>481</v>
      </c>
      <c r="H207" s="102" t="s">
        <v>230</v>
      </c>
      <c r="I207" s="102"/>
      <c r="J207" s="12">
        <v>1401.95</v>
      </c>
      <c r="K207" s="12">
        <v>852.7</v>
      </c>
      <c r="L207" s="12">
        <v>1040.55</v>
      </c>
      <c r="M207" s="12">
        <v>1334.37</v>
      </c>
      <c r="N207" s="12">
        <v>891.16000000000008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/>
      <c r="X207" s="121">
        <f ca="1">+IF($X$4="NA",0,SUM(INDIRECT(+CONCATENATE(+VLOOKUP('2022 Budget &amp; CF'!$X$1,'Data Tables DONT EDIT'!$A$1:$B$15,2,FALSE),+ROW(B207)),TRUE):INDIRECT(+CONCATENATE(+VLOOKUP('2022 Budget &amp; CF'!$X$4,'Data Tables DONT EDIT'!$A$1:$B$15,2,FALSE),+ROW(B207)),TRUE)))</f>
        <v>5520.73</v>
      </c>
      <c r="Y207" s="314">
        <f t="shared" ca="1" si="146"/>
        <v>0.69009124999999993</v>
      </c>
      <c r="Z207" s="115">
        <v>8000</v>
      </c>
      <c r="AA207" s="117">
        <v>8000</v>
      </c>
      <c r="AB207" s="117">
        <f t="shared" si="111"/>
        <v>0</v>
      </c>
      <c r="AC207" s="358">
        <f t="shared" ca="1" si="147"/>
        <v>0.69009124999999993</v>
      </c>
      <c r="AF207" s="62"/>
    </row>
    <row r="208" spans="1:32" outlineLevel="1" x14ac:dyDescent="0.2">
      <c r="A208" s="366" t="s">
        <v>748</v>
      </c>
      <c r="B208" s="88" t="s">
        <v>231</v>
      </c>
      <c r="C208" s="102">
        <v>100</v>
      </c>
      <c r="D208" s="102" t="s">
        <v>145</v>
      </c>
      <c r="E208" s="102"/>
      <c r="F208" s="102">
        <v>100</v>
      </c>
      <c r="G208" s="102" t="s">
        <v>481</v>
      </c>
      <c r="H208" s="102" t="s">
        <v>232</v>
      </c>
      <c r="I208" s="102"/>
      <c r="J208" s="12">
        <v>561.28</v>
      </c>
      <c r="K208" s="12">
        <v>0</v>
      </c>
      <c r="L208" s="12">
        <v>559.04999999999995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/>
      <c r="X208" s="121">
        <f ca="1">+IF($X$4="NA",0,SUM(INDIRECT(+CONCATENATE(+VLOOKUP('2022 Budget &amp; CF'!$X$1,'Data Tables DONT EDIT'!$A$1:$B$15,2,FALSE),+ROW(B208)),TRUE):INDIRECT(+CONCATENATE(+VLOOKUP('2022 Budget &amp; CF'!$X$4,'Data Tables DONT EDIT'!$A$1:$B$15,2,FALSE),+ROW(B208)),TRUE)))</f>
        <v>1120.33</v>
      </c>
      <c r="Y208" s="314">
        <f ca="1">IFERROR(X208/Z208,0)</f>
        <v>0.13337261904761905</v>
      </c>
      <c r="Z208" s="115">
        <v>8400</v>
      </c>
      <c r="AA208" s="117">
        <v>4080</v>
      </c>
      <c r="AB208" s="117">
        <f>AA208-Z208</f>
        <v>-4320</v>
      </c>
      <c r="AC208" s="358">
        <f ca="1">IFERROR(X208/AA208,0)</f>
        <v>0.27459068627450978</v>
      </c>
      <c r="AF208" s="62"/>
    </row>
    <row r="209" spans="1:32" outlineLevel="1" x14ac:dyDescent="0.2">
      <c r="A209" s="366" t="s">
        <v>463</v>
      </c>
      <c r="B209" s="88" t="s">
        <v>233</v>
      </c>
      <c r="C209" s="102">
        <v>100</v>
      </c>
      <c r="D209" s="102" t="s">
        <v>145</v>
      </c>
      <c r="E209" s="102"/>
      <c r="F209" s="102">
        <v>100</v>
      </c>
      <c r="G209" s="102" t="s">
        <v>481</v>
      </c>
      <c r="H209" s="104" t="s">
        <v>234</v>
      </c>
      <c r="I209" s="104"/>
      <c r="J209" s="12">
        <v>355</v>
      </c>
      <c r="K209" s="12">
        <v>1517</v>
      </c>
      <c r="L209" s="12">
        <v>1517</v>
      </c>
      <c r="M209" s="12">
        <v>1517</v>
      </c>
      <c r="N209" s="12">
        <v>2092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/>
      <c r="X209" s="121">
        <f ca="1">+IF($X$4="NA",0,SUM(INDIRECT(+CONCATENATE(+VLOOKUP('2022 Budget &amp; CF'!$X$1,'Data Tables DONT EDIT'!$A$1:$B$15,2,FALSE),+ROW(B209)),TRUE):INDIRECT(+CONCATENATE(+VLOOKUP('2022 Budget &amp; CF'!$X$4,'Data Tables DONT EDIT'!$A$1:$B$15,2,FALSE),+ROW(B209)),TRUE)))</f>
        <v>6998</v>
      </c>
      <c r="Y209" s="314">
        <f t="shared" ca="1" si="146"/>
        <v>0.19283549187103885</v>
      </c>
      <c r="Z209" s="115">
        <v>36290</v>
      </c>
      <c r="AA209" s="117">
        <f>36290*0.74</f>
        <v>26854.6</v>
      </c>
      <c r="AB209" s="117">
        <f>AA209-Z209</f>
        <v>-9435.4000000000015</v>
      </c>
      <c r="AC209" s="358">
        <f t="shared" ca="1" si="147"/>
        <v>0.26058850252843091</v>
      </c>
      <c r="AF209" s="62"/>
    </row>
    <row r="210" spans="1:32" outlineLevel="1" x14ac:dyDescent="0.2">
      <c r="A210" s="366" t="s">
        <v>130</v>
      </c>
      <c r="B210" s="88" t="s">
        <v>821</v>
      </c>
      <c r="C210" s="102">
        <v>100</v>
      </c>
      <c r="D210" s="102" t="s">
        <v>145</v>
      </c>
      <c r="E210" s="102"/>
      <c r="F210" s="102">
        <v>100</v>
      </c>
      <c r="G210" s="102" t="s">
        <v>481</v>
      </c>
      <c r="H210" s="104" t="s">
        <v>480</v>
      </c>
      <c r="I210" s="104"/>
      <c r="J210" s="12">
        <v>76.3</v>
      </c>
      <c r="K210" s="12">
        <v>76.3</v>
      </c>
      <c r="L210" s="12">
        <v>76.3</v>
      </c>
      <c r="M210" s="12">
        <v>76.3</v>
      </c>
      <c r="N210" s="12">
        <v>76.3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/>
      <c r="X210" s="121">
        <f ca="1">+IF($X$4="NA",0,SUM(INDIRECT(+CONCATENATE(+VLOOKUP('2022 Budget &amp; CF'!$X$1,'Data Tables DONT EDIT'!$A$1:$B$15,2,FALSE),+ROW(B210)),TRUE):INDIRECT(+CONCATENATE(+VLOOKUP('2022 Budget &amp; CF'!$X$4,'Data Tables DONT EDIT'!$A$1:$B$15,2,FALSE),+ROW(B210)),TRUE)))</f>
        <v>381.5</v>
      </c>
      <c r="Y210" s="314">
        <f t="shared" ca="1" si="146"/>
        <v>0.22708333333333333</v>
      </c>
      <c r="Z210" s="115">
        <v>1680</v>
      </c>
      <c r="AA210" s="117">
        <v>1680</v>
      </c>
      <c r="AB210" s="117">
        <f t="shared" si="111"/>
        <v>0</v>
      </c>
      <c r="AC210" s="358">
        <f t="shared" ca="1" si="147"/>
        <v>0.22708333333333333</v>
      </c>
      <c r="AF210" s="62"/>
    </row>
    <row r="211" spans="1:32" outlineLevel="1" x14ac:dyDescent="0.2">
      <c r="A211" s="366" t="s">
        <v>749</v>
      </c>
      <c r="B211" s="88" t="s">
        <v>822</v>
      </c>
      <c r="C211" s="102">
        <v>100</v>
      </c>
      <c r="D211" s="102" t="s">
        <v>145</v>
      </c>
      <c r="E211" s="102"/>
      <c r="F211" s="102" t="s">
        <v>468</v>
      </c>
      <c r="G211" s="102" t="s">
        <v>528</v>
      </c>
      <c r="H211" s="104" t="s">
        <v>480</v>
      </c>
      <c r="I211" s="104"/>
      <c r="J211" s="12">
        <v>360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/>
      <c r="X211" s="121">
        <f ca="1">+IF($X$4="NA",0,SUM(INDIRECT(+CONCATENATE(+VLOOKUP('2022 Budget &amp; CF'!$X$1,'Data Tables DONT EDIT'!$A$1:$B$15,2,FALSE),+ROW(B211)),TRUE):INDIRECT(+CONCATENATE(+VLOOKUP('2022 Budget &amp; CF'!$X$4,'Data Tables DONT EDIT'!$A$1:$B$15,2,FALSE),+ROW(B211)),TRUE)))</f>
        <v>360</v>
      </c>
      <c r="Y211" s="314">
        <f t="shared" ca="1" si="146"/>
        <v>3.5999999999999997E-2</v>
      </c>
      <c r="Z211" s="115">
        <v>10000</v>
      </c>
      <c r="AA211" s="117">
        <v>10000</v>
      </c>
      <c r="AB211" s="117">
        <f t="shared" ref="AB211:AB214" si="173">AA211-Z211</f>
        <v>0</v>
      </c>
      <c r="AC211" s="358">
        <f t="shared" ca="1" si="147"/>
        <v>3.5999999999999997E-2</v>
      </c>
      <c r="AF211" s="62"/>
    </row>
    <row r="212" spans="1:32" outlineLevel="1" x14ac:dyDescent="0.2">
      <c r="A212" s="366"/>
      <c r="B212" s="88" t="s">
        <v>1301</v>
      </c>
      <c r="C212" s="102">
        <v>100</v>
      </c>
      <c r="D212" s="102" t="s">
        <v>145</v>
      </c>
      <c r="E212" s="102"/>
      <c r="F212" s="102" t="s">
        <v>468</v>
      </c>
      <c r="G212" s="102" t="s">
        <v>1300</v>
      </c>
      <c r="H212" s="104" t="s">
        <v>480</v>
      </c>
      <c r="I212" s="104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1">
        <f ca="1">+IF($X$4="NA",0,SUM(INDIRECT(+CONCATENATE(+VLOOKUP('2022 Budget &amp; CF'!$X$1,'Data Tables DONT EDIT'!$A$1:$B$15,2,FALSE),+ROW(B212)),TRUE):INDIRECT(+CONCATENATE(+VLOOKUP('2022 Budget &amp; CF'!$X$4,'Data Tables DONT EDIT'!$A$1:$B$15,2,FALSE),+ROW(B212)),TRUE)))</f>
        <v>0</v>
      </c>
      <c r="Y212" s="314">
        <f t="shared" ref="Y212" ca="1" si="174">IFERROR(X212/Z212,0)</f>
        <v>0</v>
      </c>
      <c r="Z212" s="115">
        <v>0</v>
      </c>
      <c r="AA212" s="117">
        <v>0</v>
      </c>
      <c r="AB212" s="117">
        <f t="shared" ref="AB212" si="175">AA212-Z212</f>
        <v>0</v>
      </c>
      <c r="AC212" s="358">
        <f t="shared" ref="AC212" ca="1" si="176">IFERROR(X212/AA212,0)</f>
        <v>0</v>
      </c>
      <c r="AF212" s="62"/>
    </row>
    <row r="213" spans="1:32" outlineLevel="1" x14ac:dyDescent="0.2">
      <c r="A213" s="366" t="s">
        <v>750</v>
      </c>
      <c r="B213" s="88" t="s">
        <v>823</v>
      </c>
      <c r="C213" s="102">
        <v>100</v>
      </c>
      <c r="D213" s="102" t="s">
        <v>145</v>
      </c>
      <c r="E213" s="102"/>
      <c r="F213" s="102" t="s">
        <v>468</v>
      </c>
      <c r="G213" s="102" t="s">
        <v>540</v>
      </c>
      <c r="H213" s="104" t="s">
        <v>480</v>
      </c>
      <c r="I213" s="104"/>
      <c r="J213" s="12">
        <v>0</v>
      </c>
      <c r="K213" s="12">
        <v>560</v>
      </c>
      <c r="L213" s="12">
        <v>280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/>
      <c r="X213" s="121">
        <f ca="1">+IF($X$4="NA",0,SUM(INDIRECT(+CONCATENATE(+VLOOKUP('2022 Budget &amp; CF'!$X$1,'Data Tables DONT EDIT'!$A$1:$B$15,2,FALSE),+ROW(B213)),TRUE):INDIRECT(+CONCATENATE(+VLOOKUP('2022 Budget &amp; CF'!$X$4,'Data Tables DONT EDIT'!$A$1:$B$15,2,FALSE),+ROW(B213)),TRUE)))</f>
        <v>840</v>
      </c>
      <c r="Y213" s="314">
        <f t="shared" ca="1" si="146"/>
        <v>1</v>
      </c>
      <c r="Z213" s="115">
        <v>840</v>
      </c>
      <c r="AA213" s="117">
        <v>840</v>
      </c>
      <c r="AB213" s="117">
        <f t="shared" si="173"/>
        <v>0</v>
      </c>
      <c r="AC213" s="358">
        <f t="shared" ca="1" si="147"/>
        <v>1</v>
      </c>
      <c r="AF213" s="62"/>
    </row>
    <row r="214" spans="1:32" outlineLevel="1" x14ac:dyDescent="0.2">
      <c r="A214" s="366" t="s">
        <v>751</v>
      </c>
      <c r="B214" s="88" t="s">
        <v>820</v>
      </c>
      <c r="C214" s="102">
        <v>100</v>
      </c>
      <c r="D214" s="102" t="s">
        <v>145</v>
      </c>
      <c r="E214" s="102"/>
      <c r="F214" s="102">
        <v>100</v>
      </c>
      <c r="G214" s="102" t="s">
        <v>542</v>
      </c>
      <c r="H214" s="104" t="s">
        <v>480</v>
      </c>
      <c r="I214" s="104"/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/>
      <c r="X214" s="121">
        <f ca="1">+IF($X$4="NA",0,SUM(INDIRECT(+CONCATENATE(+VLOOKUP('2022 Budget &amp; CF'!$X$1,'Data Tables DONT EDIT'!$A$1:$B$15,2,FALSE),+ROW(B214)),TRUE):INDIRECT(+CONCATENATE(+VLOOKUP('2022 Budget &amp; CF'!$X$4,'Data Tables DONT EDIT'!$A$1:$B$15,2,FALSE),+ROW(B214)),TRUE)))</f>
        <v>0</v>
      </c>
      <c r="Y214" s="314">
        <f t="shared" ca="1" si="146"/>
        <v>0</v>
      </c>
      <c r="Z214" s="115">
        <v>563</v>
      </c>
      <c r="AA214" s="117">
        <v>563</v>
      </c>
      <c r="AB214" s="117">
        <f t="shared" si="173"/>
        <v>0</v>
      </c>
      <c r="AC214" s="358">
        <f t="shared" ca="1" si="147"/>
        <v>0</v>
      </c>
      <c r="AF214" s="62"/>
    </row>
    <row r="215" spans="1:32" outlineLevel="1" x14ac:dyDescent="0.2">
      <c r="A215" s="366" t="s">
        <v>132</v>
      </c>
      <c r="B215" s="88" t="s">
        <v>235</v>
      </c>
      <c r="C215" s="102">
        <v>100</v>
      </c>
      <c r="D215" s="102" t="s">
        <v>145</v>
      </c>
      <c r="E215" s="102"/>
      <c r="F215" s="102">
        <v>100</v>
      </c>
      <c r="G215" s="102" t="s">
        <v>481</v>
      </c>
      <c r="H215" s="102" t="s">
        <v>236</v>
      </c>
      <c r="I215" s="102"/>
      <c r="J215" s="12">
        <v>14046.08</v>
      </c>
      <c r="K215" s="12">
        <v>28469.919999999998</v>
      </c>
      <c r="L215" s="12">
        <v>177</v>
      </c>
      <c r="M215" s="12">
        <v>14323.46</v>
      </c>
      <c r="N215" s="12">
        <v>14323.46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/>
      <c r="X215" s="121">
        <f ca="1">+IF($X$4="NA",0,SUM(INDIRECT(+CONCATENATE(+VLOOKUP('2022 Budget &amp; CF'!$X$1,'Data Tables DONT EDIT'!$A$1:$B$15,2,FALSE),+ROW(B215)),TRUE):INDIRECT(+CONCATENATE(+VLOOKUP('2022 Budget &amp; CF'!$X$4,'Data Tables DONT EDIT'!$A$1:$B$15,2,FALSE),+ROW(B215)),TRUE)))</f>
        <v>71339.92</v>
      </c>
      <c r="Y215" s="314">
        <f t="shared" ref="Y215:Y290" ca="1" si="177">IFERROR(X215/Z215,0)</f>
        <v>0.42024481909541817</v>
      </c>
      <c r="Z215" s="115">
        <v>169758</v>
      </c>
      <c r="AA215" s="117">
        <f>ROUND((18742+19117*11)*0.74,0)</f>
        <v>169481</v>
      </c>
      <c r="AB215" s="117">
        <f t="shared" si="111"/>
        <v>-277</v>
      </c>
      <c r="AC215" s="358">
        <f t="shared" ref="AC215:AC290" ca="1" si="178">IFERROR(X215/AA215,0)</f>
        <v>0.42093166785657388</v>
      </c>
      <c r="AF215" s="62"/>
    </row>
    <row r="216" spans="1:32" outlineLevel="1" x14ac:dyDescent="0.2">
      <c r="A216" s="366" t="s">
        <v>752</v>
      </c>
      <c r="B216" s="88" t="s">
        <v>950</v>
      </c>
      <c r="C216" s="102">
        <v>100</v>
      </c>
      <c r="D216" s="102" t="s">
        <v>145</v>
      </c>
      <c r="E216" s="102"/>
      <c r="F216" s="102">
        <v>100</v>
      </c>
      <c r="G216" s="102" t="s">
        <v>524</v>
      </c>
      <c r="H216" s="104" t="s">
        <v>219</v>
      </c>
      <c r="I216" s="102"/>
      <c r="J216" s="12">
        <v>210</v>
      </c>
      <c r="K216" s="12">
        <v>210</v>
      </c>
      <c r="L216" s="12">
        <v>210</v>
      </c>
      <c r="M216" s="12">
        <v>210</v>
      </c>
      <c r="N216" s="12">
        <v>210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/>
      <c r="X216" s="121">
        <f ca="1">+IF($X$4="NA",0,SUM(INDIRECT(+CONCATENATE(+VLOOKUP('2022 Budget &amp; CF'!$X$1,'Data Tables DONT EDIT'!$A$1:$B$15,2,FALSE),+ROW(B216)),TRUE):INDIRECT(+CONCATENATE(+VLOOKUP('2022 Budget &amp; CF'!$X$4,'Data Tables DONT EDIT'!$A$1:$B$15,2,FALSE),+ROW(B216)),TRUE)))</f>
        <v>1050</v>
      </c>
      <c r="Y216" s="314">
        <f t="shared" ca="1" si="177"/>
        <v>0.41666666666666669</v>
      </c>
      <c r="Z216" s="115">
        <v>2520</v>
      </c>
      <c r="AA216" s="117">
        <v>2520</v>
      </c>
      <c r="AB216" s="117">
        <f t="shared" si="111"/>
        <v>0</v>
      </c>
      <c r="AC216" s="358">
        <f t="shared" ca="1" si="178"/>
        <v>0.41666666666666669</v>
      </c>
      <c r="AF216" s="62"/>
    </row>
    <row r="217" spans="1:32" outlineLevel="1" x14ac:dyDescent="0.2">
      <c r="A217" s="366" t="s">
        <v>753</v>
      </c>
      <c r="B217" s="88" t="s">
        <v>237</v>
      </c>
      <c r="C217" s="102">
        <v>100</v>
      </c>
      <c r="D217" s="102" t="s">
        <v>145</v>
      </c>
      <c r="E217" s="102"/>
      <c r="F217" s="102">
        <v>100</v>
      </c>
      <c r="G217" s="102" t="s">
        <v>481</v>
      </c>
      <c r="H217" s="102" t="s">
        <v>238</v>
      </c>
      <c r="I217" s="102"/>
      <c r="J217" s="12">
        <v>3336</v>
      </c>
      <c r="K217" s="12">
        <v>5696.73</v>
      </c>
      <c r="L217" s="12">
        <v>0</v>
      </c>
      <c r="M217" s="12">
        <v>51296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/>
      <c r="X217" s="121">
        <f ca="1">+IF($X$4="NA",0,SUM(INDIRECT(+CONCATENATE(+VLOOKUP('2022 Budget &amp; CF'!$X$1,'Data Tables DONT EDIT'!$A$1:$B$15,2,FALSE),+ROW(B217)),TRUE):INDIRECT(+CONCATENATE(+VLOOKUP('2022 Budget &amp; CF'!$X$4,'Data Tables DONT EDIT'!$A$1:$B$15,2,FALSE),+ROW(B217)),TRUE)))</f>
        <v>60328.729999999996</v>
      </c>
      <c r="Y217" s="314">
        <f t="shared" ca="1" si="177"/>
        <v>0.94213589655495511</v>
      </c>
      <c r="Z217" s="115">
        <v>64034</v>
      </c>
      <c r="AA217" s="117">
        <v>60329</v>
      </c>
      <c r="AB217" s="117">
        <f t="shared" si="111"/>
        <v>-3705</v>
      </c>
      <c r="AC217" s="358">
        <f t="shared" ca="1" si="178"/>
        <v>0.9999955245404365</v>
      </c>
      <c r="AF217" s="62"/>
    </row>
    <row r="218" spans="1:32" outlineLevel="1" x14ac:dyDescent="0.2">
      <c r="A218" s="366" t="s">
        <v>754</v>
      </c>
      <c r="B218" s="460" t="s">
        <v>239</v>
      </c>
      <c r="C218" s="132"/>
      <c r="D218" s="132"/>
      <c r="E218" s="132"/>
      <c r="F218" s="132"/>
      <c r="G218" s="132"/>
      <c r="H218" s="132"/>
      <c r="I218" s="132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463"/>
      <c r="Z218" s="271"/>
      <c r="AA218" s="271"/>
      <c r="AB218" s="271"/>
      <c r="AC218" s="462">
        <f t="shared" si="178"/>
        <v>0</v>
      </c>
      <c r="AF218" s="62"/>
    </row>
    <row r="219" spans="1:32" outlineLevel="1" x14ac:dyDescent="0.2">
      <c r="A219" s="366" t="s">
        <v>755</v>
      </c>
      <c r="B219" s="88" t="s">
        <v>239</v>
      </c>
      <c r="C219" s="102">
        <v>100</v>
      </c>
      <c r="D219" s="102" t="s">
        <v>145</v>
      </c>
      <c r="E219" s="102"/>
      <c r="F219" s="102">
        <v>100</v>
      </c>
      <c r="G219" s="102">
        <v>2700</v>
      </c>
      <c r="H219" s="102" t="s">
        <v>240</v>
      </c>
      <c r="I219" s="102"/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/>
      <c r="X219" s="121">
        <f ca="1">+IF($X$4="NA",0,SUM(INDIRECT(+CONCATENATE(+VLOOKUP('2022 Budget &amp; CF'!$X$1,'Data Tables DONT EDIT'!$A$1:$B$15,2,FALSE),+ROW(B219)),TRUE):INDIRECT(+CONCATENATE(+VLOOKUP('2022 Budget &amp; CF'!$X$4,'Data Tables DONT EDIT'!$A$1:$B$15,2,FALSE),+ROW(B219)),TRUE)))</f>
        <v>0</v>
      </c>
      <c r="Y219" s="314">
        <f t="shared" ca="1" si="177"/>
        <v>0</v>
      </c>
      <c r="Z219" s="115">
        <v>50000</v>
      </c>
      <c r="AA219" s="117">
        <v>25000</v>
      </c>
      <c r="AB219" s="117">
        <f t="shared" si="111"/>
        <v>-25000</v>
      </c>
      <c r="AC219" s="358">
        <f t="shared" ca="1" si="178"/>
        <v>0</v>
      </c>
      <c r="AF219" s="62"/>
    </row>
    <row r="220" spans="1:32" outlineLevel="1" x14ac:dyDescent="0.2">
      <c r="A220" s="366" t="s">
        <v>756</v>
      </c>
      <c r="B220" s="460" t="s">
        <v>525</v>
      </c>
      <c r="C220" s="132"/>
      <c r="D220" s="132"/>
      <c r="E220" s="132"/>
      <c r="F220" s="132"/>
      <c r="G220" s="132"/>
      <c r="H220" s="132"/>
      <c r="I220" s="132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463"/>
      <c r="Z220" s="271"/>
      <c r="AA220" s="271"/>
      <c r="AB220" s="271"/>
      <c r="AC220" s="462">
        <f t="shared" si="178"/>
        <v>0</v>
      </c>
      <c r="AF220" s="62"/>
    </row>
    <row r="221" spans="1:32" outlineLevel="1" x14ac:dyDescent="0.2">
      <c r="A221" s="366" t="s">
        <v>757</v>
      </c>
      <c r="B221" s="88" t="s">
        <v>527</v>
      </c>
      <c r="C221" s="102">
        <v>100</v>
      </c>
      <c r="D221" s="102" t="s">
        <v>145</v>
      </c>
      <c r="E221" s="102"/>
      <c r="F221" s="102">
        <v>100</v>
      </c>
      <c r="G221" s="102" t="s">
        <v>526</v>
      </c>
      <c r="H221" s="102" t="s">
        <v>480</v>
      </c>
      <c r="I221" s="102"/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/>
      <c r="X221" s="121">
        <f ca="1">+IF($X$4="NA",0,SUM(INDIRECT(+CONCATENATE(+VLOOKUP('2022 Budget &amp; CF'!$X$1,'Data Tables DONT EDIT'!$A$1:$B$15,2,FALSE),+ROW(B221)),TRUE):INDIRECT(+CONCATENATE(+VLOOKUP('2022 Budget &amp; CF'!$X$4,'Data Tables DONT EDIT'!$A$1:$B$15,2,FALSE),+ROW(B221)),TRUE)))</f>
        <v>0</v>
      </c>
      <c r="Y221" s="314">
        <f t="shared" ca="1" si="177"/>
        <v>0</v>
      </c>
      <c r="Z221" s="115">
        <v>0</v>
      </c>
      <c r="AA221" s="117">
        <v>0</v>
      </c>
      <c r="AB221" s="117">
        <f t="shared" ref="AB221" si="179">AA221-Z221</f>
        <v>0</v>
      </c>
      <c r="AC221" s="358">
        <f t="shared" ca="1" si="178"/>
        <v>0</v>
      </c>
      <c r="AF221" s="62"/>
    </row>
    <row r="222" spans="1:32" outlineLevel="1" x14ac:dyDescent="0.2">
      <c r="A222" s="366" t="s">
        <v>758</v>
      </c>
      <c r="B222" s="460" t="s">
        <v>469</v>
      </c>
      <c r="C222" s="464"/>
      <c r="D222" s="132"/>
      <c r="E222" s="132"/>
      <c r="F222" s="132"/>
      <c r="G222" s="132"/>
      <c r="H222" s="132"/>
      <c r="I222" s="132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463"/>
      <c r="Z222" s="271"/>
      <c r="AA222" s="271"/>
      <c r="AB222" s="271"/>
      <c r="AC222" s="462">
        <f t="shared" ref="AC222:AC223" si="180">IFERROR(X222/AA222,0)</f>
        <v>0</v>
      </c>
      <c r="AF222" s="62"/>
    </row>
    <row r="223" spans="1:32" outlineLevel="1" x14ac:dyDescent="0.2">
      <c r="A223" s="366" t="s">
        <v>759</v>
      </c>
      <c r="B223" s="88" t="s">
        <v>926</v>
      </c>
      <c r="C223" s="102" t="s">
        <v>473</v>
      </c>
      <c r="D223" s="102" t="s">
        <v>470</v>
      </c>
      <c r="E223" s="102"/>
      <c r="F223" s="102" t="s">
        <v>557</v>
      </c>
      <c r="G223" s="102" t="s">
        <v>461</v>
      </c>
      <c r="H223" s="102" t="s">
        <v>203</v>
      </c>
      <c r="I223" s="102"/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/>
      <c r="X223" s="121">
        <f ca="1">+IF($X$4="NA",0,SUM(INDIRECT(+CONCATENATE(+VLOOKUP('2022 Budget &amp; CF'!$X$1,'Data Tables DONT EDIT'!$A$1:$B$15,2,FALSE),+ROW(B223)),TRUE):INDIRECT(+CONCATENATE(+VLOOKUP('2022 Budget &amp; CF'!$X$4,'Data Tables DONT EDIT'!$A$1:$B$15,2,FALSE),+ROW(B223)),TRUE)))</f>
        <v>0</v>
      </c>
      <c r="Y223" s="314">
        <f t="shared" ref="Y223" ca="1" si="181">IFERROR(X223/Z223,0)</f>
        <v>0</v>
      </c>
      <c r="Z223" s="115">
        <v>0</v>
      </c>
      <c r="AA223" s="117">
        <v>0</v>
      </c>
      <c r="AB223" s="117">
        <f t="shared" ref="AB223" si="182">AA223-Z223</f>
        <v>0</v>
      </c>
      <c r="AC223" s="358">
        <f t="shared" ca="1" si="180"/>
        <v>0</v>
      </c>
      <c r="AF223" s="62"/>
    </row>
    <row r="224" spans="1:32" outlineLevel="1" x14ac:dyDescent="0.2">
      <c r="A224" s="366" t="s">
        <v>760</v>
      </c>
      <c r="B224" s="460" t="s">
        <v>512</v>
      </c>
      <c r="C224" s="132"/>
      <c r="D224" s="132"/>
      <c r="E224" s="132"/>
      <c r="F224" s="132"/>
      <c r="G224" s="132"/>
      <c r="H224" s="132"/>
      <c r="I224" s="132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463"/>
      <c r="Z224" s="271"/>
      <c r="AA224" s="271"/>
      <c r="AB224" s="271"/>
      <c r="AC224" s="462">
        <f t="shared" si="178"/>
        <v>0</v>
      </c>
      <c r="AF224" s="62"/>
    </row>
    <row r="225" spans="1:32" outlineLevel="1" x14ac:dyDescent="0.2">
      <c r="A225" s="366" t="s">
        <v>761</v>
      </c>
      <c r="B225" s="88" t="s">
        <v>825</v>
      </c>
      <c r="C225" s="102" t="s">
        <v>473</v>
      </c>
      <c r="D225" s="102" t="s">
        <v>472</v>
      </c>
      <c r="E225" s="102"/>
      <c r="F225" s="102">
        <v>100</v>
      </c>
      <c r="G225" s="102" t="s">
        <v>479</v>
      </c>
      <c r="H225" s="104" t="s">
        <v>225</v>
      </c>
      <c r="I225" s="102"/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/>
      <c r="X225" s="121">
        <f ca="1">+IF($X$4="NA",0,SUM(INDIRECT(+CONCATENATE(+VLOOKUP('2022 Budget &amp; CF'!$X$1,'Data Tables DONT EDIT'!$A$1:$B$15,2,FALSE),+ROW(B225)),TRUE):INDIRECT(+CONCATENATE(+VLOOKUP('2022 Budget &amp; CF'!$X$4,'Data Tables DONT EDIT'!$A$1:$B$15,2,FALSE),+ROW(B225)),TRUE)))</f>
        <v>0</v>
      </c>
      <c r="Y225" s="314">
        <f t="shared" ca="1" si="177"/>
        <v>0</v>
      </c>
      <c r="Z225" s="115">
        <v>0</v>
      </c>
      <c r="AA225" s="117">
        <v>0</v>
      </c>
      <c r="AB225" s="117">
        <f t="shared" ref="AB225:AB226" si="183">AA225-Z225</f>
        <v>0</v>
      </c>
      <c r="AC225" s="358">
        <f t="shared" ca="1" si="178"/>
        <v>0</v>
      </c>
      <c r="AF225" s="62"/>
    </row>
    <row r="226" spans="1:32" outlineLevel="1" x14ac:dyDescent="0.2">
      <c r="A226" s="366" t="s">
        <v>762</v>
      </c>
      <c r="B226" s="88" t="s">
        <v>1052</v>
      </c>
      <c r="C226" s="102" t="s">
        <v>473</v>
      </c>
      <c r="D226" s="102" t="s">
        <v>472</v>
      </c>
      <c r="E226" s="102"/>
      <c r="F226" s="102">
        <v>100</v>
      </c>
      <c r="G226" s="102" t="s">
        <v>477</v>
      </c>
      <c r="H226" s="104" t="s">
        <v>226</v>
      </c>
      <c r="I226" s="102"/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/>
      <c r="X226" s="121">
        <f ca="1">+IF($X$4="NA",0,SUM(INDIRECT(+CONCATENATE(+VLOOKUP('2022 Budget &amp; CF'!$X$1,'Data Tables DONT EDIT'!$A$1:$B$15,2,FALSE),+ROW(B226)),TRUE):INDIRECT(+CONCATENATE(+VLOOKUP('2022 Budget &amp; CF'!$X$4,'Data Tables DONT EDIT'!$A$1:$B$15,2,FALSE),+ROW(B226)),TRUE)))</f>
        <v>0</v>
      </c>
      <c r="Y226" s="314">
        <f t="shared" ref="Y226" ca="1" si="184">IFERROR(X226/Z226,0)</f>
        <v>0</v>
      </c>
      <c r="Z226" s="115">
        <v>0</v>
      </c>
      <c r="AA226" s="117">
        <v>0</v>
      </c>
      <c r="AB226" s="117">
        <f t="shared" si="183"/>
        <v>0</v>
      </c>
      <c r="AC226" s="358">
        <f t="shared" ref="AC226" ca="1" si="185">IFERROR(X226/AA226,0)</f>
        <v>0</v>
      </c>
      <c r="AF226" s="62"/>
    </row>
    <row r="227" spans="1:32" outlineLevel="1" x14ac:dyDescent="0.2">
      <c r="A227" s="366" t="s">
        <v>763</v>
      </c>
      <c r="B227" s="460" t="s">
        <v>42</v>
      </c>
      <c r="C227" s="464"/>
      <c r="D227" s="132"/>
      <c r="E227" s="132"/>
      <c r="F227" s="132"/>
      <c r="G227" s="132"/>
      <c r="H227" s="132"/>
      <c r="I227" s="132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463"/>
      <c r="Z227" s="271"/>
      <c r="AA227" s="271"/>
      <c r="AB227" s="271"/>
      <c r="AC227" s="462">
        <f t="shared" si="178"/>
        <v>0</v>
      </c>
      <c r="AF227" s="62"/>
    </row>
    <row r="228" spans="1:32" outlineLevel="1" x14ac:dyDescent="0.2">
      <c r="A228" s="366" t="s">
        <v>764</v>
      </c>
      <c r="B228" s="88" t="s">
        <v>945</v>
      </c>
      <c r="C228" s="102" t="s">
        <v>462</v>
      </c>
      <c r="D228" s="102" t="s">
        <v>132</v>
      </c>
      <c r="E228" s="102"/>
      <c r="F228" s="102" t="s">
        <v>463</v>
      </c>
      <c r="G228" s="102" t="s">
        <v>477</v>
      </c>
      <c r="H228" s="102" t="s">
        <v>207</v>
      </c>
      <c r="I228" s="102"/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/>
      <c r="X228" s="121">
        <f ca="1">+IF($X$4="NA",0,SUM(INDIRECT(+CONCATENATE(+VLOOKUP('2022 Budget &amp; CF'!$X$1,'Data Tables DONT EDIT'!$A$1:$B$15,2,FALSE),+ROW(B228)),TRUE):INDIRECT(+CONCATENATE(+VLOOKUP('2022 Budget &amp; CF'!$X$4,'Data Tables DONT EDIT'!$A$1:$B$15,2,FALSE),+ROW(B228)),TRUE)))</f>
        <v>0</v>
      </c>
      <c r="Y228" s="314">
        <f t="shared" ca="1" si="177"/>
        <v>0</v>
      </c>
      <c r="Z228" s="115">
        <v>253</v>
      </c>
      <c r="AA228" s="117">
        <v>253</v>
      </c>
      <c r="AB228" s="117">
        <f t="shared" ref="AB228:AB236" si="186">AA228-Z228</f>
        <v>0</v>
      </c>
      <c r="AC228" s="358">
        <f t="shared" ca="1" si="178"/>
        <v>0</v>
      </c>
      <c r="AF228" s="62"/>
    </row>
    <row r="229" spans="1:32" outlineLevel="1" x14ac:dyDescent="0.2">
      <c r="A229" s="366" t="s">
        <v>765</v>
      </c>
      <c r="B229" s="88" t="s">
        <v>827</v>
      </c>
      <c r="C229" s="102">
        <v>250</v>
      </c>
      <c r="D229" s="102" t="s">
        <v>145</v>
      </c>
      <c r="E229" s="102"/>
      <c r="F229" s="102">
        <v>200</v>
      </c>
      <c r="G229" s="102" t="s">
        <v>484</v>
      </c>
      <c r="H229" s="102" t="s">
        <v>203</v>
      </c>
      <c r="I229" s="102"/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/>
      <c r="X229" s="121">
        <f ca="1">+IF($X$4="NA",0,SUM(INDIRECT(+CONCATENATE(+VLOOKUP('2022 Budget &amp; CF'!$X$1,'Data Tables DONT EDIT'!$A$1:$B$15,2,FALSE),+ROW(B229)),TRUE):INDIRECT(+CONCATENATE(+VLOOKUP('2022 Budget &amp; CF'!$X$4,'Data Tables DONT EDIT'!$A$1:$B$15,2,FALSE),+ROW(B229)),TRUE)))</f>
        <v>0</v>
      </c>
      <c r="Y229" s="314">
        <f t="shared" ca="1" si="177"/>
        <v>0</v>
      </c>
      <c r="Z229" s="115">
        <v>0</v>
      </c>
      <c r="AA229" s="117">
        <v>0</v>
      </c>
      <c r="AB229" s="117">
        <f t="shared" ref="AB229:AB232" si="187">AA229-Z229</f>
        <v>0</v>
      </c>
      <c r="AC229" s="358">
        <f t="shared" ca="1" si="178"/>
        <v>0</v>
      </c>
      <c r="AF229" s="62"/>
    </row>
    <row r="230" spans="1:32" outlineLevel="1" x14ac:dyDescent="0.2">
      <c r="A230" s="366" t="s">
        <v>766</v>
      </c>
      <c r="B230" s="88" t="s">
        <v>828</v>
      </c>
      <c r="C230" s="102">
        <v>250</v>
      </c>
      <c r="D230" s="102" t="s">
        <v>145</v>
      </c>
      <c r="E230" s="102"/>
      <c r="F230" s="102">
        <v>200</v>
      </c>
      <c r="G230" s="102" t="s">
        <v>485</v>
      </c>
      <c r="H230" s="102" t="s">
        <v>203</v>
      </c>
      <c r="I230" s="102"/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/>
      <c r="X230" s="121">
        <f ca="1">+IF($X$4="NA",0,SUM(INDIRECT(+CONCATENATE(+VLOOKUP('2022 Budget &amp; CF'!$X$1,'Data Tables DONT EDIT'!$A$1:$B$15,2,FALSE),+ROW(B230)),TRUE):INDIRECT(+CONCATENATE(+VLOOKUP('2022 Budget &amp; CF'!$X$4,'Data Tables DONT EDIT'!$A$1:$B$15,2,FALSE),+ROW(B230)),TRUE)))</f>
        <v>0</v>
      </c>
      <c r="Y230" s="314">
        <f t="shared" ca="1" si="177"/>
        <v>0</v>
      </c>
      <c r="Z230" s="115">
        <v>0</v>
      </c>
      <c r="AA230" s="117">
        <v>0</v>
      </c>
      <c r="AB230" s="117">
        <f t="shared" si="187"/>
        <v>0</v>
      </c>
      <c r="AC230" s="358">
        <f t="shared" ca="1" si="178"/>
        <v>0</v>
      </c>
      <c r="AF230" s="62"/>
    </row>
    <row r="231" spans="1:32" outlineLevel="1" x14ac:dyDescent="0.2">
      <c r="A231" s="366" t="s">
        <v>767</v>
      </c>
      <c r="B231" s="88" t="s">
        <v>829</v>
      </c>
      <c r="C231" s="102">
        <v>250</v>
      </c>
      <c r="D231" s="102" t="s">
        <v>132</v>
      </c>
      <c r="E231" s="102"/>
      <c r="F231" s="102">
        <v>200</v>
      </c>
      <c r="G231" s="102" t="s">
        <v>486</v>
      </c>
      <c r="H231" s="102" t="s">
        <v>203</v>
      </c>
      <c r="I231" s="102"/>
      <c r="J231" s="12">
        <v>0</v>
      </c>
      <c r="K231" s="12">
        <v>0</v>
      </c>
      <c r="L231" s="12">
        <v>0</v>
      </c>
      <c r="M231" s="12">
        <v>245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/>
      <c r="X231" s="121">
        <f ca="1">+IF($X$4="NA",0,SUM(INDIRECT(+CONCATENATE(+VLOOKUP('2022 Budget &amp; CF'!$X$1,'Data Tables DONT EDIT'!$A$1:$B$15,2,FALSE),+ROW(B231)),TRUE):INDIRECT(+CONCATENATE(+VLOOKUP('2022 Budget &amp; CF'!$X$4,'Data Tables DONT EDIT'!$A$1:$B$15,2,FALSE),+ROW(B231)),TRUE)))</f>
        <v>245</v>
      </c>
      <c r="Y231" s="314">
        <f t="shared" ca="1" si="177"/>
        <v>1.5331664580725907E-2</v>
      </c>
      <c r="Z231" s="115">
        <f>15000+980</f>
        <v>15980</v>
      </c>
      <c r="AA231" s="117">
        <v>15980</v>
      </c>
      <c r="AB231" s="117">
        <f t="shared" si="187"/>
        <v>0</v>
      </c>
      <c r="AC231" s="358">
        <f t="shared" ca="1" si="178"/>
        <v>1.5331664580725907E-2</v>
      </c>
      <c r="AF231" s="62"/>
    </row>
    <row r="232" spans="1:32" outlineLevel="1" x14ac:dyDescent="0.2">
      <c r="A232" s="366" t="s">
        <v>768</v>
      </c>
      <c r="B232" s="88" t="s">
        <v>830</v>
      </c>
      <c r="C232" s="102">
        <v>250</v>
      </c>
      <c r="D232" s="102" t="s">
        <v>132</v>
      </c>
      <c r="E232" s="102"/>
      <c r="F232" s="102">
        <v>200</v>
      </c>
      <c r="G232" s="102" t="s">
        <v>487</v>
      </c>
      <c r="H232" s="102" t="s">
        <v>203</v>
      </c>
      <c r="I232" s="102"/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/>
      <c r="X232" s="121">
        <f ca="1">+IF($X$4="NA",0,SUM(INDIRECT(+CONCATENATE(+VLOOKUP('2022 Budget &amp; CF'!$X$1,'Data Tables DONT EDIT'!$A$1:$B$15,2,FALSE),+ROW(B232)),TRUE):INDIRECT(+CONCATENATE(+VLOOKUP('2022 Budget &amp; CF'!$X$4,'Data Tables DONT EDIT'!$A$1:$B$15,2,FALSE),+ROW(B232)),TRUE)))</f>
        <v>0</v>
      </c>
      <c r="Y232" s="314">
        <f t="shared" ca="1" si="177"/>
        <v>0</v>
      </c>
      <c r="Z232" s="115">
        <v>0</v>
      </c>
      <c r="AA232" s="117">
        <v>0</v>
      </c>
      <c r="AB232" s="117">
        <f t="shared" si="187"/>
        <v>0</v>
      </c>
      <c r="AC232" s="358">
        <f t="shared" ca="1" si="178"/>
        <v>0</v>
      </c>
      <c r="AF232" s="62"/>
    </row>
    <row r="233" spans="1:32" outlineLevel="1" x14ac:dyDescent="0.2">
      <c r="A233" s="366" t="s">
        <v>769</v>
      </c>
      <c r="B233" s="88" t="s">
        <v>233</v>
      </c>
      <c r="C233" s="102" t="s">
        <v>462</v>
      </c>
      <c r="D233" s="102" t="s">
        <v>132</v>
      </c>
      <c r="E233" s="102"/>
      <c r="F233" s="102" t="s">
        <v>463</v>
      </c>
      <c r="G233" s="102" t="s">
        <v>481</v>
      </c>
      <c r="H233" s="104" t="s">
        <v>234</v>
      </c>
      <c r="I233" s="102"/>
      <c r="J233" s="12">
        <v>145</v>
      </c>
      <c r="K233" s="12">
        <v>533</v>
      </c>
      <c r="L233" s="12">
        <v>533</v>
      </c>
      <c r="M233" s="12">
        <v>533</v>
      </c>
      <c r="N233" s="12">
        <v>533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/>
      <c r="X233" s="121">
        <f ca="1">+IF($X$4="NA",0,SUM(INDIRECT(+CONCATENATE(+VLOOKUP('2022 Budget &amp; CF'!$X$1,'Data Tables DONT EDIT'!$A$1:$B$15,2,FALSE),+ROW(B233)),TRUE):INDIRECT(+CONCATENATE(+VLOOKUP('2022 Budget &amp; CF'!$X$4,'Data Tables DONT EDIT'!$A$1:$B$15,2,FALSE),+ROW(B233)),TRUE)))</f>
        <v>2277</v>
      </c>
      <c r="Y233" s="314">
        <f t="shared" ca="1" si="177"/>
        <v>0.3829465186680121</v>
      </c>
      <c r="Z233" s="115">
        <v>5946</v>
      </c>
      <c r="AA233" s="117">
        <f>36290*0.26</f>
        <v>9435.4</v>
      </c>
      <c r="AB233" s="117">
        <f t="shared" si="186"/>
        <v>3489.3999999999996</v>
      </c>
      <c r="AC233" s="358">
        <f t="shared" ca="1" si="178"/>
        <v>0.24132522203616169</v>
      </c>
      <c r="AF233" s="62"/>
    </row>
    <row r="234" spans="1:32" outlineLevel="1" x14ac:dyDescent="0.2">
      <c r="A234" s="366" t="s">
        <v>770</v>
      </c>
      <c r="B234" s="88" t="s">
        <v>235</v>
      </c>
      <c r="C234" s="102" t="s">
        <v>462</v>
      </c>
      <c r="D234" s="102" t="s">
        <v>132</v>
      </c>
      <c r="E234" s="102"/>
      <c r="F234" s="102" t="s">
        <v>463</v>
      </c>
      <c r="G234" s="102" t="s">
        <v>481</v>
      </c>
      <c r="H234" s="102" t="s">
        <v>236</v>
      </c>
      <c r="I234" s="102"/>
      <c r="J234" s="12">
        <v>4872.92</v>
      </c>
      <c r="K234" s="12">
        <v>9940.76</v>
      </c>
      <c r="L234" s="12">
        <v>0</v>
      </c>
      <c r="M234" s="12">
        <v>4970.38</v>
      </c>
      <c r="N234" s="12">
        <v>4970.38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/>
      <c r="X234" s="121">
        <f ca="1">+IF($X$4="NA",0,SUM(INDIRECT(+CONCATENATE(+VLOOKUP('2022 Budget &amp; CF'!$X$1,'Data Tables DONT EDIT'!$A$1:$B$15,2,FALSE),+ROW(B234)),TRUE):INDIRECT(+CONCATENATE(+VLOOKUP('2022 Budget &amp; CF'!$X$4,'Data Tables DONT EDIT'!$A$1:$B$15,2,FALSE),+ROW(B234)),TRUE)))</f>
        <v>24754.440000000002</v>
      </c>
      <c r="Y234" s="314">
        <f t="shared" ca="1" si="177"/>
        <v>0.41502959175119458</v>
      </c>
      <c r="Z234" s="115">
        <v>59645</v>
      </c>
      <c r="AA234" s="117">
        <f>ROUND((18742+19117*11)*0.26,0)</f>
        <v>59548</v>
      </c>
      <c r="AB234" s="117">
        <f t="shared" si="186"/>
        <v>-97</v>
      </c>
      <c r="AC234" s="358">
        <f t="shared" ca="1" si="178"/>
        <v>0.41570564922415532</v>
      </c>
      <c r="AF234" s="62"/>
    </row>
    <row r="235" spans="1:32" outlineLevel="1" x14ac:dyDescent="0.2">
      <c r="A235" s="366" t="s">
        <v>771</v>
      </c>
      <c r="B235" s="88" t="s">
        <v>521</v>
      </c>
      <c r="C235" s="102" t="s">
        <v>462</v>
      </c>
      <c r="D235" s="102" t="s">
        <v>132</v>
      </c>
      <c r="E235" s="102"/>
      <c r="F235" s="102" t="s">
        <v>463</v>
      </c>
      <c r="G235" s="102" t="s">
        <v>478</v>
      </c>
      <c r="H235" s="102" t="s">
        <v>219</v>
      </c>
      <c r="I235" s="102"/>
      <c r="J235" s="12">
        <v>170.04</v>
      </c>
      <c r="K235" s="12">
        <v>170.04</v>
      </c>
      <c r="L235" s="12">
        <v>170.04</v>
      </c>
      <c r="M235" s="12">
        <v>170.04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/>
      <c r="X235" s="121">
        <f ca="1">+IF($X$4="NA",0,SUM(INDIRECT(+CONCATENATE(+VLOOKUP('2022 Budget &amp; CF'!$X$1,'Data Tables DONT EDIT'!$A$1:$B$15,2,FALSE),+ROW(B235)),TRUE):INDIRECT(+CONCATENATE(+VLOOKUP('2022 Budget &amp; CF'!$X$4,'Data Tables DONT EDIT'!$A$1:$B$15,2,FALSE),+ROW(B235)),TRUE)))</f>
        <v>680.16</v>
      </c>
      <c r="Y235" s="314">
        <f t="shared" ca="1" si="177"/>
        <v>0.33341176470588235</v>
      </c>
      <c r="Z235" s="115">
        <v>2040</v>
      </c>
      <c r="AA235" s="117">
        <v>2040</v>
      </c>
      <c r="AB235" s="117">
        <f t="shared" ref="AB235" si="188">AA235-Z235</f>
        <v>0</v>
      </c>
      <c r="AC235" s="358">
        <f t="shared" ca="1" si="178"/>
        <v>0.33341176470588235</v>
      </c>
      <c r="AF235" s="62"/>
    </row>
    <row r="236" spans="1:32" outlineLevel="1" x14ac:dyDescent="0.2">
      <c r="A236" s="366" t="s">
        <v>772</v>
      </c>
      <c r="B236" s="88" t="s">
        <v>529</v>
      </c>
      <c r="C236" s="102" t="s">
        <v>462</v>
      </c>
      <c r="D236" s="102" t="s">
        <v>132</v>
      </c>
      <c r="E236" s="102"/>
      <c r="F236" s="102" t="s">
        <v>463</v>
      </c>
      <c r="G236" s="102" t="s">
        <v>478</v>
      </c>
      <c r="H236" s="102" t="s">
        <v>227</v>
      </c>
      <c r="I236" s="102"/>
      <c r="J236" s="12">
        <v>79.83</v>
      </c>
      <c r="K236" s="12">
        <v>0</v>
      </c>
      <c r="L236" s="12">
        <v>0</v>
      </c>
      <c r="M236" s="12">
        <v>180.78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/>
      <c r="X236" s="121">
        <f ca="1">+IF($X$4="NA",0,SUM(INDIRECT(+CONCATENATE(+VLOOKUP('2022 Budget &amp; CF'!$X$1,'Data Tables DONT EDIT'!$A$1:$B$15,2,FALSE),+ROW(B236)),TRUE):INDIRECT(+CONCATENATE(+VLOOKUP('2022 Budget &amp; CF'!$X$4,'Data Tables DONT EDIT'!$A$1:$B$15,2,FALSE),+ROW(B236)),TRUE)))</f>
        <v>260.61</v>
      </c>
      <c r="Y236" s="314">
        <f t="shared" ca="1" si="177"/>
        <v>1.002346153846154</v>
      </c>
      <c r="Z236" s="115">
        <v>260</v>
      </c>
      <c r="AA236" s="117">
        <v>2000</v>
      </c>
      <c r="AB236" s="117">
        <f t="shared" si="186"/>
        <v>1740</v>
      </c>
      <c r="AC236" s="358">
        <f t="shared" ca="1" si="178"/>
        <v>0.130305</v>
      </c>
      <c r="AF236" s="62"/>
    </row>
    <row r="237" spans="1:32" outlineLevel="1" x14ac:dyDescent="0.2">
      <c r="A237" s="366" t="s">
        <v>773</v>
      </c>
      <c r="B237" s="460" t="s">
        <v>148</v>
      </c>
      <c r="C237" s="132"/>
      <c r="D237" s="132"/>
      <c r="E237" s="132"/>
      <c r="F237" s="132"/>
      <c r="G237" s="132"/>
      <c r="H237" s="132"/>
      <c r="I237" s="132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463"/>
      <c r="Z237" s="271"/>
      <c r="AA237" s="271"/>
      <c r="AB237" s="271"/>
      <c r="AC237" s="462">
        <f t="shared" si="178"/>
        <v>0</v>
      </c>
      <c r="AF237" s="62"/>
    </row>
    <row r="238" spans="1:32" outlineLevel="1" x14ac:dyDescent="0.2">
      <c r="A238" s="366" t="s">
        <v>774</v>
      </c>
      <c r="B238" s="88" t="s">
        <v>831</v>
      </c>
      <c r="C238" s="102" t="s">
        <v>832</v>
      </c>
      <c r="D238" s="104" t="s">
        <v>145</v>
      </c>
      <c r="E238" s="102"/>
      <c r="F238" s="102" t="s">
        <v>468</v>
      </c>
      <c r="G238" s="102" t="s">
        <v>489</v>
      </c>
      <c r="H238" s="104" t="s">
        <v>199</v>
      </c>
      <c r="I238" s="102"/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/>
      <c r="X238" s="121">
        <f ca="1">+IF($X$4="NA",0,SUM(INDIRECT(+CONCATENATE(+VLOOKUP('2022 Budget &amp; CF'!$X$1,'Data Tables DONT EDIT'!$A$1:$B$15,2,FALSE),+ROW(B238)),TRUE):INDIRECT(+CONCATENATE(+VLOOKUP('2022 Budget &amp; CF'!$X$4,'Data Tables DONT EDIT'!$A$1:$B$15,2,FALSE),+ROW(B238)),TRUE)))</f>
        <v>0</v>
      </c>
      <c r="Y238" s="314">
        <f t="shared" ca="1" si="177"/>
        <v>0</v>
      </c>
      <c r="Z238" s="115">
        <v>0</v>
      </c>
      <c r="AA238" s="117">
        <v>0</v>
      </c>
      <c r="AB238" s="117">
        <f t="shared" ref="AB238" si="189">AA238-Z238</f>
        <v>0</v>
      </c>
      <c r="AC238" s="358">
        <f t="shared" ca="1" si="178"/>
        <v>0</v>
      </c>
      <c r="AF238" s="62"/>
    </row>
    <row r="239" spans="1:32" outlineLevel="1" x14ac:dyDescent="0.2">
      <c r="A239" s="366" t="s">
        <v>775</v>
      </c>
      <c r="B239" s="460" t="s">
        <v>530</v>
      </c>
      <c r="C239" s="132"/>
      <c r="D239" s="132"/>
      <c r="E239" s="132"/>
      <c r="F239" s="132"/>
      <c r="G239" s="132"/>
      <c r="H239" s="132"/>
      <c r="I239" s="132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463"/>
      <c r="Z239" s="271"/>
      <c r="AA239" s="271"/>
      <c r="AB239" s="271"/>
      <c r="AC239" s="462">
        <f t="shared" si="178"/>
        <v>0</v>
      </c>
      <c r="AF239" s="62"/>
    </row>
    <row r="240" spans="1:32" outlineLevel="1" x14ac:dyDescent="0.2">
      <c r="A240" s="366" t="s">
        <v>133</v>
      </c>
      <c r="B240" s="88" t="s">
        <v>224</v>
      </c>
      <c r="C240" s="102">
        <v>280</v>
      </c>
      <c r="D240" s="104" t="s">
        <v>145</v>
      </c>
      <c r="E240" s="102"/>
      <c r="F240" s="102" t="s">
        <v>468</v>
      </c>
      <c r="G240" s="102" t="s">
        <v>461</v>
      </c>
      <c r="H240" s="104" t="s">
        <v>225</v>
      </c>
      <c r="I240" s="104"/>
      <c r="J240" s="12">
        <v>241.6</v>
      </c>
      <c r="K240" s="12">
        <v>268.76</v>
      </c>
      <c r="L240" s="12">
        <v>335.95</v>
      </c>
      <c r="M240" s="12">
        <v>268.76</v>
      </c>
      <c r="N240" s="12">
        <v>4527.3900000000003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/>
      <c r="X240" s="121">
        <f ca="1">+IF($X$4="NA",0,SUM(INDIRECT(+CONCATENATE(+VLOOKUP('2022 Budget &amp; CF'!$X$1,'Data Tables DONT EDIT'!$A$1:$B$15,2,FALSE),+ROW(B240)),TRUE):INDIRECT(+CONCATENATE(+VLOOKUP('2022 Budget &amp; CF'!$X$4,'Data Tables DONT EDIT'!$A$1:$B$15,2,FALSE),+ROW(B240)),TRUE)))</f>
        <v>5642.46</v>
      </c>
      <c r="Y240" s="314">
        <f t="shared" ca="1" si="177"/>
        <v>1.1677276490066226</v>
      </c>
      <c r="Z240" s="115">
        <v>4832</v>
      </c>
      <c r="AA240" s="117">
        <v>4832</v>
      </c>
      <c r="AB240" s="117">
        <f t="shared" ref="AB240" si="190">AA240-Z240</f>
        <v>0</v>
      </c>
      <c r="AC240" s="358">
        <f t="shared" ca="1" si="178"/>
        <v>1.1677276490066226</v>
      </c>
      <c r="AF240" s="62"/>
    </row>
    <row r="241" spans="1:32" outlineLevel="1" x14ac:dyDescent="0.2">
      <c r="A241" s="366" t="s">
        <v>776</v>
      </c>
      <c r="B241" s="460" t="s">
        <v>376</v>
      </c>
      <c r="C241" s="132"/>
      <c r="D241" s="132"/>
      <c r="E241" s="132"/>
      <c r="F241" s="132"/>
      <c r="G241" s="132"/>
      <c r="H241" s="132"/>
      <c r="I241" s="132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463"/>
      <c r="Z241" s="271"/>
      <c r="AA241" s="271"/>
      <c r="AB241" s="271"/>
      <c r="AC241" s="462">
        <f t="shared" si="178"/>
        <v>0</v>
      </c>
      <c r="AF241" s="62"/>
    </row>
    <row r="242" spans="1:32" outlineLevel="1" x14ac:dyDescent="0.2">
      <c r="A242" s="366" t="s">
        <v>777</v>
      </c>
      <c r="B242" s="88" t="s">
        <v>224</v>
      </c>
      <c r="C242" s="102">
        <v>280</v>
      </c>
      <c r="D242" s="102" t="s">
        <v>544</v>
      </c>
      <c r="E242" s="102"/>
      <c r="F242" s="102">
        <v>100</v>
      </c>
      <c r="G242" s="102" t="s">
        <v>461</v>
      </c>
      <c r="H242" s="104" t="s">
        <v>225</v>
      </c>
      <c r="I242" s="102"/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/>
      <c r="X242" s="121">
        <f ca="1">+IF($X$4="NA",0,SUM(INDIRECT(+CONCATENATE(+VLOOKUP('2022 Budget &amp; CF'!$X$1,'Data Tables DONT EDIT'!$A$1:$B$15,2,FALSE),+ROW(B242)),TRUE):INDIRECT(+CONCATENATE(+VLOOKUP('2022 Budget &amp; CF'!$X$4,'Data Tables DONT EDIT'!$A$1:$B$15,2,FALSE),+ROW(B242)),TRUE)))</f>
        <v>0</v>
      </c>
      <c r="Y242" s="314">
        <f t="shared" ca="1" si="177"/>
        <v>0</v>
      </c>
      <c r="Z242" s="115">
        <v>0</v>
      </c>
      <c r="AA242" s="117">
        <v>0</v>
      </c>
      <c r="AB242" s="117">
        <f t="shared" ref="AB242" si="191">AA242-Z242</f>
        <v>0</v>
      </c>
      <c r="AC242" s="358">
        <f t="shared" ca="1" si="178"/>
        <v>0</v>
      </c>
      <c r="AF242" s="62"/>
    </row>
    <row r="243" spans="1:32" outlineLevel="1" x14ac:dyDescent="0.2">
      <c r="A243" s="366" t="s">
        <v>778</v>
      </c>
      <c r="B243" s="460" t="s">
        <v>139</v>
      </c>
      <c r="C243" s="132"/>
      <c r="D243" s="132"/>
      <c r="E243" s="132"/>
      <c r="F243" s="132"/>
      <c r="G243" s="132"/>
      <c r="H243" s="132"/>
      <c r="I243" s="132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463"/>
      <c r="Z243" s="271"/>
      <c r="AA243" s="271"/>
      <c r="AB243" s="271"/>
      <c r="AC243" s="462">
        <f t="shared" si="178"/>
        <v>0</v>
      </c>
      <c r="AF243" s="62"/>
    </row>
    <row r="244" spans="1:32" outlineLevel="1" x14ac:dyDescent="0.2">
      <c r="A244" s="366" t="s">
        <v>779</v>
      </c>
      <c r="B244" s="88" t="s">
        <v>243</v>
      </c>
      <c r="C244" s="102">
        <v>280</v>
      </c>
      <c r="D244" s="405" t="s">
        <v>242</v>
      </c>
      <c r="E244" s="102"/>
      <c r="F244" s="102" t="s">
        <v>532</v>
      </c>
      <c r="G244" s="102" t="s">
        <v>489</v>
      </c>
      <c r="H244" s="102" t="s">
        <v>199</v>
      </c>
      <c r="I244" s="102"/>
      <c r="J244" s="12">
        <v>0</v>
      </c>
      <c r="K244" s="12">
        <v>0</v>
      </c>
      <c r="L244" s="12">
        <v>0</v>
      </c>
      <c r="M244" s="12">
        <v>13000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/>
      <c r="X244" s="121">
        <f ca="1">+IF($X$4="NA",0,SUM(INDIRECT(+CONCATENATE(+VLOOKUP('2022 Budget &amp; CF'!$X$1,'Data Tables DONT EDIT'!$A$1:$B$15,2,FALSE),+ROW(B244)),TRUE):INDIRECT(+CONCATENATE(+VLOOKUP('2022 Budget &amp; CF'!$X$4,'Data Tables DONT EDIT'!$A$1:$B$15,2,FALSE),+ROW(B244)),TRUE)))</f>
        <v>13000</v>
      </c>
      <c r="Y244" s="314">
        <f t="shared" ca="1" si="177"/>
        <v>0.34666666666666668</v>
      </c>
      <c r="Z244" s="115">
        <v>37500</v>
      </c>
      <c r="AA244" s="117">
        <v>37500</v>
      </c>
      <c r="AB244" s="117">
        <f t="shared" ref="AB244:AB316" si="192">AA244-Z244</f>
        <v>0</v>
      </c>
      <c r="AC244" s="358">
        <f t="shared" ca="1" si="178"/>
        <v>0.34666666666666668</v>
      </c>
      <c r="AF244" s="62"/>
    </row>
    <row r="245" spans="1:32" outlineLevel="1" x14ac:dyDescent="0.2">
      <c r="A245" s="366" t="s">
        <v>780</v>
      </c>
      <c r="B245" s="88"/>
      <c r="C245" s="102" t="s">
        <v>135</v>
      </c>
      <c r="D245" s="405" t="s">
        <v>242</v>
      </c>
      <c r="E245" s="102"/>
      <c r="F245" s="102" t="s">
        <v>532</v>
      </c>
      <c r="G245" s="102" t="s">
        <v>461</v>
      </c>
      <c r="H245" s="102" t="s">
        <v>203</v>
      </c>
      <c r="I245" s="102"/>
      <c r="J245" s="12">
        <v>0</v>
      </c>
      <c r="K245" s="12">
        <v>8096</v>
      </c>
      <c r="L245" s="12">
        <v>0</v>
      </c>
      <c r="M245" s="12">
        <v>7866</v>
      </c>
      <c r="N245" s="12">
        <v>8430</v>
      </c>
      <c r="O245" s="12"/>
      <c r="P245" s="12"/>
      <c r="Q245" s="12"/>
      <c r="R245" s="12"/>
      <c r="S245" s="12"/>
      <c r="T245" s="12"/>
      <c r="U245" s="12"/>
      <c r="V245" s="12"/>
      <c r="W245" s="12"/>
      <c r="X245" s="121">
        <f ca="1">+IF($X$4="NA",0,SUM(INDIRECT(+CONCATENATE(+VLOOKUP('2022 Budget &amp; CF'!$X$1,'Data Tables DONT EDIT'!$A$1:$B$15,2,FALSE),+ROW(B245)),TRUE):INDIRECT(+CONCATENATE(+VLOOKUP('2022 Budget &amp; CF'!$X$4,'Data Tables DONT EDIT'!$A$1:$B$15,2,FALSE),+ROW(B245)),TRUE)))</f>
        <v>24392</v>
      </c>
      <c r="Y245" s="314">
        <f ca="1">IFERROR(X245/Z245,0)</f>
        <v>0.38828398599172237</v>
      </c>
      <c r="Z245" s="115">
        <v>62820</v>
      </c>
      <c r="AA245" s="117">
        <v>62820</v>
      </c>
      <c r="AB245" s="117">
        <f>AA245-Z245</f>
        <v>0</v>
      </c>
      <c r="AC245" s="358">
        <f ca="1">IFERROR(X245/AA245,0)</f>
        <v>0.38828398599172237</v>
      </c>
      <c r="AF245" s="62"/>
    </row>
    <row r="246" spans="1:32" outlineLevel="1" x14ac:dyDescent="0.2">
      <c r="A246" s="366" t="s">
        <v>781</v>
      </c>
      <c r="B246" s="88"/>
      <c r="C246" s="102" t="s">
        <v>135</v>
      </c>
      <c r="D246" s="405" t="s">
        <v>242</v>
      </c>
      <c r="E246" s="102"/>
      <c r="F246" s="102" t="s">
        <v>468</v>
      </c>
      <c r="G246" s="102" t="s">
        <v>489</v>
      </c>
      <c r="H246" s="102" t="s">
        <v>203</v>
      </c>
      <c r="I246" s="102"/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/>
      <c r="P246" s="12"/>
      <c r="Q246" s="12"/>
      <c r="R246" s="12"/>
      <c r="S246" s="12"/>
      <c r="T246" s="12"/>
      <c r="U246" s="12"/>
      <c r="V246" s="12"/>
      <c r="W246" s="12"/>
      <c r="X246" s="121">
        <f ca="1">+IF($X$4="NA",0,SUM(INDIRECT(+CONCATENATE(+VLOOKUP('2022 Budget &amp; CF'!$X$1,'Data Tables DONT EDIT'!$A$1:$B$15,2,FALSE),+ROW(B246)),TRUE):INDIRECT(+CONCATENATE(+VLOOKUP('2022 Budget &amp; CF'!$X$4,'Data Tables DONT EDIT'!$A$1:$B$15,2,FALSE),+ROW(B246)),TRUE)))</f>
        <v>0</v>
      </c>
      <c r="Y246" s="314">
        <f t="shared" ref="Y246" ca="1" si="193">IFERROR(X246/Z246,0)</f>
        <v>0</v>
      </c>
      <c r="Z246" s="115"/>
      <c r="AA246" s="117">
        <v>0</v>
      </c>
      <c r="AB246" s="117">
        <f t="shared" ref="AB246" si="194">AA246-Z246</f>
        <v>0</v>
      </c>
      <c r="AC246" s="358">
        <f t="shared" ref="AC246" ca="1" si="195">IFERROR(X246/AA246,0)</f>
        <v>0</v>
      </c>
      <c r="AF246" s="62"/>
    </row>
    <row r="247" spans="1:32" outlineLevel="1" x14ac:dyDescent="0.2">
      <c r="A247" s="366" t="s">
        <v>782</v>
      </c>
      <c r="B247" s="88" t="s">
        <v>488</v>
      </c>
      <c r="C247" s="102">
        <v>280</v>
      </c>
      <c r="D247" s="405" t="s">
        <v>242</v>
      </c>
      <c r="E247" s="102"/>
      <c r="F247" s="102" t="s">
        <v>532</v>
      </c>
      <c r="G247" s="102" t="s">
        <v>489</v>
      </c>
      <c r="H247" s="104" t="s">
        <v>201</v>
      </c>
      <c r="I247" s="104"/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/>
      <c r="X247" s="121">
        <f ca="1">+IF($X$4="NA",0,SUM(INDIRECT(+CONCATENATE(+VLOOKUP('2022 Budget &amp; CF'!$X$1,'Data Tables DONT EDIT'!$A$1:$B$15,2,FALSE),+ROW(B247)),TRUE):INDIRECT(+CONCATENATE(+VLOOKUP('2022 Budget &amp; CF'!$X$4,'Data Tables DONT EDIT'!$A$1:$B$15,2,FALSE),+ROW(B247)),TRUE)))</f>
        <v>0</v>
      </c>
      <c r="Y247" s="314">
        <f t="shared" ca="1" si="177"/>
        <v>0</v>
      </c>
      <c r="Z247" s="115">
        <v>0</v>
      </c>
      <c r="AA247" s="117">
        <v>0</v>
      </c>
      <c r="AB247" s="117">
        <f t="shared" si="192"/>
        <v>0</v>
      </c>
      <c r="AC247" s="358">
        <f t="shared" ca="1" si="178"/>
        <v>0</v>
      </c>
      <c r="AF247" s="62"/>
    </row>
    <row r="248" spans="1:32" outlineLevel="1" x14ac:dyDescent="0.2">
      <c r="A248" s="366" t="s">
        <v>783</v>
      </c>
      <c r="B248" s="460" t="s">
        <v>140</v>
      </c>
      <c r="C248" s="132"/>
      <c r="D248" s="536"/>
      <c r="E248" s="132"/>
      <c r="F248" s="132"/>
      <c r="G248" s="132"/>
      <c r="H248" s="132"/>
      <c r="I248" s="132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463"/>
      <c r="Z248" s="271"/>
      <c r="AA248" s="271"/>
      <c r="AB248" s="271"/>
      <c r="AC248" s="462">
        <f t="shared" si="178"/>
        <v>0</v>
      </c>
      <c r="AF248" s="62"/>
    </row>
    <row r="249" spans="1:32" outlineLevel="1" x14ac:dyDescent="0.2">
      <c r="A249" s="366" t="s">
        <v>784</v>
      </c>
      <c r="B249" s="88" t="s">
        <v>244</v>
      </c>
      <c r="C249" s="102">
        <v>280</v>
      </c>
      <c r="D249" s="405" t="s">
        <v>245</v>
      </c>
      <c r="E249" s="102"/>
      <c r="F249" s="102">
        <v>430</v>
      </c>
      <c r="G249" s="102" t="s">
        <v>484</v>
      </c>
      <c r="H249" s="104" t="s">
        <v>203</v>
      </c>
      <c r="I249" s="102"/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/>
      <c r="X249" s="121">
        <f ca="1">+IF($X$4="NA",0,SUM(INDIRECT(+CONCATENATE(+VLOOKUP('2022 Budget &amp; CF'!$X$1,'Data Tables DONT EDIT'!$A$1:$B$15,2,FALSE),+ROW(B249)),TRUE):INDIRECT(+CONCATENATE(+VLOOKUP('2022 Budget &amp; CF'!$X$4,'Data Tables DONT EDIT'!$A$1:$B$15,2,FALSE),+ROW(B249)),TRUE)))</f>
        <v>0</v>
      </c>
      <c r="Y249" s="314">
        <f t="shared" ca="1" si="177"/>
        <v>0</v>
      </c>
      <c r="Z249" s="115">
        <v>0</v>
      </c>
      <c r="AA249" s="117">
        <v>0</v>
      </c>
      <c r="AB249" s="117">
        <f t="shared" si="192"/>
        <v>0</v>
      </c>
      <c r="AC249" s="358">
        <f t="shared" ca="1" si="178"/>
        <v>0</v>
      </c>
      <c r="AF249" s="62"/>
    </row>
    <row r="250" spans="1:32" outlineLevel="1" x14ac:dyDescent="0.2">
      <c r="A250" s="366" t="s">
        <v>473</v>
      </c>
      <c r="B250" s="88" t="s">
        <v>246</v>
      </c>
      <c r="C250" s="102">
        <v>280</v>
      </c>
      <c r="D250" s="405" t="s">
        <v>245</v>
      </c>
      <c r="E250" s="102"/>
      <c r="F250" s="102">
        <v>430</v>
      </c>
      <c r="G250" s="102" t="s">
        <v>490</v>
      </c>
      <c r="H250" s="104" t="s">
        <v>203</v>
      </c>
      <c r="I250" s="102"/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/>
      <c r="X250" s="121">
        <f ca="1">+IF($X$4="NA",0,SUM(INDIRECT(+CONCATENATE(+VLOOKUP('2022 Budget &amp; CF'!$X$1,'Data Tables DONT EDIT'!$A$1:$B$15,2,FALSE),+ROW(B250)),TRUE):INDIRECT(+CONCATENATE(+VLOOKUP('2022 Budget &amp; CF'!$X$4,'Data Tables DONT EDIT'!$A$1:$B$15,2,FALSE),+ROW(B250)),TRUE)))</f>
        <v>0</v>
      </c>
      <c r="Y250" s="314">
        <f t="shared" ca="1" si="177"/>
        <v>0</v>
      </c>
      <c r="Z250" s="115">
        <v>0</v>
      </c>
      <c r="AA250" s="117">
        <v>0</v>
      </c>
      <c r="AB250" s="117">
        <f t="shared" si="192"/>
        <v>0</v>
      </c>
      <c r="AC250" s="358">
        <f t="shared" ca="1" si="178"/>
        <v>0</v>
      </c>
      <c r="AF250" s="62"/>
    </row>
    <row r="251" spans="1:32" outlineLevel="1" x14ac:dyDescent="0.2">
      <c r="A251" s="366" t="s">
        <v>785</v>
      </c>
      <c r="B251" s="460" t="s">
        <v>141</v>
      </c>
      <c r="C251" s="132"/>
      <c r="D251" s="536"/>
      <c r="E251" s="132"/>
      <c r="F251" s="132"/>
      <c r="G251" s="132"/>
      <c r="H251" s="132"/>
      <c r="I251" s="132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463"/>
      <c r="Z251" s="271"/>
      <c r="AA251" s="271"/>
      <c r="AB251" s="271"/>
      <c r="AC251" s="462">
        <f t="shared" si="178"/>
        <v>0</v>
      </c>
      <c r="AF251" s="62"/>
    </row>
    <row r="252" spans="1:32" outlineLevel="1" x14ac:dyDescent="0.2">
      <c r="A252" s="366" t="s">
        <v>786</v>
      </c>
      <c r="B252" s="88" t="s">
        <v>241</v>
      </c>
      <c r="C252" s="102">
        <v>280</v>
      </c>
      <c r="D252" s="405" t="s">
        <v>247</v>
      </c>
      <c r="E252" s="102"/>
      <c r="F252" s="102">
        <v>200</v>
      </c>
      <c r="G252" s="102" t="s">
        <v>484</v>
      </c>
      <c r="H252" s="102" t="s">
        <v>203</v>
      </c>
      <c r="I252" s="102"/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/>
      <c r="X252" s="121">
        <f ca="1">+IF($X$4="NA",0,SUM(INDIRECT(+CONCATENATE(+VLOOKUP('2022 Budget &amp; CF'!$X$1,'Data Tables DONT EDIT'!$A$1:$B$15,2,FALSE),+ROW(B252)),TRUE):INDIRECT(+CONCATENATE(+VLOOKUP('2022 Budget &amp; CF'!$X$4,'Data Tables DONT EDIT'!$A$1:$B$15,2,FALSE),+ROW(B252)),TRUE)))</f>
        <v>0</v>
      </c>
      <c r="Y252" s="314">
        <f t="shared" ca="1" si="177"/>
        <v>0</v>
      </c>
      <c r="Z252" s="115">
        <v>0</v>
      </c>
      <c r="AA252" s="117">
        <v>0</v>
      </c>
      <c r="AB252" s="117">
        <f t="shared" si="192"/>
        <v>0</v>
      </c>
      <c r="AC252" s="358">
        <f t="shared" ca="1" si="178"/>
        <v>0</v>
      </c>
      <c r="AF252" s="62"/>
    </row>
    <row r="253" spans="1:32" outlineLevel="1" x14ac:dyDescent="0.2">
      <c r="A253" s="366" t="s">
        <v>787</v>
      </c>
      <c r="B253" s="88" t="s">
        <v>248</v>
      </c>
      <c r="C253" s="102">
        <v>280</v>
      </c>
      <c r="D253" s="405" t="s">
        <v>247</v>
      </c>
      <c r="E253" s="102"/>
      <c r="F253" s="102">
        <v>200</v>
      </c>
      <c r="G253" s="102" t="s">
        <v>460</v>
      </c>
      <c r="H253" s="104" t="s">
        <v>203</v>
      </c>
      <c r="I253" s="102"/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/>
      <c r="X253" s="121">
        <f ca="1">+IF($X$4="NA",0,SUM(INDIRECT(+CONCATENATE(+VLOOKUP('2022 Budget &amp; CF'!$X$1,'Data Tables DONT EDIT'!$A$1:$B$15,2,FALSE),+ROW(B253)),TRUE):INDIRECT(+CONCATENATE(+VLOOKUP('2022 Budget &amp; CF'!$X$4,'Data Tables DONT EDIT'!$A$1:$B$15,2,FALSE),+ROW(B253)),TRUE)))</f>
        <v>0</v>
      </c>
      <c r="Y253" s="314">
        <f t="shared" ca="1" si="177"/>
        <v>0</v>
      </c>
      <c r="Z253" s="115">
        <v>0</v>
      </c>
      <c r="AA253" s="117">
        <v>0</v>
      </c>
      <c r="AB253" s="117">
        <f t="shared" si="192"/>
        <v>0</v>
      </c>
      <c r="AC253" s="358">
        <f t="shared" ca="1" si="178"/>
        <v>0</v>
      </c>
      <c r="AF253" s="62"/>
    </row>
    <row r="254" spans="1:32" outlineLevel="1" x14ac:dyDescent="0.2">
      <c r="A254" s="366" t="s">
        <v>788</v>
      </c>
      <c r="B254" s="88" t="s">
        <v>239</v>
      </c>
      <c r="C254" s="102">
        <v>280</v>
      </c>
      <c r="D254" s="405" t="s">
        <v>247</v>
      </c>
      <c r="E254" s="102"/>
      <c r="F254" s="102" t="s">
        <v>473</v>
      </c>
      <c r="G254" s="102" t="s">
        <v>813</v>
      </c>
      <c r="H254" s="104" t="s">
        <v>240</v>
      </c>
      <c r="I254" s="102"/>
      <c r="J254" s="12">
        <v>625</v>
      </c>
      <c r="K254" s="12">
        <v>0</v>
      </c>
      <c r="L254" s="12">
        <v>0</v>
      </c>
      <c r="M254" s="12">
        <v>0</v>
      </c>
      <c r="N254" s="12">
        <v>0</v>
      </c>
      <c r="O254" s="378"/>
      <c r="P254" s="378"/>
      <c r="Q254" s="378"/>
      <c r="R254" s="378"/>
      <c r="S254" s="378"/>
      <c r="T254" s="378"/>
      <c r="U254" s="378"/>
      <c r="V254" s="378"/>
      <c r="W254" s="12"/>
      <c r="X254" s="121">
        <f ca="1">+IF($X$4="NA",0,SUM(INDIRECT(+CONCATENATE(+VLOOKUP('2022 Budget &amp; CF'!$X$1,'Data Tables DONT EDIT'!$A$1:$B$15,2,FALSE),+ROW(B254)),TRUE):INDIRECT(+CONCATENATE(+VLOOKUP('2022 Budget &amp; CF'!$X$4,'Data Tables DONT EDIT'!$A$1:$B$15,2,FALSE),+ROW(B254)),TRUE)))</f>
        <v>625</v>
      </c>
      <c r="Y254" s="314">
        <f t="shared" ca="1" si="177"/>
        <v>0</v>
      </c>
      <c r="Z254" s="115">
        <v>0</v>
      </c>
      <c r="AA254" s="117">
        <v>625</v>
      </c>
      <c r="AB254" s="117">
        <f t="shared" ref="AB254" si="196">AA254-Z254</f>
        <v>625</v>
      </c>
      <c r="AC254" s="358">
        <f t="shared" ca="1" si="178"/>
        <v>1</v>
      </c>
      <c r="AF254" s="62"/>
    </row>
    <row r="255" spans="1:32" outlineLevel="1" x14ac:dyDescent="0.2">
      <c r="A255" s="366" t="s">
        <v>789</v>
      </c>
      <c r="B255" s="460" t="s">
        <v>531</v>
      </c>
      <c r="C255" s="132"/>
      <c r="D255" s="536"/>
      <c r="E255" s="132"/>
      <c r="F255" s="132"/>
      <c r="G255" s="132"/>
      <c r="H255" s="132"/>
      <c r="I255" s="132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463"/>
      <c r="Z255" s="271"/>
      <c r="AA255" s="271"/>
      <c r="AB255" s="271"/>
      <c r="AC255" s="462">
        <f t="shared" si="178"/>
        <v>0</v>
      </c>
      <c r="AF255" s="62"/>
    </row>
    <row r="256" spans="1:32" outlineLevel="1" x14ac:dyDescent="0.2">
      <c r="A256" s="366" t="s">
        <v>790</v>
      </c>
      <c r="B256" s="88" t="s">
        <v>224</v>
      </c>
      <c r="C256" s="102">
        <v>280</v>
      </c>
      <c r="D256" s="406" t="s">
        <v>533</v>
      </c>
      <c r="E256" s="102"/>
      <c r="F256" s="102" t="s">
        <v>532</v>
      </c>
      <c r="G256" s="102" t="s">
        <v>461</v>
      </c>
      <c r="H256" s="104" t="s">
        <v>225</v>
      </c>
      <c r="I256" s="104"/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/>
      <c r="X256" s="121">
        <f ca="1">+IF($X$4="NA",0,SUM(INDIRECT(+CONCATENATE(+VLOOKUP('2022 Budget &amp; CF'!$X$1,'Data Tables DONT EDIT'!$A$1:$B$15,2,FALSE),+ROW(B256)),TRUE):INDIRECT(+CONCATENATE(+VLOOKUP('2022 Budget &amp; CF'!$X$4,'Data Tables DONT EDIT'!$A$1:$B$15,2,FALSE),+ROW(B256)),TRUE)))</f>
        <v>0</v>
      </c>
      <c r="Y256" s="314">
        <f t="shared" ca="1" si="177"/>
        <v>0</v>
      </c>
      <c r="Z256" s="115">
        <v>0</v>
      </c>
      <c r="AA256" s="117">
        <v>0</v>
      </c>
      <c r="AB256" s="117">
        <f t="shared" ref="AB256" si="197">AA256-Z256</f>
        <v>0</v>
      </c>
      <c r="AC256" s="358">
        <f t="shared" ca="1" si="178"/>
        <v>0</v>
      </c>
      <c r="AF256" s="62"/>
    </row>
    <row r="257" spans="1:32" outlineLevel="1" x14ac:dyDescent="0.2">
      <c r="A257" s="366" t="s">
        <v>791</v>
      </c>
      <c r="B257" s="485"/>
      <c r="C257" s="102" t="s">
        <v>135</v>
      </c>
      <c r="D257" s="406" t="s">
        <v>533</v>
      </c>
      <c r="E257" s="102"/>
      <c r="F257" s="102" t="s">
        <v>532</v>
      </c>
      <c r="G257" s="102" t="s">
        <v>813</v>
      </c>
      <c r="H257" s="104" t="s">
        <v>240</v>
      </c>
      <c r="I257" s="104"/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379"/>
      <c r="P257" s="379"/>
      <c r="Q257" s="379"/>
      <c r="R257" s="379"/>
      <c r="S257" s="379"/>
      <c r="T257" s="379"/>
      <c r="U257" s="379"/>
      <c r="V257" s="379"/>
      <c r="W257" s="12"/>
      <c r="X257" s="121">
        <f ca="1">+IF($X$4="NA",0,SUM(INDIRECT(+CONCATENATE(+VLOOKUP('2022 Budget &amp; CF'!$X$1,'Data Tables DONT EDIT'!$A$1:$B$15,2,FALSE),+ROW(B257)),TRUE):INDIRECT(+CONCATENATE(+VLOOKUP('2022 Budget &amp; CF'!$X$4,'Data Tables DONT EDIT'!$A$1:$B$15,2,FALSE),+ROW(B257)),TRUE)))</f>
        <v>0</v>
      </c>
      <c r="Y257" s="314">
        <f t="shared" ref="Y257" ca="1" si="198">IFERROR(X257/Z257,0)</f>
        <v>0</v>
      </c>
      <c r="Z257" s="115">
        <v>0</v>
      </c>
      <c r="AA257" s="117">
        <v>0</v>
      </c>
      <c r="AB257" s="117">
        <f t="shared" ref="AB257" si="199">AA257-Z257</f>
        <v>0</v>
      </c>
      <c r="AC257" s="358">
        <f t="shared" ref="AC257" ca="1" si="200">IFERROR(X257/AA257,0)</f>
        <v>0</v>
      </c>
      <c r="AF257" s="62"/>
    </row>
    <row r="258" spans="1:32" outlineLevel="1" x14ac:dyDescent="0.2">
      <c r="A258" s="366" t="s">
        <v>792</v>
      </c>
      <c r="B258" s="460" t="s">
        <v>922</v>
      </c>
      <c r="C258" s="132"/>
      <c r="D258" s="536"/>
      <c r="E258" s="132"/>
      <c r="F258" s="132"/>
      <c r="G258" s="132"/>
      <c r="H258" s="132"/>
      <c r="I258" s="132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463"/>
      <c r="Z258" s="271"/>
      <c r="AA258" s="271"/>
      <c r="AB258" s="271"/>
      <c r="AC258" s="462">
        <f t="shared" ref="AC258:AC259" si="201">IFERROR(X258/AA258,0)</f>
        <v>0</v>
      </c>
      <c r="AF258" s="62"/>
    </row>
    <row r="259" spans="1:32" outlineLevel="1" x14ac:dyDescent="0.2">
      <c r="A259" s="366" t="s">
        <v>793</v>
      </c>
      <c r="B259" s="88" t="s">
        <v>831</v>
      </c>
      <c r="C259" s="102">
        <v>280</v>
      </c>
      <c r="D259" s="405" t="s">
        <v>923</v>
      </c>
      <c r="E259" s="102"/>
      <c r="F259" s="102" t="s">
        <v>468</v>
      </c>
      <c r="G259" s="102" t="s">
        <v>489</v>
      </c>
      <c r="H259" s="104" t="s">
        <v>199</v>
      </c>
      <c r="I259" s="102"/>
      <c r="J259" s="12">
        <v>0</v>
      </c>
      <c r="K259" s="12">
        <v>2750</v>
      </c>
      <c r="L259" s="12">
        <v>0</v>
      </c>
      <c r="M259" s="12">
        <v>0</v>
      </c>
      <c r="N259" s="12">
        <v>500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/>
      <c r="X259" s="121">
        <f ca="1">+IF($X$4="NA",0,SUM(INDIRECT(+CONCATENATE(+VLOOKUP('2022 Budget &amp; CF'!$X$1,'Data Tables DONT EDIT'!$A$1:$B$15,2,FALSE),+ROW(B259)),TRUE):INDIRECT(+CONCATENATE(+VLOOKUP('2022 Budget &amp; CF'!$X$4,'Data Tables DONT EDIT'!$A$1:$B$15,2,FALSE),+ROW(B259)),TRUE)))</f>
        <v>3250</v>
      </c>
      <c r="Y259" s="314">
        <f t="shared" ref="Y259" ca="1" si="202">IFERROR(X259/Z259,0)</f>
        <v>9.285714285714286E-2</v>
      </c>
      <c r="Z259" s="115">
        <v>35000</v>
      </c>
      <c r="AA259" s="117">
        <v>35000</v>
      </c>
      <c r="AB259" s="117">
        <f t="shared" ref="AB259" si="203">AA259-Z259</f>
        <v>0</v>
      </c>
      <c r="AC259" s="358">
        <f t="shared" ca="1" si="201"/>
        <v>9.285714285714286E-2</v>
      </c>
      <c r="AF259" s="62"/>
    </row>
    <row r="260" spans="1:32" outlineLevel="1" x14ac:dyDescent="0.2">
      <c r="A260" s="366" t="s">
        <v>462</v>
      </c>
      <c r="B260" s="88" t="s">
        <v>926</v>
      </c>
      <c r="C260" s="102">
        <v>280</v>
      </c>
      <c r="D260" s="405" t="s">
        <v>923</v>
      </c>
      <c r="E260" s="102"/>
      <c r="F260" s="102" t="s">
        <v>468</v>
      </c>
      <c r="G260" s="102" t="s">
        <v>461</v>
      </c>
      <c r="H260" s="104" t="s">
        <v>203</v>
      </c>
      <c r="I260" s="102"/>
      <c r="J260" s="12">
        <v>0</v>
      </c>
      <c r="K260" s="12">
        <v>7260</v>
      </c>
      <c r="L260" s="12">
        <v>7000</v>
      </c>
      <c r="M260" s="12">
        <v>0</v>
      </c>
      <c r="N260" s="12">
        <v>6510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/>
      <c r="X260" s="121">
        <f ca="1">+IF($X$4="NA",0,SUM(INDIRECT(+CONCATENATE(+VLOOKUP('2022 Budget &amp; CF'!$X$1,'Data Tables DONT EDIT'!$A$1:$B$15,2,FALSE),+ROW(B260)),TRUE):INDIRECT(+CONCATENATE(+VLOOKUP('2022 Budget &amp; CF'!$X$4,'Data Tables DONT EDIT'!$A$1:$B$15,2,FALSE),+ROW(B260)),TRUE)))</f>
        <v>20770</v>
      </c>
      <c r="Y260" s="314">
        <f t="shared" ref="Y260:Y261" ca="1" si="204">IFERROR(X260/Z260,0)</f>
        <v>0.16249413237365046</v>
      </c>
      <c r="Z260" s="115">
        <v>127820</v>
      </c>
      <c r="AA260" s="117">
        <v>61611</v>
      </c>
      <c r="AB260" s="117">
        <f t="shared" ref="AB260:AB261" si="205">AA260-Z260</f>
        <v>-66209</v>
      </c>
      <c r="AC260" s="358">
        <f t="shared" ref="AC260:AC261" ca="1" si="206">IFERROR(X260/AA260,0)</f>
        <v>0.33711512554576295</v>
      </c>
      <c r="AD260" s="3" t="s">
        <v>1275</v>
      </c>
      <c r="AF260" s="62"/>
    </row>
    <row r="261" spans="1:32" outlineLevel="1" x14ac:dyDescent="0.2">
      <c r="A261" s="366" t="s">
        <v>794</v>
      </c>
      <c r="B261" s="88" t="s">
        <v>926</v>
      </c>
      <c r="C261" s="102">
        <v>280</v>
      </c>
      <c r="D261" s="405" t="s">
        <v>923</v>
      </c>
      <c r="E261" s="102"/>
      <c r="F261" s="102" t="s">
        <v>468</v>
      </c>
      <c r="G261" s="102" t="s">
        <v>556</v>
      </c>
      <c r="H261" s="104" t="s">
        <v>203</v>
      </c>
      <c r="I261" s="102"/>
      <c r="J261" s="12">
        <v>5504</v>
      </c>
      <c r="K261" s="12">
        <v>8396</v>
      </c>
      <c r="L261" s="12">
        <v>6880</v>
      </c>
      <c r="M261" s="12">
        <v>4816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/>
      <c r="X261" s="121">
        <f ca="1">+IF($X$4="NA",0,SUM(INDIRECT(+CONCATENATE(+VLOOKUP('2022 Budget &amp; CF'!$X$1,'Data Tables DONT EDIT'!$A$1:$B$15,2,FALSE),+ROW(B261)),TRUE):INDIRECT(+CONCATENATE(+VLOOKUP('2022 Budget &amp; CF'!$X$4,'Data Tables DONT EDIT'!$A$1:$B$15,2,FALSE),+ROW(B261)),TRUE)))</f>
        <v>25596</v>
      </c>
      <c r="Y261" s="314">
        <f t="shared" ca="1" si="204"/>
        <v>0.73131428571428569</v>
      </c>
      <c r="Z261" s="115">
        <v>35000</v>
      </c>
      <c r="AA261" s="117">
        <v>65000</v>
      </c>
      <c r="AB261" s="117">
        <f t="shared" si="205"/>
        <v>30000</v>
      </c>
      <c r="AC261" s="358">
        <f t="shared" ca="1" si="206"/>
        <v>0.3937846153846154</v>
      </c>
      <c r="AD261" s="3" t="s">
        <v>1274</v>
      </c>
      <c r="AF261" s="62"/>
    </row>
    <row r="262" spans="1:32" outlineLevel="1" x14ac:dyDescent="0.2">
      <c r="A262" s="366" t="s">
        <v>795</v>
      </c>
      <c r="B262" s="88" t="s">
        <v>927</v>
      </c>
      <c r="C262" s="102">
        <v>280</v>
      </c>
      <c r="D262" s="405" t="s">
        <v>923</v>
      </c>
      <c r="E262" s="102"/>
      <c r="F262" s="102" t="s">
        <v>468</v>
      </c>
      <c r="G262" s="102" t="s">
        <v>476</v>
      </c>
      <c r="H262" s="104" t="s">
        <v>217</v>
      </c>
      <c r="I262" s="102"/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/>
      <c r="X262" s="121">
        <f ca="1">+IF($X$4="NA",0,SUM(INDIRECT(+CONCATENATE(+VLOOKUP('2022 Budget &amp; CF'!$X$1,'Data Tables DONT EDIT'!$A$1:$B$15,2,FALSE),+ROW(B262)),TRUE):INDIRECT(+CONCATENATE(+VLOOKUP('2022 Budget &amp; CF'!$X$4,'Data Tables DONT EDIT'!$A$1:$B$15,2,FALSE),+ROW(B262)),TRUE)))</f>
        <v>0</v>
      </c>
      <c r="Y262" s="314">
        <f t="shared" ref="Y262" ca="1" si="207">IFERROR(X262/Z262,0)</f>
        <v>0</v>
      </c>
      <c r="Z262" s="115">
        <v>0</v>
      </c>
      <c r="AA262" s="117">
        <v>0</v>
      </c>
      <c r="AB262" s="117">
        <f t="shared" ref="AB262" si="208">AA262-Z262</f>
        <v>0</v>
      </c>
      <c r="AC262" s="358">
        <f t="shared" ref="AC262" ca="1" si="209">IFERROR(X262/AA262,0)</f>
        <v>0</v>
      </c>
      <c r="AF262" s="62"/>
    </row>
    <row r="263" spans="1:32" outlineLevel="1" x14ac:dyDescent="0.2">
      <c r="A263" s="366" t="s">
        <v>796</v>
      </c>
      <c r="B263" s="88" t="s">
        <v>1224</v>
      </c>
      <c r="C263" s="102" t="s">
        <v>135</v>
      </c>
      <c r="D263" s="405" t="s">
        <v>923</v>
      </c>
      <c r="E263" s="102"/>
      <c r="F263" s="102" t="s">
        <v>468</v>
      </c>
      <c r="G263" s="102" t="s">
        <v>542</v>
      </c>
      <c r="H263" s="104" t="s">
        <v>480</v>
      </c>
      <c r="I263" s="102"/>
      <c r="J263" s="12">
        <v>0</v>
      </c>
      <c r="K263" s="12">
        <v>0</v>
      </c>
      <c r="L263" s="12">
        <v>0</v>
      </c>
      <c r="M263" s="12">
        <v>0</v>
      </c>
      <c r="N263" s="12">
        <v>4405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/>
      <c r="X263" s="121">
        <f ca="1">+IF($X$4="NA",0,SUM(INDIRECT(+CONCATENATE(+VLOOKUP('2022 Budget &amp; CF'!$X$1,'Data Tables DONT EDIT'!$A$1:$B$15,2,FALSE),+ROW(B263)),TRUE):INDIRECT(+CONCATENATE(+VLOOKUP('2022 Budget &amp; CF'!$X$4,'Data Tables DONT EDIT'!$A$1:$B$15,2,FALSE),+ROW(B263)),TRUE)))</f>
        <v>4405</v>
      </c>
      <c r="Y263" s="314">
        <f t="shared" ref="Y263:Y264" ca="1" si="210">IFERROR(X263/Z263,0)</f>
        <v>0</v>
      </c>
      <c r="Z263" s="115">
        <v>0</v>
      </c>
      <c r="AA263" s="117">
        <v>0</v>
      </c>
      <c r="AB263" s="117">
        <f t="shared" ref="AB263:AB264" si="211">AA263-Z263</f>
        <v>0</v>
      </c>
      <c r="AC263" s="358">
        <f t="shared" ref="AC263:AC264" ca="1" si="212">IFERROR(X263/AA263,0)</f>
        <v>0</v>
      </c>
      <c r="AF263" s="62"/>
    </row>
    <row r="264" spans="1:32" outlineLevel="1" x14ac:dyDescent="0.2">
      <c r="A264" s="366" t="s">
        <v>797</v>
      </c>
      <c r="B264" s="88" t="s">
        <v>1052</v>
      </c>
      <c r="C264" s="102" t="s">
        <v>135</v>
      </c>
      <c r="D264" s="405" t="s">
        <v>923</v>
      </c>
      <c r="E264" s="102"/>
      <c r="F264" s="102" t="s">
        <v>468</v>
      </c>
      <c r="G264" s="102" t="s">
        <v>478</v>
      </c>
      <c r="H264" s="104" t="s">
        <v>226</v>
      </c>
      <c r="I264" s="102"/>
      <c r="J264" s="12">
        <v>0</v>
      </c>
      <c r="K264" s="12">
        <v>0</v>
      </c>
      <c r="L264" s="12">
        <v>536.46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/>
      <c r="X264" s="121">
        <f ca="1">+IF($X$4="NA",0,SUM(INDIRECT(+CONCATENATE(+VLOOKUP('2022 Budget &amp; CF'!$X$1,'Data Tables DONT EDIT'!$A$1:$B$15,2,FALSE),+ROW(B264)),TRUE):INDIRECT(+CONCATENATE(+VLOOKUP('2022 Budget &amp; CF'!$X$4,'Data Tables DONT EDIT'!$A$1:$B$15,2,FALSE),+ROW(B264)),TRUE)))</f>
        <v>536.46</v>
      </c>
      <c r="Y264" s="314">
        <f t="shared" ca="1" si="210"/>
        <v>0</v>
      </c>
      <c r="Z264" s="115">
        <v>0</v>
      </c>
      <c r="AA264" s="117">
        <v>0</v>
      </c>
      <c r="AB264" s="117">
        <f t="shared" si="211"/>
        <v>0</v>
      </c>
      <c r="AC264" s="358">
        <f t="shared" ca="1" si="212"/>
        <v>0</v>
      </c>
      <c r="AF264" s="62"/>
    </row>
    <row r="265" spans="1:32" outlineLevel="1" x14ac:dyDescent="0.2">
      <c r="A265" s="366" t="s">
        <v>798</v>
      </c>
      <c r="B265" s="88" t="s">
        <v>929</v>
      </c>
      <c r="C265" s="102">
        <v>280</v>
      </c>
      <c r="D265" s="405" t="s">
        <v>923</v>
      </c>
      <c r="E265" s="102"/>
      <c r="F265" s="102" t="s">
        <v>468</v>
      </c>
      <c r="G265" s="102" t="s">
        <v>526</v>
      </c>
      <c r="H265" s="104" t="s">
        <v>928</v>
      </c>
      <c r="I265" s="102"/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/>
      <c r="X265" s="121">
        <f ca="1">+IF($X$4="NA",0,SUM(INDIRECT(+CONCATENATE(+VLOOKUP('2022 Budget &amp; CF'!$X$1,'Data Tables DONT EDIT'!$A$1:$B$15,2,FALSE),+ROW(B265)),TRUE):INDIRECT(+CONCATENATE(+VLOOKUP('2022 Budget &amp; CF'!$X$4,'Data Tables DONT EDIT'!$A$1:$B$15,2,FALSE),+ROW(B265)),TRUE)))</f>
        <v>0</v>
      </c>
      <c r="Y265" s="314">
        <f t="shared" ref="Y265" ca="1" si="213">IFERROR(X265/Z265,0)</f>
        <v>0</v>
      </c>
      <c r="Z265" s="115">
        <v>0</v>
      </c>
      <c r="AA265" s="117">
        <v>0</v>
      </c>
      <c r="AB265" s="117">
        <f t="shared" ref="AB265" si="214">AA265-Z265</f>
        <v>0</v>
      </c>
      <c r="AC265" s="358">
        <f t="shared" ref="AC265" ca="1" si="215">IFERROR(X265/AA265,0)</f>
        <v>0</v>
      </c>
      <c r="AF265" s="62"/>
    </row>
    <row r="266" spans="1:32" outlineLevel="1" x14ac:dyDescent="0.2">
      <c r="A266" s="366" t="s">
        <v>799</v>
      </c>
      <c r="B266" s="460" t="s">
        <v>142</v>
      </c>
      <c r="C266" s="132"/>
      <c r="D266" s="536"/>
      <c r="E266" s="132"/>
      <c r="F266" s="132"/>
      <c r="G266" s="132"/>
      <c r="H266" s="132"/>
      <c r="I266" s="132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463"/>
      <c r="Z266" s="271"/>
      <c r="AA266" s="271"/>
      <c r="AB266" s="271"/>
      <c r="AC266" s="462">
        <f t="shared" si="178"/>
        <v>0</v>
      </c>
      <c r="AF266" s="62"/>
    </row>
    <row r="267" spans="1:32" outlineLevel="1" x14ac:dyDescent="0.2">
      <c r="A267" s="366" t="s">
        <v>800</v>
      </c>
      <c r="B267" s="88" t="s">
        <v>955</v>
      </c>
      <c r="C267" s="102">
        <v>280</v>
      </c>
      <c r="D267" s="405" t="s">
        <v>249</v>
      </c>
      <c r="E267" s="102"/>
      <c r="F267" s="102">
        <v>100</v>
      </c>
      <c r="G267" s="102" t="s">
        <v>489</v>
      </c>
      <c r="H267" s="104" t="s">
        <v>199</v>
      </c>
      <c r="I267" s="102"/>
      <c r="J267" s="12">
        <v>0</v>
      </c>
      <c r="K267" s="12">
        <v>0</v>
      </c>
      <c r="L267" s="12">
        <v>9598.65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/>
      <c r="X267" s="121">
        <f ca="1">+IF($X$4="NA",0,SUM(INDIRECT(+CONCATENATE(+VLOOKUP('2022 Budget &amp; CF'!$X$1,'Data Tables DONT EDIT'!$A$1:$B$15,2,FALSE),+ROW(B267)),TRUE):INDIRECT(+CONCATENATE(+VLOOKUP('2022 Budget &amp; CF'!$X$4,'Data Tables DONT EDIT'!$A$1:$B$15,2,FALSE),+ROW(B267)),TRUE)))</f>
        <v>9598.65</v>
      </c>
      <c r="Y267" s="314">
        <f t="shared" ref="Y267:Y268" ca="1" si="216">IFERROR(X267/Z267,0)</f>
        <v>3.6932089265101959</v>
      </c>
      <c r="Z267" s="115">
        <v>2599</v>
      </c>
      <c r="AA267" s="117">
        <f>1199+1400</f>
        <v>2599</v>
      </c>
      <c r="AB267" s="117">
        <f t="shared" ref="AB267:AB268" si="217">AA267-Z267</f>
        <v>0</v>
      </c>
      <c r="AC267" s="358">
        <f t="shared" ref="AC267:AC268" ca="1" si="218">IFERROR(X267/AA267,0)</f>
        <v>3.6932089265101959</v>
      </c>
      <c r="AF267" s="62"/>
    </row>
    <row r="268" spans="1:32" outlineLevel="1" x14ac:dyDescent="0.2">
      <c r="A268" s="366" t="s">
        <v>835</v>
      </c>
      <c r="B268" s="88" t="s">
        <v>954</v>
      </c>
      <c r="C268" s="102">
        <v>280</v>
      </c>
      <c r="D268" s="405" t="s">
        <v>249</v>
      </c>
      <c r="E268" s="102"/>
      <c r="F268" s="102">
        <v>100</v>
      </c>
      <c r="G268" s="102" t="s">
        <v>477</v>
      </c>
      <c r="H268" s="104" t="s">
        <v>226</v>
      </c>
      <c r="I268" s="102"/>
      <c r="J268" s="12">
        <v>369.78</v>
      </c>
      <c r="K268" s="12">
        <v>1355.42</v>
      </c>
      <c r="L268" s="12">
        <v>-725.19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/>
      <c r="X268" s="121">
        <f ca="1">+IF($X$4="NA",0,SUM(INDIRECT(+CONCATENATE(+VLOOKUP('2022 Budget &amp; CF'!$X$1,'Data Tables DONT EDIT'!$A$1:$B$15,2,FALSE),+ROW(B268)),TRUE):INDIRECT(+CONCATENATE(+VLOOKUP('2022 Budget &amp; CF'!$X$4,'Data Tables DONT EDIT'!$A$1:$B$15,2,FALSE),+ROW(B268)),TRUE)))</f>
        <v>1000.01</v>
      </c>
      <c r="Y268" s="314">
        <f t="shared" ca="1" si="216"/>
        <v>1.0000100000000001</v>
      </c>
      <c r="Z268" s="115">
        <v>1000</v>
      </c>
      <c r="AA268" s="117">
        <v>1000</v>
      </c>
      <c r="AB268" s="117">
        <f t="shared" si="217"/>
        <v>0</v>
      </c>
      <c r="AC268" s="358">
        <f t="shared" ca="1" si="218"/>
        <v>1.0000100000000001</v>
      </c>
      <c r="AF268" s="62"/>
    </row>
    <row r="269" spans="1:32" outlineLevel="1" x14ac:dyDescent="0.2">
      <c r="A269" s="366" t="s">
        <v>836</v>
      </c>
      <c r="B269" s="88" t="s">
        <v>250</v>
      </c>
      <c r="C269" s="102">
        <v>280</v>
      </c>
      <c r="D269" s="405" t="s">
        <v>249</v>
      </c>
      <c r="E269" s="102"/>
      <c r="F269" s="102">
        <v>100</v>
      </c>
      <c r="G269" s="102" t="s">
        <v>489</v>
      </c>
      <c r="H269" s="102" t="s">
        <v>201</v>
      </c>
      <c r="I269" s="102"/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/>
      <c r="X269" s="121">
        <f ca="1">+IF($X$4="NA",0,SUM(INDIRECT(+CONCATENATE(+VLOOKUP('2022 Budget &amp; CF'!$X$1,'Data Tables DONT EDIT'!$A$1:$B$15,2,FALSE),+ROW(B269)),TRUE):INDIRECT(+CONCATENATE(+VLOOKUP('2022 Budget &amp; CF'!$X$4,'Data Tables DONT EDIT'!$A$1:$B$15,2,FALSE),+ROW(B269)),TRUE)))</f>
        <v>0</v>
      </c>
      <c r="Y269" s="314">
        <f ca="1">IFERROR(X269/Z269,0)</f>
        <v>0</v>
      </c>
      <c r="Z269" s="115">
        <v>0</v>
      </c>
      <c r="AA269" s="117">
        <v>0</v>
      </c>
      <c r="AB269" s="117">
        <f>AA269-Z269</f>
        <v>0</v>
      </c>
      <c r="AC269" s="358">
        <f ca="1">IFERROR(X269/AA269,0)</f>
        <v>0</v>
      </c>
      <c r="AF269" s="62"/>
    </row>
    <row r="270" spans="1:32" outlineLevel="1" x14ac:dyDescent="0.2">
      <c r="A270" s="366" t="s">
        <v>832</v>
      </c>
      <c r="B270" s="88" t="s">
        <v>251</v>
      </c>
      <c r="C270" s="102">
        <v>280</v>
      </c>
      <c r="D270" s="405" t="s">
        <v>249</v>
      </c>
      <c r="E270" s="102"/>
      <c r="F270" s="102">
        <v>100</v>
      </c>
      <c r="G270" s="102" t="s">
        <v>464</v>
      </c>
      <c r="H270" s="102" t="s">
        <v>201</v>
      </c>
      <c r="I270" s="102"/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/>
      <c r="X270" s="121">
        <f ca="1">+IF($X$4="NA",0,SUM(INDIRECT(+CONCATENATE(+VLOOKUP('2022 Budget &amp; CF'!$X$1,'Data Tables DONT EDIT'!$A$1:$B$15,2,FALSE),+ROW(B270)),TRUE):INDIRECT(+CONCATENATE(+VLOOKUP('2022 Budget &amp; CF'!$X$4,'Data Tables DONT EDIT'!$A$1:$B$15,2,FALSE),+ROW(B270)),TRUE)))</f>
        <v>0</v>
      </c>
      <c r="Y270" s="314">
        <f t="shared" ca="1" si="177"/>
        <v>0</v>
      </c>
      <c r="Z270" s="115">
        <v>0</v>
      </c>
      <c r="AA270" s="117">
        <v>0</v>
      </c>
      <c r="AB270" s="117">
        <f t="shared" ref="AB270" si="219">AA270-Z270</f>
        <v>0</v>
      </c>
      <c r="AC270" s="358">
        <f t="shared" ca="1" si="178"/>
        <v>0</v>
      </c>
      <c r="AF270" s="62"/>
    </row>
    <row r="271" spans="1:32" outlineLevel="1" x14ac:dyDescent="0.2">
      <c r="A271" s="366" t="s">
        <v>837</v>
      </c>
      <c r="B271" s="465" t="s">
        <v>555</v>
      </c>
      <c r="C271" s="132"/>
      <c r="D271" s="536"/>
      <c r="E271" s="132"/>
      <c r="F271" s="132"/>
      <c r="G271" s="132"/>
      <c r="H271" s="132"/>
      <c r="I271" s="132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463"/>
      <c r="Z271" s="271"/>
      <c r="AA271" s="271"/>
      <c r="AB271" s="271"/>
      <c r="AC271" s="462">
        <f>IFERROR(X271/AA271,0)</f>
        <v>0</v>
      </c>
      <c r="AF271" s="62"/>
    </row>
    <row r="272" spans="1:32" outlineLevel="1" x14ac:dyDescent="0.2">
      <c r="A272" s="366" t="s">
        <v>838</v>
      </c>
      <c r="B272" s="88" t="s">
        <v>483</v>
      </c>
      <c r="C272" s="102">
        <v>280</v>
      </c>
      <c r="D272" s="406" t="s">
        <v>535</v>
      </c>
      <c r="E272" s="102"/>
      <c r="F272" s="102" t="s">
        <v>532</v>
      </c>
      <c r="G272" s="102" t="s">
        <v>534</v>
      </c>
      <c r="H272" s="104" t="s">
        <v>203</v>
      </c>
      <c r="I272" s="104"/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/>
      <c r="X272" s="121">
        <f ca="1">+IF($X$4="NA",0,SUM(INDIRECT(+CONCATENATE(+VLOOKUP('2022 Budget &amp; CF'!$X$1,'Data Tables DONT EDIT'!$A$1:$B$15,2,FALSE),+ROW(B272)),TRUE):INDIRECT(+CONCATENATE(+VLOOKUP('2022 Budget &amp; CF'!$X$4,'Data Tables DONT EDIT'!$A$1:$B$15,2,FALSE),+ROW(B272)),TRUE)))</f>
        <v>0</v>
      </c>
      <c r="Y272" s="314">
        <f ca="1">IFERROR(X272/Z272,0)</f>
        <v>0</v>
      </c>
      <c r="Z272" s="115">
        <v>0</v>
      </c>
      <c r="AA272" s="117">
        <v>0</v>
      </c>
      <c r="AB272" s="117">
        <f t="shared" ref="AB272" si="220">AA272-Z272</f>
        <v>0</v>
      </c>
      <c r="AC272" s="358">
        <f ca="1">IFERROR(X272/AA272,0)</f>
        <v>0</v>
      </c>
      <c r="AF272" s="62"/>
    </row>
    <row r="273" spans="1:41" outlineLevel="1" x14ac:dyDescent="0.2">
      <c r="A273" s="366" t="s">
        <v>839</v>
      </c>
      <c r="B273" s="460" t="s">
        <v>549</v>
      </c>
      <c r="C273" s="132"/>
      <c r="D273" s="536"/>
      <c r="E273" s="132"/>
      <c r="F273" s="132"/>
      <c r="G273" s="132"/>
      <c r="H273" s="132"/>
      <c r="I273" s="132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463"/>
      <c r="Z273" s="271"/>
      <c r="AA273" s="271"/>
      <c r="AB273" s="271"/>
      <c r="AC273" s="462">
        <f t="shared" si="178"/>
        <v>0</v>
      </c>
      <c r="AF273" s="62"/>
    </row>
    <row r="274" spans="1:41" outlineLevel="1" x14ac:dyDescent="0.2">
      <c r="A274" s="366" t="s">
        <v>840</v>
      </c>
      <c r="B274" s="88" t="s">
        <v>819</v>
      </c>
      <c r="C274" s="102">
        <v>280</v>
      </c>
      <c r="D274" s="405" t="s">
        <v>552</v>
      </c>
      <c r="E274" s="102"/>
      <c r="F274" s="102" t="s">
        <v>468</v>
      </c>
      <c r="G274" s="102" t="s">
        <v>489</v>
      </c>
      <c r="H274" s="104" t="s">
        <v>199</v>
      </c>
      <c r="I274" s="102"/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/>
      <c r="X274" s="121">
        <f ca="1">+IF($X$4="NA",0,SUM(INDIRECT(+CONCATENATE(+VLOOKUP('2022 Budget &amp; CF'!$X$1,'Data Tables DONT EDIT'!$A$1:$B$15,2,FALSE),+ROW(B274)),TRUE):INDIRECT(+CONCATENATE(+VLOOKUP('2022 Budget &amp; CF'!$X$4,'Data Tables DONT EDIT'!$A$1:$B$15,2,FALSE),+ROW(B274)),TRUE)))</f>
        <v>0</v>
      </c>
      <c r="Y274" s="314">
        <f t="shared" ca="1" si="177"/>
        <v>0</v>
      </c>
      <c r="Z274" s="115">
        <v>0</v>
      </c>
      <c r="AA274" s="117">
        <v>0</v>
      </c>
      <c r="AB274" s="117">
        <f t="shared" ref="AB274:AB275" si="221">AA274-Z274</f>
        <v>0</v>
      </c>
      <c r="AC274" s="358">
        <f t="shared" ca="1" si="178"/>
        <v>0</v>
      </c>
      <c r="AF274" s="62"/>
    </row>
    <row r="275" spans="1:41" outlineLevel="1" x14ac:dyDescent="0.2">
      <c r="A275" s="366" t="s">
        <v>841</v>
      </c>
      <c r="B275" s="88" t="s">
        <v>818</v>
      </c>
      <c r="C275" s="102">
        <v>280</v>
      </c>
      <c r="D275" s="405" t="s">
        <v>552</v>
      </c>
      <c r="E275" s="102"/>
      <c r="F275" s="102" t="s">
        <v>468</v>
      </c>
      <c r="G275" s="102" t="s">
        <v>485</v>
      </c>
      <c r="H275" s="104" t="s">
        <v>203</v>
      </c>
      <c r="I275" s="102"/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/>
      <c r="X275" s="121">
        <f ca="1">+IF($X$4="NA",0,SUM(INDIRECT(+CONCATENATE(+VLOOKUP('2022 Budget &amp; CF'!$X$1,'Data Tables DONT EDIT'!$A$1:$B$15,2,FALSE),+ROW(B275)),TRUE):INDIRECT(+CONCATENATE(+VLOOKUP('2022 Budget &amp; CF'!$X$4,'Data Tables DONT EDIT'!$A$1:$B$15,2,FALSE),+ROW(B275)),TRUE)))</f>
        <v>0</v>
      </c>
      <c r="Y275" s="314">
        <f t="shared" ca="1" si="177"/>
        <v>0</v>
      </c>
      <c r="Z275" s="115">
        <v>0</v>
      </c>
      <c r="AA275" s="117">
        <v>0</v>
      </c>
      <c r="AB275" s="117">
        <f t="shared" si="221"/>
        <v>0</v>
      </c>
      <c r="AC275" s="358">
        <f t="shared" ca="1" si="178"/>
        <v>0</v>
      </c>
      <c r="AF275" s="62"/>
    </row>
    <row r="276" spans="1:41" outlineLevel="1" x14ac:dyDescent="0.2">
      <c r="A276" s="366" t="s">
        <v>842</v>
      </c>
      <c r="B276" s="460" t="s">
        <v>549</v>
      </c>
      <c r="C276" s="132"/>
      <c r="D276" s="536"/>
      <c r="E276" s="132"/>
      <c r="F276" s="132"/>
      <c r="G276" s="132"/>
      <c r="H276" s="132"/>
      <c r="I276" s="132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463"/>
      <c r="Z276" s="271"/>
      <c r="AA276" s="271"/>
      <c r="AB276" s="271"/>
      <c r="AC276" s="462">
        <f t="shared" ref="AC276:AC277" si="222">IFERROR(X276/AA276,0)</f>
        <v>0</v>
      </c>
      <c r="AF276" s="62"/>
    </row>
    <row r="277" spans="1:41" outlineLevel="1" x14ac:dyDescent="0.2">
      <c r="A277" s="366" t="s">
        <v>843</v>
      </c>
      <c r="B277" s="88" t="s">
        <v>819</v>
      </c>
      <c r="C277" s="102">
        <v>280</v>
      </c>
      <c r="D277" s="405" t="s">
        <v>1031</v>
      </c>
      <c r="E277" s="102"/>
      <c r="F277" s="102" t="s">
        <v>468</v>
      </c>
      <c r="G277" s="102" t="s">
        <v>489</v>
      </c>
      <c r="H277" s="104" t="s">
        <v>199</v>
      </c>
      <c r="I277" s="102"/>
      <c r="J277" s="12">
        <v>0</v>
      </c>
      <c r="K277" s="12">
        <v>3520</v>
      </c>
      <c r="L277" s="12">
        <v>284</v>
      </c>
      <c r="M277" s="12">
        <v>0</v>
      </c>
      <c r="N277" s="12">
        <v>1884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/>
      <c r="X277" s="121">
        <f ca="1">+IF($X$4="NA",0,SUM(INDIRECT(+CONCATENATE(+VLOOKUP('2022 Budget &amp; CF'!$X$1,'Data Tables DONT EDIT'!$A$1:$B$15,2,FALSE),+ROW(B277)),TRUE):INDIRECT(+CONCATENATE(+VLOOKUP('2022 Budget &amp; CF'!$X$4,'Data Tables DONT EDIT'!$A$1:$B$15,2,FALSE),+ROW(B277)),TRUE)))</f>
        <v>5688</v>
      </c>
      <c r="Y277" s="314">
        <f t="shared" ref="Y277" ca="1" si="223">IFERROR(X277/Z277,0)</f>
        <v>0</v>
      </c>
      <c r="Z277" s="115">
        <v>0</v>
      </c>
      <c r="AA277" s="117">
        <v>5688</v>
      </c>
      <c r="AB277" s="117">
        <f t="shared" ref="AB277" si="224">AA277-Z277</f>
        <v>5688</v>
      </c>
      <c r="AC277" s="358">
        <f t="shared" ca="1" si="222"/>
        <v>1</v>
      </c>
      <c r="AF277" s="62"/>
    </row>
    <row r="278" spans="1:41" outlineLevel="1" x14ac:dyDescent="0.2">
      <c r="A278" s="366" t="s">
        <v>844</v>
      </c>
      <c r="B278" s="460" t="s">
        <v>536</v>
      </c>
      <c r="C278" s="132"/>
      <c r="D278" s="536"/>
      <c r="E278" s="132"/>
      <c r="F278" s="132"/>
      <c r="G278" s="132"/>
      <c r="H278" s="132"/>
      <c r="I278" s="132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463"/>
      <c r="Z278" s="271"/>
      <c r="AA278" s="271"/>
      <c r="AB278" s="271"/>
      <c r="AC278" s="462">
        <f t="shared" si="178"/>
        <v>0</v>
      </c>
      <c r="AF278" s="62"/>
    </row>
    <row r="279" spans="1:41" outlineLevel="1" x14ac:dyDescent="0.2">
      <c r="A279" s="366" t="s">
        <v>845</v>
      </c>
      <c r="B279" s="88" t="s">
        <v>483</v>
      </c>
      <c r="C279" s="102" t="s">
        <v>537</v>
      </c>
      <c r="D279" s="405" t="s">
        <v>145</v>
      </c>
      <c r="E279" s="102"/>
      <c r="F279" s="102" t="s">
        <v>145</v>
      </c>
      <c r="G279" s="102" t="s">
        <v>518</v>
      </c>
      <c r="H279" s="102" t="s">
        <v>203</v>
      </c>
      <c r="I279" s="102"/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/>
      <c r="X279" s="121">
        <f ca="1">+IF($X$4="NA",0,SUM(INDIRECT(+CONCATENATE(+VLOOKUP('2022 Budget &amp; CF'!$X$1,'Data Tables DONT EDIT'!$A$1:$B$15,2,FALSE),+ROW(B279)),TRUE):INDIRECT(+CONCATENATE(+VLOOKUP('2022 Budget &amp; CF'!$X$4,'Data Tables DONT EDIT'!$A$1:$B$15,2,FALSE),+ROW(B279)),TRUE)))</f>
        <v>0</v>
      </c>
      <c r="Y279" s="314">
        <f t="shared" ca="1" si="177"/>
        <v>0</v>
      </c>
      <c r="Z279" s="115">
        <v>0</v>
      </c>
      <c r="AA279" s="117">
        <v>0</v>
      </c>
      <c r="AB279" s="117">
        <f t="shared" si="192"/>
        <v>0</v>
      </c>
      <c r="AC279" s="358">
        <f t="shared" ca="1" si="178"/>
        <v>0</v>
      </c>
      <c r="AF279" s="62"/>
    </row>
    <row r="280" spans="1:41" outlineLevel="1" x14ac:dyDescent="0.2">
      <c r="A280" s="366" t="s">
        <v>846</v>
      </c>
      <c r="B280" s="88" t="s">
        <v>483</v>
      </c>
      <c r="C280" s="102" t="s">
        <v>537</v>
      </c>
      <c r="D280" s="405" t="s">
        <v>145</v>
      </c>
      <c r="E280" s="102"/>
      <c r="F280" s="102" t="s">
        <v>468</v>
      </c>
      <c r="G280" s="102" t="s">
        <v>1053</v>
      </c>
      <c r="H280" s="104" t="s">
        <v>203</v>
      </c>
      <c r="I280" s="102"/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/>
      <c r="X280" s="121">
        <f ca="1">+IF($X$4="NA",0,SUM(INDIRECT(+CONCATENATE(+VLOOKUP('2022 Budget &amp; CF'!$X$1,'Data Tables DONT EDIT'!$A$1:$B$15,2,FALSE),+ROW(B280)),TRUE):INDIRECT(+CONCATENATE(+VLOOKUP('2022 Budget &amp; CF'!$X$4,'Data Tables DONT EDIT'!$A$1:$B$15,2,FALSE),+ROW(B280)),TRUE)))</f>
        <v>0</v>
      </c>
      <c r="Y280" s="314">
        <f t="shared" ref="Y280:Y282" ca="1" si="225">IFERROR(X280/Z280,0)</f>
        <v>0</v>
      </c>
      <c r="Z280" s="115">
        <v>0</v>
      </c>
      <c r="AA280" s="117">
        <v>0</v>
      </c>
      <c r="AB280" s="117">
        <f t="shared" ref="AB280:AB282" si="226">AA280-Z280</f>
        <v>0</v>
      </c>
      <c r="AC280" s="358">
        <f t="shared" ref="AC280:AC282" ca="1" si="227">IFERROR(X280/AA280,0)</f>
        <v>0</v>
      </c>
      <c r="AF280" s="62"/>
    </row>
    <row r="281" spans="1:41" outlineLevel="1" x14ac:dyDescent="0.2">
      <c r="A281" s="366" t="s">
        <v>847</v>
      </c>
      <c r="B281" s="88" t="s">
        <v>539</v>
      </c>
      <c r="C281" s="102" t="s">
        <v>537</v>
      </c>
      <c r="D281" s="405" t="s">
        <v>145</v>
      </c>
      <c r="E281" s="102"/>
      <c r="F281" s="102" t="s">
        <v>145</v>
      </c>
      <c r="G281" s="102" t="s">
        <v>526</v>
      </c>
      <c r="H281" s="102" t="s">
        <v>480</v>
      </c>
      <c r="I281" s="102"/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/>
      <c r="X281" s="121">
        <f ca="1">+IF($X$4="NA",0,SUM(INDIRECT(+CONCATENATE(+VLOOKUP('2022 Budget &amp; CF'!$X$1,'Data Tables DONT EDIT'!$A$1:$B$15,2,FALSE),+ROW(B281)),TRUE):INDIRECT(+CONCATENATE(+VLOOKUP('2022 Budget &amp; CF'!$X$4,'Data Tables DONT EDIT'!$A$1:$B$15,2,FALSE),+ROW(B281)),TRUE)))</f>
        <v>0</v>
      </c>
      <c r="Y281" s="314">
        <f t="shared" ca="1" si="225"/>
        <v>0</v>
      </c>
      <c r="Z281" s="115">
        <v>0</v>
      </c>
      <c r="AA281" s="117">
        <v>0</v>
      </c>
      <c r="AB281" s="117">
        <f t="shared" si="226"/>
        <v>0</v>
      </c>
      <c r="AC281" s="358">
        <f t="shared" ca="1" si="227"/>
        <v>0</v>
      </c>
      <c r="AF281" s="62"/>
    </row>
    <row r="282" spans="1:41" outlineLevel="1" x14ac:dyDescent="0.2">
      <c r="A282" s="366" t="s">
        <v>848</v>
      </c>
      <c r="B282" s="88" t="s">
        <v>997</v>
      </c>
      <c r="C282" s="102" t="s">
        <v>537</v>
      </c>
      <c r="D282" s="406" t="s">
        <v>145</v>
      </c>
      <c r="E282" s="102"/>
      <c r="F282" s="104" t="s">
        <v>145</v>
      </c>
      <c r="G282" s="102" t="s">
        <v>538</v>
      </c>
      <c r="H282" s="104" t="s">
        <v>238</v>
      </c>
      <c r="I282" s="102"/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/>
      <c r="X282" s="121">
        <f ca="1">+IF($X$4="NA",0,SUM(INDIRECT(+CONCATENATE(+VLOOKUP('2022 Budget &amp; CF'!$X$1,'Data Tables DONT EDIT'!$A$1:$B$15,2,FALSE),+ROW(B282)),TRUE):INDIRECT(+CONCATENATE(+VLOOKUP('2022 Budget &amp; CF'!$X$4,'Data Tables DONT EDIT'!$A$1:$B$15,2,FALSE),+ROW(B282)),TRUE)))</f>
        <v>0</v>
      </c>
      <c r="Y282" s="314">
        <f t="shared" ca="1" si="225"/>
        <v>0</v>
      </c>
      <c r="Z282" s="115">
        <v>0</v>
      </c>
      <c r="AA282" s="117">
        <v>0</v>
      </c>
      <c r="AB282" s="117">
        <f t="shared" si="226"/>
        <v>0</v>
      </c>
      <c r="AC282" s="358">
        <f t="shared" ca="1" si="227"/>
        <v>0</v>
      </c>
      <c r="AF282" s="62"/>
    </row>
    <row r="283" spans="1:41" s="332" customFormat="1" x14ac:dyDescent="0.2">
      <c r="A283" s="366" t="s">
        <v>849</v>
      </c>
      <c r="B283" s="213" t="s">
        <v>252</v>
      </c>
      <c r="C283" s="427"/>
      <c r="D283" s="719"/>
      <c r="E283" s="427"/>
      <c r="F283" s="427"/>
      <c r="G283" s="427"/>
      <c r="H283" s="427"/>
      <c r="I283" s="428"/>
      <c r="J283" s="304">
        <f t="shared" ref="J283:V283" si="228">SUM(J174:J282)</f>
        <v>48607.989999999991</v>
      </c>
      <c r="K283" s="304">
        <f t="shared" si="228"/>
        <v>119459.95999999998</v>
      </c>
      <c r="L283" s="304">
        <f t="shared" si="228"/>
        <v>54291.229999999996</v>
      </c>
      <c r="M283" s="304">
        <f t="shared" si="228"/>
        <v>135392.56</v>
      </c>
      <c r="N283" s="304">
        <f t="shared" si="228"/>
        <v>80091.98</v>
      </c>
      <c r="O283" s="304">
        <f t="shared" si="228"/>
        <v>0</v>
      </c>
      <c r="P283" s="304">
        <f t="shared" si="228"/>
        <v>0</v>
      </c>
      <c r="Q283" s="304">
        <f t="shared" si="228"/>
        <v>0</v>
      </c>
      <c r="R283" s="304">
        <f t="shared" si="228"/>
        <v>0</v>
      </c>
      <c r="S283" s="304">
        <f t="shared" si="228"/>
        <v>0</v>
      </c>
      <c r="T283" s="304">
        <f t="shared" si="228"/>
        <v>0</v>
      </c>
      <c r="U283" s="304">
        <f t="shared" si="228"/>
        <v>0</v>
      </c>
      <c r="V283" s="304">
        <f t="shared" si="228"/>
        <v>0</v>
      </c>
      <c r="W283" s="304"/>
      <c r="X283" s="304">
        <f ca="1">SUM(X174:X282)</f>
        <v>437843.72</v>
      </c>
      <c r="Y283" s="319">
        <f t="shared" ca="1" si="177"/>
        <v>0.39969046708360068</v>
      </c>
      <c r="Z283" s="304">
        <f>SUM(Z174:Z282)</f>
        <v>1095457</v>
      </c>
      <c r="AA283" s="304">
        <f>SUM(AA174:AA282)</f>
        <v>1021596</v>
      </c>
      <c r="AB283" s="304"/>
      <c r="AC283" s="319">
        <f t="shared" ca="1" si="178"/>
        <v>0.42858793495667563</v>
      </c>
      <c r="AD283" s="2"/>
      <c r="AE283" s="2"/>
      <c r="AF283" s="553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outlineLevel="1" x14ac:dyDescent="0.2">
      <c r="A284" s="366" t="s">
        <v>850</v>
      </c>
      <c r="B284" s="459" t="s">
        <v>197</v>
      </c>
      <c r="C284" s="140"/>
      <c r="D284" s="140"/>
      <c r="E284" s="140"/>
      <c r="F284" s="140"/>
      <c r="G284" s="140"/>
      <c r="H284" s="132"/>
      <c r="I284" s="132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463"/>
      <c r="Z284" s="271"/>
      <c r="AA284" s="271"/>
      <c r="AB284" s="271"/>
      <c r="AC284" s="272"/>
      <c r="AD284" s="116"/>
      <c r="AE284" s="116"/>
      <c r="AF284" s="62"/>
    </row>
    <row r="285" spans="1:41" outlineLevel="1" x14ac:dyDescent="0.2">
      <c r="A285" s="366" t="s">
        <v>851</v>
      </c>
      <c r="B285" s="142" t="s">
        <v>253</v>
      </c>
      <c r="C285" s="143">
        <v>100</v>
      </c>
      <c r="D285" s="144" t="s">
        <v>145</v>
      </c>
      <c r="E285" s="144"/>
      <c r="F285" s="143">
        <v>100</v>
      </c>
      <c r="G285" s="143">
        <v>1000</v>
      </c>
      <c r="H285" s="145" t="s">
        <v>254</v>
      </c>
      <c r="I285" s="145"/>
      <c r="J285" s="12">
        <v>0</v>
      </c>
      <c r="K285" s="12">
        <v>0</v>
      </c>
      <c r="L285" s="12">
        <v>126.71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/>
      <c r="X285" s="121">
        <f ca="1">+IF($X$4="NA",0,SUM(INDIRECT(+CONCATENATE(+VLOOKUP('2022 Budget &amp; CF'!$X$1,'Data Tables DONT EDIT'!$A$1:$B$15,2,FALSE),+ROW(B285)),TRUE):INDIRECT(+CONCATENATE(+VLOOKUP('2022 Budget &amp; CF'!$X$4,'Data Tables DONT EDIT'!$A$1:$B$15,2,FALSE),+ROW(B285)),TRUE)))</f>
        <v>126.71</v>
      </c>
      <c r="Y285" s="314">
        <f t="shared" ca="1" si="177"/>
        <v>5.0684E-2</v>
      </c>
      <c r="Z285" s="115">
        <v>2500</v>
      </c>
      <c r="AA285" s="117">
        <v>500</v>
      </c>
      <c r="AB285" s="117">
        <f t="shared" si="192"/>
        <v>-2000</v>
      </c>
      <c r="AC285" s="358">
        <f t="shared" ca="1" si="178"/>
        <v>0.25341999999999998</v>
      </c>
      <c r="AD285" s="116"/>
      <c r="AE285" s="116"/>
      <c r="AF285" s="62"/>
    </row>
    <row r="286" spans="1:41" outlineLevel="1" x14ac:dyDescent="0.2">
      <c r="A286" s="366" t="s">
        <v>852</v>
      </c>
      <c r="B286" s="142" t="s">
        <v>255</v>
      </c>
      <c r="C286" s="143">
        <v>100</v>
      </c>
      <c r="D286" s="144" t="s">
        <v>145</v>
      </c>
      <c r="E286" s="144"/>
      <c r="F286" s="143">
        <v>100</v>
      </c>
      <c r="G286" s="143">
        <v>1000</v>
      </c>
      <c r="H286" s="145" t="s">
        <v>256</v>
      </c>
      <c r="I286" s="145"/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/>
      <c r="X286" s="121">
        <f ca="1">+IF($X$4="NA",0,SUM(INDIRECT(+CONCATENATE(+VLOOKUP('2022 Budget &amp; CF'!$X$1,'Data Tables DONT EDIT'!$A$1:$B$15,2,FALSE),+ROW(B286)),TRUE):INDIRECT(+CONCATENATE(+VLOOKUP('2022 Budget &amp; CF'!$X$4,'Data Tables DONT EDIT'!$A$1:$B$15,2,FALSE),+ROW(B286)),TRUE)))</f>
        <v>0</v>
      </c>
      <c r="Y286" s="314">
        <f t="shared" ca="1" si="177"/>
        <v>0</v>
      </c>
      <c r="Z286" s="115">
        <v>500</v>
      </c>
      <c r="AA286" s="117">
        <v>500</v>
      </c>
      <c r="AB286" s="117">
        <f t="shared" si="192"/>
        <v>0</v>
      </c>
      <c r="AC286" s="358">
        <f t="shared" ca="1" si="178"/>
        <v>0</v>
      </c>
      <c r="AD286" s="355"/>
      <c r="AE286" s="355"/>
      <c r="AF286" s="62"/>
    </row>
    <row r="287" spans="1:41" outlineLevel="1" x14ac:dyDescent="0.2">
      <c r="A287" s="366" t="s">
        <v>853</v>
      </c>
      <c r="B287" s="142" t="s">
        <v>257</v>
      </c>
      <c r="C287" s="143">
        <v>100</v>
      </c>
      <c r="D287" s="144" t="s">
        <v>145</v>
      </c>
      <c r="E287" s="144"/>
      <c r="F287" s="143">
        <v>100</v>
      </c>
      <c r="G287" s="143">
        <v>1000</v>
      </c>
      <c r="H287" s="145" t="s">
        <v>258</v>
      </c>
      <c r="I287" s="145"/>
      <c r="J287" s="12">
        <v>0</v>
      </c>
      <c r="K287" s="12">
        <v>123.8</v>
      </c>
      <c r="L287" s="12">
        <v>0</v>
      </c>
      <c r="M287" s="12">
        <v>0</v>
      </c>
      <c r="N287" s="12">
        <v>161.09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/>
      <c r="X287" s="121">
        <f ca="1">+IF($X$4="NA",0,SUM(INDIRECT(+CONCATENATE(+VLOOKUP('2022 Budget &amp; CF'!$X$1,'Data Tables DONT EDIT'!$A$1:$B$15,2,FALSE),+ROW(B287)),TRUE):INDIRECT(+CONCATENATE(+VLOOKUP('2022 Budget &amp; CF'!$X$4,'Data Tables DONT EDIT'!$A$1:$B$15,2,FALSE),+ROW(B287)),TRUE)))</f>
        <v>284.89</v>
      </c>
      <c r="Y287" s="314">
        <f t="shared" ca="1" si="177"/>
        <v>0.14244499999999999</v>
      </c>
      <c r="Z287" s="115">
        <v>2000</v>
      </c>
      <c r="AA287" s="117">
        <v>500</v>
      </c>
      <c r="AB287" s="117">
        <f t="shared" si="192"/>
        <v>-1500</v>
      </c>
      <c r="AC287" s="358">
        <f t="shared" ca="1" si="178"/>
        <v>0.56977999999999995</v>
      </c>
      <c r="AF287" s="62"/>
    </row>
    <row r="288" spans="1:41" outlineLevel="1" x14ac:dyDescent="0.2">
      <c r="A288" s="366" t="s">
        <v>854</v>
      </c>
      <c r="B288" s="142" t="s">
        <v>259</v>
      </c>
      <c r="C288" s="143">
        <v>100</v>
      </c>
      <c r="D288" s="144" t="s">
        <v>145</v>
      </c>
      <c r="E288" s="144"/>
      <c r="F288" s="143">
        <v>100</v>
      </c>
      <c r="G288" s="143">
        <v>1000</v>
      </c>
      <c r="H288" s="145" t="s">
        <v>260</v>
      </c>
      <c r="I288" s="145"/>
      <c r="J288" s="12">
        <v>0</v>
      </c>
      <c r="K288" s="12">
        <v>0</v>
      </c>
      <c r="L288" s="12">
        <v>652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/>
      <c r="X288" s="121">
        <f ca="1">+IF($X$4="NA",0,SUM(INDIRECT(+CONCATENATE(+VLOOKUP('2022 Budget &amp; CF'!$X$1,'Data Tables DONT EDIT'!$A$1:$B$15,2,FALSE),+ROW(B288)),TRUE):INDIRECT(+CONCATENATE(+VLOOKUP('2022 Budget &amp; CF'!$X$4,'Data Tables DONT EDIT'!$A$1:$B$15,2,FALSE),+ROW(B288)),TRUE)))</f>
        <v>652</v>
      </c>
      <c r="Y288" s="314">
        <f t="shared" ca="1" si="177"/>
        <v>5.4333333333333331E-2</v>
      </c>
      <c r="Z288" s="115">
        <v>12000</v>
      </c>
      <c r="AA288" s="117">
        <v>6000</v>
      </c>
      <c r="AB288" s="117">
        <f t="shared" si="192"/>
        <v>-6000</v>
      </c>
      <c r="AC288" s="358">
        <f t="shared" ca="1" si="178"/>
        <v>0.10866666666666666</v>
      </c>
      <c r="AF288" s="62"/>
    </row>
    <row r="289" spans="1:32" outlineLevel="1" x14ac:dyDescent="0.2">
      <c r="A289" s="366" t="s">
        <v>814</v>
      </c>
      <c r="B289" s="142" t="s">
        <v>261</v>
      </c>
      <c r="C289" s="143">
        <v>100</v>
      </c>
      <c r="D289" s="144" t="s">
        <v>145</v>
      </c>
      <c r="E289" s="144"/>
      <c r="F289" s="143">
        <v>100</v>
      </c>
      <c r="G289" s="143">
        <v>1000</v>
      </c>
      <c r="H289" s="145" t="s">
        <v>262</v>
      </c>
      <c r="I289" s="145"/>
      <c r="J289" s="12">
        <v>0</v>
      </c>
      <c r="K289" s="12">
        <v>749</v>
      </c>
      <c r="L289" s="12">
        <v>136880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/>
      <c r="X289" s="121">
        <f ca="1">+IF($X$4="NA",0,SUM(INDIRECT(+CONCATENATE(+VLOOKUP('2022 Budget &amp; CF'!$X$1,'Data Tables DONT EDIT'!$A$1:$B$15,2,FALSE),+ROW(B289)),TRUE):INDIRECT(+CONCATENATE(+VLOOKUP('2022 Budget &amp; CF'!$X$4,'Data Tables DONT EDIT'!$A$1:$B$15,2,FALSE),+ROW(B289)),TRUE)))</f>
        <v>137629</v>
      </c>
      <c r="Y289" s="314">
        <f t="shared" ca="1" si="177"/>
        <v>19.594105922551254</v>
      </c>
      <c r="Z289" s="115">
        <v>7024</v>
      </c>
      <c r="AA289" s="117">
        <v>137629</v>
      </c>
      <c r="AB289" s="117">
        <f t="shared" si="192"/>
        <v>130605</v>
      </c>
      <c r="AC289" s="358">
        <f t="shared" ca="1" si="178"/>
        <v>1</v>
      </c>
      <c r="AF289" s="62"/>
    </row>
    <row r="290" spans="1:32" outlineLevel="1" x14ac:dyDescent="0.2">
      <c r="A290" s="366" t="s">
        <v>135</v>
      </c>
      <c r="B290" s="142" t="s">
        <v>263</v>
      </c>
      <c r="C290" s="143">
        <v>100</v>
      </c>
      <c r="D290" s="144" t="s">
        <v>145</v>
      </c>
      <c r="E290" s="144"/>
      <c r="F290" s="143">
        <v>100</v>
      </c>
      <c r="G290" s="143">
        <v>1000</v>
      </c>
      <c r="H290" s="145" t="s">
        <v>264</v>
      </c>
      <c r="I290" s="145"/>
      <c r="J290" s="12">
        <v>19125</v>
      </c>
      <c r="K290" s="12">
        <v>0</v>
      </c>
      <c r="L290" s="12">
        <v>99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/>
      <c r="X290" s="121">
        <f ca="1">+IF($X$4="NA",0,SUM(INDIRECT(+CONCATENATE(+VLOOKUP('2022 Budget &amp; CF'!$X$1,'Data Tables DONT EDIT'!$A$1:$B$15,2,FALSE),+ROW(B290)),TRUE):INDIRECT(+CONCATENATE(+VLOOKUP('2022 Budget &amp; CF'!$X$4,'Data Tables DONT EDIT'!$A$1:$B$15,2,FALSE),+ROW(B290)),TRUE)))</f>
        <v>19224</v>
      </c>
      <c r="Y290" s="314">
        <f t="shared" ca="1" si="177"/>
        <v>0.4645049050403518</v>
      </c>
      <c r="Z290" s="115">
        <v>41386</v>
      </c>
      <c r="AA290" s="117">
        <v>41386</v>
      </c>
      <c r="AB290" s="117">
        <f t="shared" si="192"/>
        <v>0</v>
      </c>
      <c r="AC290" s="358">
        <f t="shared" ca="1" si="178"/>
        <v>0.4645049050403518</v>
      </c>
      <c r="AF290" s="62"/>
    </row>
    <row r="291" spans="1:32" outlineLevel="1" x14ac:dyDescent="0.2">
      <c r="A291" s="366" t="s">
        <v>855</v>
      </c>
      <c r="B291" s="459" t="s">
        <v>202</v>
      </c>
      <c r="C291" s="148"/>
      <c r="D291" s="148"/>
      <c r="E291" s="148"/>
      <c r="F291" s="148"/>
      <c r="G291" s="148"/>
      <c r="H291" s="132"/>
      <c r="I291" s="132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463"/>
      <c r="Z291" s="271"/>
      <c r="AA291" s="271"/>
      <c r="AB291" s="271"/>
      <c r="AC291" s="462"/>
      <c r="AD291" s="452" t="s">
        <v>1127</v>
      </c>
      <c r="AE291" s="62"/>
      <c r="AF291" s="62"/>
    </row>
    <row r="292" spans="1:32" outlineLevel="1" x14ac:dyDescent="0.2">
      <c r="A292" s="366" t="s">
        <v>865</v>
      </c>
      <c r="B292" s="142" t="s">
        <v>265</v>
      </c>
      <c r="C292" s="143">
        <v>100</v>
      </c>
      <c r="D292" s="144" t="s">
        <v>145</v>
      </c>
      <c r="E292" s="144"/>
      <c r="F292" s="143">
        <v>100</v>
      </c>
      <c r="G292" s="143">
        <v>2110</v>
      </c>
      <c r="H292" s="145" t="s">
        <v>254</v>
      </c>
      <c r="I292" s="145"/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/>
      <c r="X292" s="121">
        <f ca="1">+IF($X$4="NA",0,SUM(INDIRECT(+CONCATENATE(+VLOOKUP('2022 Budget &amp; CF'!$X$1,'Data Tables DONT EDIT'!$A$1:$B$15,2,FALSE),+ROW(B292)),TRUE):INDIRECT(+CONCATENATE(+VLOOKUP('2022 Budget &amp; CF'!$X$4,'Data Tables DONT EDIT'!$A$1:$B$15,2,FALSE),+ROW(B292)),TRUE)))</f>
        <v>0</v>
      </c>
      <c r="Y292" s="314">
        <f t="shared" ref="Y292:Y376" ca="1" si="229">IFERROR(X292/Z292,0)</f>
        <v>0</v>
      </c>
      <c r="Z292" s="115">
        <v>0</v>
      </c>
      <c r="AA292" s="117">
        <v>0</v>
      </c>
      <c r="AB292" s="117">
        <f t="shared" si="192"/>
        <v>0</v>
      </c>
      <c r="AC292" s="358">
        <f t="shared" ref="AC292:AC376" ca="1" si="230">IFERROR(X292/AA292,0)</f>
        <v>0</v>
      </c>
      <c r="AF292" s="62"/>
    </row>
    <row r="293" spans="1:32" outlineLevel="1" x14ac:dyDescent="0.2">
      <c r="A293" s="366" t="s">
        <v>866</v>
      </c>
      <c r="B293" s="142" t="s">
        <v>265</v>
      </c>
      <c r="C293" s="143" t="s">
        <v>468</v>
      </c>
      <c r="D293" s="144" t="s">
        <v>145</v>
      </c>
      <c r="E293" s="144"/>
      <c r="F293" s="143" t="s">
        <v>468</v>
      </c>
      <c r="G293" s="143" t="s">
        <v>484</v>
      </c>
      <c r="H293" s="145" t="s">
        <v>254</v>
      </c>
      <c r="I293" s="145"/>
      <c r="J293" s="12">
        <v>0</v>
      </c>
      <c r="K293" s="12">
        <v>69.62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/>
      <c r="X293" s="121">
        <f ca="1">+IF($X$4="NA",0,SUM(INDIRECT(+CONCATENATE(+VLOOKUP('2022 Budget &amp; CF'!$X$1,'Data Tables DONT EDIT'!$A$1:$B$15,2,FALSE),+ROW(B293)),TRUE):INDIRECT(+CONCATENATE(+VLOOKUP('2022 Budget &amp; CF'!$X$4,'Data Tables DONT EDIT'!$A$1:$B$15,2,FALSE),+ROW(B293)),TRUE)))</f>
        <v>69.62</v>
      </c>
      <c r="Y293" s="314">
        <f t="shared" ref="Y293:Y294" ca="1" si="231">IFERROR(X293/Z293,0)</f>
        <v>0</v>
      </c>
      <c r="Z293" s="115">
        <v>0</v>
      </c>
      <c r="AA293" s="117">
        <v>0</v>
      </c>
      <c r="AB293" s="117">
        <f t="shared" ref="AB293:AB294" si="232">AA293-Z293</f>
        <v>0</v>
      </c>
      <c r="AC293" s="358">
        <f t="shared" ref="AC293:AC294" ca="1" si="233">IFERROR(X293/AA293,0)</f>
        <v>0</v>
      </c>
      <c r="AF293" s="62"/>
    </row>
    <row r="294" spans="1:32" outlineLevel="1" x14ac:dyDescent="0.2">
      <c r="A294" s="366" t="s">
        <v>867</v>
      </c>
      <c r="B294" s="142" t="s">
        <v>265</v>
      </c>
      <c r="C294" s="143" t="s">
        <v>468</v>
      </c>
      <c r="D294" s="144" t="s">
        <v>145</v>
      </c>
      <c r="E294" s="144"/>
      <c r="F294" s="143" t="s">
        <v>468</v>
      </c>
      <c r="G294" s="143" t="s">
        <v>490</v>
      </c>
      <c r="H294" s="145" t="s">
        <v>254</v>
      </c>
      <c r="I294" s="145"/>
      <c r="J294" s="12">
        <v>0</v>
      </c>
      <c r="K294" s="12">
        <v>750.89</v>
      </c>
      <c r="L294" s="12">
        <v>0</v>
      </c>
      <c r="M294" s="12">
        <v>25.99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/>
      <c r="X294" s="121">
        <f ca="1">+IF($X$4="NA",0,SUM(INDIRECT(+CONCATENATE(+VLOOKUP('2022 Budget &amp; CF'!$X$1,'Data Tables DONT EDIT'!$A$1:$B$15,2,FALSE),+ROW(B294)),TRUE):INDIRECT(+CONCATENATE(+VLOOKUP('2022 Budget &amp; CF'!$X$4,'Data Tables DONT EDIT'!$A$1:$B$15,2,FALSE),+ROW(B294)),TRUE)))</f>
        <v>776.88</v>
      </c>
      <c r="Y294" s="314">
        <f t="shared" ca="1" si="231"/>
        <v>0</v>
      </c>
      <c r="Z294" s="115">
        <v>0</v>
      </c>
      <c r="AA294" s="117">
        <v>0</v>
      </c>
      <c r="AB294" s="117">
        <f t="shared" si="232"/>
        <v>0</v>
      </c>
      <c r="AC294" s="358">
        <f t="shared" ca="1" si="233"/>
        <v>0</v>
      </c>
      <c r="AF294" s="62"/>
    </row>
    <row r="295" spans="1:32" outlineLevel="1" x14ac:dyDescent="0.2">
      <c r="A295" s="366" t="s">
        <v>868</v>
      </c>
      <c r="B295" s="459" t="s">
        <v>204</v>
      </c>
      <c r="C295" s="140"/>
      <c r="D295" s="140"/>
      <c r="E295" s="140"/>
      <c r="F295" s="140"/>
      <c r="G295" s="140"/>
      <c r="H295" s="132"/>
      <c r="I295" s="132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463"/>
      <c r="Z295" s="271"/>
      <c r="AA295" s="271"/>
      <c r="AB295" s="271"/>
      <c r="AC295" s="462"/>
      <c r="AF295" s="62"/>
    </row>
    <row r="296" spans="1:32" outlineLevel="1" x14ac:dyDescent="0.2">
      <c r="A296" s="366" t="s">
        <v>869</v>
      </c>
      <c r="B296" s="142" t="s">
        <v>266</v>
      </c>
      <c r="C296" s="143">
        <v>100</v>
      </c>
      <c r="D296" s="144" t="s">
        <v>145</v>
      </c>
      <c r="E296" s="144"/>
      <c r="F296" s="143">
        <v>100</v>
      </c>
      <c r="G296" s="143">
        <v>2239</v>
      </c>
      <c r="H296" s="145" t="s">
        <v>254</v>
      </c>
      <c r="I296" s="145"/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/>
      <c r="X296" s="121">
        <f ca="1">+IF($X$4="NA",0,SUM(INDIRECT(+CONCATENATE(+VLOOKUP('2022 Budget &amp; CF'!$X$1,'Data Tables DONT EDIT'!$A$1:$B$15,2,FALSE),+ROW(B296)),TRUE):INDIRECT(+CONCATENATE(+VLOOKUP('2022 Budget &amp; CF'!$X$4,'Data Tables DONT EDIT'!$A$1:$B$15,2,FALSE),+ROW(B296)),TRUE)))</f>
        <v>0</v>
      </c>
      <c r="Y296" s="314">
        <f t="shared" ca="1" si="229"/>
        <v>0</v>
      </c>
      <c r="Z296" s="115">
        <v>37</v>
      </c>
      <c r="AA296" s="117">
        <v>37</v>
      </c>
      <c r="AB296" s="117">
        <f t="shared" si="192"/>
        <v>0</v>
      </c>
      <c r="AC296" s="358">
        <f t="shared" ca="1" si="230"/>
        <v>0</v>
      </c>
      <c r="AF296" s="62"/>
    </row>
    <row r="297" spans="1:32" outlineLevel="1" x14ac:dyDescent="0.2">
      <c r="A297" s="366" t="s">
        <v>870</v>
      </c>
      <c r="B297" s="142" t="s">
        <v>509</v>
      </c>
      <c r="C297" s="143">
        <v>100</v>
      </c>
      <c r="D297" s="144" t="s">
        <v>145</v>
      </c>
      <c r="E297" s="144"/>
      <c r="F297" s="143">
        <v>100</v>
      </c>
      <c r="G297" s="143">
        <v>2213</v>
      </c>
      <c r="H297" s="145" t="s">
        <v>260</v>
      </c>
      <c r="I297" s="145"/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/>
      <c r="X297" s="121">
        <f ca="1">+IF($X$4="NA",0,SUM(INDIRECT(+CONCATENATE(+VLOOKUP('2022 Budget &amp; CF'!$X$1,'Data Tables DONT EDIT'!$A$1:$B$15,2,FALSE),+ROW(B297)),TRUE):INDIRECT(+CONCATENATE(+VLOOKUP('2022 Budget &amp; CF'!$X$4,'Data Tables DONT EDIT'!$A$1:$B$15,2,FALSE),+ROW(B297)),TRUE)))</f>
        <v>0</v>
      </c>
      <c r="Y297" s="314">
        <f t="shared" ca="1" si="229"/>
        <v>0</v>
      </c>
      <c r="Z297" s="115">
        <v>0</v>
      </c>
      <c r="AA297" s="117">
        <v>0</v>
      </c>
      <c r="AB297" s="117">
        <f t="shared" ref="AB297" si="234">AA297-Z297</f>
        <v>0</v>
      </c>
      <c r="AC297" s="358">
        <f t="shared" ca="1" si="230"/>
        <v>0</v>
      </c>
      <c r="AF297" s="62"/>
    </row>
    <row r="298" spans="1:32" outlineLevel="1" x14ac:dyDescent="0.2">
      <c r="A298" s="366" t="s">
        <v>871</v>
      </c>
      <c r="B298" s="459" t="s">
        <v>206</v>
      </c>
      <c r="C298" s="140"/>
      <c r="D298" s="140"/>
      <c r="E298" s="140"/>
      <c r="F298" s="140"/>
      <c r="G298" s="140"/>
      <c r="H298" s="132"/>
      <c r="I298" s="132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463"/>
      <c r="Z298" s="271"/>
      <c r="AA298" s="271"/>
      <c r="AB298" s="271"/>
      <c r="AC298" s="462"/>
      <c r="AF298" s="62"/>
    </row>
    <row r="299" spans="1:32" outlineLevel="1" x14ac:dyDescent="0.2">
      <c r="A299" s="366" t="s">
        <v>470</v>
      </c>
      <c r="B299" s="150" t="s">
        <v>267</v>
      </c>
      <c r="C299" s="143">
        <v>100</v>
      </c>
      <c r="D299" s="144" t="s">
        <v>145</v>
      </c>
      <c r="E299" s="144"/>
      <c r="F299" s="143">
        <v>100</v>
      </c>
      <c r="G299" s="143">
        <v>2320</v>
      </c>
      <c r="H299" s="145" t="s">
        <v>254</v>
      </c>
      <c r="I299" s="145"/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/>
      <c r="X299" s="121">
        <f ca="1">+IF($X$4="NA",0,SUM(INDIRECT(+CONCATENATE(+VLOOKUP('2022 Budget &amp; CF'!$X$1,'Data Tables DONT EDIT'!$A$1:$B$15,2,FALSE),+ROW(B299)),TRUE):INDIRECT(+CONCATENATE(+VLOOKUP('2022 Budget &amp; CF'!$X$4,'Data Tables DONT EDIT'!$A$1:$B$15,2,FALSE),+ROW(B299)),TRUE)))</f>
        <v>0</v>
      </c>
      <c r="Y299" s="314">
        <f t="shared" ca="1" si="229"/>
        <v>0</v>
      </c>
      <c r="Z299" s="115">
        <v>100</v>
      </c>
      <c r="AA299" s="117">
        <v>100</v>
      </c>
      <c r="AB299" s="117">
        <f t="shared" si="192"/>
        <v>0</v>
      </c>
      <c r="AC299" s="358">
        <f t="shared" ca="1" si="230"/>
        <v>0</v>
      </c>
      <c r="AF299" s="62"/>
    </row>
    <row r="300" spans="1:32" outlineLevel="1" x14ac:dyDescent="0.2">
      <c r="A300" s="366" t="s">
        <v>872</v>
      </c>
      <c r="B300" s="459" t="s">
        <v>211</v>
      </c>
      <c r="C300" s="140"/>
      <c r="D300" s="140"/>
      <c r="E300" s="140"/>
      <c r="F300" s="140"/>
      <c r="G300" s="140"/>
      <c r="H300" s="132"/>
      <c r="I300" s="132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463"/>
      <c r="Z300" s="271"/>
      <c r="AA300" s="271"/>
      <c r="AB300" s="271"/>
      <c r="AC300" s="462"/>
      <c r="AF300" s="62"/>
    </row>
    <row r="301" spans="1:32" outlineLevel="1" x14ac:dyDescent="0.2">
      <c r="A301" s="366" t="s">
        <v>873</v>
      </c>
      <c r="B301" s="142" t="s">
        <v>268</v>
      </c>
      <c r="C301" s="143">
        <v>100</v>
      </c>
      <c r="D301" s="144" t="s">
        <v>145</v>
      </c>
      <c r="E301" s="144"/>
      <c r="F301" s="143">
        <v>100</v>
      </c>
      <c r="G301" s="143">
        <v>2410</v>
      </c>
      <c r="H301" s="145" t="s">
        <v>254</v>
      </c>
      <c r="I301" s="145"/>
      <c r="J301" s="12">
        <v>0</v>
      </c>
      <c r="K301" s="12">
        <v>182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/>
      <c r="X301" s="121">
        <f ca="1">+IF($X$4="NA",0,SUM(INDIRECT(+CONCATENATE(+VLOOKUP('2022 Budget &amp; CF'!$X$1,'Data Tables DONT EDIT'!$A$1:$B$15,2,FALSE),+ROW(B301)),TRUE):INDIRECT(+CONCATENATE(+VLOOKUP('2022 Budget &amp; CF'!$X$4,'Data Tables DONT EDIT'!$A$1:$B$15,2,FALSE),+ROW(B301)),TRUE)))</f>
        <v>182</v>
      </c>
      <c r="Y301" s="314">
        <f t="shared" ref="Y301" ca="1" si="235">IFERROR(X301/Z301,0)</f>
        <v>0</v>
      </c>
      <c r="Z301" s="115">
        <v>0</v>
      </c>
      <c r="AA301" s="117">
        <v>0</v>
      </c>
      <c r="AB301" s="117">
        <f t="shared" ref="AB301" si="236">AA301-Z301</f>
        <v>0</v>
      </c>
      <c r="AC301" s="358">
        <f t="shared" ref="AC301" ca="1" si="237">IFERROR(X301/AA301,0)</f>
        <v>0</v>
      </c>
      <c r="AF301" s="62"/>
    </row>
    <row r="302" spans="1:32" outlineLevel="1" x14ac:dyDescent="0.2">
      <c r="A302" s="366" t="s">
        <v>874</v>
      </c>
      <c r="B302" s="142" t="s">
        <v>268</v>
      </c>
      <c r="C302" s="143">
        <v>100</v>
      </c>
      <c r="D302" s="144" t="s">
        <v>145</v>
      </c>
      <c r="E302" s="144"/>
      <c r="F302" s="143">
        <v>100</v>
      </c>
      <c r="G302" s="143">
        <v>2490</v>
      </c>
      <c r="H302" s="145" t="s">
        <v>254</v>
      </c>
      <c r="I302" s="145"/>
      <c r="J302" s="12">
        <v>0</v>
      </c>
      <c r="K302" s="12">
        <v>2385.67</v>
      </c>
      <c r="L302" s="12">
        <v>769.3</v>
      </c>
      <c r="M302" s="12">
        <v>0</v>
      </c>
      <c r="N302" s="12">
        <v>1275.98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/>
      <c r="X302" s="121">
        <f ca="1">+IF($X$4="NA",0,SUM(INDIRECT(+CONCATENATE(+VLOOKUP('2022 Budget &amp; CF'!$X$1,'Data Tables DONT EDIT'!$A$1:$B$15,2,FALSE),+ROW(B302)),TRUE):INDIRECT(+CONCATENATE(+VLOOKUP('2022 Budget &amp; CF'!$X$4,'Data Tables DONT EDIT'!$A$1:$B$15,2,FALSE),+ROW(B302)),TRUE)))</f>
        <v>4430.9500000000007</v>
      </c>
      <c r="Y302" s="314">
        <f t="shared" ca="1" si="229"/>
        <v>0.26883569955102543</v>
      </c>
      <c r="Z302" s="115">
        <v>16482</v>
      </c>
      <c r="AA302" s="117">
        <f>20000-3518</f>
        <v>16482</v>
      </c>
      <c r="AB302" s="117">
        <f t="shared" si="192"/>
        <v>0</v>
      </c>
      <c r="AC302" s="358">
        <f t="shared" ca="1" si="230"/>
        <v>0.26883569955102543</v>
      </c>
      <c r="AF302" s="62"/>
    </row>
    <row r="303" spans="1:32" outlineLevel="1" x14ac:dyDescent="0.2">
      <c r="A303" s="366" t="s">
        <v>875</v>
      </c>
      <c r="B303" s="142" t="s">
        <v>1055</v>
      </c>
      <c r="C303" s="143">
        <v>100</v>
      </c>
      <c r="D303" s="144" t="s">
        <v>145</v>
      </c>
      <c r="E303" s="144"/>
      <c r="F303" s="143">
        <v>100</v>
      </c>
      <c r="G303" s="143">
        <v>2490</v>
      </c>
      <c r="H303" s="145" t="s">
        <v>1054</v>
      </c>
      <c r="I303" s="145"/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/>
      <c r="X303" s="121">
        <f ca="1">+IF($X$4="NA",0,SUM(INDIRECT(+CONCATENATE(+VLOOKUP('2022 Budget &amp; CF'!$X$1,'Data Tables DONT EDIT'!$A$1:$B$15,2,FALSE),+ROW(B303)),TRUE):INDIRECT(+CONCATENATE(+VLOOKUP('2022 Budget &amp; CF'!$X$4,'Data Tables DONT EDIT'!$A$1:$B$15,2,FALSE),+ROW(B303)),TRUE)))</f>
        <v>0</v>
      </c>
      <c r="Y303" s="314">
        <f t="shared" ref="Y303" ca="1" si="238">IFERROR(X303/Z303,0)</f>
        <v>0</v>
      </c>
      <c r="Z303" s="115">
        <v>3518</v>
      </c>
      <c r="AA303" s="117">
        <v>3518</v>
      </c>
      <c r="AB303" s="117">
        <f t="shared" si="192"/>
        <v>0</v>
      </c>
      <c r="AC303" s="358">
        <f t="shared" ref="AC303" ca="1" si="239">IFERROR(X303/AA303,0)</f>
        <v>0</v>
      </c>
      <c r="AF303" s="62"/>
    </row>
    <row r="304" spans="1:32" outlineLevel="1" x14ac:dyDescent="0.2">
      <c r="A304" s="366" t="s">
        <v>876</v>
      </c>
      <c r="B304" s="459" t="s">
        <v>214</v>
      </c>
      <c r="C304" s="148"/>
      <c r="D304" s="148"/>
      <c r="E304" s="148"/>
      <c r="F304" s="148"/>
      <c r="G304" s="148"/>
      <c r="H304" s="132"/>
      <c r="I304" s="132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463"/>
      <c r="Z304" s="271"/>
      <c r="AA304" s="271"/>
      <c r="AB304" s="271"/>
      <c r="AC304" s="462"/>
      <c r="AF304" s="62"/>
    </row>
    <row r="305" spans="1:32" outlineLevel="1" x14ac:dyDescent="0.2">
      <c r="A305" s="366" t="s">
        <v>877</v>
      </c>
      <c r="B305" s="142" t="s">
        <v>268</v>
      </c>
      <c r="C305" s="143" t="s">
        <v>468</v>
      </c>
      <c r="D305" s="144" t="s">
        <v>145</v>
      </c>
      <c r="E305" s="144"/>
      <c r="F305" s="143" t="s">
        <v>468</v>
      </c>
      <c r="G305" s="143" t="s">
        <v>458</v>
      </c>
      <c r="H305" s="145" t="s">
        <v>254</v>
      </c>
      <c r="I305" s="145"/>
      <c r="J305" s="12">
        <v>0</v>
      </c>
      <c r="K305" s="12">
        <v>0</v>
      </c>
      <c r="L305" s="12">
        <v>56.84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/>
      <c r="X305" s="121">
        <f ca="1">+IF($X$4="NA",0,SUM(INDIRECT(+CONCATENATE(+VLOOKUP('2022 Budget &amp; CF'!$X$1,'Data Tables DONT EDIT'!$A$1:$B$15,2,FALSE),+ROW(B305)),TRUE):INDIRECT(+CONCATENATE(+VLOOKUP('2022 Budget &amp; CF'!$X$4,'Data Tables DONT EDIT'!$A$1:$B$15,2,FALSE),+ROW(B305)),TRUE)))</f>
        <v>56.84</v>
      </c>
      <c r="Y305" s="314">
        <f t="shared" ref="Y305" ca="1" si="240">IFERROR(X305/Z305,0)</f>
        <v>0</v>
      </c>
      <c r="Z305" s="115">
        <v>0</v>
      </c>
      <c r="AA305" s="117">
        <v>0</v>
      </c>
      <c r="AB305" s="117">
        <f t="shared" ref="AB305" si="241">AA305-Z305</f>
        <v>0</v>
      </c>
      <c r="AC305" s="358">
        <f t="shared" ref="AC305" ca="1" si="242">IFERROR(X305/AA305,0)</f>
        <v>0</v>
      </c>
      <c r="AF305" s="62"/>
    </row>
    <row r="306" spans="1:32" outlineLevel="1" x14ac:dyDescent="0.2">
      <c r="A306" s="366" t="s">
        <v>878</v>
      </c>
      <c r="B306" s="142" t="s">
        <v>545</v>
      </c>
      <c r="C306" s="143">
        <v>100</v>
      </c>
      <c r="D306" s="144" t="s">
        <v>145</v>
      </c>
      <c r="E306" s="144"/>
      <c r="F306" s="143">
        <v>100</v>
      </c>
      <c r="G306" s="143">
        <v>2570</v>
      </c>
      <c r="H306" s="145" t="s">
        <v>254</v>
      </c>
      <c r="I306" s="145"/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/>
      <c r="X306" s="121">
        <f ca="1">+IF($X$4="NA",0,SUM(INDIRECT(+CONCATENATE(+VLOOKUP('2022 Budget &amp; CF'!$X$1,'Data Tables DONT EDIT'!$A$1:$B$15,2,FALSE),+ROW(B306)),TRUE):INDIRECT(+CONCATENATE(+VLOOKUP('2022 Budget &amp; CF'!$X$4,'Data Tables DONT EDIT'!$A$1:$B$15,2,FALSE),+ROW(B306)),TRUE)))</f>
        <v>0</v>
      </c>
      <c r="Y306" s="314">
        <f t="shared" ref="Y306" ca="1" si="243">IFERROR(X306/Z306,0)</f>
        <v>0</v>
      </c>
      <c r="Z306" s="115">
        <v>100</v>
      </c>
      <c r="AA306" s="117">
        <v>100</v>
      </c>
      <c r="AB306" s="117">
        <f t="shared" ref="AB306" si="244">AA306-Z306</f>
        <v>0</v>
      </c>
      <c r="AC306" s="358">
        <f t="shared" ref="AC306" ca="1" si="245">IFERROR(X306/AA306,0)</f>
        <v>0</v>
      </c>
      <c r="AF306" s="62"/>
    </row>
    <row r="307" spans="1:32" outlineLevel="1" x14ac:dyDescent="0.2">
      <c r="A307" s="366" t="s">
        <v>879</v>
      </c>
      <c r="B307" s="142" t="s">
        <v>269</v>
      </c>
      <c r="C307" s="143">
        <v>100</v>
      </c>
      <c r="D307" s="144" t="s">
        <v>145</v>
      </c>
      <c r="E307" s="144"/>
      <c r="F307" s="143">
        <v>100</v>
      </c>
      <c r="G307" s="143">
        <v>2580</v>
      </c>
      <c r="H307" s="145" t="s">
        <v>254</v>
      </c>
      <c r="I307" s="145"/>
      <c r="J307" s="12">
        <v>428.21</v>
      </c>
      <c r="K307" s="12">
        <v>279.3</v>
      </c>
      <c r="L307" s="12">
        <v>83.710000000000008</v>
      </c>
      <c r="M307" s="12">
        <v>155.22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/>
      <c r="X307" s="121">
        <f ca="1">+IF($X$4="NA",0,SUM(INDIRECT(+CONCATENATE(+VLOOKUP('2022 Budget &amp; CF'!$X$1,'Data Tables DONT EDIT'!$A$1:$B$15,2,FALSE),+ROW(B307)),TRUE):INDIRECT(+CONCATENATE(+VLOOKUP('2022 Budget &amp; CF'!$X$4,'Data Tables DONT EDIT'!$A$1:$B$15,2,FALSE),+ROW(B307)),TRUE)))</f>
        <v>946.44</v>
      </c>
      <c r="Y307" s="314">
        <f t="shared" ca="1" si="229"/>
        <v>0.17526666666666668</v>
      </c>
      <c r="Z307" s="115">
        <v>5400</v>
      </c>
      <c r="AA307" s="117">
        <v>5400</v>
      </c>
      <c r="AB307" s="117">
        <f t="shared" si="192"/>
        <v>0</v>
      </c>
      <c r="AC307" s="358">
        <f t="shared" ca="1" si="230"/>
        <v>0.17526666666666668</v>
      </c>
      <c r="AF307" s="62"/>
    </row>
    <row r="308" spans="1:32" outlineLevel="1" x14ac:dyDescent="0.2">
      <c r="A308" s="366" t="s">
        <v>883</v>
      </c>
      <c r="B308" s="142" t="s">
        <v>509</v>
      </c>
      <c r="C308" s="143">
        <v>100</v>
      </c>
      <c r="D308" s="144" t="s">
        <v>145</v>
      </c>
      <c r="E308" s="144"/>
      <c r="F308" s="143">
        <v>100</v>
      </c>
      <c r="G308" s="143">
        <v>2580</v>
      </c>
      <c r="H308" s="145" t="s">
        <v>260</v>
      </c>
      <c r="I308" s="145"/>
      <c r="J308" s="12">
        <v>10216.459999999999</v>
      </c>
      <c r="K308" s="12">
        <v>1907.2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/>
      <c r="X308" s="121">
        <f ca="1">+IF($X$4="NA",0,SUM(INDIRECT(+CONCATENATE(+VLOOKUP('2022 Budget &amp; CF'!$X$1,'Data Tables DONT EDIT'!$A$1:$B$15,2,FALSE),+ROW(B308)),TRUE):INDIRECT(+CONCATENATE(+VLOOKUP('2022 Budget &amp; CF'!$X$4,'Data Tables DONT EDIT'!$A$1:$B$15,2,FALSE),+ROW(B308)),TRUE)))</f>
        <v>12123.66</v>
      </c>
      <c r="Y308" s="314">
        <f t="shared" ca="1" si="229"/>
        <v>0.60618300000000003</v>
      </c>
      <c r="Z308" s="115">
        <v>20000</v>
      </c>
      <c r="AA308" s="117">
        <v>20000</v>
      </c>
      <c r="AB308" s="117">
        <f t="shared" si="192"/>
        <v>0</v>
      </c>
      <c r="AC308" s="358">
        <f t="shared" ca="1" si="230"/>
        <v>0.60618300000000003</v>
      </c>
      <c r="AF308" s="62"/>
    </row>
    <row r="309" spans="1:32" outlineLevel="1" x14ac:dyDescent="0.2">
      <c r="A309" s="366" t="s">
        <v>884</v>
      </c>
      <c r="B309" s="142" t="s">
        <v>270</v>
      </c>
      <c r="C309" s="143">
        <v>100</v>
      </c>
      <c r="D309" s="144" t="s">
        <v>145</v>
      </c>
      <c r="E309" s="144"/>
      <c r="F309" s="143">
        <v>100</v>
      </c>
      <c r="G309" s="143">
        <v>2580</v>
      </c>
      <c r="H309" s="145" t="s">
        <v>262</v>
      </c>
      <c r="I309" s="145"/>
      <c r="J309" s="12">
        <v>45.77</v>
      </c>
      <c r="K309" s="12">
        <v>0</v>
      </c>
      <c r="L309" s="12">
        <v>5265.6</v>
      </c>
      <c r="M309" s="12">
        <v>166.99</v>
      </c>
      <c r="N309" s="12">
        <v>4169.57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/>
      <c r="X309" s="121">
        <f ca="1">+IF($X$4="NA",0,SUM(INDIRECT(+CONCATENATE(+VLOOKUP('2022 Budget &amp; CF'!$X$1,'Data Tables DONT EDIT'!$A$1:$B$15,2,FALSE),+ROW(B309)),TRUE):INDIRECT(+CONCATENATE(+VLOOKUP('2022 Budget &amp; CF'!$X$4,'Data Tables DONT EDIT'!$A$1:$B$15,2,FALSE),+ROW(B309)),TRUE)))</f>
        <v>9647.93</v>
      </c>
      <c r="Y309" s="314">
        <f t="shared" ca="1" si="229"/>
        <v>9.6479300000000006</v>
      </c>
      <c r="Z309" s="115">
        <v>1000</v>
      </c>
      <c r="AA309" s="117">
        <v>1000</v>
      </c>
      <c r="AB309" s="117">
        <f t="shared" si="192"/>
        <v>0</v>
      </c>
      <c r="AC309" s="358">
        <f t="shared" ca="1" si="230"/>
        <v>9.6479300000000006</v>
      </c>
      <c r="AF309" s="62"/>
    </row>
    <row r="310" spans="1:32" outlineLevel="1" x14ac:dyDescent="0.2">
      <c r="A310" s="366" t="s">
        <v>537</v>
      </c>
      <c r="B310" s="459" t="s">
        <v>228</v>
      </c>
      <c r="C310" s="152"/>
      <c r="D310" s="152"/>
      <c r="E310" s="152"/>
      <c r="F310" s="152"/>
      <c r="G310" s="152"/>
      <c r="H310" s="132"/>
      <c r="I310" s="132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463"/>
      <c r="Z310" s="271"/>
      <c r="AA310" s="271"/>
      <c r="AB310" s="271"/>
      <c r="AC310" s="462"/>
      <c r="AF310" s="62"/>
    </row>
    <row r="311" spans="1:32" outlineLevel="1" x14ac:dyDescent="0.2">
      <c r="A311" s="366" t="s">
        <v>930</v>
      </c>
      <c r="B311" s="142" t="s">
        <v>271</v>
      </c>
      <c r="C311" s="143">
        <v>100</v>
      </c>
      <c r="D311" s="144" t="s">
        <v>145</v>
      </c>
      <c r="E311" s="144"/>
      <c r="F311" s="143">
        <v>100</v>
      </c>
      <c r="G311" s="143">
        <v>2610</v>
      </c>
      <c r="H311" s="145" t="s">
        <v>254</v>
      </c>
      <c r="I311" s="145"/>
      <c r="J311" s="12">
        <v>0</v>
      </c>
      <c r="K311" s="12">
        <v>0</v>
      </c>
      <c r="L311" s="12">
        <v>0</v>
      </c>
      <c r="M311" s="12">
        <v>0</v>
      </c>
      <c r="N311" s="12">
        <v>280.5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/>
      <c r="X311" s="121">
        <f ca="1">+IF($X$4="NA",0,SUM(INDIRECT(+CONCATENATE(+VLOOKUP('2022 Budget &amp; CF'!$X$1,'Data Tables DONT EDIT'!$A$1:$B$15,2,FALSE),+ROW(B311)),TRUE):INDIRECT(+CONCATENATE(+VLOOKUP('2022 Budget &amp; CF'!$X$4,'Data Tables DONT EDIT'!$A$1:$B$15,2,FALSE),+ROW(B311)),TRUE)))</f>
        <v>280.5</v>
      </c>
      <c r="Y311" s="314">
        <f t="shared" ca="1" si="229"/>
        <v>3.5062500000000003E-2</v>
      </c>
      <c r="Z311" s="115">
        <v>8000</v>
      </c>
      <c r="AA311" s="117">
        <v>8000</v>
      </c>
      <c r="AB311" s="117">
        <f t="shared" si="192"/>
        <v>0</v>
      </c>
      <c r="AC311" s="358">
        <f t="shared" ca="1" si="230"/>
        <v>3.5062500000000003E-2</v>
      </c>
      <c r="AF311" s="62"/>
    </row>
    <row r="312" spans="1:32" outlineLevel="1" x14ac:dyDescent="0.2">
      <c r="A312" s="366" t="s">
        <v>931</v>
      </c>
      <c r="B312" s="142" t="s">
        <v>271</v>
      </c>
      <c r="C312" s="143">
        <v>100</v>
      </c>
      <c r="D312" s="144" t="s">
        <v>145</v>
      </c>
      <c r="E312" s="144"/>
      <c r="F312" s="143">
        <v>100</v>
      </c>
      <c r="G312" s="143">
        <v>2620</v>
      </c>
      <c r="H312" s="145" t="s">
        <v>254</v>
      </c>
      <c r="I312" s="145"/>
      <c r="J312" s="12">
        <v>0</v>
      </c>
      <c r="K312" s="12">
        <v>0</v>
      </c>
      <c r="L312" s="12">
        <v>0</v>
      </c>
      <c r="M312" s="12">
        <v>24.95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/>
      <c r="X312" s="121">
        <f ca="1">+IF($X$4="NA",0,SUM(INDIRECT(+CONCATENATE(+VLOOKUP('2022 Budget &amp; CF'!$X$1,'Data Tables DONT EDIT'!$A$1:$B$15,2,FALSE),+ROW(B312)),TRUE):INDIRECT(+CONCATENATE(+VLOOKUP('2022 Budget &amp; CF'!$X$4,'Data Tables DONT EDIT'!$A$1:$B$15,2,FALSE),+ROW(B312)),TRUE)))</f>
        <v>24.95</v>
      </c>
      <c r="Y312" s="314">
        <f t="shared" ca="1" si="229"/>
        <v>0</v>
      </c>
      <c r="Z312" s="115">
        <v>0</v>
      </c>
      <c r="AA312" s="117">
        <v>0</v>
      </c>
      <c r="AB312" s="117">
        <f t="shared" ref="AB312" si="246">AA312-Z312</f>
        <v>0</v>
      </c>
      <c r="AC312" s="358">
        <f t="shared" ca="1" si="230"/>
        <v>0</v>
      </c>
      <c r="AF312" s="62"/>
    </row>
    <row r="313" spans="1:32" outlineLevel="1" x14ac:dyDescent="0.2">
      <c r="A313" s="366" t="s">
        <v>932</v>
      </c>
      <c r="B313" s="142" t="s">
        <v>271</v>
      </c>
      <c r="C313" s="143">
        <v>100</v>
      </c>
      <c r="D313" s="144" t="s">
        <v>145</v>
      </c>
      <c r="E313" s="144"/>
      <c r="F313" s="143">
        <v>100</v>
      </c>
      <c r="G313" s="143" t="s">
        <v>540</v>
      </c>
      <c r="H313" s="145" t="s">
        <v>254</v>
      </c>
      <c r="I313" s="145"/>
      <c r="J313" s="12">
        <v>0</v>
      </c>
      <c r="K313" s="12">
        <v>0</v>
      </c>
      <c r="L313" s="12">
        <v>0</v>
      </c>
      <c r="M313" s="12">
        <v>12.89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/>
      <c r="X313" s="121">
        <f ca="1">+IF($X$4="NA",0,SUM(INDIRECT(+CONCATENATE(+VLOOKUP('2022 Budget &amp; CF'!$X$1,'Data Tables DONT EDIT'!$A$1:$B$15,2,FALSE),+ROW(B313)),TRUE):INDIRECT(+CONCATENATE(+VLOOKUP('2022 Budget &amp; CF'!$X$4,'Data Tables DONT EDIT'!$A$1:$B$15,2,FALSE),+ROW(B313)),TRUE)))</f>
        <v>12.89</v>
      </c>
      <c r="Y313" s="314">
        <f t="shared" ca="1" si="229"/>
        <v>0</v>
      </c>
      <c r="Z313" s="115">
        <v>0</v>
      </c>
      <c r="AA313" s="117">
        <v>0</v>
      </c>
      <c r="AB313" s="117">
        <f t="shared" si="192"/>
        <v>0</v>
      </c>
      <c r="AC313" s="358">
        <f t="shared" ca="1" si="230"/>
        <v>0</v>
      </c>
      <c r="AF313" s="62"/>
    </row>
    <row r="314" spans="1:32" outlineLevel="1" x14ac:dyDescent="0.2">
      <c r="A314" s="366" t="s">
        <v>933</v>
      </c>
      <c r="B314" s="142" t="s">
        <v>271</v>
      </c>
      <c r="C314" s="143">
        <v>100</v>
      </c>
      <c r="D314" s="144" t="s">
        <v>145</v>
      </c>
      <c r="E314" s="144"/>
      <c r="F314" s="143">
        <v>100</v>
      </c>
      <c r="G314" s="143" t="s">
        <v>541</v>
      </c>
      <c r="H314" s="145" t="s">
        <v>254</v>
      </c>
      <c r="I314" s="145"/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/>
      <c r="X314" s="121">
        <f ca="1">+IF($X$4="NA",0,SUM(INDIRECT(+CONCATENATE(+VLOOKUP('2022 Budget &amp; CF'!$X$1,'Data Tables DONT EDIT'!$A$1:$B$15,2,FALSE),+ROW(B314)),TRUE):INDIRECT(+CONCATENATE(+VLOOKUP('2022 Budget &amp; CF'!$X$4,'Data Tables DONT EDIT'!$A$1:$B$15,2,FALSE),+ROW(B314)),TRUE)))</f>
        <v>0</v>
      </c>
      <c r="Y314" s="314">
        <f t="shared" ca="1" si="229"/>
        <v>0</v>
      </c>
      <c r="Z314" s="115">
        <v>0</v>
      </c>
      <c r="AA314" s="117">
        <v>0</v>
      </c>
      <c r="AB314" s="117">
        <f t="shared" si="192"/>
        <v>0</v>
      </c>
      <c r="AC314" s="358">
        <f t="shared" ca="1" si="230"/>
        <v>0</v>
      </c>
      <c r="AF314" s="62"/>
    </row>
    <row r="315" spans="1:32" outlineLevel="1" x14ac:dyDescent="0.2">
      <c r="A315" s="366" t="s">
        <v>934</v>
      </c>
      <c r="B315" s="142" t="s">
        <v>271</v>
      </c>
      <c r="C315" s="143">
        <v>100</v>
      </c>
      <c r="D315" s="144" t="s">
        <v>145</v>
      </c>
      <c r="E315" s="144"/>
      <c r="F315" s="143">
        <v>100</v>
      </c>
      <c r="G315" s="143" t="s">
        <v>542</v>
      </c>
      <c r="H315" s="145" t="s">
        <v>254</v>
      </c>
      <c r="I315" s="145"/>
      <c r="J315" s="12">
        <v>0</v>
      </c>
      <c r="K315" s="12">
        <v>0</v>
      </c>
      <c r="L315" s="12">
        <v>244.9</v>
      </c>
      <c r="M315" s="12">
        <v>9.4499999999999993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/>
      <c r="X315" s="121">
        <f ca="1">+IF($X$4="NA",0,SUM(INDIRECT(+CONCATENATE(+VLOOKUP('2022 Budget &amp; CF'!$X$1,'Data Tables DONT EDIT'!$A$1:$B$15,2,FALSE),+ROW(B315)),TRUE):INDIRECT(+CONCATENATE(+VLOOKUP('2022 Budget &amp; CF'!$X$4,'Data Tables DONT EDIT'!$A$1:$B$15,2,FALSE),+ROW(B315)),TRUE)))</f>
        <v>254.35</v>
      </c>
      <c r="Y315" s="314">
        <f t="shared" ca="1" si="229"/>
        <v>0</v>
      </c>
      <c r="Z315" s="115">
        <v>0</v>
      </c>
      <c r="AA315" s="117">
        <v>0</v>
      </c>
      <c r="AB315" s="117">
        <f t="shared" si="192"/>
        <v>0</v>
      </c>
      <c r="AC315" s="358">
        <f t="shared" ca="1" si="230"/>
        <v>0</v>
      </c>
      <c r="AF315" s="62"/>
    </row>
    <row r="316" spans="1:32" outlineLevel="1" x14ac:dyDescent="0.2">
      <c r="A316" s="366" t="s">
        <v>935</v>
      </c>
      <c r="B316" s="142" t="s">
        <v>272</v>
      </c>
      <c r="C316" s="143">
        <v>100</v>
      </c>
      <c r="D316" s="144" t="s">
        <v>145</v>
      </c>
      <c r="E316" s="144"/>
      <c r="F316" s="143">
        <v>100</v>
      </c>
      <c r="G316" s="143">
        <v>2610</v>
      </c>
      <c r="H316" s="145" t="s">
        <v>273</v>
      </c>
      <c r="I316" s="145"/>
      <c r="J316" s="12">
        <v>27.09</v>
      </c>
      <c r="K316" s="12">
        <v>27.09</v>
      </c>
      <c r="L316" s="12">
        <v>27.09</v>
      </c>
      <c r="M316" s="12">
        <v>43.65</v>
      </c>
      <c r="N316" s="12">
        <v>83.84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/>
      <c r="X316" s="121">
        <f ca="1">+IF($X$4="NA",0,SUM(INDIRECT(+CONCATENATE(+VLOOKUP('2022 Budget &amp; CF'!$X$1,'Data Tables DONT EDIT'!$A$1:$B$15,2,FALSE),+ROW(B316)),TRUE):INDIRECT(+CONCATENATE(+VLOOKUP('2022 Budget &amp; CF'!$X$4,'Data Tables DONT EDIT'!$A$1:$B$15,2,FALSE),+ROW(B316)),TRUE)))</f>
        <v>208.76</v>
      </c>
      <c r="Y316" s="314">
        <f t="shared" ca="1" si="229"/>
        <v>0.10438</v>
      </c>
      <c r="Z316" s="115">
        <v>2000</v>
      </c>
      <c r="AA316" s="117">
        <v>2000</v>
      </c>
      <c r="AB316" s="117">
        <f t="shared" si="192"/>
        <v>0</v>
      </c>
      <c r="AC316" s="358">
        <f t="shared" ca="1" si="230"/>
        <v>0.10438</v>
      </c>
      <c r="AF316" s="62"/>
    </row>
    <row r="317" spans="1:32" outlineLevel="1" x14ac:dyDescent="0.2">
      <c r="A317" s="366" t="s">
        <v>936</v>
      </c>
      <c r="B317" s="142" t="s">
        <v>510</v>
      </c>
      <c r="C317" s="143">
        <v>100</v>
      </c>
      <c r="D317" s="144" t="s">
        <v>145</v>
      </c>
      <c r="E317" s="144"/>
      <c r="F317" s="143">
        <v>100</v>
      </c>
      <c r="G317" s="143">
        <v>2610</v>
      </c>
      <c r="H317" s="145" t="s">
        <v>511</v>
      </c>
      <c r="I317" s="145"/>
      <c r="J317" s="12">
        <v>2104.13</v>
      </c>
      <c r="K317" s="12">
        <v>1943.28</v>
      </c>
      <c r="L317" s="12">
        <v>2234.37</v>
      </c>
      <c r="M317" s="12">
        <v>1465.14</v>
      </c>
      <c r="N317" s="12">
        <v>1361.41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/>
      <c r="X317" s="121">
        <f ca="1">+IF($X$4="NA",0,SUM(INDIRECT(+CONCATENATE(+VLOOKUP('2022 Budget &amp; CF'!$X$1,'Data Tables DONT EDIT'!$A$1:$B$15,2,FALSE),+ROW(B317)),TRUE):INDIRECT(+CONCATENATE(+VLOOKUP('2022 Budget &amp; CF'!$X$4,'Data Tables DONT EDIT'!$A$1:$B$15,2,FALSE),+ROW(B317)),TRUE)))</f>
        <v>9108.33</v>
      </c>
      <c r="Y317" s="314">
        <f t="shared" ca="1" si="229"/>
        <v>0.37951374999999998</v>
      </c>
      <c r="Z317" s="115">
        <v>24000</v>
      </c>
      <c r="AA317" s="117">
        <v>24000</v>
      </c>
      <c r="AB317" s="117">
        <f t="shared" ref="AB317:AB428" si="247">AA317-Z317</f>
        <v>0</v>
      </c>
      <c r="AC317" s="358">
        <f t="shared" ca="1" si="230"/>
        <v>0.37951374999999998</v>
      </c>
      <c r="AF317" s="62"/>
    </row>
    <row r="318" spans="1:32" outlineLevel="1" x14ac:dyDescent="0.2">
      <c r="A318" s="366" t="s">
        <v>937</v>
      </c>
      <c r="B318" s="459" t="s">
        <v>274</v>
      </c>
      <c r="C318" s="152"/>
      <c r="D318" s="152"/>
      <c r="E318" s="152"/>
      <c r="F318" s="152"/>
      <c r="G318" s="152"/>
      <c r="H318" s="152"/>
      <c r="I318" s="152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463"/>
      <c r="Z318" s="271"/>
      <c r="AA318" s="271"/>
      <c r="AB318" s="271"/>
      <c r="AC318" s="462"/>
      <c r="AF318" s="62"/>
    </row>
    <row r="319" spans="1:32" outlineLevel="1" x14ac:dyDescent="0.2">
      <c r="A319" s="366" t="s">
        <v>938</v>
      </c>
      <c r="B319" s="142" t="s">
        <v>275</v>
      </c>
      <c r="C319" s="143">
        <v>240</v>
      </c>
      <c r="D319" s="144" t="s">
        <v>137</v>
      </c>
      <c r="E319" s="144"/>
      <c r="F319" s="143">
        <v>100</v>
      </c>
      <c r="G319" s="143">
        <v>1000</v>
      </c>
      <c r="H319" s="145" t="s">
        <v>254</v>
      </c>
      <c r="I319" s="145"/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/>
      <c r="X319" s="121">
        <f ca="1">+IF($X$4="NA",0,SUM(INDIRECT(+CONCATENATE(+VLOOKUP('2022 Budget &amp; CF'!$X$1,'Data Tables DONT EDIT'!$A$1:$B$15,2,FALSE),+ROW(B319)),TRUE):INDIRECT(+CONCATENATE(+VLOOKUP('2022 Budget &amp; CF'!$X$4,'Data Tables DONT EDIT'!$A$1:$B$15,2,FALSE),+ROW(B319)),TRUE)))</f>
        <v>0</v>
      </c>
      <c r="Y319" s="314">
        <f t="shared" ca="1" si="229"/>
        <v>0</v>
      </c>
      <c r="Z319" s="115">
        <v>0</v>
      </c>
      <c r="AA319" s="117">
        <v>0</v>
      </c>
      <c r="AB319" s="117">
        <f t="shared" si="247"/>
        <v>0</v>
      </c>
      <c r="AC319" s="358">
        <f t="shared" ca="1" si="230"/>
        <v>0</v>
      </c>
      <c r="AF319" s="62"/>
    </row>
    <row r="320" spans="1:32" outlineLevel="1" x14ac:dyDescent="0.2">
      <c r="A320" s="366" t="s">
        <v>939</v>
      </c>
      <c r="B320" s="459" t="s">
        <v>512</v>
      </c>
      <c r="C320" s="152"/>
      <c r="D320" s="152"/>
      <c r="E320" s="152"/>
      <c r="F320" s="152"/>
      <c r="G320" s="152"/>
      <c r="H320" s="132"/>
      <c r="I320" s="132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463"/>
      <c r="Z320" s="271"/>
      <c r="AA320" s="271"/>
      <c r="AB320" s="271"/>
      <c r="AC320" s="462"/>
      <c r="AF320" s="62"/>
    </row>
    <row r="321" spans="1:32" outlineLevel="1" x14ac:dyDescent="0.2">
      <c r="A321" s="366" t="s">
        <v>940</v>
      </c>
      <c r="B321" s="142" t="s">
        <v>513</v>
      </c>
      <c r="C321" s="143">
        <v>240</v>
      </c>
      <c r="D321" s="144" t="s">
        <v>472</v>
      </c>
      <c r="E321" s="144"/>
      <c r="F321" s="143">
        <v>100</v>
      </c>
      <c r="G321" s="143">
        <v>1000</v>
      </c>
      <c r="H321" s="145" t="s">
        <v>260</v>
      </c>
      <c r="I321" s="145"/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/>
      <c r="X321" s="121">
        <f ca="1">+IF($X$4="NA",0,SUM(INDIRECT(+CONCATENATE(+VLOOKUP('2022 Budget &amp; CF'!$X$1,'Data Tables DONT EDIT'!$A$1:$B$15,2,FALSE),+ROW(B321)),TRUE):INDIRECT(+CONCATENATE(+VLOOKUP('2022 Budget &amp; CF'!$X$4,'Data Tables DONT EDIT'!$A$1:$B$15,2,FALSE),+ROW(B321)),TRUE)))</f>
        <v>0</v>
      </c>
      <c r="Y321" s="314">
        <f t="shared" ca="1" si="229"/>
        <v>0</v>
      </c>
      <c r="Z321" s="115">
        <v>0</v>
      </c>
      <c r="AA321" s="117">
        <v>0</v>
      </c>
      <c r="AB321" s="117">
        <f t="shared" ref="AB321" si="248">AA321-Z321</f>
        <v>0</v>
      </c>
      <c r="AC321" s="358">
        <f t="shared" ca="1" si="230"/>
        <v>0</v>
      </c>
      <c r="AF321" s="62"/>
    </row>
    <row r="322" spans="1:32" outlineLevel="1" x14ac:dyDescent="0.2">
      <c r="A322" s="366" t="s">
        <v>941</v>
      </c>
      <c r="B322" s="142" t="s">
        <v>1056</v>
      </c>
      <c r="C322" s="143">
        <v>240</v>
      </c>
      <c r="D322" s="144" t="s">
        <v>472</v>
      </c>
      <c r="E322" s="144"/>
      <c r="F322" s="143">
        <v>100</v>
      </c>
      <c r="G322" s="143">
        <v>1000</v>
      </c>
      <c r="H322" s="145" t="s">
        <v>264</v>
      </c>
      <c r="I322" s="145"/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/>
      <c r="X322" s="121">
        <f ca="1">+IF($X$4="NA",0,SUM(INDIRECT(+CONCATENATE(+VLOOKUP('2022 Budget &amp; CF'!$X$1,'Data Tables DONT EDIT'!$A$1:$B$15,2,FALSE),+ROW(B322)),TRUE):INDIRECT(+CONCATENATE(+VLOOKUP('2022 Budget &amp; CF'!$X$4,'Data Tables DONT EDIT'!$A$1:$B$15,2,FALSE),+ROW(B322)),TRUE)))</f>
        <v>0</v>
      </c>
      <c r="Y322" s="314">
        <f t="shared" ref="Y322" ca="1" si="249">IFERROR(X322/Z322,0)</f>
        <v>0</v>
      </c>
      <c r="Z322" s="115">
        <v>0</v>
      </c>
      <c r="AA322" s="117">
        <v>0</v>
      </c>
      <c r="AB322" s="117">
        <f t="shared" ref="AB322" si="250">AA322-Z322</f>
        <v>0</v>
      </c>
      <c r="AC322" s="358">
        <f t="shared" ref="AC322" ca="1" si="251">IFERROR(X322/AA322,0)</f>
        <v>0</v>
      </c>
      <c r="AF322" s="62"/>
    </row>
    <row r="323" spans="1:32" outlineLevel="1" x14ac:dyDescent="0.2">
      <c r="A323" s="366" t="s">
        <v>942</v>
      </c>
      <c r="B323" s="459" t="s">
        <v>42</v>
      </c>
      <c r="C323" s="152"/>
      <c r="D323" s="152"/>
      <c r="E323" s="152"/>
      <c r="F323" s="152"/>
      <c r="G323" s="152"/>
      <c r="H323" s="132"/>
      <c r="I323" s="132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463"/>
      <c r="Z323" s="271"/>
      <c r="AA323" s="271"/>
      <c r="AB323" s="271"/>
      <c r="AC323" s="462"/>
      <c r="AF323" s="62"/>
    </row>
    <row r="324" spans="1:32" outlineLevel="1" x14ac:dyDescent="0.2">
      <c r="A324" s="366" t="s">
        <v>1011</v>
      </c>
      <c r="B324" s="142" t="s">
        <v>545</v>
      </c>
      <c r="C324" s="143" t="s">
        <v>462</v>
      </c>
      <c r="D324" s="144" t="s">
        <v>132</v>
      </c>
      <c r="E324" s="144"/>
      <c r="F324" s="143" t="s">
        <v>463</v>
      </c>
      <c r="G324" s="143" t="s">
        <v>485</v>
      </c>
      <c r="H324" s="145" t="s">
        <v>254</v>
      </c>
      <c r="I324" s="145"/>
      <c r="J324" s="12">
        <v>0</v>
      </c>
      <c r="K324" s="12">
        <v>1745.33</v>
      </c>
      <c r="L324" s="12">
        <v>389.53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/>
      <c r="X324" s="121">
        <f ca="1">+IF($X$4="NA",0,SUM(INDIRECT(+CONCATENATE(+VLOOKUP('2022 Budget &amp; CF'!$X$1,'Data Tables DONT EDIT'!$A$1:$B$15,2,FALSE),+ROW(B324)),TRUE):INDIRECT(+CONCATENATE(+VLOOKUP('2022 Budget &amp; CF'!$X$4,'Data Tables DONT EDIT'!$A$1:$B$15,2,FALSE),+ROW(B324)),TRUE)))</f>
        <v>2134.8599999999997</v>
      </c>
      <c r="Y324" s="314">
        <f t="shared" ref="Y324:Y325" ca="1" si="252">IFERROR(X324/Z324,0)</f>
        <v>0</v>
      </c>
      <c r="Z324" s="115">
        <v>0</v>
      </c>
      <c r="AA324" s="117">
        <v>0</v>
      </c>
      <c r="AB324" s="117">
        <f t="shared" ref="AB324" si="253">AA324-Z324</f>
        <v>0</v>
      </c>
      <c r="AC324" s="358">
        <f t="shared" ref="AC324:AC325" ca="1" si="254">IFERROR(X324/AA324,0)</f>
        <v>0</v>
      </c>
      <c r="AF324" s="62"/>
    </row>
    <row r="325" spans="1:32" outlineLevel="1" x14ac:dyDescent="0.2">
      <c r="A325" s="366" t="s">
        <v>1012</v>
      </c>
      <c r="B325" s="142" t="s">
        <v>276</v>
      </c>
      <c r="C325" s="143">
        <v>250</v>
      </c>
      <c r="D325" s="144" t="s">
        <v>145</v>
      </c>
      <c r="E325" s="144"/>
      <c r="F325" s="143">
        <v>200</v>
      </c>
      <c r="G325" s="143">
        <v>2240</v>
      </c>
      <c r="H325" s="145" t="s">
        <v>254</v>
      </c>
      <c r="I325" s="145"/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/>
      <c r="X325" s="121">
        <f ca="1">+IF($X$4="NA",0,SUM(INDIRECT(+CONCATENATE(+VLOOKUP('2022 Budget &amp; CF'!$X$1,'Data Tables DONT EDIT'!$A$1:$B$15,2,FALSE),+ROW(B325)),TRUE):INDIRECT(+CONCATENATE(+VLOOKUP('2022 Budget &amp; CF'!$X$4,'Data Tables DONT EDIT'!$A$1:$B$15,2,FALSE),+ROW(B325)),TRUE)))</f>
        <v>0</v>
      </c>
      <c r="Y325" s="314">
        <f t="shared" ca="1" si="252"/>
        <v>0</v>
      </c>
      <c r="Z325" s="115">
        <v>0</v>
      </c>
      <c r="AA325" s="117">
        <v>0</v>
      </c>
      <c r="AB325" s="117">
        <f>AA325-Z325</f>
        <v>0</v>
      </c>
      <c r="AC325" s="358">
        <f t="shared" ca="1" si="254"/>
        <v>0</v>
      </c>
      <c r="AF325" s="62"/>
    </row>
    <row r="326" spans="1:32" outlineLevel="1" x14ac:dyDescent="0.2">
      <c r="A326" s="366" t="s">
        <v>1013</v>
      </c>
      <c r="B326" s="142" t="s">
        <v>545</v>
      </c>
      <c r="C326" s="143" t="s">
        <v>462</v>
      </c>
      <c r="D326" s="144" t="s">
        <v>132</v>
      </c>
      <c r="E326" s="144"/>
      <c r="F326" s="143" t="s">
        <v>463</v>
      </c>
      <c r="G326" s="143" t="s">
        <v>543</v>
      </c>
      <c r="H326" s="145" t="s">
        <v>254</v>
      </c>
      <c r="I326" s="145"/>
      <c r="J326" s="12">
        <v>0</v>
      </c>
      <c r="K326" s="12">
        <v>21.99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/>
      <c r="X326" s="121">
        <f ca="1">+IF($X$4="NA",0,SUM(INDIRECT(+CONCATENATE(+VLOOKUP('2022 Budget &amp; CF'!$X$1,'Data Tables DONT EDIT'!$A$1:$B$15,2,FALSE),+ROW(B326)),TRUE):INDIRECT(+CONCATENATE(+VLOOKUP('2022 Budget &amp; CF'!$X$4,'Data Tables DONT EDIT'!$A$1:$B$15,2,FALSE),+ROW(B326)),TRUE)))</f>
        <v>21.99</v>
      </c>
      <c r="Y326" s="314">
        <f t="shared" ca="1" si="229"/>
        <v>0</v>
      </c>
      <c r="Z326" s="115">
        <v>0</v>
      </c>
      <c r="AA326" s="117">
        <v>0</v>
      </c>
      <c r="AB326" s="117">
        <f t="shared" ref="AB326:AB330" si="255">AA326-Z326</f>
        <v>0</v>
      </c>
      <c r="AC326" s="358">
        <f t="shared" ca="1" si="230"/>
        <v>0</v>
      </c>
      <c r="AF326" s="62"/>
    </row>
    <row r="327" spans="1:32" outlineLevel="1" x14ac:dyDescent="0.2">
      <c r="A327" s="366" t="s">
        <v>1014</v>
      </c>
      <c r="B327" s="142" t="s">
        <v>545</v>
      </c>
      <c r="C327" s="143" t="s">
        <v>462</v>
      </c>
      <c r="D327" s="144" t="s">
        <v>132</v>
      </c>
      <c r="E327" s="144"/>
      <c r="F327" s="143" t="s">
        <v>463</v>
      </c>
      <c r="G327" s="143" t="s">
        <v>540</v>
      </c>
      <c r="H327" s="145" t="s">
        <v>254</v>
      </c>
      <c r="I327" s="145"/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/>
      <c r="X327" s="121">
        <f ca="1">+IF($X$4="NA",0,SUM(INDIRECT(+CONCATENATE(+VLOOKUP('2022 Budget &amp; CF'!$X$1,'Data Tables DONT EDIT'!$A$1:$B$15,2,FALSE),+ROW(B327)),TRUE):INDIRECT(+CONCATENATE(+VLOOKUP('2022 Budget &amp; CF'!$X$4,'Data Tables DONT EDIT'!$A$1:$B$15,2,FALSE),+ROW(B327)),TRUE)))</f>
        <v>0</v>
      </c>
      <c r="Y327" s="314">
        <f t="shared" ca="1" si="229"/>
        <v>0</v>
      </c>
      <c r="Z327" s="115">
        <v>0</v>
      </c>
      <c r="AA327" s="117">
        <v>0</v>
      </c>
      <c r="AB327" s="117">
        <f t="shared" si="255"/>
        <v>0</v>
      </c>
      <c r="AC327" s="358">
        <f t="shared" ca="1" si="230"/>
        <v>0</v>
      </c>
      <c r="AF327" s="62"/>
    </row>
    <row r="328" spans="1:32" outlineLevel="1" x14ac:dyDescent="0.2">
      <c r="A328" s="366" t="s">
        <v>1015</v>
      </c>
      <c r="B328" s="142" t="s">
        <v>276</v>
      </c>
      <c r="C328" s="143">
        <v>250</v>
      </c>
      <c r="D328" s="144" t="s">
        <v>145</v>
      </c>
      <c r="E328" s="144"/>
      <c r="F328" s="143">
        <v>200</v>
      </c>
      <c r="G328" s="143">
        <v>1000</v>
      </c>
      <c r="H328" s="145" t="s">
        <v>256</v>
      </c>
      <c r="I328" s="145"/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/>
      <c r="X328" s="121">
        <f ca="1">+IF($X$4="NA",0,SUM(INDIRECT(+CONCATENATE(+VLOOKUP('2022 Budget &amp; CF'!$X$1,'Data Tables DONT EDIT'!$A$1:$B$15,2,FALSE),+ROW(B328)),TRUE):INDIRECT(+CONCATENATE(+VLOOKUP('2022 Budget &amp; CF'!$X$4,'Data Tables DONT EDIT'!$A$1:$B$15,2,FALSE),+ROW(B328)),TRUE)))</f>
        <v>0</v>
      </c>
      <c r="Y328" s="314">
        <f t="shared" ca="1" si="229"/>
        <v>0</v>
      </c>
      <c r="Z328" s="115">
        <v>0</v>
      </c>
      <c r="AA328" s="117">
        <v>0</v>
      </c>
      <c r="AB328" s="117">
        <f>AA328-Z328</f>
        <v>0</v>
      </c>
      <c r="AC328" s="358">
        <f t="shared" ca="1" si="230"/>
        <v>0</v>
      </c>
      <c r="AF328" s="62"/>
    </row>
    <row r="329" spans="1:32" outlineLevel="1" x14ac:dyDescent="0.2">
      <c r="A329" s="366" t="s">
        <v>1016</v>
      </c>
      <c r="B329" s="142" t="s">
        <v>513</v>
      </c>
      <c r="C329" s="143" t="s">
        <v>462</v>
      </c>
      <c r="D329" s="144" t="s">
        <v>132</v>
      </c>
      <c r="E329" s="144"/>
      <c r="F329" s="143" t="s">
        <v>463</v>
      </c>
      <c r="G329" s="143" t="s">
        <v>485</v>
      </c>
      <c r="H329" s="145" t="s">
        <v>260</v>
      </c>
      <c r="I329" s="145"/>
      <c r="J329" s="12">
        <v>0</v>
      </c>
      <c r="K329" s="12">
        <v>0</v>
      </c>
      <c r="L329" s="12">
        <v>112.5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/>
      <c r="X329" s="121">
        <f ca="1">+IF($X$4="NA",0,SUM(INDIRECT(+CONCATENATE(+VLOOKUP('2022 Budget &amp; CF'!$X$1,'Data Tables DONT EDIT'!$A$1:$B$15,2,FALSE),+ROW(B329)),TRUE):INDIRECT(+CONCATENATE(+VLOOKUP('2022 Budget &amp; CF'!$X$4,'Data Tables DONT EDIT'!$A$1:$B$15,2,FALSE),+ROW(B329)),TRUE)))</f>
        <v>112.5</v>
      </c>
      <c r="Y329" s="314">
        <f t="shared" ref="Y329" ca="1" si="256">IFERROR(X329/Z329,0)</f>
        <v>0</v>
      </c>
      <c r="Z329" s="115">
        <v>0</v>
      </c>
      <c r="AA329" s="117">
        <v>0</v>
      </c>
      <c r="AB329" s="117">
        <f t="shared" ref="AB329" si="257">AA329-Z329</f>
        <v>0</v>
      </c>
      <c r="AC329" s="358">
        <f t="shared" ref="AC329" ca="1" si="258">IFERROR(X329/AA329,0)</f>
        <v>0</v>
      </c>
      <c r="AF329" s="62"/>
    </row>
    <row r="330" spans="1:32" outlineLevel="1" x14ac:dyDescent="0.2">
      <c r="A330" s="366" t="s">
        <v>1017</v>
      </c>
      <c r="B330" s="142" t="s">
        <v>551</v>
      </c>
      <c r="C330" s="143" t="s">
        <v>462</v>
      </c>
      <c r="D330" s="144" t="s">
        <v>132</v>
      </c>
      <c r="E330" s="144"/>
      <c r="F330" s="143" t="s">
        <v>463</v>
      </c>
      <c r="G330" s="143" t="s">
        <v>461</v>
      </c>
      <c r="H330" s="145" t="s">
        <v>264</v>
      </c>
      <c r="I330" s="145"/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/>
      <c r="X330" s="121">
        <f ca="1">+IF($X$4="NA",0,SUM(INDIRECT(+CONCATENATE(+VLOOKUP('2022 Budget &amp; CF'!$X$1,'Data Tables DONT EDIT'!$A$1:$B$15,2,FALSE),+ROW(B330)),TRUE):INDIRECT(+CONCATENATE(+VLOOKUP('2022 Budget &amp; CF'!$X$4,'Data Tables DONT EDIT'!$A$1:$B$15,2,FALSE),+ROW(B330)),TRUE)))</f>
        <v>0</v>
      </c>
      <c r="Y330" s="314">
        <f t="shared" ca="1" si="229"/>
        <v>0</v>
      </c>
      <c r="Z330" s="115">
        <v>1000</v>
      </c>
      <c r="AA330" s="117">
        <v>1000</v>
      </c>
      <c r="AB330" s="117">
        <f t="shared" si="255"/>
        <v>0</v>
      </c>
      <c r="AC330" s="358">
        <f t="shared" ca="1" si="230"/>
        <v>0</v>
      </c>
      <c r="AF330" s="62"/>
    </row>
    <row r="331" spans="1:32" outlineLevel="1" x14ac:dyDescent="0.2">
      <c r="A331" s="366" t="s">
        <v>1018</v>
      </c>
      <c r="B331" s="461" t="s">
        <v>376</v>
      </c>
      <c r="C331" s="152"/>
      <c r="D331" s="152"/>
      <c r="E331" s="152"/>
      <c r="F331" s="152"/>
      <c r="G331" s="152"/>
      <c r="H331" s="132"/>
      <c r="I331" s="132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463"/>
      <c r="Z331" s="271"/>
      <c r="AA331" s="271"/>
      <c r="AB331" s="271"/>
      <c r="AC331" s="462"/>
      <c r="AF331" s="62"/>
    </row>
    <row r="332" spans="1:32" outlineLevel="1" x14ac:dyDescent="0.2">
      <c r="A332" s="366" t="s">
        <v>1019</v>
      </c>
      <c r="B332" s="142" t="s">
        <v>545</v>
      </c>
      <c r="C332" s="143" t="s">
        <v>135</v>
      </c>
      <c r="D332" s="144" t="s">
        <v>544</v>
      </c>
      <c r="E332" s="144"/>
      <c r="F332" s="143" t="s">
        <v>468</v>
      </c>
      <c r="G332" s="143" t="s">
        <v>542</v>
      </c>
      <c r="H332" s="145" t="s">
        <v>254</v>
      </c>
      <c r="I332" s="145"/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/>
      <c r="X332" s="121">
        <f ca="1">+IF($X$4="NA",0,SUM(INDIRECT(+CONCATENATE(+VLOOKUP('2022 Budget &amp; CF'!$X$1,'Data Tables DONT EDIT'!$A$1:$B$15,2,FALSE),+ROW(B332)),TRUE):INDIRECT(+CONCATENATE(+VLOOKUP('2022 Budget &amp; CF'!$X$4,'Data Tables DONT EDIT'!$A$1:$B$15,2,FALSE),+ROW(B332)),TRUE)))</f>
        <v>0</v>
      </c>
      <c r="Y332" s="314">
        <f t="shared" ca="1" si="229"/>
        <v>0</v>
      </c>
      <c r="Z332" s="115">
        <v>0</v>
      </c>
      <c r="AA332" s="117">
        <v>0</v>
      </c>
      <c r="AB332" s="117">
        <f t="shared" ref="AB332" si="259">AA332-Z332</f>
        <v>0</v>
      </c>
      <c r="AC332" s="358">
        <f t="shared" ca="1" si="230"/>
        <v>0</v>
      </c>
      <c r="AF332" s="62"/>
    </row>
    <row r="333" spans="1:32" outlineLevel="1" x14ac:dyDescent="0.2">
      <c r="A333" s="366" t="s">
        <v>1020</v>
      </c>
      <c r="B333" s="142" t="s">
        <v>546</v>
      </c>
      <c r="C333" s="143" t="s">
        <v>135</v>
      </c>
      <c r="D333" s="144" t="s">
        <v>544</v>
      </c>
      <c r="E333" s="144"/>
      <c r="F333" s="143">
        <v>100</v>
      </c>
      <c r="G333" s="143">
        <v>1000</v>
      </c>
      <c r="H333" s="145" t="s">
        <v>262</v>
      </c>
      <c r="I333" s="145"/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/>
      <c r="X333" s="121">
        <f ca="1">+IF($X$4="NA",0,SUM(INDIRECT(+CONCATENATE(+VLOOKUP('2022 Budget &amp; CF'!$X$1,'Data Tables DONT EDIT'!$A$1:$B$15,2,FALSE),+ROW(B333)),TRUE):INDIRECT(+CONCATENATE(+VLOOKUP('2022 Budget &amp; CF'!$X$4,'Data Tables DONT EDIT'!$A$1:$B$15,2,FALSE),+ROW(B333)),TRUE)))</f>
        <v>0</v>
      </c>
      <c r="Y333" s="314">
        <f t="shared" ca="1" si="229"/>
        <v>0</v>
      </c>
      <c r="Z333" s="115">
        <v>0</v>
      </c>
      <c r="AA333" s="117">
        <v>0</v>
      </c>
      <c r="AB333" s="117">
        <f>AA333-Z333</f>
        <v>0</v>
      </c>
      <c r="AC333" s="358">
        <f t="shared" ca="1" si="230"/>
        <v>0</v>
      </c>
      <c r="AF333" s="62"/>
    </row>
    <row r="334" spans="1:32" outlineLevel="1" x14ac:dyDescent="0.2">
      <c r="A334" s="366" t="s">
        <v>1021</v>
      </c>
      <c r="B334" s="142" t="s">
        <v>551</v>
      </c>
      <c r="C334" s="143" t="s">
        <v>135</v>
      </c>
      <c r="D334" s="144" t="s">
        <v>544</v>
      </c>
      <c r="E334" s="144"/>
      <c r="F334" s="143">
        <v>100</v>
      </c>
      <c r="G334" s="143">
        <v>1000</v>
      </c>
      <c r="H334" s="145" t="s">
        <v>260</v>
      </c>
      <c r="I334" s="145"/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/>
      <c r="X334" s="121">
        <f ca="1">+IF($X$4="NA",0,SUM(INDIRECT(+CONCATENATE(+VLOOKUP('2022 Budget &amp; CF'!$X$1,'Data Tables DONT EDIT'!$A$1:$B$15,2,FALSE),+ROW(B334)),TRUE):INDIRECT(+CONCATENATE(+VLOOKUP('2022 Budget &amp; CF'!$X$4,'Data Tables DONT EDIT'!$A$1:$B$15,2,FALSE),+ROW(B334)),TRUE)))</f>
        <v>0</v>
      </c>
      <c r="Y334" s="314">
        <f t="shared" ca="1" si="229"/>
        <v>0</v>
      </c>
      <c r="Z334" s="115">
        <v>0</v>
      </c>
      <c r="AA334" s="117">
        <v>0</v>
      </c>
      <c r="AB334" s="117">
        <f>AA334-Z334</f>
        <v>0</v>
      </c>
      <c r="AC334" s="358">
        <f t="shared" ca="1" si="230"/>
        <v>0</v>
      </c>
      <c r="AF334" s="62"/>
    </row>
    <row r="335" spans="1:32" outlineLevel="1" x14ac:dyDescent="0.2">
      <c r="A335" s="366" t="s">
        <v>137</v>
      </c>
      <c r="B335" s="459" t="s">
        <v>139</v>
      </c>
      <c r="C335" s="152"/>
      <c r="D335" s="152"/>
      <c r="E335" s="152"/>
      <c r="F335" s="152"/>
      <c r="G335" s="152"/>
      <c r="H335" s="132"/>
      <c r="I335" s="132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463"/>
      <c r="Z335" s="271"/>
      <c r="AA335" s="271"/>
      <c r="AB335" s="271"/>
      <c r="AC335" s="462"/>
      <c r="AF335" s="62"/>
    </row>
    <row r="336" spans="1:32" outlineLevel="1" x14ac:dyDescent="0.2">
      <c r="A336" s="366" t="s">
        <v>1022</v>
      </c>
      <c r="B336" s="142" t="s">
        <v>546</v>
      </c>
      <c r="C336" s="143" t="s">
        <v>135</v>
      </c>
      <c r="D336" s="480" t="s">
        <v>242</v>
      </c>
      <c r="E336" s="480"/>
      <c r="F336" s="143">
        <v>430</v>
      </c>
      <c r="G336" s="143">
        <v>2580</v>
      </c>
      <c r="H336" s="145" t="s">
        <v>262</v>
      </c>
      <c r="I336" s="145"/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/>
      <c r="X336" s="121">
        <f ca="1">+IF($X$4="NA",0,SUM(INDIRECT(+CONCATENATE(+VLOOKUP('2022 Budget &amp; CF'!$X$1,'Data Tables DONT EDIT'!$A$1:$B$15,2,FALSE),+ROW(B336)),TRUE):INDIRECT(+CONCATENATE(+VLOOKUP('2022 Budget &amp; CF'!$X$4,'Data Tables DONT EDIT'!$A$1:$B$15,2,FALSE),+ROW(B336)),TRUE)))</f>
        <v>0</v>
      </c>
      <c r="Y336" s="314">
        <f t="shared" ca="1" si="229"/>
        <v>0</v>
      </c>
      <c r="Z336" s="115">
        <v>8885</v>
      </c>
      <c r="AA336" s="117">
        <v>8885</v>
      </c>
      <c r="AB336" s="117">
        <f>AA336-Z336</f>
        <v>0</v>
      </c>
      <c r="AC336" s="358">
        <f t="shared" ca="1" si="230"/>
        <v>0</v>
      </c>
      <c r="AF336" s="62"/>
    </row>
    <row r="337" spans="1:32" outlineLevel="1" x14ac:dyDescent="0.2">
      <c r="A337" s="366" t="s">
        <v>1023</v>
      </c>
      <c r="B337" s="142" t="s">
        <v>514</v>
      </c>
      <c r="C337" s="143">
        <v>280</v>
      </c>
      <c r="D337" s="480" t="s">
        <v>242</v>
      </c>
      <c r="E337" s="480"/>
      <c r="F337" s="143">
        <v>430</v>
      </c>
      <c r="G337" s="143">
        <v>1000</v>
      </c>
      <c r="H337" s="145" t="s">
        <v>264</v>
      </c>
      <c r="I337" s="145"/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/>
      <c r="X337" s="121">
        <f ca="1">+IF($X$4="NA",0,SUM(INDIRECT(+CONCATENATE(+VLOOKUP('2022 Budget &amp; CF'!$X$1,'Data Tables DONT EDIT'!$A$1:$B$15,2,FALSE),+ROW(B337)),TRUE):INDIRECT(+CONCATENATE(+VLOOKUP('2022 Budget &amp; CF'!$X$4,'Data Tables DONT EDIT'!$A$1:$B$15,2,FALSE),+ROW(B337)),TRUE)))</f>
        <v>0</v>
      </c>
      <c r="Y337" s="314">
        <f t="shared" ca="1" si="229"/>
        <v>0</v>
      </c>
      <c r="Z337" s="115">
        <v>0</v>
      </c>
      <c r="AA337" s="117">
        <v>0</v>
      </c>
      <c r="AB337" s="117">
        <f t="shared" ref="AB337" si="260">AA337-Z337</f>
        <v>0</v>
      </c>
      <c r="AC337" s="358">
        <f t="shared" ca="1" si="230"/>
        <v>0</v>
      </c>
      <c r="AF337" s="62"/>
    </row>
    <row r="338" spans="1:32" outlineLevel="1" x14ac:dyDescent="0.2">
      <c r="A338" s="366" t="s">
        <v>1024</v>
      </c>
      <c r="B338" s="460" t="s">
        <v>1306</v>
      </c>
      <c r="C338" s="132"/>
      <c r="D338" s="536"/>
      <c r="E338" s="536"/>
      <c r="F338" s="132"/>
      <c r="G338" s="132"/>
      <c r="H338" s="132"/>
      <c r="I338" s="132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463"/>
      <c r="Z338" s="271"/>
      <c r="AA338" s="271"/>
      <c r="AB338" s="271"/>
      <c r="AC338" s="462"/>
      <c r="AF338" s="62"/>
    </row>
    <row r="339" spans="1:32" outlineLevel="1" x14ac:dyDescent="0.2">
      <c r="A339" s="366" t="s">
        <v>1025</v>
      </c>
      <c r="B339" s="142" t="s">
        <v>826</v>
      </c>
      <c r="C339" s="143">
        <v>280</v>
      </c>
      <c r="D339" s="480" t="s">
        <v>245</v>
      </c>
      <c r="E339" s="480"/>
      <c r="F339" s="143">
        <v>430</v>
      </c>
      <c r="G339" s="143">
        <v>1000</v>
      </c>
      <c r="H339" s="145" t="s">
        <v>254</v>
      </c>
      <c r="I339" s="145"/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/>
      <c r="X339" s="121">
        <f ca="1">+IF($X$4="NA",0,SUM(INDIRECT(+CONCATENATE(+VLOOKUP('2022 Budget &amp; CF'!$X$1,'Data Tables DONT EDIT'!$A$1:$B$15,2,FALSE),+ROW(B339)),TRUE):INDIRECT(+CONCATENATE(+VLOOKUP('2022 Budget &amp; CF'!$X$4,'Data Tables DONT EDIT'!$A$1:$B$15,2,FALSE),+ROW(B339)),TRUE)))</f>
        <v>0</v>
      </c>
      <c r="Y339" s="314">
        <f t="shared" ref="Y339" ca="1" si="261">IFERROR(X339/Z339,0)</f>
        <v>0</v>
      </c>
      <c r="Z339" s="115">
        <v>0</v>
      </c>
      <c r="AA339" s="117">
        <v>0</v>
      </c>
      <c r="AB339" s="117">
        <f t="shared" ref="AB339" si="262">AA339-Z339</f>
        <v>0</v>
      </c>
      <c r="AC339" s="358">
        <f t="shared" ref="AC339" ca="1" si="263">IFERROR(X339/AA339,0)</f>
        <v>0</v>
      </c>
      <c r="AF339" s="62"/>
    </row>
    <row r="340" spans="1:32" outlineLevel="1" x14ac:dyDescent="0.2">
      <c r="A340" s="366" t="s">
        <v>1024</v>
      </c>
      <c r="B340" s="460" t="s">
        <v>531</v>
      </c>
      <c r="C340" s="132"/>
      <c r="D340" s="536"/>
      <c r="E340" s="536"/>
      <c r="F340" s="132"/>
      <c r="G340" s="132"/>
      <c r="H340" s="132"/>
      <c r="I340" s="132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463"/>
      <c r="Z340" s="271"/>
      <c r="AA340" s="271"/>
      <c r="AB340" s="271"/>
      <c r="AC340" s="462"/>
      <c r="AF340" s="62"/>
    </row>
    <row r="341" spans="1:32" outlineLevel="1" x14ac:dyDescent="0.2">
      <c r="A341" s="366" t="s">
        <v>1025</v>
      </c>
      <c r="B341" s="142" t="s">
        <v>826</v>
      </c>
      <c r="C341" s="143">
        <v>280</v>
      </c>
      <c r="D341" s="480" t="s">
        <v>533</v>
      </c>
      <c r="E341" s="480"/>
      <c r="F341" s="143">
        <v>430</v>
      </c>
      <c r="G341" s="143">
        <v>1000</v>
      </c>
      <c r="H341" s="145" t="s">
        <v>254</v>
      </c>
      <c r="I341" s="145"/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/>
      <c r="X341" s="121">
        <f ca="1">+IF($X$4="NA",0,SUM(INDIRECT(+CONCATENATE(+VLOOKUP('2022 Budget &amp; CF'!$X$1,'Data Tables DONT EDIT'!$A$1:$B$15,2,FALSE),+ROW(B341)),TRUE):INDIRECT(+CONCATENATE(+VLOOKUP('2022 Budget &amp; CF'!$X$4,'Data Tables DONT EDIT'!$A$1:$B$15,2,FALSE),+ROW(B341)),TRUE)))</f>
        <v>0</v>
      </c>
      <c r="Y341" s="314">
        <f t="shared" ca="1" si="229"/>
        <v>0</v>
      </c>
      <c r="Z341" s="115">
        <v>0</v>
      </c>
      <c r="AA341" s="117">
        <v>0</v>
      </c>
      <c r="AB341" s="117">
        <f t="shared" ref="AB341" si="264">AA341-Z341</f>
        <v>0</v>
      </c>
      <c r="AC341" s="358">
        <f t="shared" ca="1" si="230"/>
        <v>0</v>
      </c>
      <c r="AF341" s="62"/>
    </row>
    <row r="342" spans="1:32" outlineLevel="1" x14ac:dyDescent="0.2">
      <c r="A342" s="366" t="s">
        <v>1026</v>
      </c>
      <c r="B342" s="460" t="s">
        <v>922</v>
      </c>
      <c r="C342" s="132"/>
      <c r="D342" s="536"/>
      <c r="E342" s="536"/>
      <c r="F342" s="132"/>
      <c r="G342" s="132"/>
      <c r="H342" s="132"/>
      <c r="I342" s="132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463"/>
      <c r="Z342" s="271"/>
      <c r="AA342" s="271"/>
      <c r="AB342" s="271"/>
      <c r="AC342" s="462"/>
      <c r="AF342" s="62"/>
    </row>
    <row r="343" spans="1:32" outlineLevel="1" x14ac:dyDescent="0.2">
      <c r="A343" s="366" t="s">
        <v>1165</v>
      </c>
      <c r="B343" s="142" t="s">
        <v>826</v>
      </c>
      <c r="C343" s="143">
        <v>280</v>
      </c>
      <c r="D343" s="480" t="s">
        <v>923</v>
      </c>
      <c r="E343" s="480"/>
      <c r="F343" s="143">
        <v>100</v>
      </c>
      <c r="G343" s="143">
        <v>1000</v>
      </c>
      <c r="H343" s="145" t="s">
        <v>254</v>
      </c>
      <c r="I343" s="145"/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/>
      <c r="X343" s="121">
        <f ca="1">+IF($X$4="NA",0,SUM(INDIRECT(+CONCATENATE(+VLOOKUP('2022 Budget &amp; CF'!$X$1,'Data Tables DONT EDIT'!$A$1:$B$15,2,FALSE),+ROW(B343)),TRUE):INDIRECT(+CONCATENATE(+VLOOKUP('2022 Budget &amp; CF'!$X$4,'Data Tables DONT EDIT'!$A$1:$B$15,2,FALSE),+ROW(B343)),TRUE)))</f>
        <v>0</v>
      </c>
      <c r="Y343" s="314">
        <f t="shared" ref="Y343:Y344" ca="1" si="265">IFERROR(X343/Z343,0)</f>
        <v>0</v>
      </c>
      <c r="Z343" s="115">
        <v>0</v>
      </c>
      <c r="AA343" s="117">
        <v>0</v>
      </c>
      <c r="AB343" s="117">
        <f t="shared" ref="AB343:AB344" si="266">AA343-Z343</f>
        <v>0</v>
      </c>
      <c r="AC343" s="358">
        <f t="shared" ref="AC343:AC344" ca="1" si="267">IFERROR(X343/AA343,0)</f>
        <v>0</v>
      </c>
      <c r="AF343" s="62"/>
    </row>
    <row r="344" spans="1:32" outlineLevel="1" x14ac:dyDescent="0.2">
      <c r="A344" s="366" t="s">
        <v>1166</v>
      </c>
      <c r="B344" s="142" t="s">
        <v>826</v>
      </c>
      <c r="C344" s="143">
        <v>280</v>
      </c>
      <c r="D344" s="480" t="s">
        <v>923</v>
      </c>
      <c r="E344" s="480"/>
      <c r="F344" s="143">
        <v>100</v>
      </c>
      <c r="G344" s="143">
        <v>2410</v>
      </c>
      <c r="H344" s="145" t="s">
        <v>254</v>
      </c>
      <c r="I344" s="145"/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/>
      <c r="X344" s="121">
        <f ca="1">+IF($X$4="NA",0,SUM(INDIRECT(+CONCATENATE(+VLOOKUP('2022 Budget &amp; CF'!$X$1,'Data Tables DONT EDIT'!$A$1:$B$15,2,FALSE),+ROW(B344)),TRUE):INDIRECT(+CONCATENATE(+VLOOKUP('2022 Budget &amp; CF'!$X$4,'Data Tables DONT EDIT'!$A$1:$B$15,2,FALSE),+ROW(B344)),TRUE)))</f>
        <v>0</v>
      </c>
      <c r="Y344" s="314">
        <f t="shared" ca="1" si="265"/>
        <v>0</v>
      </c>
      <c r="Z344" s="115">
        <v>0</v>
      </c>
      <c r="AA344" s="117">
        <v>0</v>
      </c>
      <c r="AB344" s="117">
        <f t="shared" si="266"/>
        <v>0</v>
      </c>
      <c r="AC344" s="358">
        <f t="shared" ca="1" si="267"/>
        <v>0</v>
      </c>
      <c r="AF344" s="62"/>
    </row>
    <row r="345" spans="1:32" outlineLevel="1" x14ac:dyDescent="0.2">
      <c r="A345" s="366" t="s">
        <v>1167</v>
      </c>
      <c r="B345" s="142" t="s">
        <v>826</v>
      </c>
      <c r="C345" s="143">
        <v>280</v>
      </c>
      <c r="D345" s="480" t="s">
        <v>923</v>
      </c>
      <c r="E345" s="480"/>
      <c r="F345" s="143">
        <v>100</v>
      </c>
      <c r="G345" s="143">
        <v>2589</v>
      </c>
      <c r="H345" s="145" t="s">
        <v>254</v>
      </c>
      <c r="I345" s="145"/>
      <c r="J345" s="12">
        <v>0</v>
      </c>
      <c r="K345" s="12">
        <v>1081.6100000000001</v>
      </c>
      <c r="L345" s="12">
        <v>140.30000000000001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/>
      <c r="X345" s="121">
        <f ca="1">+IF($X$4="NA",0,SUM(INDIRECT(+CONCATENATE(+VLOOKUP('2022 Budget &amp; CF'!$X$1,'Data Tables DONT EDIT'!$A$1:$B$15,2,FALSE),+ROW(B345)),TRUE):INDIRECT(+CONCATENATE(+VLOOKUP('2022 Budget &amp; CF'!$X$4,'Data Tables DONT EDIT'!$A$1:$B$15,2,FALSE),+ROW(B345)),TRUE)))</f>
        <v>1221.9100000000001</v>
      </c>
      <c r="Y345" s="314">
        <f t="shared" ref="Y345" ca="1" si="268">IFERROR(X345/Z345,0)</f>
        <v>0</v>
      </c>
      <c r="Z345" s="115">
        <v>0</v>
      </c>
      <c r="AA345" s="117">
        <v>0</v>
      </c>
      <c r="AB345" s="117">
        <f t="shared" ref="AB345" si="269">AA345-Z345</f>
        <v>0</v>
      </c>
      <c r="AC345" s="358">
        <f t="shared" ref="AC345" ca="1" si="270">IFERROR(X345/AA345,0)</f>
        <v>0</v>
      </c>
      <c r="AF345" s="62"/>
    </row>
    <row r="346" spans="1:32" outlineLevel="1" x14ac:dyDescent="0.2">
      <c r="A346" s="366" t="s">
        <v>1168</v>
      </c>
      <c r="B346" s="142" t="s">
        <v>826</v>
      </c>
      <c r="C346" s="143">
        <v>280</v>
      </c>
      <c r="D346" s="480" t="s">
        <v>923</v>
      </c>
      <c r="E346" s="480"/>
      <c r="F346" s="143">
        <v>100</v>
      </c>
      <c r="G346" s="143">
        <v>2610</v>
      </c>
      <c r="H346" s="145" t="s">
        <v>254</v>
      </c>
      <c r="I346" s="145"/>
      <c r="J346" s="12">
        <v>0</v>
      </c>
      <c r="K346" s="12">
        <v>0</v>
      </c>
      <c r="L346" s="12">
        <v>0</v>
      </c>
      <c r="M346" s="12">
        <v>0</v>
      </c>
      <c r="N346" s="12">
        <v>1789.33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/>
      <c r="X346" s="121">
        <f ca="1">+IF($X$4="NA",0,SUM(INDIRECT(+CONCATENATE(+VLOOKUP('2022 Budget &amp; CF'!$X$1,'Data Tables DONT EDIT'!$A$1:$B$15,2,FALSE),+ROW(B346)),TRUE):INDIRECT(+CONCATENATE(+VLOOKUP('2022 Budget &amp; CF'!$X$4,'Data Tables DONT EDIT'!$A$1:$B$15,2,FALSE),+ROW(B346)),TRUE)))</f>
        <v>1789.33</v>
      </c>
      <c r="Y346" s="314">
        <f t="shared" ref="Y346" ca="1" si="271">IFERROR(X346/Z346,0)</f>
        <v>0</v>
      </c>
      <c r="Z346" s="115">
        <v>0</v>
      </c>
      <c r="AA346" s="117">
        <v>0</v>
      </c>
      <c r="AB346" s="117">
        <f t="shared" ref="AB346" si="272">AA346-Z346</f>
        <v>0</v>
      </c>
      <c r="AC346" s="358">
        <f t="shared" ref="AC346" ca="1" si="273">IFERROR(X346/AA346,0)</f>
        <v>0</v>
      </c>
      <c r="AF346" s="62"/>
    </row>
    <row r="347" spans="1:32" outlineLevel="1" x14ac:dyDescent="0.2">
      <c r="A347" s="366" t="s">
        <v>1169</v>
      </c>
      <c r="B347" s="142" t="s">
        <v>546</v>
      </c>
      <c r="C347" s="143">
        <v>280</v>
      </c>
      <c r="D347" s="480" t="s">
        <v>923</v>
      </c>
      <c r="E347" s="480"/>
      <c r="F347" s="143">
        <v>100</v>
      </c>
      <c r="G347" s="143">
        <v>1000</v>
      </c>
      <c r="H347" s="145" t="s">
        <v>262</v>
      </c>
      <c r="I347" s="145"/>
      <c r="J347" s="12">
        <v>3398.85</v>
      </c>
      <c r="K347" s="12">
        <v>14575</v>
      </c>
      <c r="L347" s="12">
        <v>11132.46</v>
      </c>
      <c r="M347" s="12">
        <v>0</v>
      </c>
      <c r="N347" s="12">
        <v>-11132.46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/>
      <c r="X347" s="121">
        <f ca="1">+IF($X$4="NA",0,SUM(INDIRECT(+CONCATENATE(+VLOOKUP('2022 Budget &amp; CF'!$X$1,'Data Tables DONT EDIT'!$A$1:$B$15,2,FALSE),+ROW(B347)),TRUE):INDIRECT(+CONCATENATE(+VLOOKUP('2022 Budget &amp; CF'!$X$4,'Data Tables DONT EDIT'!$A$1:$B$15,2,FALSE),+ROW(B347)),TRUE)))</f>
        <v>17973.849999999999</v>
      </c>
      <c r="Y347" s="314">
        <f t="shared" ref="Y347" ca="1" si="274">IFERROR(X347/Z347,0)</f>
        <v>0.66060901205527778</v>
      </c>
      <c r="Z347" s="115">
        <v>27208</v>
      </c>
      <c r="AA347" s="117">
        <v>27208</v>
      </c>
      <c r="AB347" s="117">
        <f t="shared" ref="AB347" si="275">AA347-Z347</f>
        <v>0</v>
      </c>
      <c r="AC347" s="358">
        <f t="shared" ref="AC347" ca="1" si="276">IFERROR(X347/AA347,0)</f>
        <v>0.66060901205527778</v>
      </c>
      <c r="AF347" s="62"/>
    </row>
    <row r="348" spans="1:32" outlineLevel="1" x14ac:dyDescent="0.2">
      <c r="A348" s="366" t="s">
        <v>1170</v>
      </c>
      <c r="B348" s="142" t="s">
        <v>546</v>
      </c>
      <c r="C348" s="143">
        <v>280</v>
      </c>
      <c r="D348" s="480" t="s">
        <v>923</v>
      </c>
      <c r="E348" s="480"/>
      <c r="F348" s="143">
        <v>100</v>
      </c>
      <c r="G348" s="143">
        <v>2410</v>
      </c>
      <c r="H348" s="145" t="s">
        <v>262</v>
      </c>
      <c r="I348" s="145"/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/>
      <c r="X348" s="121">
        <f ca="1">+IF($X$4="NA",0,SUM(INDIRECT(+CONCATENATE(+VLOOKUP('2022 Budget &amp; CF'!$X$1,'Data Tables DONT EDIT'!$A$1:$B$15,2,FALSE),+ROW(B348)),TRUE):INDIRECT(+CONCATENATE(+VLOOKUP('2022 Budget &amp; CF'!$X$4,'Data Tables DONT EDIT'!$A$1:$B$15,2,FALSE),+ROW(B348)),TRUE)))</f>
        <v>0</v>
      </c>
      <c r="Y348" s="314">
        <f t="shared" ref="Y348:Y349" ca="1" si="277">IFERROR(X348/Z348,0)</f>
        <v>0</v>
      </c>
      <c r="Z348" s="115">
        <v>0</v>
      </c>
      <c r="AA348" s="117">
        <v>0</v>
      </c>
      <c r="AB348" s="117">
        <f t="shared" ref="AB348:AB349" si="278">AA348-Z348</f>
        <v>0</v>
      </c>
      <c r="AC348" s="358">
        <f t="shared" ref="AC348:AC349" ca="1" si="279">IFERROR(X348/AA348,0)</f>
        <v>0</v>
      </c>
      <c r="AF348" s="62"/>
    </row>
    <row r="349" spans="1:32" outlineLevel="1" x14ac:dyDescent="0.2">
      <c r="A349" s="366" t="s">
        <v>1171</v>
      </c>
      <c r="B349" s="142" t="s">
        <v>546</v>
      </c>
      <c r="C349" s="143">
        <v>280</v>
      </c>
      <c r="D349" s="480" t="s">
        <v>923</v>
      </c>
      <c r="E349" s="480"/>
      <c r="F349" s="143">
        <v>100</v>
      </c>
      <c r="G349" s="143">
        <v>2580</v>
      </c>
      <c r="H349" s="145" t="s">
        <v>262</v>
      </c>
      <c r="I349" s="145"/>
      <c r="J349" s="12">
        <v>0</v>
      </c>
      <c r="K349" s="12">
        <v>0</v>
      </c>
      <c r="L349" s="12">
        <v>0</v>
      </c>
      <c r="M349" s="12">
        <v>9317.76</v>
      </c>
      <c r="N349" s="12">
        <v>1051.58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/>
      <c r="X349" s="121">
        <f ca="1">+IF($X$4="NA",0,SUM(INDIRECT(+CONCATENATE(+VLOOKUP('2022 Budget &amp; CF'!$X$1,'Data Tables DONT EDIT'!$A$1:$B$15,2,FALSE),+ROW(B349)),TRUE):INDIRECT(+CONCATENATE(+VLOOKUP('2022 Budget &amp; CF'!$X$4,'Data Tables DONT EDIT'!$A$1:$B$15,2,FALSE),+ROW(B349)),TRUE)))</f>
        <v>10369.34</v>
      </c>
      <c r="Y349" s="314">
        <f t="shared" ca="1" si="277"/>
        <v>0</v>
      </c>
      <c r="Z349" s="115">
        <v>0</v>
      </c>
      <c r="AA349" s="117">
        <v>0</v>
      </c>
      <c r="AB349" s="117">
        <f t="shared" si="278"/>
        <v>0</v>
      </c>
      <c r="AC349" s="358">
        <f t="shared" ca="1" si="279"/>
        <v>0</v>
      </c>
      <c r="AF349" s="62"/>
    </row>
    <row r="350" spans="1:32" outlineLevel="1" x14ac:dyDescent="0.2">
      <c r="A350" s="366" t="s">
        <v>1172</v>
      </c>
      <c r="B350" s="461" t="s">
        <v>1041</v>
      </c>
      <c r="C350" s="152"/>
      <c r="D350" s="537"/>
      <c r="E350" s="537"/>
      <c r="F350" s="152"/>
      <c r="G350" s="152"/>
      <c r="H350" s="132"/>
      <c r="I350" s="132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463"/>
      <c r="Z350" s="271"/>
      <c r="AA350" s="271"/>
      <c r="AB350" s="271"/>
      <c r="AC350" s="462"/>
      <c r="AF350" s="62"/>
    </row>
    <row r="351" spans="1:32" outlineLevel="1" x14ac:dyDescent="0.2">
      <c r="A351" s="366" t="s">
        <v>1173</v>
      </c>
      <c r="B351" s="142" t="s">
        <v>513</v>
      </c>
      <c r="C351" s="143" t="s">
        <v>135</v>
      </c>
      <c r="D351" s="480" t="s">
        <v>1042</v>
      </c>
      <c r="E351" s="480"/>
      <c r="F351" s="143" t="s">
        <v>468</v>
      </c>
      <c r="G351" s="143" t="s">
        <v>461</v>
      </c>
      <c r="H351" s="145" t="s">
        <v>260</v>
      </c>
      <c r="I351" s="145"/>
      <c r="J351" s="12">
        <v>0</v>
      </c>
      <c r="K351" s="12">
        <v>570</v>
      </c>
      <c r="L351" s="12">
        <v>0</v>
      </c>
      <c r="M351" s="12">
        <v>460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/>
      <c r="X351" s="121">
        <f ca="1">+IF($X$4="NA",0,SUM(INDIRECT(+CONCATENATE(+VLOOKUP('2022 Budget &amp; CF'!$X$1,'Data Tables DONT EDIT'!$A$1:$B$15,2,FALSE),+ROW(B351)),TRUE):INDIRECT(+CONCATENATE(+VLOOKUP('2022 Budget &amp; CF'!$X$4,'Data Tables DONT EDIT'!$A$1:$B$15,2,FALSE),+ROW(B351)),TRUE)))</f>
        <v>1030</v>
      </c>
      <c r="Y351" s="314">
        <f t="shared" ref="Y351" ca="1" si="280">IFERROR(X351/Z351,0)</f>
        <v>0</v>
      </c>
      <c r="Z351" s="115">
        <v>0</v>
      </c>
      <c r="AA351" s="117">
        <v>0</v>
      </c>
      <c r="AB351" s="117">
        <f t="shared" ref="AB351" si="281">AA351-Z351</f>
        <v>0</v>
      </c>
      <c r="AC351" s="358">
        <f t="shared" ref="AC351" ca="1" si="282">IFERROR(X351/AA351,0)</f>
        <v>0</v>
      </c>
      <c r="AF351" s="62"/>
    </row>
    <row r="352" spans="1:32" outlineLevel="1" x14ac:dyDescent="0.2">
      <c r="A352" s="366" t="s">
        <v>544</v>
      </c>
      <c r="B352" s="461" t="s">
        <v>277</v>
      </c>
      <c r="C352" s="152"/>
      <c r="D352" s="537"/>
      <c r="E352" s="537"/>
      <c r="F352" s="152"/>
      <c r="G352" s="152"/>
      <c r="H352" s="132"/>
      <c r="I352" s="132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463"/>
      <c r="Z352" s="271"/>
      <c r="AA352" s="271"/>
      <c r="AB352" s="271"/>
      <c r="AC352" s="462"/>
      <c r="AF352" s="62"/>
    </row>
    <row r="353" spans="1:32" outlineLevel="1" x14ac:dyDescent="0.2">
      <c r="A353" s="366" t="s">
        <v>1174</v>
      </c>
      <c r="B353" s="142" t="s">
        <v>278</v>
      </c>
      <c r="C353" s="143">
        <v>280</v>
      </c>
      <c r="D353" s="480" t="s">
        <v>249</v>
      </c>
      <c r="E353" s="480"/>
      <c r="F353" s="143">
        <v>100</v>
      </c>
      <c r="G353" s="143">
        <v>1000</v>
      </c>
      <c r="H353" s="145" t="s">
        <v>254</v>
      </c>
      <c r="I353" s="145"/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/>
      <c r="X353" s="121">
        <f ca="1">+IF($X$4="NA",0,SUM(INDIRECT(+CONCATENATE(+VLOOKUP('2022 Budget &amp; CF'!$X$1,'Data Tables DONT EDIT'!$A$1:$B$15,2,FALSE),+ROW(B353)),TRUE):INDIRECT(+CONCATENATE(+VLOOKUP('2022 Budget &amp; CF'!$X$4,'Data Tables DONT EDIT'!$A$1:$B$15,2,FALSE),+ROW(B353)),TRUE)))</f>
        <v>0</v>
      </c>
      <c r="Y353" s="314">
        <f t="shared" ca="1" si="229"/>
        <v>0</v>
      </c>
      <c r="Z353" s="115">
        <v>0</v>
      </c>
      <c r="AA353" s="117">
        <v>0</v>
      </c>
      <c r="AB353" s="117">
        <f t="shared" ref="AB353" si="283">AA353-Z353</f>
        <v>0</v>
      </c>
      <c r="AC353" s="358">
        <f t="shared" ca="1" si="230"/>
        <v>0</v>
      </c>
      <c r="AF353" s="62"/>
    </row>
    <row r="354" spans="1:32" outlineLevel="1" x14ac:dyDescent="0.2">
      <c r="A354" s="366" t="s">
        <v>1175</v>
      </c>
      <c r="B354" s="461" t="s">
        <v>547</v>
      </c>
      <c r="C354" s="152"/>
      <c r="D354" s="537"/>
      <c r="E354" s="537"/>
      <c r="F354" s="152"/>
      <c r="G354" s="152"/>
      <c r="H354" s="132"/>
      <c r="I354" s="132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463"/>
      <c r="Z354" s="271"/>
      <c r="AA354" s="271"/>
      <c r="AB354" s="271"/>
      <c r="AC354" s="462"/>
      <c r="AF354" s="62"/>
    </row>
    <row r="355" spans="1:32" outlineLevel="1" x14ac:dyDescent="0.2">
      <c r="A355" s="366" t="s">
        <v>1176</v>
      </c>
      <c r="B355" s="142" t="s">
        <v>513</v>
      </c>
      <c r="C355" s="143">
        <v>280</v>
      </c>
      <c r="D355" s="480" t="s">
        <v>550</v>
      </c>
      <c r="E355" s="480"/>
      <c r="F355" s="143">
        <v>430</v>
      </c>
      <c r="G355" s="143">
        <v>1000</v>
      </c>
      <c r="H355" s="145" t="s">
        <v>260</v>
      </c>
      <c r="I355" s="145"/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/>
      <c r="X355" s="121">
        <f ca="1">+IF($X$4="NA",0,SUM(INDIRECT(+CONCATENATE(+VLOOKUP('2022 Budget &amp; CF'!$X$1,'Data Tables DONT EDIT'!$A$1:$B$15,2,FALSE),+ROW(B355)),TRUE):INDIRECT(+CONCATENATE(+VLOOKUP('2022 Budget &amp; CF'!$X$4,'Data Tables DONT EDIT'!$A$1:$B$15,2,FALSE),+ROW(B355)),TRUE)))</f>
        <v>0</v>
      </c>
      <c r="Y355" s="314">
        <f t="shared" ca="1" si="229"/>
        <v>0</v>
      </c>
      <c r="Z355" s="115">
        <v>0</v>
      </c>
      <c r="AA355" s="117">
        <v>0</v>
      </c>
      <c r="AB355" s="117">
        <f t="shared" ref="AB355" si="284">AA355-Z355</f>
        <v>0</v>
      </c>
      <c r="AC355" s="358">
        <f t="shared" ca="1" si="230"/>
        <v>0</v>
      </c>
      <c r="AF355" s="62"/>
    </row>
    <row r="356" spans="1:32" outlineLevel="1" x14ac:dyDescent="0.2">
      <c r="A356" s="366" t="s">
        <v>1177</v>
      </c>
      <c r="B356" s="142" t="s">
        <v>546</v>
      </c>
      <c r="C356" s="143">
        <v>280</v>
      </c>
      <c r="D356" s="480" t="s">
        <v>550</v>
      </c>
      <c r="E356" s="480"/>
      <c r="F356" s="143">
        <v>430</v>
      </c>
      <c r="G356" s="143">
        <v>2230</v>
      </c>
      <c r="H356" s="145" t="s">
        <v>262</v>
      </c>
      <c r="I356" s="145"/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/>
      <c r="X356" s="121">
        <f ca="1">+IF($X$4="NA",0,SUM(INDIRECT(+CONCATENATE(+VLOOKUP('2022 Budget &amp; CF'!$X$1,'Data Tables DONT EDIT'!$A$1:$B$15,2,FALSE),+ROW(B356)),TRUE):INDIRECT(+CONCATENATE(+VLOOKUP('2022 Budget &amp; CF'!$X$4,'Data Tables DONT EDIT'!$A$1:$B$15,2,FALSE),+ROW(B356)),TRUE)))</f>
        <v>0</v>
      </c>
      <c r="Y356" s="314">
        <f t="shared" ca="1" si="229"/>
        <v>0</v>
      </c>
      <c r="Z356" s="115">
        <v>0</v>
      </c>
      <c r="AA356" s="117">
        <v>0</v>
      </c>
      <c r="AB356" s="117">
        <f t="shared" ref="AB356:AB357" si="285">AA356-Z356</f>
        <v>0</v>
      </c>
      <c r="AC356" s="358">
        <f t="shared" ca="1" si="230"/>
        <v>0</v>
      </c>
      <c r="AF356" s="62"/>
    </row>
    <row r="357" spans="1:32" outlineLevel="1" x14ac:dyDescent="0.2">
      <c r="A357" s="366" t="s">
        <v>1178</v>
      </c>
      <c r="B357" s="142" t="s">
        <v>551</v>
      </c>
      <c r="C357" s="143">
        <v>280</v>
      </c>
      <c r="D357" s="480" t="s">
        <v>550</v>
      </c>
      <c r="E357" s="480"/>
      <c r="F357" s="143">
        <v>430</v>
      </c>
      <c r="G357" s="143">
        <v>1000</v>
      </c>
      <c r="H357" s="145" t="s">
        <v>264</v>
      </c>
      <c r="I357" s="145"/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/>
      <c r="X357" s="121">
        <f ca="1">+IF($X$4="NA",0,SUM(INDIRECT(+CONCATENATE(+VLOOKUP('2022 Budget &amp; CF'!$X$1,'Data Tables DONT EDIT'!$A$1:$B$15,2,FALSE),+ROW(B357)),TRUE):INDIRECT(+CONCATENATE(+VLOOKUP('2022 Budget &amp; CF'!$X$4,'Data Tables DONT EDIT'!$A$1:$B$15,2,FALSE),+ROW(B357)),TRUE)))</f>
        <v>0</v>
      </c>
      <c r="Y357" s="314">
        <f t="shared" ca="1" si="229"/>
        <v>0</v>
      </c>
      <c r="Z357" s="115">
        <v>0</v>
      </c>
      <c r="AA357" s="117">
        <v>0</v>
      </c>
      <c r="AB357" s="117">
        <f t="shared" si="285"/>
        <v>0</v>
      </c>
      <c r="AC357" s="358">
        <f t="shared" ca="1" si="230"/>
        <v>0</v>
      </c>
      <c r="AF357" s="62"/>
    </row>
    <row r="358" spans="1:32" outlineLevel="1" x14ac:dyDescent="0.2">
      <c r="A358" s="366" t="s">
        <v>1179</v>
      </c>
      <c r="B358" s="461" t="s">
        <v>549</v>
      </c>
      <c r="C358" s="152"/>
      <c r="D358" s="537"/>
      <c r="E358" s="537"/>
      <c r="F358" s="152"/>
      <c r="G358" s="152"/>
      <c r="H358" s="132"/>
      <c r="I358" s="132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463"/>
      <c r="Z358" s="271"/>
      <c r="AA358" s="271"/>
      <c r="AB358" s="271"/>
      <c r="AC358" s="462"/>
      <c r="AF358" s="62"/>
    </row>
    <row r="359" spans="1:32" outlineLevel="1" x14ac:dyDescent="0.2">
      <c r="A359" s="366" t="s">
        <v>1180</v>
      </c>
      <c r="B359" s="142" t="s">
        <v>826</v>
      </c>
      <c r="C359" s="143" t="s">
        <v>135</v>
      </c>
      <c r="D359" s="480" t="s">
        <v>552</v>
      </c>
      <c r="E359" s="480"/>
      <c r="F359" s="143" t="s">
        <v>468</v>
      </c>
      <c r="G359" s="143" t="s">
        <v>520</v>
      </c>
      <c r="H359" s="145" t="s">
        <v>254</v>
      </c>
      <c r="I359" s="145"/>
      <c r="J359" s="12">
        <v>0</v>
      </c>
      <c r="K359" s="12">
        <v>0</v>
      </c>
      <c r="L359" s="12">
        <v>1261.98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/>
      <c r="X359" s="121">
        <f ca="1">+IF($X$4="NA",0,SUM(INDIRECT(+CONCATENATE(+VLOOKUP('2022 Budget &amp; CF'!$X$1,'Data Tables DONT EDIT'!$A$1:$B$15,2,FALSE),+ROW(B359)),TRUE):INDIRECT(+CONCATENATE(+VLOOKUP('2022 Budget &amp; CF'!$X$4,'Data Tables DONT EDIT'!$A$1:$B$15,2,FALSE),+ROW(B359)),TRUE)))</f>
        <v>1261.98</v>
      </c>
      <c r="Y359" s="314">
        <f t="shared" ref="Y359" ca="1" si="286">IFERROR(X359/Z359,0)</f>
        <v>0</v>
      </c>
      <c r="Z359" s="115">
        <v>0</v>
      </c>
      <c r="AA359" s="117">
        <v>0</v>
      </c>
      <c r="AB359" s="117">
        <f t="shared" ref="AB359" si="287">AA359-Z359</f>
        <v>0</v>
      </c>
      <c r="AC359" s="358">
        <f t="shared" ref="AC359" ca="1" si="288">IFERROR(X359/AA359,0)</f>
        <v>0</v>
      </c>
      <c r="AF359" s="62"/>
    </row>
    <row r="360" spans="1:32" outlineLevel="1" x14ac:dyDescent="0.2">
      <c r="A360" s="366" t="s">
        <v>1181</v>
      </c>
      <c r="B360" s="142" t="s">
        <v>551</v>
      </c>
      <c r="C360" s="143">
        <v>280</v>
      </c>
      <c r="D360" s="480" t="s">
        <v>552</v>
      </c>
      <c r="E360" s="480"/>
      <c r="F360" s="143">
        <v>100</v>
      </c>
      <c r="G360" s="143">
        <v>1000</v>
      </c>
      <c r="H360" s="145" t="s">
        <v>264</v>
      </c>
      <c r="I360" s="145"/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/>
      <c r="X360" s="121">
        <f ca="1">+IF($X$4="NA",0,SUM(INDIRECT(+CONCATENATE(+VLOOKUP('2022 Budget &amp; CF'!$X$1,'Data Tables DONT EDIT'!$A$1:$B$15,2,FALSE),+ROW(B360)),TRUE):INDIRECT(+CONCATENATE(+VLOOKUP('2022 Budget &amp; CF'!$X$4,'Data Tables DONT EDIT'!$A$1:$B$15,2,FALSE),+ROW(B360)),TRUE)))</f>
        <v>0</v>
      </c>
      <c r="Y360" s="314">
        <f t="shared" ca="1" si="229"/>
        <v>0</v>
      </c>
      <c r="Z360" s="115">
        <v>0</v>
      </c>
      <c r="AA360" s="117">
        <v>0</v>
      </c>
      <c r="AB360" s="117">
        <f t="shared" ref="AB360" si="289">AA360-Z360</f>
        <v>0</v>
      </c>
      <c r="AC360" s="358">
        <f t="shared" ca="1" si="230"/>
        <v>0</v>
      </c>
      <c r="AF360" s="62"/>
    </row>
    <row r="361" spans="1:32" outlineLevel="1" x14ac:dyDescent="0.2">
      <c r="A361" s="366" t="s">
        <v>1182</v>
      </c>
      <c r="B361" s="142" t="s">
        <v>551</v>
      </c>
      <c r="C361" s="143">
        <v>280</v>
      </c>
      <c r="D361" s="480" t="s">
        <v>552</v>
      </c>
      <c r="E361" s="480"/>
      <c r="F361" s="143">
        <v>100</v>
      </c>
      <c r="G361" s="143">
        <v>2110</v>
      </c>
      <c r="H361" s="145" t="s">
        <v>264</v>
      </c>
      <c r="I361" s="145"/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/>
      <c r="X361" s="121">
        <f ca="1">+IF($X$4="NA",0,SUM(INDIRECT(+CONCATENATE(+VLOOKUP('2022 Budget &amp; CF'!$X$1,'Data Tables DONT EDIT'!$A$1:$B$15,2,FALSE),+ROW(B361)),TRUE):INDIRECT(+CONCATENATE(+VLOOKUP('2022 Budget &amp; CF'!$X$4,'Data Tables DONT EDIT'!$A$1:$B$15,2,FALSE),+ROW(B361)),TRUE)))</f>
        <v>0</v>
      </c>
      <c r="Y361" s="314">
        <f t="shared" ca="1" si="229"/>
        <v>0</v>
      </c>
      <c r="Z361" s="115">
        <v>0</v>
      </c>
      <c r="AA361" s="117">
        <v>0</v>
      </c>
      <c r="AB361" s="117">
        <f t="shared" ref="AB361:AB362" si="290">AA361-Z361</f>
        <v>0</v>
      </c>
      <c r="AC361" s="358">
        <f t="shared" ca="1" si="230"/>
        <v>0</v>
      </c>
      <c r="AF361" s="62"/>
    </row>
    <row r="362" spans="1:32" outlineLevel="1" x14ac:dyDescent="0.2">
      <c r="A362" s="366" t="s">
        <v>1183</v>
      </c>
      <c r="B362" s="142" t="s">
        <v>551</v>
      </c>
      <c r="C362" s="143">
        <v>280</v>
      </c>
      <c r="D362" s="480" t="s">
        <v>552</v>
      </c>
      <c r="E362" s="480"/>
      <c r="F362" s="143">
        <v>100</v>
      </c>
      <c r="G362" s="143">
        <v>2230</v>
      </c>
      <c r="H362" s="145" t="s">
        <v>264</v>
      </c>
      <c r="I362" s="145"/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/>
      <c r="X362" s="121">
        <f ca="1">+IF($X$4="NA",0,SUM(INDIRECT(+CONCATENATE(+VLOOKUP('2022 Budget &amp; CF'!$X$1,'Data Tables DONT EDIT'!$A$1:$B$15,2,FALSE),+ROW(B362)),TRUE):INDIRECT(+CONCATENATE(+VLOOKUP('2022 Budget &amp; CF'!$X$4,'Data Tables DONT EDIT'!$A$1:$B$15,2,FALSE),+ROW(B362)),TRUE)))</f>
        <v>0</v>
      </c>
      <c r="Y362" s="314">
        <f t="shared" ca="1" si="229"/>
        <v>0</v>
      </c>
      <c r="Z362" s="115">
        <v>0</v>
      </c>
      <c r="AA362" s="117">
        <v>0</v>
      </c>
      <c r="AB362" s="117">
        <f t="shared" si="290"/>
        <v>0</v>
      </c>
      <c r="AC362" s="358">
        <f t="shared" ca="1" si="230"/>
        <v>0</v>
      </c>
      <c r="AF362" s="62"/>
    </row>
    <row r="363" spans="1:32" outlineLevel="1" x14ac:dyDescent="0.2">
      <c r="A363" s="366" t="s">
        <v>1184</v>
      </c>
      <c r="B363" s="461" t="s">
        <v>1057</v>
      </c>
      <c r="C363" s="152"/>
      <c r="D363" s="537"/>
      <c r="E363" s="537"/>
      <c r="F363" s="152"/>
      <c r="G363" s="152"/>
      <c r="H363" s="132"/>
      <c r="I363" s="132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463"/>
      <c r="Z363" s="271"/>
      <c r="AA363" s="271"/>
      <c r="AB363" s="271"/>
      <c r="AC363" s="462"/>
      <c r="AF363" s="62"/>
    </row>
    <row r="364" spans="1:32" outlineLevel="1" x14ac:dyDescent="0.2">
      <c r="A364" s="366" t="s">
        <v>1185</v>
      </c>
      <c r="B364" s="142" t="s">
        <v>551</v>
      </c>
      <c r="C364" s="143">
        <v>280</v>
      </c>
      <c r="D364" s="480" t="s">
        <v>1032</v>
      </c>
      <c r="E364" s="480"/>
      <c r="F364" s="143">
        <v>100</v>
      </c>
      <c r="G364" s="143">
        <v>1000</v>
      </c>
      <c r="H364" s="145" t="s">
        <v>264</v>
      </c>
      <c r="I364" s="145"/>
      <c r="J364" s="12">
        <v>0</v>
      </c>
      <c r="K364" s="12">
        <v>18564</v>
      </c>
      <c r="L364" s="12">
        <v>0</v>
      </c>
      <c r="M364" s="12">
        <v>14320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/>
      <c r="X364" s="121">
        <f ca="1">+IF($X$4="NA",0,SUM(INDIRECT(+CONCATENATE(+VLOOKUP('2022 Budget &amp; CF'!$X$1,'Data Tables DONT EDIT'!$A$1:$B$15,2,FALSE),+ROW(B364)),TRUE):INDIRECT(+CONCATENATE(+VLOOKUP('2022 Budget &amp; CF'!$X$4,'Data Tables DONT EDIT'!$A$1:$B$15,2,FALSE),+ROW(B364)),TRUE)))</f>
        <v>32884</v>
      </c>
      <c r="Y364" s="314">
        <f t="shared" ref="Y364" ca="1" si="291">IFERROR(X364/Z364,0)</f>
        <v>2.9976298997265269</v>
      </c>
      <c r="Z364" s="115">
        <v>10970</v>
      </c>
      <c r="AA364" s="117">
        <v>10970</v>
      </c>
      <c r="AB364" s="117">
        <f t="shared" ref="AB364" si="292">AA364-Z364</f>
        <v>0</v>
      </c>
      <c r="AC364" s="358">
        <f t="shared" ref="AC364" ca="1" si="293">IFERROR(X364/AA364,0)</f>
        <v>2.9976298997265269</v>
      </c>
      <c r="AF364" s="62"/>
    </row>
    <row r="365" spans="1:32" outlineLevel="1" x14ac:dyDescent="0.2">
      <c r="A365" s="366" t="s">
        <v>1186</v>
      </c>
      <c r="B365" s="461" t="s">
        <v>1151</v>
      </c>
      <c r="C365" s="152"/>
      <c r="D365" s="537"/>
      <c r="E365" s="537"/>
      <c r="F365" s="152"/>
      <c r="G365" s="152"/>
      <c r="H365" s="132"/>
      <c r="I365" s="132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463"/>
      <c r="Z365" s="271"/>
      <c r="AA365" s="271"/>
      <c r="AB365" s="271"/>
      <c r="AC365" s="462"/>
      <c r="AF365" s="62"/>
    </row>
    <row r="366" spans="1:32" outlineLevel="1" x14ac:dyDescent="0.2">
      <c r="A366" s="366" t="s">
        <v>1187</v>
      </c>
      <c r="B366" s="142" t="s">
        <v>1152</v>
      </c>
      <c r="C366" s="143">
        <v>280</v>
      </c>
      <c r="D366" s="480" t="s">
        <v>1153</v>
      </c>
      <c r="E366" s="480"/>
      <c r="F366" s="143">
        <v>100</v>
      </c>
      <c r="G366" s="143">
        <v>1000</v>
      </c>
      <c r="H366" s="145" t="s">
        <v>262</v>
      </c>
      <c r="I366" s="145"/>
      <c r="J366" s="12">
        <v>6559.8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/>
      <c r="X366" s="121">
        <f ca="1">+IF($X$4="NA",0,SUM(INDIRECT(+CONCATENATE(+VLOOKUP('2022 Budget &amp; CF'!$X$1,'Data Tables DONT EDIT'!$A$1:$B$15,2,FALSE),+ROW(B366)),TRUE):INDIRECT(+CONCATENATE(+VLOOKUP('2022 Budget &amp; CF'!$X$4,'Data Tables DONT EDIT'!$A$1:$B$15,2,FALSE),+ROW(B366)),TRUE)))</f>
        <v>6559.8</v>
      </c>
      <c r="Y366" s="314">
        <f t="shared" ref="Y366" ca="1" si="294">IFERROR(X366/Z366,0)</f>
        <v>72.085714285714289</v>
      </c>
      <c r="Z366" s="115">
        <v>91</v>
      </c>
      <c r="AA366" s="117">
        <v>91</v>
      </c>
      <c r="AB366" s="117">
        <f t="shared" ref="AB366" si="295">AA366-Z366</f>
        <v>0</v>
      </c>
      <c r="AC366" s="358">
        <f t="shared" ref="AC366" ca="1" si="296">IFERROR(X366/AA366,0)</f>
        <v>72.085714285714289</v>
      </c>
      <c r="AF366" s="62"/>
    </row>
    <row r="367" spans="1:32" outlineLevel="1" x14ac:dyDescent="0.2">
      <c r="A367" s="366" t="s">
        <v>1188</v>
      </c>
      <c r="B367" s="461" t="s">
        <v>548</v>
      </c>
      <c r="C367" s="152"/>
      <c r="D367" s="537"/>
      <c r="E367" s="537"/>
      <c r="F367" s="152"/>
      <c r="G367" s="152"/>
      <c r="H367" s="132"/>
      <c r="I367" s="132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463"/>
      <c r="Z367" s="271"/>
      <c r="AA367" s="271"/>
      <c r="AB367" s="271"/>
      <c r="AC367" s="462"/>
      <c r="AF367" s="62"/>
    </row>
    <row r="368" spans="1:32" outlineLevel="1" x14ac:dyDescent="0.2">
      <c r="A368" s="366" t="s">
        <v>1189</v>
      </c>
      <c r="B368" s="142" t="s">
        <v>545</v>
      </c>
      <c r="C368" s="143">
        <v>279</v>
      </c>
      <c r="D368" s="480" t="s">
        <v>145</v>
      </c>
      <c r="E368" s="480"/>
      <c r="F368" s="143">
        <v>910</v>
      </c>
      <c r="G368" s="143">
        <v>6000</v>
      </c>
      <c r="H368" s="145" t="s">
        <v>254</v>
      </c>
      <c r="I368" s="145"/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/>
      <c r="X368" s="121">
        <f ca="1">+IF($X$4="NA",0,SUM(INDIRECT(+CONCATENATE(+VLOOKUP('2022 Budget &amp; CF'!$X$1,'Data Tables DONT EDIT'!$A$1:$B$15,2,FALSE),+ROW(B368)),TRUE):INDIRECT(+CONCATENATE(+VLOOKUP('2022 Budget &amp; CF'!$X$4,'Data Tables DONT EDIT'!$A$1:$B$15,2,FALSE),+ROW(B368)),TRUE)))</f>
        <v>0</v>
      </c>
      <c r="Y368" s="314">
        <f t="shared" ca="1" si="229"/>
        <v>0</v>
      </c>
      <c r="Z368" s="115">
        <v>0</v>
      </c>
      <c r="AA368" s="117">
        <v>0</v>
      </c>
      <c r="AB368" s="117">
        <f t="shared" si="247"/>
        <v>0</v>
      </c>
      <c r="AC368" s="358">
        <f t="shared" ca="1" si="230"/>
        <v>0</v>
      </c>
      <c r="AF368" s="62"/>
    </row>
    <row r="369" spans="1:41" s="332" customFormat="1" x14ac:dyDescent="0.2">
      <c r="A369" s="366" t="s">
        <v>1190</v>
      </c>
      <c r="B369" s="207" t="s">
        <v>279</v>
      </c>
      <c r="C369" s="155"/>
      <c r="D369" s="156"/>
      <c r="E369" s="156"/>
      <c r="F369" s="155"/>
      <c r="G369" s="155"/>
      <c r="H369" s="155"/>
      <c r="I369" s="155"/>
      <c r="J369" s="304">
        <f t="shared" ref="J369:V369" si="297">SUM(J284:J368)</f>
        <v>41905.310000000005</v>
      </c>
      <c r="K369" s="304">
        <f t="shared" si="297"/>
        <v>44975.78</v>
      </c>
      <c r="L369" s="304">
        <f t="shared" si="297"/>
        <v>159476.28999999995</v>
      </c>
      <c r="M369" s="304">
        <f t="shared" si="297"/>
        <v>26002.04</v>
      </c>
      <c r="N369" s="304">
        <f t="shared" si="297"/>
        <v>-959.15999999999985</v>
      </c>
      <c r="O369" s="304">
        <f t="shared" si="297"/>
        <v>0</v>
      </c>
      <c r="P369" s="304">
        <f t="shared" si="297"/>
        <v>0</v>
      </c>
      <c r="Q369" s="304">
        <f t="shared" si="297"/>
        <v>0</v>
      </c>
      <c r="R369" s="304">
        <f t="shared" si="297"/>
        <v>0</v>
      </c>
      <c r="S369" s="304">
        <f t="shared" si="297"/>
        <v>0</v>
      </c>
      <c r="T369" s="304">
        <f t="shared" si="297"/>
        <v>0</v>
      </c>
      <c r="U369" s="304">
        <f t="shared" si="297"/>
        <v>0</v>
      </c>
      <c r="V369" s="304">
        <f t="shared" si="297"/>
        <v>0</v>
      </c>
      <c r="W369" s="304"/>
      <c r="X369" s="304">
        <f ca="1">SUM(X284:X368)</f>
        <v>271400.26</v>
      </c>
      <c r="Y369" s="319">
        <f t="shared" ca="1" si="229"/>
        <v>1.3975224638390122</v>
      </c>
      <c r="Z369" s="304">
        <f>SUM(Z284:Z368)</f>
        <v>194201</v>
      </c>
      <c r="AA369" s="304">
        <f>SUM(AA284:AA368)</f>
        <v>315306</v>
      </c>
      <c r="AB369" s="304">
        <f t="shared" si="247"/>
        <v>121105</v>
      </c>
      <c r="AC369" s="319">
        <f t="shared" ca="1" si="230"/>
        <v>0.86075196792956687</v>
      </c>
      <c r="AD369" s="2"/>
      <c r="AE369" s="2"/>
      <c r="AF369" s="553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x14ac:dyDescent="0.2">
      <c r="A370" s="366" t="s">
        <v>1191</v>
      </c>
      <c r="B370" s="459"/>
      <c r="C370" s="140"/>
      <c r="D370" s="140"/>
      <c r="E370" s="140"/>
      <c r="F370" s="140"/>
      <c r="G370" s="140"/>
      <c r="H370" s="132"/>
      <c r="I370" s="132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463"/>
      <c r="Z370" s="271"/>
      <c r="AA370" s="271"/>
      <c r="AB370" s="271"/>
      <c r="AC370" s="272"/>
      <c r="AF370" s="62"/>
    </row>
    <row r="371" spans="1:41" x14ac:dyDescent="0.2">
      <c r="A371" s="366" t="s">
        <v>1192</v>
      </c>
      <c r="B371" s="142" t="s">
        <v>354</v>
      </c>
      <c r="C371" s="101">
        <v>100</v>
      </c>
      <c r="D371" s="104" t="s">
        <v>145</v>
      </c>
      <c r="E371" s="104"/>
      <c r="F371" s="101">
        <v>100</v>
      </c>
      <c r="G371" s="101">
        <v>2500</v>
      </c>
      <c r="H371" s="145" t="s">
        <v>355</v>
      </c>
      <c r="I371" s="145"/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/>
      <c r="X371" s="121">
        <f ca="1">+IF($X$4="NA",0,SUM(INDIRECT(+CONCATENATE(+VLOOKUP('2022 Budget &amp; CF'!$X$1,'Data Tables DONT EDIT'!$A$1:$B$15,2,FALSE),+ROW(B371)),TRUE):INDIRECT(+CONCATENATE(+VLOOKUP('2022 Budget &amp; CF'!$X$4,'Data Tables DONT EDIT'!$A$1:$B$15,2,FALSE),+ROW(B371)),TRUE)))</f>
        <v>0</v>
      </c>
      <c r="Y371" s="314">
        <f t="shared" ref="Y371" ca="1" si="298">IFERROR(X371/Z371,0)</f>
        <v>0</v>
      </c>
      <c r="Z371" s="115">
        <v>0</v>
      </c>
      <c r="AA371" s="117">
        <v>0</v>
      </c>
      <c r="AB371" s="117">
        <f t="shared" si="247"/>
        <v>0</v>
      </c>
      <c r="AC371" s="358">
        <f t="shared" ref="AC371" ca="1" si="299">IFERROR(X371/AA371,0)</f>
        <v>0</v>
      </c>
      <c r="AF371" s="62"/>
    </row>
    <row r="372" spans="1:41" x14ac:dyDescent="0.2">
      <c r="A372" s="366" t="s">
        <v>1193</v>
      </c>
      <c r="B372" s="142" t="s">
        <v>354</v>
      </c>
      <c r="C372" s="101">
        <v>300</v>
      </c>
      <c r="D372" s="104" t="s">
        <v>145</v>
      </c>
      <c r="E372" s="104"/>
      <c r="F372" s="101">
        <v>100</v>
      </c>
      <c r="G372" s="101">
        <v>2500</v>
      </c>
      <c r="H372" s="145" t="s">
        <v>355</v>
      </c>
      <c r="I372" s="145"/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/>
      <c r="X372" s="121">
        <f ca="1">+IF($X$4="NA",0,SUM(INDIRECT(+CONCATENATE(+VLOOKUP('2022 Budget &amp; CF'!$X$1,'Data Tables DONT EDIT'!$A$1:$B$15,2,FALSE),+ROW(B372)),TRUE):INDIRECT(+CONCATENATE(+VLOOKUP('2022 Budget &amp; CF'!$X$4,'Data Tables DONT EDIT'!$A$1:$B$15,2,FALSE),+ROW(B372)),TRUE)))</f>
        <v>0</v>
      </c>
      <c r="Y372" s="314">
        <f ca="1">IFERROR(X372/Z372,0)</f>
        <v>0</v>
      </c>
      <c r="Z372" s="115">
        <v>8517</v>
      </c>
      <c r="AA372" s="117">
        <v>8517</v>
      </c>
      <c r="AB372" s="117">
        <f t="shared" ref="AB372" si="300">AA372-Z372</f>
        <v>0</v>
      </c>
      <c r="AC372" s="358">
        <f ca="1">IFERROR(X372/AA372,0)</f>
        <v>0</v>
      </c>
      <c r="AF372" s="62"/>
    </row>
    <row r="373" spans="1:41" x14ac:dyDescent="0.2">
      <c r="A373" s="366" t="s">
        <v>1194</v>
      </c>
      <c r="B373" s="459"/>
      <c r="C373" s="140"/>
      <c r="D373" s="140"/>
      <c r="E373" s="140"/>
      <c r="F373" s="140"/>
      <c r="G373" s="140"/>
      <c r="H373" s="132"/>
      <c r="I373" s="132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463"/>
      <c r="Z373" s="271"/>
      <c r="AA373" s="271"/>
      <c r="AB373" s="271"/>
      <c r="AC373" s="272"/>
      <c r="AF373" s="62"/>
    </row>
    <row r="374" spans="1:41" x14ac:dyDescent="0.2">
      <c r="A374" s="366" t="s">
        <v>1195</v>
      </c>
      <c r="B374" s="207" t="s">
        <v>353</v>
      </c>
      <c r="C374" s="155"/>
      <c r="D374" s="156"/>
      <c r="E374" s="156"/>
      <c r="F374" s="155"/>
      <c r="G374" s="155"/>
      <c r="H374" s="155"/>
      <c r="I374" s="155"/>
      <c r="J374" s="130">
        <f t="shared" ref="J374:M374" si="301">SUM(J370:J373)</f>
        <v>0</v>
      </c>
      <c r="K374" s="130">
        <f t="shared" si="301"/>
        <v>0</v>
      </c>
      <c r="L374" s="130">
        <f t="shared" si="301"/>
        <v>0</v>
      </c>
      <c r="M374" s="130">
        <f t="shared" si="301"/>
        <v>0</v>
      </c>
      <c r="N374" s="130">
        <f>SUM(N370:N373)</f>
        <v>0</v>
      </c>
      <c r="O374" s="130">
        <f t="shared" ref="O374:V374" si="302">SUM(O370:O373)</f>
        <v>0</v>
      </c>
      <c r="P374" s="130">
        <f t="shared" si="302"/>
        <v>0</v>
      </c>
      <c r="Q374" s="130">
        <f t="shared" si="302"/>
        <v>0</v>
      </c>
      <c r="R374" s="130">
        <f t="shared" si="302"/>
        <v>0</v>
      </c>
      <c r="S374" s="130">
        <f t="shared" si="302"/>
        <v>0</v>
      </c>
      <c r="T374" s="130">
        <f t="shared" si="302"/>
        <v>0</v>
      </c>
      <c r="U374" s="130">
        <f t="shared" si="302"/>
        <v>0</v>
      </c>
      <c r="V374" s="130">
        <f t="shared" si="302"/>
        <v>0</v>
      </c>
      <c r="W374" s="130"/>
      <c r="X374" s="304">
        <f ca="1">SUM(X371:X373)</f>
        <v>0</v>
      </c>
      <c r="Y374" s="319">
        <f t="shared" ca="1" si="229"/>
        <v>0</v>
      </c>
      <c r="Z374" s="304">
        <f t="shared" ref="Z374:AA374" si="303">SUM(Z371:Z373)</f>
        <v>8517</v>
      </c>
      <c r="AA374" s="304">
        <f t="shared" si="303"/>
        <v>8517</v>
      </c>
      <c r="AB374" s="304">
        <f>SUM(AB372:AB372)</f>
        <v>0</v>
      </c>
      <c r="AC374" s="319">
        <f t="shared" ca="1" si="230"/>
        <v>0</v>
      </c>
      <c r="AF374" s="62"/>
    </row>
    <row r="375" spans="1:41" x14ac:dyDescent="0.2">
      <c r="A375" s="366" t="s">
        <v>1196</v>
      </c>
      <c r="B375" s="459" t="s">
        <v>197</v>
      </c>
      <c r="C375" s="140"/>
      <c r="D375" s="140"/>
      <c r="E375" s="140"/>
      <c r="F375" s="140"/>
      <c r="G375" s="140"/>
      <c r="H375" s="132"/>
      <c r="I375" s="132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463"/>
      <c r="Z375" s="271"/>
      <c r="AA375" s="271"/>
      <c r="AB375" s="271"/>
      <c r="AC375" s="272"/>
      <c r="AF375" s="62"/>
    </row>
    <row r="376" spans="1:41" x14ac:dyDescent="0.2">
      <c r="A376" s="366" t="s">
        <v>1197</v>
      </c>
      <c r="B376" s="157" t="s">
        <v>280</v>
      </c>
      <c r="C376" s="158">
        <v>100</v>
      </c>
      <c r="D376" s="159" t="s">
        <v>145</v>
      </c>
      <c r="E376" s="159"/>
      <c r="F376" s="158">
        <v>100</v>
      </c>
      <c r="G376" s="158">
        <v>1000</v>
      </c>
      <c r="H376" s="160" t="s">
        <v>281</v>
      </c>
      <c r="I376" s="160"/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/>
      <c r="X376" s="121">
        <f ca="1">+IF($X$4="NA",0,SUM(INDIRECT(+CONCATENATE(+VLOOKUP('2022 Budget &amp; CF'!$X$1,'Data Tables DONT EDIT'!$A$1:$B$15,2,FALSE),+ROW(B376)),TRUE):INDIRECT(+CONCATENATE(+VLOOKUP('2022 Budget &amp; CF'!$X$4,'Data Tables DONT EDIT'!$A$1:$B$15,2,FALSE),+ROW(B376)),TRUE)))</f>
        <v>0</v>
      </c>
      <c r="Y376" s="314">
        <f t="shared" ca="1" si="229"/>
        <v>0</v>
      </c>
      <c r="Z376" s="115">
        <v>18</v>
      </c>
      <c r="AA376" s="117">
        <v>18</v>
      </c>
      <c r="AB376" s="117">
        <f>AA376-Z376</f>
        <v>0</v>
      </c>
      <c r="AC376" s="358">
        <f t="shared" ca="1" si="230"/>
        <v>0</v>
      </c>
      <c r="AF376" s="62"/>
    </row>
    <row r="377" spans="1:41" x14ac:dyDescent="0.2">
      <c r="A377" s="366" t="s">
        <v>1198</v>
      </c>
      <c r="B377" s="459" t="s">
        <v>204</v>
      </c>
      <c r="C377" s="140"/>
      <c r="D377" s="140"/>
      <c r="E377" s="140"/>
      <c r="F377" s="140"/>
      <c r="G377" s="140"/>
      <c r="H377" s="132"/>
      <c r="I377" s="132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463"/>
      <c r="Z377" s="271"/>
      <c r="AA377" s="271"/>
      <c r="AB377" s="271"/>
      <c r="AC377" s="272"/>
      <c r="AF377" s="62"/>
    </row>
    <row r="378" spans="1:41" x14ac:dyDescent="0.2">
      <c r="A378" s="366" t="s">
        <v>1199</v>
      </c>
      <c r="B378" s="157" t="s">
        <v>282</v>
      </c>
      <c r="C378" s="158">
        <v>100</v>
      </c>
      <c r="D378" s="159" t="s">
        <v>145</v>
      </c>
      <c r="E378" s="159"/>
      <c r="F378" s="158">
        <v>100</v>
      </c>
      <c r="G378" s="158">
        <v>2210</v>
      </c>
      <c r="H378" s="160" t="s">
        <v>281</v>
      </c>
      <c r="I378" s="160"/>
      <c r="J378" s="12">
        <v>3195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/>
      <c r="X378" s="121">
        <f ca="1">+IF($X$4="NA",0,SUM(INDIRECT(+CONCATENATE(+VLOOKUP('2022 Budget &amp; CF'!$X$1,'Data Tables DONT EDIT'!$A$1:$B$15,2,FALSE),+ROW(B378)),TRUE):INDIRECT(+CONCATENATE(+VLOOKUP('2022 Budget &amp; CF'!$X$4,'Data Tables DONT EDIT'!$A$1:$B$15,2,FALSE),+ROW(B378)),TRUE)))</f>
        <v>3195</v>
      </c>
      <c r="Y378" s="314">
        <f t="shared" ref="Y378:Y415" ca="1" si="304">IFERROR(X378/Z378,0)</f>
        <v>2.6625000000000001</v>
      </c>
      <c r="Z378" s="115">
        <v>1200</v>
      </c>
      <c r="AA378" s="117">
        <v>1200</v>
      </c>
      <c r="AB378" s="117">
        <f t="shared" si="247"/>
        <v>0</v>
      </c>
      <c r="AC378" s="358">
        <f t="shared" ref="AC378:AC415" ca="1" si="305">IFERROR(X378/AA378,0)</f>
        <v>2.6625000000000001</v>
      </c>
      <c r="AF378" s="62"/>
    </row>
    <row r="379" spans="1:41" x14ac:dyDescent="0.2">
      <c r="A379" s="366" t="s">
        <v>1227</v>
      </c>
      <c r="B379" s="459" t="s">
        <v>206</v>
      </c>
      <c r="C379" s="140"/>
      <c r="D379" s="140"/>
      <c r="E379" s="140"/>
      <c r="F379" s="140"/>
      <c r="G379" s="140"/>
      <c r="H379" s="132"/>
      <c r="I379" s="132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463"/>
      <c r="Z379" s="271"/>
      <c r="AA379" s="271"/>
      <c r="AB379" s="271"/>
      <c r="AC379" s="272"/>
      <c r="AF379" s="62"/>
    </row>
    <row r="380" spans="1:41" x14ac:dyDescent="0.2">
      <c r="A380" s="366" t="s">
        <v>1228</v>
      </c>
      <c r="B380" s="157" t="s">
        <v>283</v>
      </c>
      <c r="C380" s="101">
        <v>100</v>
      </c>
      <c r="D380" s="104" t="s">
        <v>145</v>
      </c>
      <c r="E380" s="104"/>
      <c r="F380" s="101">
        <v>100</v>
      </c>
      <c r="G380" s="101">
        <v>2320</v>
      </c>
      <c r="H380" s="103" t="s">
        <v>281</v>
      </c>
      <c r="I380" s="103"/>
      <c r="J380" s="12">
        <v>0</v>
      </c>
      <c r="K380" s="12">
        <v>0</v>
      </c>
      <c r="L380" s="12">
        <v>44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/>
      <c r="X380" s="121">
        <f ca="1">+IF($X$4="NA",0,SUM(INDIRECT(+CONCATENATE(+VLOOKUP('2022 Budget &amp; CF'!$X$1,'Data Tables DONT EDIT'!$A$1:$B$15,2,FALSE),+ROW(B380)),TRUE):INDIRECT(+CONCATENATE(+VLOOKUP('2022 Budget &amp; CF'!$X$4,'Data Tables DONT EDIT'!$A$1:$B$15,2,FALSE),+ROW(B380)),TRUE)))</f>
        <v>44</v>
      </c>
      <c r="Y380" s="314">
        <f t="shared" ca="1" si="304"/>
        <v>4.9661399548532728E-2</v>
      </c>
      <c r="Z380" s="115">
        <v>886</v>
      </c>
      <c r="AA380" s="117">
        <v>886</v>
      </c>
      <c r="AB380" s="117">
        <f t="shared" si="247"/>
        <v>0</v>
      </c>
      <c r="AC380" s="358">
        <f t="shared" ca="1" si="305"/>
        <v>4.9661399548532728E-2</v>
      </c>
      <c r="AF380" s="62"/>
    </row>
    <row r="381" spans="1:41" x14ac:dyDescent="0.2">
      <c r="A381" s="366" t="s">
        <v>1229</v>
      </c>
      <c r="B381" s="459" t="s">
        <v>211</v>
      </c>
      <c r="C381" s="140"/>
      <c r="D381" s="140"/>
      <c r="E381" s="140"/>
      <c r="F381" s="140"/>
      <c r="G381" s="140"/>
      <c r="H381" s="132"/>
      <c r="I381" s="132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463"/>
      <c r="Z381" s="271"/>
      <c r="AA381" s="271"/>
      <c r="AB381" s="271"/>
      <c r="AC381" s="272"/>
      <c r="AF381" s="62"/>
    </row>
    <row r="382" spans="1:41" x14ac:dyDescent="0.2">
      <c r="A382" s="366" t="s">
        <v>1230</v>
      </c>
      <c r="B382" s="82" t="s">
        <v>287</v>
      </c>
      <c r="C382" s="101">
        <v>100</v>
      </c>
      <c r="D382" s="104" t="s">
        <v>145</v>
      </c>
      <c r="E382" s="104"/>
      <c r="F382" s="101">
        <v>100</v>
      </c>
      <c r="G382" s="101">
        <v>2490</v>
      </c>
      <c r="H382" s="103" t="s">
        <v>281</v>
      </c>
      <c r="I382" s="103"/>
      <c r="J382" s="12">
        <v>0</v>
      </c>
      <c r="K382" s="12">
        <v>2070</v>
      </c>
      <c r="L382" s="12">
        <v>0</v>
      </c>
      <c r="M382" s="12">
        <v>0</v>
      </c>
      <c r="N382" s="12">
        <v>174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/>
      <c r="X382" s="121">
        <f ca="1">+IF($X$4="NA",0,SUM(INDIRECT(+CONCATENATE(+VLOOKUP('2022 Budget &amp; CF'!$X$1,'Data Tables DONT EDIT'!$A$1:$B$15,2,FALSE),+ROW(B382)),TRUE):INDIRECT(+CONCATENATE(+VLOOKUP('2022 Budget &amp; CF'!$X$4,'Data Tables DONT EDIT'!$A$1:$B$15,2,FALSE),+ROW(B382)),TRUE)))</f>
        <v>2244</v>
      </c>
      <c r="Y382" s="314">
        <f t="shared" ca="1" si="304"/>
        <v>4.0948905109489049</v>
      </c>
      <c r="Z382" s="115">
        <v>548</v>
      </c>
      <c r="AA382" s="117">
        <v>548</v>
      </c>
      <c r="AB382" s="117">
        <f>AA382-Z382</f>
        <v>0</v>
      </c>
      <c r="AC382" s="358">
        <f t="shared" ca="1" si="305"/>
        <v>4.0948905109489049</v>
      </c>
      <c r="AF382" s="62"/>
    </row>
    <row r="383" spans="1:41" x14ac:dyDescent="0.2">
      <c r="A383" s="366" t="s">
        <v>1231</v>
      </c>
      <c r="B383" s="459" t="s">
        <v>214</v>
      </c>
      <c r="C383" s="148"/>
      <c r="D383" s="148"/>
      <c r="E383" s="148"/>
      <c r="F383" s="148"/>
      <c r="G383" s="148"/>
      <c r="H383" s="132"/>
      <c r="I383" s="132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463"/>
      <c r="Z383" s="271"/>
      <c r="AA383" s="271"/>
      <c r="AB383" s="271"/>
      <c r="AC383" s="272"/>
      <c r="AF383" s="62"/>
    </row>
    <row r="384" spans="1:41" x14ac:dyDescent="0.2">
      <c r="A384" s="366" t="s">
        <v>1232</v>
      </c>
      <c r="B384" s="82" t="s">
        <v>284</v>
      </c>
      <c r="C384" s="101">
        <v>100</v>
      </c>
      <c r="D384" s="104" t="s">
        <v>145</v>
      </c>
      <c r="E384" s="104"/>
      <c r="F384" s="101">
        <v>100</v>
      </c>
      <c r="G384" s="101">
        <v>2510</v>
      </c>
      <c r="H384" s="103" t="s">
        <v>281</v>
      </c>
      <c r="I384" s="103"/>
      <c r="J384" s="12">
        <v>19</v>
      </c>
      <c r="K384" s="12">
        <v>8</v>
      </c>
      <c r="L384" s="12">
        <v>183.14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/>
      <c r="X384" s="121">
        <f ca="1">+IF($X$4="NA",0,SUM(INDIRECT(+CONCATENATE(+VLOOKUP('2022 Budget &amp; CF'!$X$1,'Data Tables DONT EDIT'!$A$1:$B$15,2,FALSE),+ROW(B384)),TRUE):INDIRECT(+CONCATENATE(+VLOOKUP('2022 Budget &amp; CF'!$X$4,'Data Tables DONT EDIT'!$A$1:$B$15,2,FALSE),+ROW(B384)),TRUE)))</f>
        <v>210.14</v>
      </c>
      <c r="Y384" s="314">
        <f t="shared" ca="1" si="304"/>
        <v>0.25136363636363634</v>
      </c>
      <c r="Z384" s="115">
        <v>836</v>
      </c>
      <c r="AA384" s="117">
        <v>836</v>
      </c>
      <c r="AB384" s="117">
        <f t="shared" si="247"/>
        <v>0</v>
      </c>
      <c r="AC384" s="358">
        <f t="shared" ca="1" si="305"/>
        <v>0.25136363636363634</v>
      </c>
      <c r="AF384" s="62"/>
    </row>
    <row r="385" spans="1:32" x14ac:dyDescent="0.2">
      <c r="A385" s="366" t="s">
        <v>1233</v>
      </c>
      <c r="B385" s="157" t="s">
        <v>1058</v>
      </c>
      <c r="C385" s="158">
        <v>100</v>
      </c>
      <c r="D385" s="159" t="s">
        <v>145</v>
      </c>
      <c r="E385" s="159"/>
      <c r="F385" s="158">
        <v>100</v>
      </c>
      <c r="G385" s="158" t="s">
        <v>477</v>
      </c>
      <c r="H385" s="160" t="s">
        <v>281</v>
      </c>
      <c r="I385" s="160"/>
      <c r="J385" s="12">
        <v>93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/>
      <c r="X385" s="121">
        <f ca="1">+IF($X$4="NA",0,SUM(INDIRECT(+CONCATENATE(+VLOOKUP('2022 Budget &amp; CF'!$X$1,'Data Tables DONT EDIT'!$A$1:$B$15,2,FALSE),+ROW(B385)),TRUE):INDIRECT(+CONCATENATE(+VLOOKUP('2022 Budget &amp; CF'!$X$4,'Data Tables DONT EDIT'!$A$1:$B$15,2,FALSE),+ROW(B385)),TRUE)))</f>
        <v>93</v>
      </c>
      <c r="Y385" s="314">
        <f t="shared" ref="Y385:Y387" ca="1" si="306">IFERROR(X385/Z385,0)</f>
        <v>0.42465753424657532</v>
      </c>
      <c r="Z385" s="115">
        <v>219</v>
      </c>
      <c r="AA385" s="117">
        <v>219</v>
      </c>
      <c r="AB385" s="117">
        <f t="shared" ref="AB385:AB387" si="307">AA385-Z385</f>
        <v>0</v>
      </c>
      <c r="AC385" s="358">
        <f t="shared" ref="AC385:AC387" ca="1" si="308">IFERROR(X385/AA385,0)</f>
        <v>0.42465753424657532</v>
      </c>
      <c r="AF385" s="62"/>
    </row>
    <row r="386" spans="1:32" x14ac:dyDescent="0.2">
      <c r="A386" s="366" t="s">
        <v>1234</v>
      </c>
      <c r="B386" s="157" t="s">
        <v>1058</v>
      </c>
      <c r="C386" s="158">
        <v>100</v>
      </c>
      <c r="D386" s="159" t="s">
        <v>145</v>
      </c>
      <c r="E386" s="159"/>
      <c r="F386" s="158">
        <v>100</v>
      </c>
      <c r="G386" s="158" t="s">
        <v>479</v>
      </c>
      <c r="H386" s="160" t="s">
        <v>281</v>
      </c>
      <c r="I386" s="160"/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/>
      <c r="X386" s="121">
        <f ca="1">+IF($X$4="NA",0,SUM(INDIRECT(+CONCATENATE(+VLOOKUP('2022 Budget &amp; CF'!$X$1,'Data Tables DONT EDIT'!$A$1:$B$15,2,FALSE),+ROW(B386)),TRUE):INDIRECT(+CONCATENATE(+VLOOKUP('2022 Budget &amp; CF'!$X$4,'Data Tables DONT EDIT'!$A$1:$B$15,2,FALSE),+ROW(B386)),TRUE)))</f>
        <v>0</v>
      </c>
      <c r="Y386" s="314">
        <f t="shared" ca="1" si="306"/>
        <v>0</v>
      </c>
      <c r="Z386" s="115">
        <v>119</v>
      </c>
      <c r="AA386" s="117">
        <v>119</v>
      </c>
      <c r="AB386" s="117">
        <f t="shared" si="307"/>
        <v>0</v>
      </c>
      <c r="AC386" s="358">
        <f t="shared" ca="1" si="308"/>
        <v>0</v>
      </c>
      <c r="AF386" s="62"/>
    </row>
    <row r="387" spans="1:32" x14ac:dyDescent="0.2">
      <c r="A387" s="366" t="s">
        <v>1235</v>
      </c>
      <c r="B387" s="157" t="s">
        <v>1058</v>
      </c>
      <c r="C387" s="101" t="s">
        <v>468</v>
      </c>
      <c r="D387" s="104" t="s">
        <v>145</v>
      </c>
      <c r="E387" s="104"/>
      <c r="F387" s="101" t="s">
        <v>468</v>
      </c>
      <c r="G387" s="101" t="s">
        <v>520</v>
      </c>
      <c r="H387" s="103" t="s">
        <v>281</v>
      </c>
      <c r="I387" s="103"/>
      <c r="J387" s="12">
        <v>0</v>
      </c>
      <c r="K387" s="12">
        <v>0</v>
      </c>
      <c r="L387" s="12">
        <v>0</v>
      </c>
      <c r="M387" s="12">
        <v>1355.76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/>
      <c r="X387" s="121">
        <f ca="1">+IF($X$4="NA",0,SUM(INDIRECT(+CONCATENATE(+VLOOKUP('2022 Budget &amp; CF'!$X$1,'Data Tables DONT EDIT'!$A$1:$B$15,2,FALSE),+ROW(B387)),TRUE):INDIRECT(+CONCATENATE(+VLOOKUP('2022 Budget &amp; CF'!$X$4,'Data Tables DONT EDIT'!$A$1:$B$15,2,FALSE),+ROW(B387)),TRUE)))</f>
        <v>1355.76</v>
      </c>
      <c r="Y387" s="314">
        <f t="shared" ca="1" si="306"/>
        <v>0</v>
      </c>
      <c r="Z387" s="115">
        <v>0</v>
      </c>
      <c r="AA387" s="117">
        <v>0</v>
      </c>
      <c r="AB387" s="117">
        <f t="shared" si="307"/>
        <v>0</v>
      </c>
      <c r="AC387" s="358">
        <f t="shared" ca="1" si="308"/>
        <v>0</v>
      </c>
      <c r="AF387" s="62"/>
    </row>
    <row r="388" spans="1:32" x14ac:dyDescent="0.2">
      <c r="A388" s="366" t="s">
        <v>1236</v>
      </c>
      <c r="B388" s="459" t="s">
        <v>228</v>
      </c>
      <c r="C388" s="152"/>
      <c r="D388" s="152"/>
      <c r="E388" s="152"/>
      <c r="F388" s="152"/>
      <c r="G388" s="152"/>
      <c r="H388" s="132"/>
      <c r="I388" s="132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463"/>
      <c r="Z388" s="271"/>
      <c r="AA388" s="271"/>
      <c r="AB388" s="271"/>
      <c r="AC388" s="272"/>
      <c r="AF388" s="62"/>
    </row>
    <row r="389" spans="1:32" x14ac:dyDescent="0.2">
      <c r="A389" s="366" t="s">
        <v>1237</v>
      </c>
      <c r="B389" s="82" t="s">
        <v>285</v>
      </c>
      <c r="C389" s="101">
        <v>100</v>
      </c>
      <c r="D389" s="104" t="s">
        <v>145</v>
      </c>
      <c r="E389" s="104"/>
      <c r="F389" s="101">
        <v>100</v>
      </c>
      <c r="G389" s="101">
        <v>2610</v>
      </c>
      <c r="H389" s="103" t="s">
        <v>281</v>
      </c>
      <c r="I389" s="103"/>
      <c r="J389" s="12">
        <v>118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/>
      <c r="X389" s="121">
        <f ca="1">+IF($X$4="NA",0,SUM(INDIRECT(+CONCATENATE(+VLOOKUP('2022 Budget &amp; CF'!$X$1,'Data Tables DONT EDIT'!$A$1:$B$15,2,FALSE),+ROW(B389)),TRUE):INDIRECT(+CONCATENATE(+VLOOKUP('2022 Budget &amp; CF'!$X$4,'Data Tables DONT EDIT'!$A$1:$B$15,2,FALSE),+ROW(B389)),TRUE)))</f>
        <v>118</v>
      </c>
      <c r="Y389" s="314">
        <f t="shared" ca="1" si="304"/>
        <v>0.49579831932773111</v>
      </c>
      <c r="Z389" s="115">
        <v>238</v>
      </c>
      <c r="AA389" s="117">
        <v>238</v>
      </c>
      <c r="AB389" s="117">
        <f t="shared" si="247"/>
        <v>0</v>
      </c>
      <c r="AC389" s="358">
        <f t="shared" ca="1" si="305"/>
        <v>0.49579831932773111</v>
      </c>
      <c r="AF389" s="62"/>
    </row>
    <row r="390" spans="1:32" x14ac:dyDescent="0.2">
      <c r="A390" s="366" t="s">
        <v>1238</v>
      </c>
      <c r="B390" s="459" t="s">
        <v>996</v>
      </c>
      <c r="C390" s="152"/>
      <c r="D390" s="152"/>
      <c r="E390" s="152"/>
      <c r="F390" s="152"/>
      <c r="G390" s="152"/>
      <c r="H390" s="132"/>
      <c r="I390" s="132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463"/>
      <c r="Z390" s="271"/>
      <c r="AA390" s="271"/>
      <c r="AB390" s="271"/>
      <c r="AC390" s="272"/>
      <c r="AF390" s="62"/>
    </row>
    <row r="391" spans="1:32" x14ac:dyDescent="0.2">
      <c r="A391" s="366" t="s">
        <v>1239</v>
      </c>
      <c r="B391" s="157" t="s">
        <v>995</v>
      </c>
      <c r="C391" s="158">
        <v>100</v>
      </c>
      <c r="D391" s="159" t="s">
        <v>145</v>
      </c>
      <c r="E391" s="159"/>
      <c r="F391" s="158">
        <v>100</v>
      </c>
      <c r="G391" s="158">
        <v>4600</v>
      </c>
      <c r="H391" s="160" t="s">
        <v>281</v>
      </c>
      <c r="I391" s="160"/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/>
      <c r="X391" s="121">
        <f ca="1">+IF($X$4="NA",0,SUM(INDIRECT(+CONCATENATE(+VLOOKUP('2022 Budget &amp; CF'!$X$1,'Data Tables DONT EDIT'!$A$1:$B$15,2,FALSE),+ROW(B391)),TRUE):INDIRECT(+CONCATENATE(+VLOOKUP('2022 Budget &amp; CF'!$X$4,'Data Tables DONT EDIT'!$A$1:$B$15,2,FALSE),+ROW(B391)),TRUE)))</f>
        <v>0</v>
      </c>
      <c r="Y391" s="314">
        <f t="shared" ref="Y391" ca="1" si="309">IFERROR(X391/Z391,0)</f>
        <v>0</v>
      </c>
      <c r="Z391" s="115">
        <v>3910</v>
      </c>
      <c r="AA391" s="117">
        <v>3910</v>
      </c>
      <c r="AB391" s="117">
        <f t="shared" ref="AB391" si="310">AA391-Z391</f>
        <v>0</v>
      </c>
      <c r="AC391" s="358">
        <f t="shared" ref="AC391" ca="1" si="311">IFERROR(X391/AA391,0)</f>
        <v>0</v>
      </c>
      <c r="AF391" s="62"/>
    </row>
    <row r="392" spans="1:32" x14ac:dyDescent="0.2">
      <c r="A392" s="366" t="s">
        <v>1240</v>
      </c>
      <c r="B392" s="459" t="s">
        <v>1133</v>
      </c>
      <c r="C392" s="152"/>
      <c r="D392" s="152"/>
      <c r="E392" s="152"/>
      <c r="F392" s="152"/>
      <c r="G392" s="152"/>
      <c r="H392" s="132"/>
      <c r="I392" s="132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463"/>
      <c r="Z392" s="271"/>
      <c r="AA392" s="271"/>
      <c r="AB392" s="271"/>
      <c r="AC392" s="272"/>
      <c r="AF392" s="62"/>
    </row>
    <row r="393" spans="1:32" x14ac:dyDescent="0.2">
      <c r="A393" s="366" t="s">
        <v>1241</v>
      </c>
      <c r="B393" s="157" t="s">
        <v>1134</v>
      </c>
      <c r="C393" s="158">
        <v>100</v>
      </c>
      <c r="D393" s="159" t="s">
        <v>145</v>
      </c>
      <c r="E393" s="159"/>
      <c r="F393" s="160" t="s">
        <v>145</v>
      </c>
      <c r="G393" s="158">
        <v>6200</v>
      </c>
      <c r="H393" s="160" t="s">
        <v>1135</v>
      </c>
      <c r="I393" s="160"/>
      <c r="J393" s="12">
        <v>0</v>
      </c>
      <c r="K393" s="12">
        <v>0</v>
      </c>
      <c r="L393" s="12">
        <v>0</v>
      </c>
      <c r="M393" s="12">
        <v>0</v>
      </c>
      <c r="N393" s="12">
        <v>1559311.38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/>
      <c r="X393" s="121">
        <f ca="1">+IF($X$4="NA",0,SUM(INDIRECT(+CONCATENATE(+VLOOKUP('2022 Budget &amp; CF'!$X$1,'Data Tables DONT EDIT'!$A$1:$B$15,2,FALSE),+ROW(B393)),TRUE):INDIRECT(+CONCATENATE(+VLOOKUP('2022 Budget &amp; CF'!$X$4,'Data Tables DONT EDIT'!$A$1:$B$15,2,FALSE),+ROW(B393)),TRUE)))</f>
        <v>1559311.38</v>
      </c>
      <c r="Y393" s="314">
        <f t="shared" ref="Y393" ca="1" si="312">IFERROR(X393/Z393,0)</f>
        <v>0</v>
      </c>
      <c r="Z393" s="115">
        <v>0</v>
      </c>
      <c r="AA393" s="117">
        <v>1559311</v>
      </c>
      <c r="AB393" s="117">
        <f t="shared" ref="AB393" si="313">AA393-Z393</f>
        <v>1559311</v>
      </c>
      <c r="AC393" s="358">
        <f t="shared" ref="AC393" ca="1" si="314">IFERROR(X393/AA393,0)</f>
        <v>1.0000002436973765</v>
      </c>
      <c r="AF393" s="62"/>
    </row>
    <row r="394" spans="1:32" x14ac:dyDescent="0.2">
      <c r="A394" s="366" t="s">
        <v>1242</v>
      </c>
      <c r="B394" s="142" t="s">
        <v>1270</v>
      </c>
      <c r="C394" s="101">
        <v>100</v>
      </c>
      <c r="D394" s="104" t="s">
        <v>145</v>
      </c>
      <c r="E394" s="104"/>
      <c r="F394" s="101">
        <v>100</v>
      </c>
      <c r="G394" s="101">
        <v>6300</v>
      </c>
      <c r="H394" s="145" t="s">
        <v>1271</v>
      </c>
      <c r="I394" s="145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1"/>
      <c r="Y394" s="314"/>
      <c r="Z394" s="115">
        <v>0</v>
      </c>
      <c r="AA394" s="117">
        <v>0</v>
      </c>
      <c r="AB394" s="117">
        <f t="shared" ref="AB394" si="315">AA394-Z394</f>
        <v>0</v>
      </c>
      <c r="AC394" s="358">
        <f t="shared" ref="AC394" si="316">IFERROR(X394/AA394,0)</f>
        <v>0</v>
      </c>
      <c r="AF394" s="62"/>
    </row>
    <row r="395" spans="1:32" x14ac:dyDescent="0.2">
      <c r="A395" s="366" t="s">
        <v>1243</v>
      </c>
      <c r="B395" s="461" t="s">
        <v>512</v>
      </c>
      <c r="C395" s="152"/>
      <c r="D395" s="152"/>
      <c r="E395" s="152"/>
      <c r="F395" s="152"/>
      <c r="G395" s="152"/>
      <c r="H395" s="132"/>
      <c r="I395" s="132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463"/>
      <c r="Z395" s="271"/>
      <c r="AA395" s="271"/>
      <c r="AB395" s="271"/>
      <c r="AC395" s="272"/>
      <c r="AF395" s="62"/>
    </row>
    <row r="396" spans="1:32" x14ac:dyDescent="0.2">
      <c r="A396" s="366" t="s">
        <v>1244</v>
      </c>
      <c r="B396" s="82" t="s">
        <v>515</v>
      </c>
      <c r="C396" s="101">
        <v>240</v>
      </c>
      <c r="D396" s="104" t="s">
        <v>472</v>
      </c>
      <c r="E396" s="104"/>
      <c r="F396" s="101">
        <v>100</v>
      </c>
      <c r="G396" s="101">
        <v>2400</v>
      </c>
      <c r="H396" s="103" t="s">
        <v>288</v>
      </c>
      <c r="I396" s="103"/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/>
      <c r="X396" s="121">
        <f ca="1">+IF($X$4="NA",0,SUM(INDIRECT(+CONCATENATE(+VLOOKUP('2022 Budget &amp; CF'!$X$1,'Data Tables DONT EDIT'!$A$1:$B$15,2,FALSE),+ROW(B396)),TRUE):INDIRECT(+CONCATENATE(+VLOOKUP('2022 Budget &amp; CF'!$X$4,'Data Tables DONT EDIT'!$A$1:$B$15,2,FALSE),+ROW(B396)),TRUE)))</f>
        <v>0</v>
      </c>
      <c r="Y396" s="314">
        <f t="shared" ca="1" si="304"/>
        <v>0</v>
      </c>
      <c r="Z396" s="115">
        <v>0</v>
      </c>
      <c r="AA396" s="117">
        <v>0</v>
      </c>
      <c r="AB396" s="117">
        <f t="shared" ref="AB396" si="317">AA396-Z396</f>
        <v>0</v>
      </c>
      <c r="AC396" s="358">
        <f t="shared" ca="1" si="305"/>
        <v>0</v>
      </c>
      <c r="AF396" s="62"/>
    </row>
    <row r="397" spans="1:32" x14ac:dyDescent="0.2">
      <c r="A397" s="366" t="s">
        <v>1245</v>
      </c>
      <c r="B397" s="461" t="s">
        <v>42</v>
      </c>
      <c r="C397" s="152"/>
      <c r="D397" s="152"/>
      <c r="E397" s="152"/>
      <c r="F397" s="152"/>
      <c r="G397" s="152"/>
      <c r="H397" s="132"/>
      <c r="I397" s="132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463"/>
      <c r="Z397" s="271"/>
      <c r="AA397" s="271"/>
      <c r="AB397" s="271"/>
      <c r="AC397" s="272"/>
      <c r="AF397" s="62"/>
    </row>
    <row r="398" spans="1:32" x14ac:dyDescent="0.2">
      <c r="A398" s="366" t="s">
        <v>1246</v>
      </c>
      <c r="B398" s="82" t="s">
        <v>1058</v>
      </c>
      <c r="C398" s="101">
        <v>250</v>
      </c>
      <c r="D398" s="104" t="s">
        <v>132</v>
      </c>
      <c r="E398" s="104"/>
      <c r="F398" s="101">
        <v>200</v>
      </c>
      <c r="G398" s="101">
        <v>2140</v>
      </c>
      <c r="H398" s="103" t="s">
        <v>281</v>
      </c>
      <c r="I398" s="103"/>
      <c r="J398" s="12">
        <v>67.959999999999994</v>
      </c>
      <c r="K398" s="12">
        <v>0</v>
      </c>
      <c r="L398" s="12">
        <v>0</v>
      </c>
      <c r="M398" s="12">
        <v>1355.76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/>
      <c r="X398" s="121">
        <f ca="1">+IF($X$4="NA",0,SUM(INDIRECT(+CONCATENATE(+VLOOKUP('2022 Budget &amp; CF'!$X$1,'Data Tables DONT EDIT'!$A$1:$B$15,2,FALSE),+ROW(B398)),TRUE):INDIRECT(+CONCATENATE(+VLOOKUP('2022 Budget &amp; CF'!$X$4,'Data Tables DONT EDIT'!$A$1:$B$15,2,FALSE),+ROW(B398)),TRUE)))</f>
        <v>1423.72</v>
      </c>
      <c r="Y398" s="314">
        <f t="shared" ref="Y398" ca="1" si="318">IFERROR(X398/Z398,0)</f>
        <v>0</v>
      </c>
      <c r="Z398" s="115">
        <v>0</v>
      </c>
      <c r="AA398" s="117">
        <v>0</v>
      </c>
      <c r="AB398" s="117">
        <f t="shared" ref="AB398" si="319">AA398-Z398</f>
        <v>0</v>
      </c>
      <c r="AC398" s="358">
        <f t="shared" ref="AC398" ca="1" si="320">IFERROR(X398/AA398,0)</f>
        <v>0</v>
      </c>
      <c r="AF398" s="62"/>
    </row>
    <row r="399" spans="1:32" x14ac:dyDescent="0.2">
      <c r="A399" s="366" t="s">
        <v>1247</v>
      </c>
      <c r="B399" s="82" t="s">
        <v>1058</v>
      </c>
      <c r="C399" s="101">
        <v>250</v>
      </c>
      <c r="D399" s="104" t="s">
        <v>132</v>
      </c>
      <c r="E399" s="104"/>
      <c r="F399" s="101">
        <v>200</v>
      </c>
      <c r="G399" s="101">
        <v>2585</v>
      </c>
      <c r="H399" s="103" t="s">
        <v>281</v>
      </c>
      <c r="I399" s="103"/>
      <c r="J399" s="12">
        <v>0</v>
      </c>
      <c r="K399" s="12">
        <v>0</v>
      </c>
      <c r="L399" s="12">
        <v>177.25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/>
      <c r="X399" s="121">
        <f ca="1">+IF($X$4="NA",0,SUM(INDIRECT(+CONCATENATE(+VLOOKUP('2022 Budget &amp; CF'!$X$1,'Data Tables DONT EDIT'!$A$1:$B$15,2,FALSE),+ROW(B399)),TRUE):INDIRECT(+CONCATENATE(+VLOOKUP('2022 Budget &amp; CF'!$X$4,'Data Tables DONT EDIT'!$A$1:$B$15,2,FALSE),+ROW(B399)),TRUE)))</f>
        <v>177.25</v>
      </c>
      <c r="Y399" s="314">
        <f t="shared" ref="Y399" ca="1" si="321">IFERROR(X399/Z399,0)</f>
        <v>0</v>
      </c>
      <c r="Z399" s="115">
        <v>0</v>
      </c>
      <c r="AA399" s="117">
        <v>0</v>
      </c>
      <c r="AB399" s="117">
        <f t="shared" ref="AB399" si="322">AA399-Z399</f>
        <v>0</v>
      </c>
      <c r="AC399" s="358">
        <f t="shared" ref="AC399" ca="1" si="323">IFERROR(X399/AA399,0)</f>
        <v>0</v>
      </c>
      <c r="AF399" s="62"/>
    </row>
    <row r="400" spans="1:32" x14ac:dyDescent="0.2">
      <c r="A400" s="366" t="s">
        <v>1248</v>
      </c>
      <c r="B400" s="461" t="s">
        <v>548</v>
      </c>
      <c r="C400" s="152"/>
      <c r="D400" s="152"/>
      <c r="E400" s="152"/>
      <c r="F400" s="152"/>
      <c r="G400" s="152"/>
      <c r="H400" s="132"/>
      <c r="I400" s="132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463"/>
      <c r="Z400" s="271"/>
      <c r="AA400" s="271"/>
      <c r="AB400" s="271"/>
      <c r="AC400" s="272"/>
      <c r="AF400" s="62"/>
    </row>
    <row r="401" spans="1:32" x14ac:dyDescent="0.2">
      <c r="A401" s="366" t="s">
        <v>1249</v>
      </c>
      <c r="B401" s="82" t="s">
        <v>553</v>
      </c>
      <c r="C401" s="101">
        <v>279</v>
      </c>
      <c r="D401" s="104" t="s">
        <v>145</v>
      </c>
      <c r="E401" s="104"/>
      <c r="F401" s="101">
        <v>910</v>
      </c>
      <c r="G401" s="101">
        <v>6000</v>
      </c>
      <c r="H401" s="103" t="s">
        <v>554</v>
      </c>
      <c r="I401" s="103"/>
      <c r="J401" s="12">
        <v>41.81</v>
      </c>
      <c r="K401" s="12">
        <f>372.13+8</f>
        <v>380.13</v>
      </c>
      <c r="L401" s="12">
        <v>297.95</v>
      </c>
      <c r="M401" s="12">
        <v>292.35000000000002</v>
      </c>
      <c r="N401" s="12">
        <v>54.5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/>
      <c r="X401" s="121">
        <f ca="1">+IF($X$4="NA",0,SUM(INDIRECT(+CONCATENATE(+VLOOKUP('2022 Budget &amp; CF'!$X$1,'Data Tables DONT EDIT'!$A$1:$B$15,2,FALSE),+ROW(B401)),TRUE):INDIRECT(+CONCATENATE(+VLOOKUP('2022 Budget &amp; CF'!$X$4,'Data Tables DONT EDIT'!$A$1:$B$15,2,FALSE),+ROW(B401)),TRUE)))</f>
        <v>1066.74</v>
      </c>
      <c r="Y401" s="314">
        <f t="shared" ca="1" si="304"/>
        <v>0.44577517760133722</v>
      </c>
      <c r="Z401" s="115">
        <v>2393</v>
      </c>
      <c r="AA401" s="117">
        <v>2393</v>
      </c>
      <c r="AB401" s="117">
        <f>AA401-Z401</f>
        <v>0</v>
      </c>
      <c r="AC401" s="358">
        <f t="shared" ca="1" si="305"/>
        <v>0.44577517760133722</v>
      </c>
      <c r="AF401" s="62"/>
    </row>
    <row r="402" spans="1:32" x14ac:dyDescent="0.2">
      <c r="A402" s="366" t="s">
        <v>472</v>
      </c>
      <c r="B402" s="461" t="s">
        <v>1041</v>
      </c>
      <c r="C402" s="152"/>
      <c r="D402" s="152"/>
      <c r="E402" s="152"/>
      <c r="F402" s="152"/>
      <c r="G402" s="152"/>
      <c r="H402" s="132"/>
      <c r="I402" s="132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463"/>
      <c r="Z402" s="271"/>
      <c r="AA402" s="271"/>
      <c r="AB402" s="271"/>
      <c r="AC402" s="272"/>
      <c r="AF402" s="62"/>
    </row>
    <row r="403" spans="1:32" x14ac:dyDescent="0.2">
      <c r="A403" s="366" t="s">
        <v>1250</v>
      </c>
      <c r="B403" s="157" t="s">
        <v>1058</v>
      </c>
      <c r="C403" s="101">
        <v>280</v>
      </c>
      <c r="D403" s="104" t="s">
        <v>1042</v>
      </c>
      <c r="E403" s="104"/>
      <c r="F403" s="101">
        <v>100</v>
      </c>
      <c r="G403" s="101">
        <v>2213</v>
      </c>
      <c r="H403" s="160" t="s">
        <v>281</v>
      </c>
      <c r="I403" s="103"/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/>
      <c r="X403" s="121">
        <f ca="1">+IF($X$4="NA",0,SUM(INDIRECT(+CONCATENATE(+VLOOKUP('2022 Budget &amp; CF'!$X$1,'Data Tables DONT EDIT'!$A$1:$B$15,2,FALSE),+ROW(B403)),TRUE):INDIRECT(+CONCATENATE(+VLOOKUP('2022 Budget &amp; CF'!$X$4,'Data Tables DONT EDIT'!$A$1:$B$15,2,FALSE),+ROW(B403)),TRUE)))</f>
        <v>0</v>
      </c>
      <c r="Y403" s="314">
        <f t="shared" ref="Y403" ca="1" si="324">IFERROR(X403/Z403,0)</f>
        <v>0</v>
      </c>
      <c r="Z403" s="115">
        <v>500</v>
      </c>
      <c r="AA403" s="117">
        <v>500</v>
      </c>
      <c r="AB403" s="117">
        <f t="shared" ref="AB403" si="325">AA403-Z403</f>
        <v>0</v>
      </c>
      <c r="AC403" s="358">
        <f t="shared" ref="AC403" ca="1" si="326">IFERROR(X403/AA403,0)</f>
        <v>0</v>
      </c>
      <c r="AF403" s="62"/>
    </row>
    <row r="404" spans="1:32" x14ac:dyDescent="0.2">
      <c r="A404" s="366" t="s">
        <v>1251</v>
      </c>
      <c r="B404" s="461" t="s">
        <v>277</v>
      </c>
      <c r="C404" s="152"/>
      <c r="D404" s="152"/>
      <c r="E404" s="152"/>
      <c r="F404" s="152"/>
      <c r="G404" s="152"/>
      <c r="H404" s="132"/>
      <c r="I404" s="132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463"/>
      <c r="Z404" s="271"/>
      <c r="AA404" s="271"/>
      <c r="AB404" s="271"/>
      <c r="AC404" s="272"/>
      <c r="AF404" s="62"/>
    </row>
    <row r="405" spans="1:32" x14ac:dyDescent="0.2">
      <c r="A405" s="366" t="s">
        <v>1252</v>
      </c>
      <c r="B405" s="82" t="s">
        <v>286</v>
      </c>
      <c r="C405" s="101">
        <v>280</v>
      </c>
      <c r="D405" s="406" t="s">
        <v>249</v>
      </c>
      <c r="E405" s="104"/>
      <c r="F405" s="101">
        <v>100</v>
      </c>
      <c r="G405" s="101">
        <v>2213</v>
      </c>
      <c r="H405" s="103" t="s">
        <v>281</v>
      </c>
      <c r="I405" s="103"/>
      <c r="J405" s="12">
        <v>0</v>
      </c>
      <c r="K405" s="12">
        <v>1199</v>
      </c>
      <c r="L405" s="12">
        <v>-1199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/>
      <c r="X405" s="121">
        <f ca="1">+IF($X$4="NA",0,SUM(INDIRECT(+CONCATENATE(+VLOOKUP('2022 Budget &amp; CF'!$X$1,'Data Tables DONT EDIT'!$A$1:$B$15,2,FALSE),+ROW(B405)),TRUE):INDIRECT(+CONCATENATE(+VLOOKUP('2022 Budget &amp; CF'!$X$4,'Data Tables DONT EDIT'!$A$1:$B$15,2,FALSE),+ROW(B405)),TRUE)))</f>
        <v>0</v>
      </c>
      <c r="Y405" s="314">
        <f t="shared" ca="1" si="304"/>
        <v>0</v>
      </c>
      <c r="Z405" s="115">
        <v>0</v>
      </c>
      <c r="AA405" s="117">
        <v>0</v>
      </c>
      <c r="AB405" s="117">
        <f t="shared" ref="AB405" si="327">AA405-Z405</f>
        <v>0</v>
      </c>
      <c r="AC405" s="358">
        <f t="shared" ca="1" si="305"/>
        <v>0</v>
      </c>
      <c r="AF405" s="62"/>
    </row>
    <row r="406" spans="1:32" x14ac:dyDescent="0.2">
      <c r="A406" s="366" t="s">
        <v>1253</v>
      </c>
      <c r="B406" s="461" t="s">
        <v>277</v>
      </c>
      <c r="C406" s="152"/>
      <c r="D406" s="152"/>
      <c r="E406" s="152"/>
      <c r="F406" s="152"/>
      <c r="G406" s="152"/>
      <c r="H406" s="132"/>
      <c r="I406" s="132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463"/>
      <c r="Z406" s="271"/>
      <c r="AA406" s="271"/>
      <c r="AB406" s="271"/>
      <c r="AC406" s="272"/>
      <c r="AF406" s="62"/>
    </row>
    <row r="407" spans="1:32" x14ac:dyDescent="0.2">
      <c r="A407" s="366" t="s">
        <v>1254</v>
      </c>
      <c r="B407" s="142" t="s">
        <v>282</v>
      </c>
      <c r="C407" s="143">
        <v>280</v>
      </c>
      <c r="D407" s="144" t="s">
        <v>552</v>
      </c>
      <c r="E407" s="144"/>
      <c r="F407" s="143">
        <v>100</v>
      </c>
      <c r="G407" s="143">
        <v>2213</v>
      </c>
      <c r="H407" s="145" t="s">
        <v>281</v>
      </c>
      <c r="I407" s="145"/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/>
      <c r="X407" s="121">
        <f ca="1">+IF($X$4="NA",0,SUM(INDIRECT(+CONCATENATE(+VLOOKUP('2022 Budget &amp; CF'!$X$1,'Data Tables DONT EDIT'!$A$1:$B$15,2,FALSE),+ROW(B407)),TRUE):INDIRECT(+CONCATENATE(+VLOOKUP('2022 Budget &amp; CF'!$X$4,'Data Tables DONT EDIT'!$A$1:$B$15,2,FALSE),+ROW(B407)),TRUE)))</f>
        <v>0</v>
      </c>
      <c r="Y407" s="314">
        <f t="shared" ca="1" si="304"/>
        <v>0</v>
      </c>
      <c r="Z407" s="115">
        <v>0</v>
      </c>
      <c r="AA407" s="117">
        <v>0</v>
      </c>
      <c r="AB407" s="117">
        <f t="shared" ref="AB407" si="328">AA407-Z407</f>
        <v>0</v>
      </c>
      <c r="AC407" s="358">
        <f t="shared" ca="1" si="305"/>
        <v>0</v>
      </c>
      <c r="AF407" s="62"/>
    </row>
    <row r="408" spans="1:32" x14ac:dyDescent="0.2">
      <c r="A408" s="366" t="s">
        <v>1255</v>
      </c>
      <c r="B408" s="461" t="s">
        <v>1059</v>
      </c>
      <c r="C408" s="152"/>
      <c r="D408" s="152"/>
      <c r="E408" s="152"/>
      <c r="F408" s="152"/>
      <c r="G408" s="152"/>
      <c r="H408" s="132"/>
      <c r="I408" s="132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463"/>
      <c r="Z408" s="271"/>
      <c r="AA408" s="271"/>
      <c r="AB408" s="271"/>
      <c r="AC408" s="272"/>
      <c r="AF408" s="62"/>
    </row>
    <row r="409" spans="1:32" x14ac:dyDescent="0.2">
      <c r="A409" s="366" t="s">
        <v>1256</v>
      </c>
      <c r="B409" s="157" t="s">
        <v>1058</v>
      </c>
      <c r="C409" s="101">
        <v>280</v>
      </c>
      <c r="D409" s="104" t="s">
        <v>1033</v>
      </c>
      <c r="E409" s="104"/>
      <c r="F409" s="101">
        <v>100</v>
      </c>
      <c r="G409" s="101">
        <v>2213</v>
      </c>
      <c r="H409" s="160" t="s">
        <v>281</v>
      </c>
      <c r="I409" s="103"/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/>
      <c r="X409" s="121">
        <f ca="1">+IF($X$4="NA",0,SUM(INDIRECT(+CONCATENATE(+VLOOKUP('2022 Budget &amp; CF'!$X$1,'Data Tables DONT EDIT'!$A$1:$B$15,2,FALSE),+ROW(B409)),TRUE):INDIRECT(+CONCATENATE(+VLOOKUP('2022 Budget &amp; CF'!$X$4,'Data Tables DONT EDIT'!$A$1:$B$15,2,FALSE),+ROW(B409)),TRUE)))</f>
        <v>0</v>
      </c>
      <c r="Y409" s="314">
        <f t="shared" ref="Y409" ca="1" si="329">IFERROR(X409/Z409,0)</f>
        <v>0</v>
      </c>
      <c r="Z409" s="115">
        <v>2368</v>
      </c>
      <c r="AA409" s="117">
        <v>2368</v>
      </c>
      <c r="AB409" s="117">
        <f t="shared" ref="AB409" si="330">AA409-Z409</f>
        <v>0</v>
      </c>
      <c r="AC409" s="358">
        <f t="shared" ca="1" si="305"/>
        <v>0</v>
      </c>
      <c r="AF409" s="62"/>
    </row>
    <row r="410" spans="1:32" x14ac:dyDescent="0.2">
      <c r="A410" s="366" t="s">
        <v>1257</v>
      </c>
      <c r="B410" s="461" t="s">
        <v>1307</v>
      </c>
      <c r="C410" s="152"/>
      <c r="D410" s="152"/>
      <c r="E410" s="152"/>
      <c r="F410" s="152"/>
      <c r="G410" s="152"/>
      <c r="H410" s="132"/>
      <c r="I410" s="132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463"/>
      <c r="Z410" s="271"/>
      <c r="AA410" s="271"/>
      <c r="AB410" s="271"/>
      <c r="AC410" s="272"/>
      <c r="AF410" s="62"/>
    </row>
    <row r="411" spans="1:32" x14ac:dyDescent="0.2">
      <c r="A411" s="366" t="s">
        <v>1258</v>
      </c>
      <c r="B411" s="82" t="s">
        <v>1308</v>
      </c>
      <c r="C411" s="101">
        <v>300</v>
      </c>
      <c r="D411" s="104" t="s">
        <v>145</v>
      </c>
      <c r="E411" s="104"/>
      <c r="F411" s="101">
        <v>100</v>
      </c>
      <c r="G411" s="101">
        <v>6200</v>
      </c>
      <c r="H411" s="103" t="s">
        <v>1135</v>
      </c>
      <c r="I411" s="103"/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/>
      <c r="X411" s="121">
        <f ca="1">+IF($X$4="NA",0,SUM(INDIRECT(+CONCATENATE(+VLOOKUP('2022 Budget &amp; CF'!$X$1,'Data Tables DONT EDIT'!$A$1:$B$15,2,FALSE),+ROW(B411)),TRUE):INDIRECT(+CONCATENATE(+VLOOKUP('2022 Budget &amp; CF'!$X$4,'Data Tables DONT EDIT'!$A$1:$B$15,2,FALSE),+ROW(B411)),TRUE)))</f>
        <v>0</v>
      </c>
      <c r="Y411" s="314">
        <f t="shared" ref="Y411" ca="1" si="331">IFERROR(X411/Z411,0)</f>
        <v>0</v>
      </c>
      <c r="Z411" s="115"/>
      <c r="AA411" s="117"/>
      <c r="AB411" s="117">
        <f t="shared" ref="AB411" si="332">AA411-Z411</f>
        <v>0</v>
      </c>
      <c r="AC411" s="358">
        <f t="shared" ref="AC411" ca="1" si="333">IFERROR(X411/AA411,0)</f>
        <v>0</v>
      </c>
      <c r="AF411" s="62"/>
    </row>
    <row r="412" spans="1:32" x14ac:dyDescent="0.2">
      <c r="A412" s="366" t="s">
        <v>1257</v>
      </c>
      <c r="B412" s="461" t="s">
        <v>801</v>
      </c>
      <c r="C412" s="152"/>
      <c r="D412" s="152"/>
      <c r="E412" s="152"/>
      <c r="F412" s="152"/>
      <c r="G412" s="152"/>
      <c r="H412" s="132"/>
      <c r="I412" s="132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463"/>
      <c r="Z412" s="271"/>
      <c r="AA412" s="271"/>
      <c r="AB412" s="271"/>
      <c r="AC412" s="272"/>
      <c r="AF412" s="62"/>
    </row>
    <row r="413" spans="1:32" x14ac:dyDescent="0.2">
      <c r="A413" s="366" t="s">
        <v>1258</v>
      </c>
      <c r="B413" s="82" t="s">
        <v>802</v>
      </c>
      <c r="C413" s="101">
        <v>400</v>
      </c>
      <c r="D413" s="104" t="s">
        <v>145</v>
      </c>
      <c r="E413" s="104"/>
      <c r="F413" s="101">
        <v>100</v>
      </c>
      <c r="G413" s="101">
        <v>5000</v>
      </c>
      <c r="H413" s="103" t="s">
        <v>803</v>
      </c>
      <c r="I413" s="103"/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/>
      <c r="X413" s="121">
        <f ca="1">+IF($X$4="NA",0,SUM(INDIRECT(+CONCATENATE(+VLOOKUP('2022 Budget &amp; CF'!$X$1,'Data Tables DONT EDIT'!$A$1:$B$15,2,FALSE),+ROW(B413)),TRUE):INDIRECT(+CONCATENATE(+VLOOKUP('2022 Budget &amp; CF'!$X$4,'Data Tables DONT EDIT'!$A$1:$B$15,2,FALSE),+ROW(B413)),TRUE)))</f>
        <v>0</v>
      </c>
      <c r="Y413" s="314">
        <f t="shared" ca="1" si="304"/>
        <v>0</v>
      </c>
      <c r="Z413" s="115">
        <v>149903</v>
      </c>
      <c r="AA413" s="117">
        <v>45943</v>
      </c>
      <c r="AB413" s="117">
        <f t="shared" ref="AB413" si="334">AA413-Z413</f>
        <v>-103960</v>
      </c>
      <c r="AC413" s="358">
        <f t="shared" ca="1" si="305"/>
        <v>0</v>
      </c>
      <c r="AF413" s="62"/>
    </row>
    <row r="414" spans="1:32" ht="15" x14ac:dyDescent="0.25">
      <c r="A414" s="366" t="s">
        <v>1259</v>
      </c>
      <c r="B414" s="208" t="s">
        <v>289</v>
      </c>
      <c r="C414" s="161"/>
      <c r="D414" s="162"/>
      <c r="E414" s="162"/>
      <c r="F414" s="161"/>
      <c r="G414" s="161"/>
      <c r="H414" s="161"/>
      <c r="I414" s="161"/>
      <c r="J414" s="130">
        <f t="shared" ref="J414:V414" si="335">SUM(J376:J413)</f>
        <v>3534.77</v>
      </c>
      <c r="K414" s="130">
        <f t="shared" si="335"/>
        <v>3657.13</v>
      </c>
      <c r="L414" s="130">
        <f t="shared" si="335"/>
        <v>-496.66000000000008</v>
      </c>
      <c r="M414" s="130">
        <f t="shared" si="335"/>
        <v>3003.87</v>
      </c>
      <c r="N414" s="130">
        <f t="shared" si="335"/>
        <v>1559539.88</v>
      </c>
      <c r="O414" s="130">
        <f t="shared" si="335"/>
        <v>0</v>
      </c>
      <c r="P414" s="130">
        <f t="shared" si="335"/>
        <v>0</v>
      </c>
      <c r="Q414" s="130">
        <f t="shared" si="335"/>
        <v>0</v>
      </c>
      <c r="R414" s="130">
        <f t="shared" si="335"/>
        <v>0</v>
      </c>
      <c r="S414" s="130">
        <f t="shared" si="335"/>
        <v>0</v>
      </c>
      <c r="T414" s="130">
        <f t="shared" si="335"/>
        <v>0</v>
      </c>
      <c r="U414" s="130">
        <f t="shared" si="335"/>
        <v>0</v>
      </c>
      <c r="V414" s="130">
        <f t="shared" si="335"/>
        <v>0</v>
      </c>
      <c r="W414" s="130"/>
      <c r="X414" s="304">
        <f ca="1">SUM(X376:X413)</f>
        <v>1569238.9899999998</v>
      </c>
      <c r="Y414" s="319">
        <f t="shared" ca="1" si="304"/>
        <v>9.6190892986306054</v>
      </c>
      <c r="Z414" s="304">
        <f>SUM(Z376:Z413)</f>
        <v>163138</v>
      </c>
      <c r="AA414" s="304">
        <f>SUM(AA376:AA413)</f>
        <v>1618489</v>
      </c>
      <c r="AB414" s="304">
        <f t="shared" si="247"/>
        <v>1455351</v>
      </c>
      <c r="AC414" s="319">
        <f t="shared" ca="1" si="305"/>
        <v>0.96957037706156779</v>
      </c>
      <c r="AF414" s="62"/>
    </row>
    <row r="415" spans="1:32" x14ac:dyDescent="0.2">
      <c r="A415" s="366" t="s">
        <v>1272</v>
      </c>
      <c r="B415" s="209" t="s">
        <v>290</v>
      </c>
      <c r="C415" s="163"/>
      <c r="D415" s="163"/>
      <c r="E415" s="163"/>
      <c r="F415" s="164"/>
      <c r="G415" s="164"/>
      <c r="H415" s="163"/>
      <c r="I415" s="163"/>
      <c r="J415" s="13">
        <f t="shared" ref="J415:V415" si="336">SUM(J414,J374,J369,J283,J172)</f>
        <v>259405.96000000002</v>
      </c>
      <c r="K415" s="13">
        <f t="shared" si="336"/>
        <v>463925.65999999992</v>
      </c>
      <c r="L415" s="13">
        <f t="shared" si="336"/>
        <v>608685.52</v>
      </c>
      <c r="M415" s="13">
        <f t="shared" si="336"/>
        <v>460813.31999999995</v>
      </c>
      <c r="N415" s="13">
        <f t="shared" si="336"/>
        <v>1921588.54</v>
      </c>
      <c r="O415" s="13">
        <f t="shared" si="336"/>
        <v>0</v>
      </c>
      <c r="P415" s="13">
        <f t="shared" si="336"/>
        <v>0</v>
      </c>
      <c r="Q415" s="13">
        <f t="shared" si="336"/>
        <v>0</v>
      </c>
      <c r="R415" s="13">
        <f t="shared" si="336"/>
        <v>0</v>
      </c>
      <c r="S415" s="13">
        <f t="shared" si="336"/>
        <v>0</v>
      </c>
      <c r="T415" s="13">
        <f t="shared" si="336"/>
        <v>0</v>
      </c>
      <c r="U415" s="13">
        <f t="shared" si="336"/>
        <v>0</v>
      </c>
      <c r="V415" s="13">
        <f t="shared" si="336"/>
        <v>0</v>
      </c>
      <c r="W415" s="13"/>
      <c r="X415" s="309">
        <f ca="1">SUM(X414,X374,X369,X283,X172)</f>
        <v>3714418.9999999995</v>
      </c>
      <c r="Y415" s="361">
        <f t="shared" ca="1" si="304"/>
        <v>0.71140280315479398</v>
      </c>
      <c r="Z415" s="309">
        <f>SUM(Z414,Z374,Z369,Z283,Z172)</f>
        <v>5221260</v>
      </c>
      <c r="AA415" s="309">
        <f>SUM(AA414,AA374,AA369,AA283,AA172)</f>
        <v>6521446</v>
      </c>
      <c r="AB415" s="309">
        <f>SUM(AB414,AB374,AB369,AB283,AB172)</f>
        <v>1374047</v>
      </c>
      <c r="AC415" s="361">
        <f t="shared" ca="1" si="305"/>
        <v>0.56956984693272006</v>
      </c>
      <c r="AF415" s="62"/>
    </row>
    <row r="416" spans="1:32" ht="13.5" thickBot="1" x14ac:dyDescent="0.25">
      <c r="A416" s="366" t="s">
        <v>1273</v>
      </c>
      <c r="B416" s="210" t="s">
        <v>291</v>
      </c>
      <c r="C416" s="165"/>
      <c r="D416" s="165"/>
      <c r="E416" s="165"/>
      <c r="F416" s="166"/>
      <c r="G416" s="167"/>
      <c r="H416" s="165"/>
      <c r="I416" s="165"/>
      <c r="J416" s="168">
        <f t="shared" ref="J416:V416" si="337">J53-J415</f>
        <v>169370.74</v>
      </c>
      <c r="K416" s="168">
        <f t="shared" si="337"/>
        <v>-467803.04999999993</v>
      </c>
      <c r="L416" s="168">
        <f t="shared" si="337"/>
        <v>-379963.63</v>
      </c>
      <c r="M416" s="168">
        <f t="shared" si="337"/>
        <v>-27702.759999999951</v>
      </c>
      <c r="N416" s="168">
        <f t="shared" si="337"/>
        <v>42964.719999999972</v>
      </c>
      <c r="O416" s="168">
        <f t="shared" si="337"/>
        <v>0</v>
      </c>
      <c r="P416" s="168">
        <f t="shared" si="337"/>
        <v>0</v>
      </c>
      <c r="Q416" s="168">
        <f t="shared" si="337"/>
        <v>0</v>
      </c>
      <c r="R416" s="168">
        <f t="shared" si="337"/>
        <v>0</v>
      </c>
      <c r="S416" s="168">
        <f t="shared" si="337"/>
        <v>0</v>
      </c>
      <c r="T416" s="168">
        <f t="shared" si="337"/>
        <v>0</v>
      </c>
      <c r="U416" s="168">
        <f t="shared" si="337"/>
        <v>0</v>
      </c>
      <c r="V416" s="168">
        <f t="shared" si="337"/>
        <v>0</v>
      </c>
      <c r="W416" s="168"/>
      <c r="X416" s="310">
        <f ca="1">X53-X415</f>
        <v>-663133.97999999952</v>
      </c>
      <c r="Y416" s="362"/>
      <c r="Z416" s="310">
        <f>Z53-Z415</f>
        <v>100306</v>
      </c>
      <c r="AA416" s="310">
        <f>AA53-AA415</f>
        <v>250317</v>
      </c>
      <c r="AB416" s="310">
        <f t="shared" si="247"/>
        <v>150011</v>
      </c>
      <c r="AC416" s="362"/>
      <c r="AF416" s="62"/>
    </row>
    <row r="417" spans="1:41" s="173" customFormat="1" ht="13.5" thickTop="1" x14ac:dyDescent="0.2">
      <c r="A417" s="356"/>
      <c r="B417" s="169"/>
      <c r="C417" s="171"/>
      <c r="D417" s="172"/>
      <c r="E417" s="171"/>
      <c r="F417" s="171"/>
      <c r="G417" s="171"/>
      <c r="H417" s="171"/>
      <c r="I417" s="171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322"/>
      <c r="Z417" s="170"/>
      <c r="AA417" s="170"/>
      <c r="AB417" s="170"/>
      <c r="AC417" s="170"/>
      <c r="AD417" s="356"/>
      <c r="AE417" s="356"/>
      <c r="AF417" s="356"/>
      <c r="AG417" s="356"/>
      <c r="AH417" s="356"/>
      <c r="AI417" s="356"/>
      <c r="AJ417" s="356"/>
      <c r="AK417" s="356"/>
      <c r="AL417" s="356"/>
      <c r="AM417" s="356"/>
      <c r="AN417" s="356"/>
      <c r="AO417" s="356"/>
    </row>
    <row r="418" spans="1:41" x14ac:dyDescent="0.2">
      <c r="B418" s="197" t="s">
        <v>292</v>
      </c>
      <c r="C418" s="198"/>
      <c r="D418" s="199"/>
      <c r="E418" s="199"/>
      <c r="F418" s="200"/>
      <c r="G418" s="200"/>
      <c r="H418" s="200"/>
      <c r="I418" s="200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2"/>
      <c r="W418" s="202"/>
      <c r="X418" s="202"/>
      <c r="Y418" s="323"/>
      <c r="Z418" s="202"/>
      <c r="AA418" s="202"/>
      <c r="AB418" s="202"/>
      <c r="AC418" s="203"/>
    </row>
    <row r="419" spans="1:41" x14ac:dyDescent="0.2">
      <c r="B419" s="174" t="s">
        <v>293</v>
      </c>
      <c r="C419" s="175"/>
      <c r="D419" s="175"/>
      <c r="E419" s="175"/>
      <c r="F419" s="175"/>
      <c r="G419" s="175"/>
      <c r="H419" s="175"/>
      <c r="I419" s="175"/>
      <c r="J419" s="176">
        <v>570718.43999999994</v>
      </c>
      <c r="K419" s="176">
        <v>339717.61</v>
      </c>
      <c r="L419" s="176">
        <v>4669</v>
      </c>
      <c r="M419" s="176">
        <v>45631.88</v>
      </c>
      <c r="N419" s="176">
        <v>-10311.459999999999</v>
      </c>
      <c r="O419" s="176">
        <v>0</v>
      </c>
      <c r="P419" s="176">
        <v>0</v>
      </c>
      <c r="Q419" s="176">
        <v>0</v>
      </c>
      <c r="R419" s="176">
        <v>0</v>
      </c>
      <c r="S419" s="176">
        <v>0</v>
      </c>
      <c r="T419" s="176">
        <v>0</v>
      </c>
      <c r="U419" s="176">
        <v>0</v>
      </c>
      <c r="V419" s="176">
        <v>0</v>
      </c>
      <c r="W419" s="12"/>
      <c r="X419" s="121">
        <f ca="1">+IF($X$4="NA",0,SUM(INDIRECT(+CONCATENATE(+VLOOKUP('2022 Budget &amp; CF'!$X$1,'Data Tables DONT EDIT'!$A$1:$B$15,2,FALSE),+ROW(B419)),TRUE):INDIRECT(+CONCATENATE(+VLOOKUP('2022 Budget &amp; CF'!$X$4,'Data Tables DONT EDIT'!$A$1:$B$15,2,FALSE),+ROW(B419)),TRUE)))</f>
        <v>950425.47</v>
      </c>
      <c r="Y419" s="314">
        <f t="shared" ref="Y419:Y439" ca="1" si="338">IFERROR(X419/Z419,0)</f>
        <v>0</v>
      </c>
      <c r="Z419" s="115">
        <v>0</v>
      </c>
      <c r="AA419" s="117"/>
      <c r="AB419" s="117">
        <f t="shared" si="247"/>
        <v>0</v>
      </c>
      <c r="AC419" s="117">
        <f>PCFP!T165</f>
        <v>0</v>
      </c>
    </row>
    <row r="420" spans="1:41" x14ac:dyDescent="0.2">
      <c r="B420" s="174" t="s">
        <v>294</v>
      </c>
      <c r="C420" s="175"/>
      <c r="D420" s="175"/>
      <c r="E420" s="175"/>
      <c r="F420" s="175"/>
      <c r="G420" s="175"/>
      <c r="H420" s="175"/>
      <c r="I420" s="175"/>
      <c r="J420" s="176">
        <v>0</v>
      </c>
      <c r="K420" s="176">
        <v>0</v>
      </c>
      <c r="L420" s="176">
        <v>0</v>
      </c>
      <c r="M420" s="176">
        <v>0</v>
      </c>
      <c r="N420" s="176">
        <v>0</v>
      </c>
      <c r="O420" s="176">
        <v>0</v>
      </c>
      <c r="P420" s="176">
        <v>0</v>
      </c>
      <c r="Q420" s="176">
        <v>0</v>
      </c>
      <c r="R420" s="176">
        <v>0</v>
      </c>
      <c r="S420" s="176">
        <v>0</v>
      </c>
      <c r="T420" s="176">
        <v>0</v>
      </c>
      <c r="U420" s="176">
        <v>0</v>
      </c>
      <c r="V420" s="176">
        <v>0</v>
      </c>
      <c r="W420" s="12"/>
      <c r="X420" s="121">
        <f ca="1">+IF($X$4="NA",0,SUM(INDIRECT(+CONCATENATE(+VLOOKUP('2022 Budget &amp; CF'!$X$1,'Data Tables DONT EDIT'!$A$1:$B$15,2,FALSE),+ROW(B420)),TRUE):INDIRECT(+CONCATENATE(+VLOOKUP('2022 Budget &amp; CF'!$X$4,'Data Tables DONT EDIT'!$A$1:$B$15,2,FALSE),+ROW(B420)),TRUE)))</f>
        <v>0</v>
      </c>
      <c r="Y420" s="314">
        <f t="shared" ca="1" si="338"/>
        <v>0</v>
      </c>
      <c r="Z420" s="115">
        <v>0</v>
      </c>
      <c r="AA420" s="117"/>
      <c r="AB420" s="117">
        <f t="shared" si="247"/>
        <v>0</v>
      </c>
      <c r="AC420" s="117">
        <f>PCFP!T166</f>
        <v>0</v>
      </c>
    </row>
    <row r="421" spans="1:41" x14ac:dyDescent="0.2">
      <c r="B421" s="174" t="s">
        <v>295</v>
      </c>
      <c r="C421" s="175"/>
      <c r="D421" s="175"/>
      <c r="E421" s="175"/>
      <c r="F421" s="175"/>
      <c r="G421" s="175"/>
      <c r="H421" s="175"/>
      <c r="I421" s="175"/>
      <c r="J421" s="176">
        <v>60486.92</v>
      </c>
      <c r="K421" s="176">
        <v>0</v>
      </c>
      <c r="L421" s="176">
        <v>539</v>
      </c>
      <c r="M421" s="176">
        <v>14320</v>
      </c>
      <c r="N421" s="176">
        <v>0</v>
      </c>
      <c r="O421" s="176">
        <v>0</v>
      </c>
      <c r="P421" s="176">
        <v>0</v>
      </c>
      <c r="Q421" s="176">
        <v>0</v>
      </c>
      <c r="R421" s="176">
        <v>0</v>
      </c>
      <c r="S421" s="176">
        <v>0</v>
      </c>
      <c r="T421" s="176">
        <v>0</v>
      </c>
      <c r="U421" s="176">
        <v>0</v>
      </c>
      <c r="V421" s="176">
        <v>0</v>
      </c>
      <c r="W421" s="12"/>
      <c r="X421" s="121">
        <f ca="1">+IF($X$4="NA",0,SUM(INDIRECT(+CONCATENATE(+VLOOKUP('2022 Budget &amp; CF'!$X$1,'Data Tables DONT EDIT'!$A$1:$B$15,2,FALSE),+ROW(B421)),TRUE):INDIRECT(+CONCATENATE(+VLOOKUP('2022 Budget &amp; CF'!$X$4,'Data Tables DONT EDIT'!$A$1:$B$15,2,FALSE),+ROW(B421)),TRUE)))</f>
        <v>75345.919999999998</v>
      </c>
      <c r="Y421" s="314">
        <f t="shared" ca="1" si="338"/>
        <v>0</v>
      </c>
      <c r="Z421" s="115">
        <v>0</v>
      </c>
      <c r="AA421" s="117"/>
      <c r="AB421" s="117">
        <f t="shared" si="247"/>
        <v>0</v>
      </c>
      <c r="AC421" s="117">
        <f>PCFP!T167</f>
        <v>0</v>
      </c>
    </row>
    <row r="422" spans="1:41" x14ac:dyDescent="0.2">
      <c r="B422" s="174" t="s">
        <v>296</v>
      </c>
      <c r="C422" s="175"/>
      <c r="D422" s="175"/>
      <c r="E422" s="175"/>
      <c r="F422" s="175"/>
      <c r="G422" s="175"/>
      <c r="H422" s="175"/>
      <c r="I422" s="175"/>
      <c r="J422" s="176">
        <v>0</v>
      </c>
      <c r="K422" s="176">
        <v>0</v>
      </c>
      <c r="L422" s="176">
        <v>0</v>
      </c>
      <c r="M422" s="176">
        <v>0</v>
      </c>
      <c r="N422" s="176">
        <v>0</v>
      </c>
      <c r="O422" s="176">
        <v>0</v>
      </c>
      <c r="P422" s="176">
        <v>0</v>
      </c>
      <c r="Q422" s="176">
        <v>0</v>
      </c>
      <c r="R422" s="176">
        <v>0</v>
      </c>
      <c r="S422" s="176">
        <v>0</v>
      </c>
      <c r="T422" s="176">
        <v>0</v>
      </c>
      <c r="U422" s="176">
        <v>0</v>
      </c>
      <c r="V422" s="176">
        <v>0</v>
      </c>
      <c r="W422" s="12"/>
      <c r="X422" s="121">
        <f ca="1">+IF($X$4="NA",0,SUM(INDIRECT(+CONCATENATE(+VLOOKUP('2022 Budget &amp; CF'!$X$1,'Data Tables DONT EDIT'!$A$1:$B$15,2,FALSE),+ROW(B422)),TRUE):INDIRECT(+CONCATENATE(+VLOOKUP('2022 Budget &amp; CF'!$X$4,'Data Tables DONT EDIT'!$A$1:$B$15,2,FALSE),+ROW(B422)),TRUE)))</f>
        <v>0</v>
      </c>
      <c r="Y422" s="314">
        <f t="shared" ca="1" si="338"/>
        <v>0</v>
      </c>
      <c r="Z422" s="115">
        <v>0</v>
      </c>
      <c r="AA422" s="117"/>
      <c r="AB422" s="117">
        <f t="shared" si="247"/>
        <v>0</v>
      </c>
      <c r="AC422" s="117">
        <f>PCFP!T168</f>
        <v>0</v>
      </c>
    </row>
    <row r="423" spans="1:41" x14ac:dyDescent="0.2">
      <c r="B423" s="174" t="s">
        <v>297</v>
      </c>
      <c r="C423" s="175"/>
      <c r="D423" s="175"/>
      <c r="E423" s="175"/>
      <c r="F423" s="175"/>
      <c r="G423" s="175"/>
      <c r="H423" s="175"/>
      <c r="I423" s="175"/>
      <c r="J423" s="176">
        <v>0</v>
      </c>
      <c r="K423" s="176">
        <v>0</v>
      </c>
      <c r="L423" s="176">
        <v>0</v>
      </c>
      <c r="M423" s="176">
        <v>0</v>
      </c>
      <c r="N423" s="176">
        <v>0</v>
      </c>
      <c r="O423" s="176">
        <v>0</v>
      </c>
      <c r="P423" s="176">
        <v>0</v>
      </c>
      <c r="Q423" s="176">
        <v>0</v>
      </c>
      <c r="R423" s="176">
        <v>0</v>
      </c>
      <c r="S423" s="176">
        <v>0</v>
      </c>
      <c r="T423" s="176">
        <v>0</v>
      </c>
      <c r="U423" s="176">
        <v>0</v>
      </c>
      <c r="V423" s="176">
        <v>0</v>
      </c>
      <c r="W423" s="12"/>
      <c r="X423" s="121">
        <f ca="1">+IF($X$4="NA",0,SUM(INDIRECT(+CONCATENATE(+VLOOKUP('2022 Budget &amp; CF'!$X$1,'Data Tables DONT EDIT'!$A$1:$B$15,2,FALSE),+ROW(B423)),TRUE):INDIRECT(+CONCATENATE(+VLOOKUP('2022 Budget &amp; CF'!$X$4,'Data Tables DONT EDIT'!$A$1:$B$15,2,FALSE),+ROW(B423)),TRUE)))</f>
        <v>0</v>
      </c>
      <c r="Y423" s="314">
        <f t="shared" ca="1" si="338"/>
        <v>0</v>
      </c>
      <c r="Z423" s="115">
        <v>0</v>
      </c>
      <c r="AA423" s="117"/>
      <c r="AB423" s="117">
        <f t="shared" si="247"/>
        <v>0</v>
      </c>
      <c r="AC423" s="117">
        <f>PCFP!T169</f>
        <v>0</v>
      </c>
    </row>
    <row r="424" spans="1:41" x14ac:dyDescent="0.2">
      <c r="B424" s="174" t="s">
        <v>298</v>
      </c>
      <c r="C424" s="175"/>
      <c r="D424" s="175"/>
      <c r="E424" s="175"/>
      <c r="F424" s="175"/>
      <c r="G424" s="175"/>
      <c r="H424" s="175"/>
      <c r="I424" s="175"/>
      <c r="J424" s="176">
        <v>-1463.26</v>
      </c>
      <c r="K424" s="176">
        <v>45077.04</v>
      </c>
      <c r="L424" s="176">
        <v>-24356.080000000002</v>
      </c>
      <c r="M424" s="176">
        <v>25188.21</v>
      </c>
      <c r="N424" s="176">
        <v>-16730.16</v>
      </c>
      <c r="O424" s="176">
        <v>-13480.35</v>
      </c>
      <c r="P424" s="176">
        <v>0</v>
      </c>
      <c r="Q424" s="176">
        <v>0</v>
      </c>
      <c r="R424" s="176">
        <v>0</v>
      </c>
      <c r="S424" s="176">
        <v>0</v>
      </c>
      <c r="T424" s="176">
        <v>0</v>
      </c>
      <c r="U424" s="176">
        <v>0</v>
      </c>
      <c r="V424" s="176">
        <v>0</v>
      </c>
      <c r="W424" s="12"/>
      <c r="X424" s="121">
        <f ca="1">+IF($X$4="NA",0,SUM(INDIRECT(+CONCATENATE(+VLOOKUP('2022 Budget &amp; CF'!$X$1,'Data Tables DONT EDIT'!$A$1:$B$15,2,FALSE),+ROW(B424)),TRUE):INDIRECT(+CONCATENATE(+VLOOKUP('2022 Budget &amp; CF'!$X$4,'Data Tables DONT EDIT'!$A$1:$B$15,2,FALSE),+ROW(B424)),TRUE)))</f>
        <v>14235.399999999996</v>
      </c>
      <c r="Y424" s="314">
        <f t="shared" ca="1" si="338"/>
        <v>0</v>
      </c>
      <c r="Z424" s="115">
        <v>0</v>
      </c>
      <c r="AA424" s="117"/>
      <c r="AB424" s="117">
        <f t="shared" si="247"/>
        <v>0</v>
      </c>
      <c r="AC424" s="117">
        <f>PCFP!T170</f>
        <v>0</v>
      </c>
    </row>
    <row r="425" spans="1:41" x14ac:dyDescent="0.2">
      <c r="B425" s="174" t="s">
        <v>299</v>
      </c>
      <c r="C425" s="175"/>
      <c r="D425" s="175"/>
      <c r="E425" s="175"/>
      <c r="F425" s="175"/>
      <c r="G425" s="175"/>
      <c r="H425" s="175"/>
      <c r="I425" s="175"/>
      <c r="J425" s="176">
        <v>-180396.03</v>
      </c>
      <c r="K425" s="176">
        <v>-564.61</v>
      </c>
      <c r="L425" s="176">
        <v>116266.27</v>
      </c>
      <c r="M425" s="176">
        <v>2670.76</v>
      </c>
      <c r="N425" s="176">
        <v>5004.97</v>
      </c>
      <c r="O425" s="176">
        <v>-96887.33</v>
      </c>
      <c r="P425" s="176">
        <v>0</v>
      </c>
      <c r="Q425" s="176">
        <v>0</v>
      </c>
      <c r="R425" s="176">
        <v>0</v>
      </c>
      <c r="S425" s="176">
        <v>0</v>
      </c>
      <c r="T425" s="176">
        <v>0</v>
      </c>
      <c r="U425" s="176">
        <v>0</v>
      </c>
      <c r="V425" s="176">
        <v>0</v>
      </c>
      <c r="W425" s="12"/>
      <c r="X425" s="121">
        <f ca="1">+IF($X$4="NA",0,SUM(INDIRECT(+CONCATENATE(+VLOOKUP('2022 Budget &amp; CF'!$X$1,'Data Tables DONT EDIT'!$A$1:$B$15,2,FALSE),+ROW(B425)),TRUE):INDIRECT(+CONCATENATE(+VLOOKUP('2022 Budget &amp; CF'!$X$4,'Data Tables DONT EDIT'!$A$1:$B$15,2,FALSE),+ROW(B425)),TRUE)))</f>
        <v>-153905.96999999997</v>
      </c>
      <c r="Y425" s="314">
        <f t="shared" ca="1" si="338"/>
        <v>0</v>
      </c>
      <c r="Z425" s="115">
        <v>0</v>
      </c>
      <c r="AA425" s="117"/>
      <c r="AB425" s="117">
        <f t="shared" si="247"/>
        <v>0</v>
      </c>
      <c r="AC425" s="117">
        <f>PCFP!T171</f>
        <v>0</v>
      </c>
    </row>
    <row r="426" spans="1:41" x14ac:dyDescent="0.2">
      <c r="B426" s="174" t="s">
        <v>300</v>
      </c>
      <c r="C426" s="175"/>
      <c r="D426" s="175"/>
      <c r="E426" s="175"/>
      <c r="F426" s="175"/>
      <c r="G426" s="175"/>
      <c r="H426" s="175"/>
      <c r="I426" s="175"/>
      <c r="J426" s="176">
        <v>0</v>
      </c>
      <c r="K426" s="176">
        <v>0</v>
      </c>
      <c r="L426" s="176">
        <v>0</v>
      </c>
      <c r="M426" s="176">
        <v>0</v>
      </c>
      <c r="N426" s="176">
        <v>0</v>
      </c>
      <c r="O426" s="176">
        <v>0</v>
      </c>
      <c r="P426" s="176">
        <v>0</v>
      </c>
      <c r="Q426" s="176">
        <v>0</v>
      </c>
      <c r="R426" s="176">
        <v>0</v>
      </c>
      <c r="S426" s="176">
        <v>0</v>
      </c>
      <c r="T426" s="176">
        <v>0</v>
      </c>
      <c r="U426" s="176">
        <v>0</v>
      </c>
      <c r="V426" s="176">
        <v>0</v>
      </c>
      <c r="W426" s="12"/>
      <c r="X426" s="121">
        <f ca="1">+IF($X$4="NA",0,SUM(INDIRECT(+CONCATENATE(+VLOOKUP('2022 Budget &amp; CF'!$X$1,'Data Tables DONT EDIT'!$A$1:$B$15,2,FALSE),+ROW(B426)),TRUE):INDIRECT(+CONCATENATE(+VLOOKUP('2022 Budget &amp; CF'!$X$4,'Data Tables DONT EDIT'!$A$1:$B$15,2,FALSE),+ROW(B426)),TRUE)))</f>
        <v>0</v>
      </c>
      <c r="Y426" s="314">
        <f t="shared" ca="1" si="338"/>
        <v>0</v>
      </c>
      <c r="Z426" s="115">
        <v>0</v>
      </c>
      <c r="AA426" s="117"/>
      <c r="AB426" s="117">
        <f t="shared" si="247"/>
        <v>0</v>
      </c>
      <c r="AC426" s="117">
        <f>PCFP!T172</f>
        <v>0</v>
      </c>
    </row>
    <row r="427" spans="1:41" x14ac:dyDescent="0.2">
      <c r="B427" s="174" t="s">
        <v>301</v>
      </c>
      <c r="C427" s="175"/>
      <c r="D427" s="175"/>
      <c r="E427" s="175"/>
      <c r="F427" s="175"/>
      <c r="G427" s="175"/>
      <c r="H427" s="175"/>
      <c r="I427" s="175"/>
      <c r="J427" s="176">
        <v>0</v>
      </c>
      <c r="K427" s="176">
        <v>0</v>
      </c>
      <c r="L427" s="176">
        <v>0</v>
      </c>
      <c r="M427" s="176">
        <v>0</v>
      </c>
      <c r="N427" s="176">
        <v>0</v>
      </c>
      <c r="O427" s="176">
        <v>0</v>
      </c>
      <c r="P427" s="176">
        <v>0</v>
      </c>
      <c r="Q427" s="176">
        <v>0</v>
      </c>
      <c r="R427" s="176">
        <v>0</v>
      </c>
      <c r="S427" s="176">
        <v>0</v>
      </c>
      <c r="T427" s="176">
        <v>0</v>
      </c>
      <c r="U427" s="176">
        <v>0</v>
      </c>
      <c r="V427" s="176">
        <v>0</v>
      </c>
      <c r="W427" s="12"/>
      <c r="X427" s="121">
        <f ca="1">+IF($X$4="NA",0,SUM(INDIRECT(+CONCATENATE(+VLOOKUP('2022 Budget &amp; CF'!$X$1,'Data Tables DONT EDIT'!$A$1:$B$15,2,FALSE),+ROW(B427)),TRUE):INDIRECT(+CONCATENATE(+VLOOKUP('2022 Budget &amp; CF'!$X$4,'Data Tables DONT EDIT'!$A$1:$B$15,2,FALSE),+ROW(B427)),TRUE)))</f>
        <v>0</v>
      </c>
      <c r="Y427" s="314">
        <f t="shared" ca="1" si="338"/>
        <v>0</v>
      </c>
      <c r="Z427" s="115">
        <v>0</v>
      </c>
      <c r="AA427" s="117"/>
      <c r="AB427" s="117">
        <f t="shared" si="247"/>
        <v>0</v>
      </c>
      <c r="AC427" s="117">
        <f>PCFP!T173</f>
        <v>0</v>
      </c>
    </row>
    <row r="428" spans="1:41" x14ac:dyDescent="0.2">
      <c r="B428" s="174" t="s">
        <v>302</v>
      </c>
      <c r="C428" s="175"/>
      <c r="D428" s="175"/>
      <c r="E428" s="175"/>
      <c r="F428" s="175"/>
      <c r="G428" s="175"/>
      <c r="H428" s="175"/>
      <c r="I428" s="175"/>
      <c r="J428" s="176">
        <v>0</v>
      </c>
      <c r="K428" s="176">
        <v>0</v>
      </c>
      <c r="L428" s="176">
        <v>0</v>
      </c>
      <c r="M428" s="176">
        <v>0</v>
      </c>
      <c r="N428" s="176">
        <v>0</v>
      </c>
      <c r="O428" s="176">
        <v>0</v>
      </c>
      <c r="P428" s="176">
        <v>0</v>
      </c>
      <c r="Q428" s="176">
        <v>0</v>
      </c>
      <c r="R428" s="176">
        <v>0</v>
      </c>
      <c r="S428" s="176">
        <v>0</v>
      </c>
      <c r="T428" s="176">
        <v>0</v>
      </c>
      <c r="U428" s="176">
        <v>0</v>
      </c>
      <c r="V428" s="176">
        <v>0</v>
      </c>
      <c r="W428" s="12"/>
      <c r="X428" s="121">
        <f ca="1">+IF($X$4="NA",0,SUM(INDIRECT(+CONCATENATE(+VLOOKUP('2022 Budget &amp; CF'!$X$1,'Data Tables DONT EDIT'!$A$1:$B$15,2,FALSE),+ROW(B428)),TRUE):INDIRECT(+CONCATENATE(+VLOOKUP('2022 Budget &amp; CF'!$X$4,'Data Tables DONT EDIT'!$A$1:$B$15,2,FALSE),+ROW(B428)),TRUE)))</f>
        <v>0</v>
      </c>
      <c r="Y428" s="314">
        <f t="shared" ca="1" si="338"/>
        <v>0</v>
      </c>
      <c r="Z428" s="115">
        <v>0</v>
      </c>
      <c r="AA428" s="117"/>
      <c r="AB428" s="117">
        <f t="shared" si="247"/>
        <v>0</v>
      </c>
      <c r="AC428" s="117">
        <f>PCFP!T174</f>
        <v>0</v>
      </c>
    </row>
    <row r="429" spans="1:41" x14ac:dyDescent="0.2">
      <c r="B429" s="177" t="s">
        <v>303</v>
      </c>
      <c r="C429" s="129"/>
      <c r="D429" s="178"/>
      <c r="E429" s="178"/>
      <c r="F429" s="178"/>
      <c r="G429" s="178"/>
      <c r="H429" s="179"/>
      <c r="I429" s="179"/>
      <c r="J429" s="180">
        <f>SUM(J416:J428)</f>
        <v>618716.80999999994</v>
      </c>
      <c r="K429" s="180">
        <f t="shared" ref="K429:V429" si="339">SUM(K416:K428)</f>
        <v>-83573.009999999937</v>
      </c>
      <c r="L429" s="180">
        <f t="shared" si="339"/>
        <v>-282845.44</v>
      </c>
      <c r="M429" s="180">
        <f t="shared" si="339"/>
        <v>60108.090000000047</v>
      </c>
      <c r="N429" s="180">
        <f t="shared" si="339"/>
        <v>20928.069999999974</v>
      </c>
      <c r="O429" s="180">
        <f t="shared" si="339"/>
        <v>-110367.68000000001</v>
      </c>
      <c r="P429" s="180">
        <f t="shared" ref="P429:U429" si="340">SUM(P416:P428)</f>
        <v>0</v>
      </c>
      <c r="Q429" s="180">
        <f t="shared" si="340"/>
        <v>0</v>
      </c>
      <c r="R429" s="180">
        <f t="shared" si="340"/>
        <v>0</v>
      </c>
      <c r="S429" s="180">
        <f t="shared" si="340"/>
        <v>0</v>
      </c>
      <c r="T429" s="180">
        <f t="shared" si="340"/>
        <v>0</v>
      </c>
      <c r="U429" s="180">
        <f t="shared" si="340"/>
        <v>0</v>
      </c>
      <c r="V429" s="180">
        <f t="shared" si="339"/>
        <v>0</v>
      </c>
      <c r="W429" s="180">
        <f t="shared" ref="W429:AA429" si="341">SUM(W416:W428)</f>
        <v>0</v>
      </c>
      <c r="X429" s="180">
        <f t="shared" ca="1" si="341"/>
        <v>222966.84000000049</v>
      </c>
      <c r="Y429" s="324">
        <f t="shared" ca="1" si="341"/>
        <v>0</v>
      </c>
      <c r="Z429" s="180">
        <f t="shared" si="341"/>
        <v>100306</v>
      </c>
      <c r="AA429" s="180">
        <f t="shared" si="341"/>
        <v>250317</v>
      </c>
      <c r="AB429" s="130">
        <f t="shared" ref="AB429:AB439" si="342">AA429-Z429</f>
        <v>150011</v>
      </c>
      <c r="AC429" s="130">
        <f>PCFP!T175</f>
        <v>0</v>
      </c>
    </row>
    <row r="430" spans="1:41" x14ac:dyDescent="0.2">
      <c r="B430" s="174" t="s">
        <v>304</v>
      </c>
      <c r="C430" s="101"/>
      <c r="D430" s="88"/>
      <c r="E430" s="88"/>
      <c r="F430" s="181"/>
      <c r="G430" s="181"/>
      <c r="H430" s="182"/>
      <c r="I430" s="182"/>
      <c r="J430" s="176">
        <v>0</v>
      </c>
      <c r="K430" s="176">
        <v>-3580.45</v>
      </c>
      <c r="L430" s="176">
        <v>-497.59</v>
      </c>
      <c r="M430" s="176">
        <v>-38120.71</v>
      </c>
      <c r="N430" s="176">
        <v>-1935005.7</v>
      </c>
      <c r="O430" s="176">
        <v>-98445.8</v>
      </c>
      <c r="P430" s="176">
        <v>0</v>
      </c>
      <c r="Q430" s="176">
        <v>0</v>
      </c>
      <c r="R430" s="176">
        <v>0</v>
      </c>
      <c r="S430" s="176">
        <v>0</v>
      </c>
      <c r="T430" s="176">
        <v>0</v>
      </c>
      <c r="U430" s="176">
        <v>0</v>
      </c>
      <c r="V430" s="176">
        <v>0</v>
      </c>
      <c r="W430" s="12"/>
      <c r="X430" s="121">
        <f ca="1">+IF($X$4="NA",0,SUM(INDIRECT(+CONCATENATE(+VLOOKUP('2022 Budget &amp; CF'!$X$1,'Data Tables DONT EDIT'!$A$1:$B$15,2,FALSE),+ROW(B430)),TRUE):INDIRECT(+CONCATENATE(+VLOOKUP('2022 Budget &amp; CF'!$X$4,'Data Tables DONT EDIT'!$A$1:$B$15,2,FALSE),+ROW(B430)),TRUE)))</f>
        <v>-2075650.25</v>
      </c>
      <c r="Y430" s="314">
        <f t="shared" ca="1" si="338"/>
        <v>0</v>
      </c>
      <c r="Z430" s="115">
        <v>0</v>
      </c>
      <c r="AA430" s="117">
        <v>-2075650</v>
      </c>
      <c r="AB430" s="117">
        <f t="shared" si="342"/>
        <v>-2075650</v>
      </c>
      <c r="AC430" s="117">
        <f>PCFP!T176</f>
        <v>0</v>
      </c>
    </row>
    <row r="431" spans="1:41" x14ac:dyDescent="0.2">
      <c r="B431" s="174" t="s">
        <v>305</v>
      </c>
      <c r="C431" s="101"/>
      <c r="D431" s="88"/>
      <c r="E431" s="88"/>
      <c r="F431" s="181"/>
      <c r="G431" s="181"/>
      <c r="H431" s="182"/>
      <c r="I431" s="182"/>
      <c r="J431" s="176">
        <v>0</v>
      </c>
      <c r="K431" s="176">
        <v>0</v>
      </c>
      <c r="L431" s="176">
        <v>0</v>
      </c>
      <c r="M431" s="176">
        <v>0</v>
      </c>
      <c r="N431" s="176">
        <v>0</v>
      </c>
      <c r="O431" s="176">
        <v>-15264.91</v>
      </c>
      <c r="P431" s="176">
        <v>0</v>
      </c>
      <c r="Q431" s="176">
        <v>0</v>
      </c>
      <c r="R431" s="176">
        <v>0</v>
      </c>
      <c r="S431" s="176">
        <v>0</v>
      </c>
      <c r="T431" s="176">
        <v>0</v>
      </c>
      <c r="U431" s="176">
        <v>0</v>
      </c>
      <c r="V431" s="176">
        <v>0</v>
      </c>
      <c r="W431" s="12"/>
      <c r="X431" s="121">
        <f ca="1">+IF($X$4="NA",0,SUM(INDIRECT(+CONCATENATE(+VLOOKUP('2022 Budget &amp; CF'!$X$1,'Data Tables DONT EDIT'!$A$1:$B$15,2,FALSE),+ROW(B431)),TRUE):INDIRECT(+CONCATENATE(+VLOOKUP('2022 Budget &amp; CF'!$X$4,'Data Tables DONT EDIT'!$A$1:$B$15,2,FALSE),+ROW(B431)),TRUE)))</f>
        <v>-15264.91</v>
      </c>
      <c r="Y431" s="314">
        <f t="shared" ca="1" si="338"/>
        <v>0</v>
      </c>
      <c r="Z431" s="115">
        <v>0</v>
      </c>
      <c r="AA431" s="117">
        <v>0</v>
      </c>
      <c r="AB431" s="117">
        <f t="shared" si="342"/>
        <v>0</v>
      </c>
      <c r="AC431" s="117">
        <f>PCFP!T177</f>
        <v>0</v>
      </c>
    </row>
    <row r="432" spans="1:41" x14ac:dyDescent="0.2">
      <c r="B432" s="174" t="s">
        <v>306</v>
      </c>
      <c r="C432" s="101"/>
      <c r="D432" s="88"/>
      <c r="E432" s="88"/>
      <c r="F432" s="181"/>
      <c r="G432" s="181"/>
      <c r="H432" s="182"/>
      <c r="I432" s="182"/>
      <c r="J432" s="176">
        <v>0</v>
      </c>
      <c r="K432" s="176">
        <v>0</v>
      </c>
      <c r="L432" s="176">
        <v>0</v>
      </c>
      <c r="M432" s="176">
        <v>0</v>
      </c>
      <c r="N432" s="176">
        <v>0</v>
      </c>
      <c r="O432" s="176">
        <v>0</v>
      </c>
      <c r="P432" s="176">
        <v>0</v>
      </c>
      <c r="Q432" s="176">
        <v>0</v>
      </c>
      <c r="R432" s="176">
        <v>0</v>
      </c>
      <c r="S432" s="176">
        <v>0</v>
      </c>
      <c r="T432" s="176">
        <v>0</v>
      </c>
      <c r="U432" s="176">
        <v>0</v>
      </c>
      <c r="V432" s="176">
        <v>0</v>
      </c>
      <c r="W432" s="12"/>
      <c r="X432" s="121">
        <f ca="1">+IF($X$4="NA",0,SUM(INDIRECT(+CONCATENATE(+VLOOKUP('2022 Budget &amp; CF'!$X$1,'Data Tables DONT EDIT'!$A$1:$B$15,2,FALSE),+ROW(B432)),TRUE):INDIRECT(+CONCATENATE(+VLOOKUP('2022 Budget &amp; CF'!$X$4,'Data Tables DONT EDIT'!$A$1:$B$15,2,FALSE),+ROW(B432)),TRUE)))</f>
        <v>0</v>
      </c>
      <c r="Y432" s="314">
        <f t="shared" ca="1" si="338"/>
        <v>0</v>
      </c>
      <c r="Z432" s="115">
        <v>0</v>
      </c>
      <c r="AA432" s="117">
        <v>0</v>
      </c>
      <c r="AB432" s="117">
        <f t="shared" si="342"/>
        <v>0</v>
      </c>
      <c r="AC432" s="117">
        <f>PCFP!T178</f>
        <v>0</v>
      </c>
    </row>
    <row r="433" spans="2:30" x14ac:dyDescent="0.2">
      <c r="B433" s="183" t="s">
        <v>307</v>
      </c>
      <c r="C433" s="184"/>
      <c r="D433" s="185"/>
      <c r="E433" s="185"/>
      <c r="F433" s="129"/>
      <c r="G433" s="129"/>
      <c r="H433" s="129"/>
      <c r="I433" s="129"/>
      <c r="J433" s="130">
        <f>SUM(J430:J432)</f>
        <v>0</v>
      </c>
      <c r="K433" s="130">
        <f t="shared" ref="K433:V433" si="343">SUM(K430:K432)</f>
        <v>-3580.45</v>
      </c>
      <c r="L433" s="130">
        <f t="shared" si="343"/>
        <v>-497.59</v>
      </c>
      <c r="M433" s="130">
        <f t="shared" si="343"/>
        <v>-38120.71</v>
      </c>
      <c r="N433" s="130">
        <f t="shared" si="343"/>
        <v>-1935005.7</v>
      </c>
      <c r="O433" s="130">
        <f t="shared" si="343"/>
        <v>-113710.71</v>
      </c>
      <c r="P433" s="130">
        <f t="shared" ref="P433:U433" si="344">SUM(P430:P432)</f>
        <v>0</v>
      </c>
      <c r="Q433" s="130">
        <f t="shared" si="344"/>
        <v>0</v>
      </c>
      <c r="R433" s="130">
        <f t="shared" si="344"/>
        <v>0</v>
      </c>
      <c r="S433" s="130">
        <f t="shared" si="344"/>
        <v>0</v>
      </c>
      <c r="T433" s="130">
        <f t="shared" si="344"/>
        <v>0</v>
      </c>
      <c r="U433" s="130">
        <f t="shared" si="344"/>
        <v>0</v>
      </c>
      <c r="V433" s="130">
        <f t="shared" si="343"/>
        <v>0</v>
      </c>
      <c r="W433" s="130">
        <f t="shared" ref="W433:AB433" si="345">SUM(W430:W432)</f>
        <v>0</v>
      </c>
      <c r="X433" s="130">
        <f t="shared" ca="1" si="345"/>
        <v>-2090915.16</v>
      </c>
      <c r="Y433" s="320">
        <f t="shared" ca="1" si="345"/>
        <v>0</v>
      </c>
      <c r="Z433" s="130">
        <f t="shared" si="345"/>
        <v>0</v>
      </c>
      <c r="AA433" s="130">
        <f>SUM(AA430:AA432)</f>
        <v>-2075650</v>
      </c>
      <c r="AB433" s="130">
        <f t="shared" si="345"/>
        <v>-2075650</v>
      </c>
      <c r="AC433" s="130">
        <f>PCFP!T179</f>
        <v>0</v>
      </c>
    </row>
    <row r="434" spans="2:30" x14ac:dyDescent="0.2">
      <c r="B434" s="174" t="s">
        <v>308</v>
      </c>
      <c r="C434" s="101"/>
      <c r="D434" s="88"/>
      <c r="E434" s="88"/>
      <c r="F434" s="181"/>
      <c r="G434" s="181"/>
      <c r="H434" s="182"/>
      <c r="I434" s="182"/>
      <c r="J434" s="176">
        <v>0</v>
      </c>
      <c r="K434" s="176">
        <v>0</v>
      </c>
      <c r="L434" s="176">
        <v>0</v>
      </c>
      <c r="M434" s="176">
        <v>0</v>
      </c>
      <c r="N434" s="176">
        <v>0</v>
      </c>
      <c r="O434" s="176">
        <v>0</v>
      </c>
      <c r="P434" s="176">
        <v>0</v>
      </c>
      <c r="Q434" s="176">
        <v>0</v>
      </c>
      <c r="R434" s="176">
        <v>0</v>
      </c>
      <c r="S434" s="176">
        <v>0</v>
      </c>
      <c r="T434" s="176">
        <v>0</v>
      </c>
      <c r="U434" s="176">
        <v>0</v>
      </c>
      <c r="V434" s="176">
        <v>0</v>
      </c>
      <c r="W434" s="12"/>
      <c r="X434" s="121">
        <f ca="1">+IF($X$4="NA",0,SUM(INDIRECT(+CONCATENATE(+VLOOKUP('2022 Budget &amp; CF'!$X$1,'Data Tables DONT EDIT'!$A$1:$B$15,2,FALSE),+ROW(B434)),TRUE):INDIRECT(+CONCATENATE(+VLOOKUP('2022 Budget &amp; CF'!$X$4,'Data Tables DONT EDIT'!$A$1:$B$15,2,FALSE),+ROW(B434)),TRUE)))</f>
        <v>0</v>
      </c>
      <c r="Y434" s="314">
        <f t="shared" ca="1" si="338"/>
        <v>0</v>
      </c>
      <c r="Z434" s="115">
        <v>0</v>
      </c>
      <c r="AA434" s="117">
        <v>73699</v>
      </c>
      <c r="AB434" s="117">
        <f t="shared" si="342"/>
        <v>73699</v>
      </c>
      <c r="AC434" s="117">
        <f>PCFP!T180</f>
        <v>0</v>
      </c>
      <c r="AD434" s="355">
        <f>AA434-3700000</f>
        <v>-3626301</v>
      </c>
    </row>
    <row r="435" spans="2:30" x14ac:dyDescent="0.2">
      <c r="B435" s="174" t="s">
        <v>309</v>
      </c>
      <c r="C435" s="101"/>
      <c r="D435" s="102"/>
      <c r="E435" s="102"/>
      <c r="F435" s="101"/>
      <c r="G435" s="101"/>
      <c r="H435" s="103"/>
      <c r="I435" s="103"/>
      <c r="J435" s="176">
        <v>0</v>
      </c>
      <c r="K435" s="176">
        <v>0</v>
      </c>
      <c r="L435" s="176">
        <v>0</v>
      </c>
      <c r="M435" s="176">
        <v>0</v>
      </c>
      <c r="N435" s="176">
        <v>1962659.71</v>
      </c>
      <c r="O435" s="176">
        <v>39291.040000000001</v>
      </c>
      <c r="P435" s="176">
        <v>0</v>
      </c>
      <c r="Q435" s="176">
        <v>0</v>
      </c>
      <c r="R435" s="176">
        <v>0</v>
      </c>
      <c r="S435" s="176">
        <v>0</v>
      </c>
      <c r="T435" s="176">
        <v>0</v>
      </c>
      <c r="U435" s="176">
        <v>0</v>
      </c>
      <c r="V435" s="176">
        <v>0</v>
      </c>
      <c r="W435" s="12"/>
      <c r="X435" s="121">
        <f ca="1">+IF($X$4="NA",0,SUM(INDIRECT(+CONCATENATE(+VLOOKUP('2022 Budget &amp; CF'!$X$1,'Data Tables DONT EDIT'!$A$1:$B$15,2,FALSE),+ROW(B435)),TRUE):INDIRECT(+CONCATENATE(+VLOOKUP('2022 Budget &amp; CF'!$X$4,'Data Tables DONT EDIT'!$A$1:$B$15,2,FALSE),+ROW(B435)),TRUE)))</f>
        <v>2001950.75</v>
      </c>
      <c r="Y435" s="314">
        <f t="shared" ca="1" si="338"/>
        <v>-33.952085170612577</v>
      </c>
      <c r="Z435" s="115">
        <v>-58964</v>
      </c>
      <c r="AA435" s="117">
        <v>2001951</v>
      </c>
      <c r="AB435" s="117">
        <f t="shared" si="342"/>
        <v>2060915</v>
      </c>
      <c r="AC435" s="117">
        <f>PCFP!T181</f>
        <v>0</v>
      </c>
    </row>
    <row r="436" spans="2:30" x14ac:dyDescent="0.2">
      <c r="B436" s="174" t="s">
        <v>310</v>
      </c>
      <c r="C436" s="101"/>
      <c r="D436" s="88"/>
      <c r="E436" s="88"/>
      <c r="F436" s="181"/>
      <c r="G436" s="181"/>
      <c r="H436" s="182"/>
      <c r="I436" s="182"/>
      <c r="J436" s="176">
        <v>0</v>
      </c>
      <c r="K436" s="176">
        <v>0</v>
      </c>
      <c r="L436" s="176">
        <v>0</v>
      </c>
      <c r="M436" s="176">
        <v>0</v>
      </c>
      <c r="N436" s="176">
        <v>0</v>
      </c>
      <c r="O436" s="176">
        <v>0</v>
      </c>
      <c r="P436" s="176">
        <v>0</v>
      </c>
      <c r="Q436" s="176">
        <v>0</v>
      </c>
      <c r="R436" s="176">
        <v>0</v>
      </c>
      <c r="S436" s="176">
        <v>0</v>
      </c>
      <c r="T436" s="176">
        <v>0</v>
      </c>
      <c r="U436" s="176">
        <v>0</v>
      </c>
      <c r="V436" s="176">
        <v>0</v>
      </c>
      <c r="W436" s="12"/>
      <c r="X436" s="121">
        <f ca="1">+IF($X$4="NA",0,SUM(INDIRECT(+CONCATENATE(+VLOOKUP('2022 Budget &amp; CF'!$X$1,'Data Tables DONT EDIT'!$A$1:$B$15,2,FALSE),+ROW(B436)),TRUE):INDIRECT(+CONCATENATE(+VLOOKUP('2022 Budget &amp; CF'!$X$4,'Data Tables DONT EDIT'!$A$1:$B$15,2,FALSE),+ROW(B436)),TRUE)))</f>
        <v>0</v>
      </c>
      <c r="Y436" s="314">
        <f t="shared" ca="1" si="338"/>
        <v>0</v>
      </c>
      <c r="Z436" s="115">
        <v>0</v>
      </c>
      <c r="AA436" s="117">
        <v>0</v>
      </c>
      <c r="AB436" s="117">
        <f t="shared" si="342"/>
        <v>0</v>
      </c>
      <c r="AC436" s="117">
        <f>PCFP!T182</f>
        <v>0</v>
      </c>
    </row>
    <row r="437" spans="2:30" x14ac:dyDescent="0.2">
      <c r="B437" s="183" t="s">
        <v>311</v>
      </c>
      <c r="C437" s="184"/>
      <c r="D437" s="185"/>
      <c r="E437" s="185"/>
      <c r="F437" s="129"/>
      <c r="G437" s="129"/>
      <c r="H437" s="129"/>
      <c r="I437" s="129"/>
      <c r="J437" s="130">
        <f>SUM(J434:J436)</f>
        <v>0</v>
      </c>
      <c r="K437" s="130">
        <f t="shared" ref="K437:V437" si="346">SUM(K434:K436)</f>
        <v>0</v>
      </c>
      <c r="L437" s="130">
        <f t="shared" si="346"/>
        <v>0</v>
      </c>
      <c r="M437" s="130">
        <f t="shared" si="346"/>
        <v>0</v>
      </c>
      <c r="N437" s="130">
        <f t="shared" si="346"/>
        <v>1962659.71</v>
      </c>
      <c r="O437" s="130">
        <f t="shared" si="346"/>
        <v>39291.040000000001</v>
      </c>
      <c r="P437" s="130">
        <f t="shared" ref="P437:U437" si="347">SUM(P434:P436)</f>
        <v>0</v>
      </c>
      <c r="Q437" s="130">
        <f t="shared" si="347"/>
        <v>0</v>
      </c>
      <c r="R437" s="130">
        <f t="shared" si="347"/>
        <v>0</v>
      </c>
      <c r="S437" s="130">
        <f t="shared" si="347"/>
        <v>0</v>
      </c>
      <c r="T437" s="130">
        <f t="shared" si="347"/>
        <v>0</v>
      </c>
      <c r="U437" s="130">
        <f t="shared" si="347"/>
        <v>0</v>
      </c>
      <c r="V437" s="130">
        <f t="shared" si="346"/>
        <v>0</v>
      </c>
      <c r="W437" s="130">
        <f t="shared" ref="W437:AB437" si="348">SUM(W434:W436)</f>
        <v>0</v>
      </c>
      <c r="X437" s="130">
        <f t="shared" ca="1" si="348"/>
        <v>2001950.75</v>
      </c>
      <c r="Y437" s="320">
        <f t="shared" ca="1" si="348"/>
        <v>-33.952085170612577</v>
      </c>
      <c r="Z437" s="130">
        <f t="shared" si="348"/>
        <v>-58964</v>
      </c>
      <c r="AA437" s="130">
        <f t="shared" si="348"/>
        <v>2075650</v>
      </c>
      <c r="AB437" s="130">
        <f t="shared" si="348"/>
        <v>2134614</v>
      </c>
      <c r="AC437" s="130">
        <f>PCFP!T183</f>
        <v>0</v>
      </c>
    </row>
    <row r="438" spans="2:30" x14ac:dyDescent="0.2">
      <c r="B438" s="186" t="s">
        <v>312</v>
      </c>
      <c r="C438" s="187"/>
      <c r="D438" s="188"/>
      <c r="E438" s="188"/>
      <c r="F438" s="188"/>
      <c r="G438" s="188"/>
      <c r="H438" s="188"/>
      <c r="I438" s="188"/>
      <c r="J438" s="189">
        <f>SUM(J437,J433,J429)</f>
        <v>618716.80999999994</v>
      </c>
      <c r="K438" s="189">
        <f t="shared" ref="K438:AB438" si="349">SUM(K437,K433,K429)</f>
        <v>-87153.459999999934</v>
      </c>
      <c r="L438" s="189">
        <f t="shared" si="349"/>
        <v>-283343.03000000003</v>
      </c>
      <c r="M438" s="189">
        <f t="shared" si="349"/>
        <v>21987.380000000048</v>
      </c>
      <c r="N438" s="189">
        <f t="shared" si="349"/>
        <v>48582.079999999987</v>
      </c>
      <c r="O438" s="189">
        <f t="shared" si="349"/>
        <v>-184787.35000000003</v>
      </c>
      <c r="P438" s="189">
        <f t="shared" si="349"/>
        <v>0</v>
      </c>
      <c r="Q438" s="189">
        <f t="shared" si="349"/>
        <v>0</v>
      </c>
      <c r="R438" s="189">
        <f t="shared" si="349"/>
        <v>0</v>
      </c>
      <c r="S438" s="189">
        <f t="shared" si="349"/>
        <v>0</v>
      </c>
      <c r="T438" s="189">
        <f t="shared" si="349"/>
        <v>0</v>
      </c>
      <c r="U438" s="189">
        <f t="shared" si="349"/>
        <v>0</v>
      </c>
      <c r="V438" s="189">
        <f t="shared" si="349"/>
        <v>0</v>
      </c>
      <c r="W438" s="189">
        <f t="shared" si="349"/>
        <v>0</v>
      </c>
      <c r="X438" s="189">
        <f t="shared" ca="1" si="349"/>
        <v>134002.43000000058</v>
      </c>
      <c r="Y438" s="325">
        <f t="shared" ca="1" si="349"/>
        <v>-33.952085170612577</v>
      </c>
      <c r="Z438" s="189">
        <f t="shared" si="349"/>
        <v>41342</v>
      </c>
      <c r="AA438" s="189">
        <f t="shared" si="349"/>
        <v>250317</v>
      </c>
      <c r="AB438" s="189">
        <f t="shared" si="349"/>
        <v>208975</v>
      </c>
      <c r="AC438" s="115">
        <f>PCFP!T184</f>
        <v>0</v>
      </c>
    </row>
    <row r="439" spans="2:30" x14ac:dyDescent="0.2">
      <c r="B439" s="190" t="s">
        <v>313</v>
      </c>
      <c r="C439" s="191"/>
      <c r="D439" s="131"/>
      <c r="E439" s="131"/>
      <c r="F439" s="131"/>
      <c r="G439" s="131"/>
      <c r="H439" s="131"/>
      <c r="I439" s="352"/>
      <c r="J439" s="192">
        <v>2083682</v>
      </c>
      <c r="K439" s="13">
        <f>J440</f>
        <v>2702398.81</v>
      </c>
      <c r="L439" s="13">
        <f t="shared" ref="L439:V439" si="350">K440</f>
        <v>2615245.35</v>
      </c>
      <c r="M439" s="13">
        <f t="shared" si="350"/>
        <v>2331902.3200000003</v>
      </c>
      <c r="N439" s="13">
        <f t="shared" si="350"/>
        <v>2353889.7000000002</v>
      </c>
      <c r="O439" s="13">
        <f t="shared" si="350"/>
        <v>2402471.7800000003</v>
      </c>
      <c r="P439" s="13">
        <f t="shared" si="350"/>
        <v>2217684.4300000002</v>
      </c>
      <c r="Q439" s="13">
        <f t="shared" si="350"/>
        <v>2217684.4300000002</v>
      </c>
      <c r="R439" s="13">
        <f t="shared" si="350"/>
        <v>2217684.4300000002</v>
      </c>
      <c r="S439" s="13">
        <f t="shared" si="350"/>
        <v>2217684.4300000002</v>
      </c>
      <c r="T439" s="13">
        <f t="shared" si="350"/>
        <v>2217684.4300000002</v>
      </c>
      <c r="U439" s="13">
        <f t="shared" si="350"/>
        <v>2217684.4300000002</v>
      </c>
      <c r="V439" s="13">
        <f t="shared" si="350"/>
        <v>2217684.4300000002</v>
      </c>
      <c r="W439" s="13"/>
      <c r="X439" s="377">
        <f>J439</f>
        <v>2083682</v>
      </c>
      <c r="Y439" s="321">
        <f t="shared" si="338"/>
        <v>1</v>
      </c>
      <c r="Z439" s="13">
        <v>2083682</v>
      </c>
      <c r="AA439" s="377">
        <f>J439</f>
        <v>2083682</v>
      </c>
      <c r="AB439" s="13">
        <f t="shared" si="342"/>
        <v>0</v>
      </c>
      <c r="AC439" s="13">
        <f>PCFP!T185</f>
        <v>0</v>
      </c>
    </row>
    <row r="440" spans="2:30" x14ac:dyDescent="0.2">
      <c r="B440" s="193" t="s">
        <v>314</v>
      </c>
      <c r="C440" s="194"/>
      <c r="D440" s="195"/>
      <c r="E440" s="195"/>
      <c r="F440" s="195"/>
      <c r="G440" s="195"/>
      <c r="H440" s="195"/>
      <c r="I440" s="195"/>
      <c r="J440" s="196">
        <f>SUM(J438:J439)</f>
        <v>2702398.81</v>
      </c>
      <c r="K440" s="196">
        <f t="shared" ref="K440:AA440" si="351">SUM(K438:K439)</f>
        <v>2615245.35</v>
      </c>
      <c r="L440" s="196">
        <f t="shared" si="351"/>
        <v>2331902.3200000003</v>
      </c>
      <c r="M440" s="196">
        <f t="shared" si="351"/>
        <v>2353889.7000000002</v>
      </c>
      <c r="N440" s="196">
        <f t="shared" si="351"/>
        <v>2402471.7800000003</v>
      </c>
      <c r="O440" s="196">
        <f t="shared" si="351"/>
        <v>2217684.4300000002</v>
      </c>
      <c r="P440" s="196">
        <f t="shared" si="351"/>
        <v>2217684.4300000002</v>
      </c>
      <c r="Q440" s="196">
        <f t="shared" si="351"/>
        <v>2217684.4300000002</v>
      </c>
      <c r="R440" s="196">
        <f t="shared" si="351"/>
        <v>2217684.4300000002</v>
      </c>
      <c r="S440" s="196">
        <f t="shared" si="351"/>
        <v>2217684.4300000002</v>
      </c>
      <c r="T440" s="196">
        <f t="shared" si="351"/>
        <v>2217684.4300000002</v>
      </c>
      <c r="U440" s="196">
        <f t="shared" si="351"/>
        <v>2217684.4300000002</v>
      </c>
      <c r="V440" s="196">
        <f t="shared" si="351"/>
        <v>2217684.4300000002</v>
      </c>
      <c r="W440" s="196">
        <f t="shared" si="351"/>
        <v>0</v>
      </c>
      <c r="X440" s="196">
        <f t="shared" ca="1" si="351"/>
        <v>2217684.4300000006</v>
      </c>
      <c r="Y440" s="326">
        <f t="shared" ca="1" si="351"/>
        <v>-32.952085170612577</v>
      </c>
      <c r="Z440" s="196">
        <f>SUM(Z438:Z439)</f>
        <v>2125024</v>
      </c>
      <c r="AA440" s="196">
        <f t="shared" si="351"/>
        <v>2333999</v>
      </c>
      <c r="AB440" s="13">
        <f>AA440-Z440</f>
        <v>208975</v>
      </c>
      <c r="AC440" s="13">
        <f>PCFP!T186</f>
        <v>0</v>
      </c>
    </row>
    <row r="441" spans="2:30" s="3" customFormat="1" x14ac:dyDescent="0.2">
      <c r="J441" s="62"/>
      <c r="K441" s="62"/>
      <c r="L441" s="62"/>
      <c r="M441" s="62"/>
      <c r="Y441" s="279"/>
    </row>
    <row r="442" spans="2:30" s="3" customFormat="1" x14ac:dyDescent="0.2"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Y442" s="279"/>
      <c r="AA442" s="355">
        <f>+AA430+AA435+AA434</f>
        <v>0</v>
      </c>
    </row>
    <row r="443" spans="2:30" s="3" customFormat="1" x14ac:dyDescent="0.2">
      <c r="Y443" s="279"/>
    </row>
    <row r="444" spans="2:30" s="3" customFormat="1" x14ac:dyDescent="0.2"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Y444" s="279"/>
    </row>
    <row r="445" spans="2:30" s="3" customFormat="1" x14ac:dyDescent="0.2">
      <c r="Y445" s="279"/>
    </row>
    <row r="446" spans="2:30" s="3" customFormat="1" x14ac:dyDescent="0.2">
      <c r="Y446" s="279"/>
    </row>
    <row r="447" spans="2:30" s="3" customFormat="1" x14ac:dyDescent="0.2">
      <c r="Y447" s="279"/>
    </row>
    <row r="448" spans="2:30" s="3" customFormat="1" x14ac:dyDescent="0.2">
      <c r="Y448" s="279"/>
    </row>
    <row r="449" spans="25:25" s="3" customFormat="1" x14ac:dyDescent="0.2">
      <c r="Y449" s="279"/>
    </row>
    <row r="450" spans="25:25" s="3" customFormat="1" x14ac:dyDescent="0.2">
      <c r="Y450" s="279"/>
    </row>
    <row r="451" spans="25:25" s="3" customFormat="1" x14ac:dyDescent="0.2">
      <c r="Y451" s="279"/>
    </row>
    <row r="452" spans="25:25" s="3" customFormat="1" x14ac:dyDescent="0.2">
      <c r="Y452" s="279"/>
    </row>
    <row r="453" spans="25:25" s="3" customFormat="1" x14ac:dyDescent="0.2">
      <c r="Y453" s="279"/>
    </row>
    <row r="454" spans="25:25" s="3" customFormat="1" x14ac:dyDescent="0.2">
      <c r="Y454" s="279"/>
    </row>
    <row r="455" spans="25:25" s="3" customFormat="1" x14ac:dyDescent="0.2">
      <c r="Y455" s="279"/>
    </row>
    <row r="456" spans="25:25" s="3" customFormat="1" x14ac:dyDescent="0.2">
      <c r="Y456" s="279"/>
    </row>
    <row r="457" spans="25:25" s="3" customFormat="1" x14ac:dyDescent="0.2">
      <c r="Y457" s="279"/>
    </row>
    <row r="458" spans="25:25" s="3" customFormat="1" x14ac:dyDescent="0.2">
      <c r="Y458" s="279"/>
    </row>
    <row r="459" spans="25:25" s="3" customFormat="1" x14ac:dyDescent="0.2">
      <c r="Y459" s="279"/>
    </row>
    <row r="460" spans="25:25" s="3" customFormat="1" x14ac:dyDescent="0.2">
      <c r="Y460" s="279"/>
    </row>
    <row r="461" spans="25:25" s="3" customFormat="1" x14ac:dyDescent="0.2">
      <c r="Y461" s="279"/>
    </row>
    <row r="462" spans="25:25" s="3" customFormat="1" x14ac:dyDescent="0.2">
      <c r="Y462" s="279"/>
    </row>
    <row r="463" spans="25:25" s="3" customFormat="1" x14ac:dyDescent="0.2">
      <c r="Y463" s="279"/>
    </row>
    <row r="464" spans="25:25" s="3" customFormat="1" x14ac:dyDescent="0.2">
      <c r="Y464" s="279"/>
    </row>
    <row r="465" spans="25:25" s="3" customFormat="1" x14ac:dyDescent="0.2">
      <c r="Y465" s="279"/>
    </row>
    <row r="466" spans="25:25" s="3" customFormat="1" x14ac:dyDescent="0.2">
      <c r="Y466" s="279"/>
    </row>
    <row r="467" spans="25:25" s="3" customFormat="1" x14ac:dyDescent="0.2">
      <c r="Y467" s="279"/>
    </row>
    <row r="468" spans="25:25" s="3" customFormat="1" x14ac:dyDescent="0.2">
      <c r="Y468" s="279"/>
    </row>
    <row r="469" spans="25:25" s="3" customFormat="1" x14ac:dyDescent="0.2">
      <c r="Y469" s="279"/>
    </row>
    <row r="470" spans="25:25" s="3" customFormat="1" x14ac:dyDescent="0.2">
      <c r="Y470" s="279"/>
    </row>
    <row r="471" spans="25:25" s="3" customFormat="1" x14ac:dyDescent="0.2">
      <c r="Y471" s="279"/>
    </row>
    <row r="472" spans="25:25" s="3" customFormat="1" x14ac:dyDescent="0.2">
      <c r="Y472" s="279"/>
    </row>
    <row r="473" spans="25:25" s="3" customFormat="1" x14ac:dyDescent="0.2">
      <c r="Y473" s="279"/>
    </row>
    <row r="474" spans="25:25" s="3" customFormat="1" x14ac:dyDescent="0.2">
      <c r="Y474" s="279"/>
    </row>
    <row r="475" spans="25:25" s="3" customFormat="1" x14ac:dyDescent="0.2">
      <c r="Y475" s="279"/>
    </row>
    <row r="476" spans="25:25" s="3" customFormat="1" x14ac:dyDescent="0.2">
      <c r="Y476" s="279"/>
    </row>
    <row r="477" spans="25:25" s="3" customFormat="1" x14ac:dyDescent="0.2">
      <c r="Y477" s="279"/>
    </row>
    <row r="478" spans="25:25" s="3" customFormat="1" x14ac:dyDescent="0.2">
      <c r="Y478" s="279"/>
    </row>
    <row r="479" spans="25:25" s="3" customFormat="1" x14ac:dyDescent="0.2">
      <c r="Y479" s="279"/>
    </row>
    <row r="480" spans="25:25" s="3" customFormat="1" x14ac:dyDescent="0.2">
      <c r="Y480" s="279"/>
    </row>
    <row r="481" spans="25:25" s="3" customFormat="1" x14ac:dyDescent="0.2">
      <c r="Y481" s="279"/>
    </row>
    <row r="482" spans="25:25" s="3" customFormat="1" x14ac:dyDescent="0.2">
      <c r="Y482" s="279"/>
    </row>
    <row r="483" spans="25:25" s="3" customFormat="1" x14ac:dyDescent="0.2">
      <c r="Y483" s="279"/>
    </row>
    <row r="484" spans="25:25" s="3" customFormat="1" x14ac:dyDescent="0.2">
      <c r="Y484" s="279"/>
    </row>
    <row r="485" spans="25:25" s="3" customFormat="1" x14ac:dyDescent="0.2">
      <c r="Y485" s="279"/>
    </row>
    <row r="486" spans="25:25" s="3" customFormat="1" x14ac:dyDescent="0.2">
      <c r="Y486" s="279"/>
    </row>
    <row r="487" spans="25:25" s="3" customFormat="1" x14ac:dyDescent="0.2">
      <c r="Y487" s="279"/>
    </row>
    <row r="488" spans="25:25" s="3" customFormat="1" x14ac:dyDescent="0.2">
      <c r="Y488" s="279"/>
    </row>
    <row r="489" spans="25:25" s="3" customFormat="1" x14ac:dyDescent="0.2">
      <c r="Y489" s="279"/>
    </row>
    <row r="490" spans="25:25" s="3" customFormat="1" x14ac:dyDescent="0.2">
      <c r="Y490" s="279"/>
    </row>
    <row r="491" spans="25:25" s="3" customFormat="1" x14ac:dyDescent="0.2">
      <c r="Y491" s="279"/>
    </row>
    <row r="492" spans="25:25" s="3" customFormat="1" x14ac:dyDescent="0.2">
      <c r="Y492" s="279"/>
    </row>
    <row r="493" spans="25:25" s="3" customFormat="1" x14ac:dyDescent="0.2">
      <c r="Y493" s="279"/>
    </row>
    <row r="494" spans="25:25" s="3" customFormat="1" x14ac:dyDescent="0.2">
      <c r="Y494" s="279"/>
    </row>
    <row r="495" spans="25:25" s="3" customFormat="1" x14ac:dyDescent="0.2">
      <c r="Y495" s="279"/>
    </row>
    <row r="496" spans="25:25" s="3" customFormat="1" x14ac:dyDescent="0.2">
      <c r="Y496" s="279"/>
    </row>
    <row r="497" spans="25:25" s="3" customFormat="1" x14ac:dyDescent="0.2">
      <c r="Y497" s="279"/>
    </row>
    <row r="498" spans="25:25" s="3" customFormat="1" x14ac:dyDescent="0.2">
      <c r="Y498" s="279"/>
    </row>
    <row r="499" spans="25:25" s="3" customFormat="1" x14ac:dyDescent="0.2">
      <c r="Y499" s="279"/>
    </row>
    <row r="500" spans="25:25" s="3" customFormat="1" x14ac:dyDescent="0.2">
      <c r="Y500" s="279"/>
    </row>
    <row r="501" spans="25:25" s="3" customFormat="1" x14ac:dyDescent="0.2">
      <c r="Y501" s="279"/>
    </row>
    <row r="502" spans="25:25" s="3" customFormat="1" x14ac:dyDescent="0.2">
      <c r="Y502" s="279"/>
    </row>
    <row r="503" spans="25:25" s="3" customFormat="1" x14ac:dyDescent="0.2">
      <c r="Y503" s="279"/>
    </row>
    <row r="504" spans="25:25" s="3" customFormat="1" x14ac:dyDescent="0.2">
      <c r="Y504" s="279"/>
    </row>
    <row r="505" spans="25:25" s="3" customFormat="1" x14ac:dyDescent="0.2">
      <c r="Y505" s="279"/>
    </row>
    <row r="506" spans="25:25" s="3" customFormat="1" x14ac:dyDescent="0.2">
      <c r="Y506" s="279"/>
    </row>
    <row r="507" spans="25:25" s="3" customFormat="1" x14ac:dyDescent="0.2">
      <c r="Y507" s="279"/>
    </row>
    <row r="508" spans="25:25" s="3" customFormat="1" x14ac:dyDescent="0.2">
      <c r="Y508" s="279"/>
    </row>
    <row r="509" spans="25:25" s="3" customFormat="1" x14ac:dyDescent="0.2">
      <c r="Y509" s="279"/>
    </row>
    <row r="510" spans="25:25" s="3" customFormat="1" x14ac:dyDescent="0.2">
      <c r="Y510" s="279"/>
    </row>
    <row r="511" spans="25:25" s="3" customFormat="1" x14ac:dyDescent="0.2">
      <c r="Y511" s="279"/>
    </row>
    <row r="512" spans="25:25" s="3" customFormat="1" x14ac:dyDescent="0.2">
      <c r="Y512" s="279"/>
    </row>
    <row r="513" spans="25:25" s="3" customFormat="1" x14ac:dyDescent="0.2">
      <c r="Y513" s="279"/>
    </row>
    <row r="514" spans="25:25" s="3" customFormat="1" x14ac:dyDescent="0.2">
      <c r="Y514" s="279"/>
    </row>
    <row r="515" spans="25:25" s="3" customFormat="1" x14ac:dyDescent="0.2">
      <c r="Y515" s="279"/>
    </row>
    <row r="516" spans="25:25" s="3" customFormat="1" x14ac:dyDescent="0.2">
      <c r="Y516" s="279"/>
    </row>
    <row r="517" spans="25:25" s="3" customFormat="1" x14ac:dyDescent="0.2">
      <c r="Y517" s="279"/>
    </row>
    <row r="518" spans="25:25" s="3" customFormat="1" x14ac:dyDescent="0.2">
      <c r="Y518" s="279"/>
    </row>
    <row r="519" spans="25:25" s="3" customFormat="1" x14ac:dyDescent="0.2">
      <c r="Y519" s="279"/>
    </row>
    <row r="520" spans="25:25" s="3" customFormat="1" x14ac:dyDescent="0.2">
      <c r="Y520" s="279"/>
    </row>
    <row r="521" spans="25:25" s="3" customFormat="1" x14ac:dyDescent="0.2">
      <c r="Y521" s="279"/>
    </row>
    <row r="522" spans="25:25" s="3" customFormat="1" x14ac:dyDescent="0.2">
      <c r="Y522" s="279"/>
    </row>
    <row r="523" spans="25:25" s="3" customFormat="1" x14ac:dyDescent="0.2">
      <c r="Y523" s="279"/>
    </row>
    <row r="524" spans="25:25" s="3" customFormat="1" x14ac:dyDescent="0.2">
      <c r="Y524" s="279"/>
    </row>
    <row r="525" spans="25:25" s="3" customFormat="1" x14ac:dyDescent="0.2">
      <c r="Y525" s="279"/>
    </row>
    <row r="526" spans="25:25" s="3" customFormat="1" x14ac:dyDescent="0.2">
      <c r="Y526" s="279"/>
    </row>
    <row r="527" spans="25:25" s="3" customFormat="1" x14ac:dyDescent="0.2">
      <c r="Y527" s="279"/>
    </row>
    <row r="528" spans="25:25" s="3" customFormat="1" x14ac:dyDescent="0.2">
      <c r="Y528" s="279"/>
    </row>
    <row r="529" spans="25:25" s="3" customFormat="1" x14ac:dyDescent="0.2">
      <c r="Y529" s="279"/>
    </row>
    <row r="530" spans="25:25" s="3" customFormat="1" x14ac:dyDescent="0.2">
      <c r="Y530" s="279"/>
    </row>
    <row r="531" spans="25:25" s="3" customFormat="1" x14ac:dyDescent="0.2">
      <c r="Y531" s="279"/>
    </row>
    <row r="532" spans="25:25" s="3" customFormat="1" x14ac:dyDescent="0.2">
      <c r="Y532" s="279"/>
    </row>
    <row r="533" spans="25:25" s="3" customFormat="1" x14ac:dyDescent="0.2">
      <c r="Y533" s="279"/>
    </row>
    <row r="534" spans="25:25" s="3" customFormat="1" x14ac:dyDescent="0.2">
      <c r="Y534" s="279"/>
    </row>
    <row r="535" spans="25:25" s="3" customFormat="1" x14ac:dyDescent="0.2">
      <c r="Y535" s="279"/>
    </row>
    <row r="536" spans="25:25" s="3" customFormat="1" x14ac:dyDescent="0.2">
      <c r="Y536" s="279"/>
    </row>
    <row r="537" spans="25:25" s="3" customFormat="1" x14ac:dyDescent="0.2">
      <c r="Y537" s="279"/>
    </row>
    <row r="538" spans="25:25" s="3" customFormat="1" x14ac:dyDescent="0.2">
      <c r="Y538" s="279"/>
    </row>
    <row r="539" spans="25:25" s="3" customFormat="1" x14ac:dyDescent="0.2">
      <c r="Y539" s="279"/>
    </row>
    <row r="540" spans="25:25" s="3" customFormat="1" x14ac:dyDescent="0.2">
      <c r="Y540" s="279"/>
    </row>
    <row r="541" spans="25:25" s="3" customFormat="1" x14ac:dyDescent="0.2">
      <c r="Y541" s="279"/>
    </row>
    <row r="542" spans="25:25" s="3" customFormat="1" x14ac:dyDescent="0.2">
      <c r="Y542" s="279"/>
    </row>
    <row r="543" spans="25:25" s="3" customFormat="1" x14ac:dyDescent="0.2">
      <c r="Y543" s="279"/>
    </row>
    <row r="544" spans="25:25" s="3" customFormat="1" x14ac:dyDescent="0.2">
      <c r="Y544" s="279"/>
    </row>
    <row r="545" spans="25:25" s="3" customFormat="1" x14ac:dyDescent="0.2">
      <c r="Y545" s="279"/>
    </row>
    <row r="546" spans="25:25" s="3" customFormat="1" x14ac:dyDescent="0.2">
      <c r="Y546" s="279"/>
    </row>
    <row r="547" spans="25:25" s="3" customFormat="1" x14ac:dyDescent="0.2">
      <c r="Y547" s="279"/>
    </row>
    <row r="548" spans="25:25" s="3" customFormat="1" x14ac:dyDescent="0.2">
      <c r="Y548" s="279"/>
    </row>
    <row r="549" spans="25:25" s="3" customFormat="1" x14ac:dyDescent="0.2">
      <c r="Y549" s="279"/>
    </row>
    <row r="550" spans="25:25" s="3" customFormat="1" x14ac:dyDescent="0.2">
      <c r="Y550" s="279"/>
    </row>
  </sheetData>
  <autoFilter ref="C8:I416" xr:uid="{8363811E-C09C-492B-BCCB-FDB294723DB8}"/>
  <phoneticPr fontId="40" type="noConversion"/>
  <pageMargins left="0.5" right="0.5" top="0.5" bottom="0.5" header="0" footer="0"/>
  <pageSetup paperSize="5" scale="47" fitToHeight="0" orientation="landscape" r:id="rId1"/>
  <rowBreaks count="1" manualBreakCount="1">
    <brk id="417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5B173A-8FDA-4B0D-B615-C565851F67F7}">
          <x14:formula1>
            <xm:f>'Data Tables DONT EDIT'!$A$3:$A$15</xm:f>
          </x14:formula1>
          <xm:sqref>X4:X5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938A5-EA5E-46C7-9AFA-AB412C2DEC4A}">
  <sheetPr codeName="Sheet9">
    <pageSetUpPr fitToPage="1"/>
  </sheetPr>
  <dimension ref="B1:W133"/>
  <sheetViews>
    <sheetView zoomScale="110" zoomScaleNormal="110" workbookViewId="0">
      <pane ySplit="8" topLeftCell="A18" activePane="bottomLeft" state="frozen"/>
      <selection activeCell="R431" sqref="R431"/>
      <selection pane="bottomLeft" activeCell="T22" sqref="T22:V22"/>
    </sheetView>
  </sheetViews>
  <sheetFormatPr defaultRowHeight="12.75" x14ac:dyDescent="0.2"/>
  <cols>
    <col min="1" max="1" width="1.7109375" customWidth="1"/>
    <col min="2" max="2" width="54.42578125" customWidth="1"/>
    <col min="3" max="9" width="3.42578125" hidden="1" customWidth="1"/>
    <col min="10" max="10" width="13.28515625" hidden="1" customWidth="1"/>
    <col min="11" max="13" width="13.140625" hidden="1" customWidth="1"/>
    <col min="14" max="14" width="13.140625" customWidth="1"/>
    <col min="15" max="15" width="15" customWidth="1"/>
    <col min="16" max="20" width="13.140625" customWidth="1"/>
    <col min="21" max="22" width="14.140625" customWidth="1"/>
    <col min="23" max="23" width="14.140625" hidden="1" customWidth="1"/>
  </cols>
  <sheetData>
    <row r="1" spans="2:23" x14ac:dyDescent="0.2">
      <c r="B1" s="96" t="str">
        <f>'# of Students'!A1</f>
        <v>Beacon Academy of Nevada</v>
      </c>
      <c r="C1" s="97"/>
      <c r="D1" s="97"/>
      <c r="E1" s="97"/>
      <c r="F1" s="97"/>
      <c r="G1" s="97"/>
      <c r="H1" s="97"/>
      <c r="I1" s="9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</row>
    <row r="2" spans="2:23" x14ac:dyDescent="0.2">
      <c r="B2" s="96" t="s">
        <v>1005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2:23" x14ac:dyDescent="0.2">
      <c r="B3" s="96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2:23" x14ac:dyDescent="0.2">
      <c r="B4" s="704" t="s">
        <v>805</v>
      </c>
      <c r="C4" s="690"/>
      <c r="D4" s="690"/>
      <c r="E4" s="690"/>
      <c r="F4" s="690"/>
      <c r="G4" s="690"/>
      <c r="H4" s="689"/>
      <c r="I4" s="689"/>
      <c r="J4" s="691"/>
      <c r="K4" s="691">
        <f>-'MYP Detail'!K4</f>
        <v>0</v>
      </c>
      <c r="L4" s="691">
        <f>-'MYP Detail'!L4</f>
        <v>-0.12</v>
      </c>
      <c r="M4" s="692">
        <f>'MYP Detail'!M4</f>
        <v>-2.5822755473173063E-2</v>
      </c>
      <c r="N4" s="941">
        <f>'MYP Detail'!N4</f>
        <v>1.3338891204668612E-2</v>
      </c>
      <c r="O4" s="499">
        <f>'MYP Detail'!O4</f>
        <v>1.9591496456857024E-2</v>
      </c>
      <c r="P4" s="372"/>
      <c r="Q4" s="691">
        <f>-'MYP Detail'!Q4</f>
        <v>0</v>
      </c>
      <c r="R4" s="372"/>
      <c r="S4" s="691">
        <f>-'MYP Detail'!S4</f>
        <v>0</v>
      </c>
      <c r="T4" s="691">
        <f>-'MYP Detail'!T4</f>
        <v>0</v>
      </c>
      <c r="U4" s="691">
        <f>-'MYP Detail'!U4</f>
        <v>0</v>
      </c>
      <c r="V4" s="691">
        <f>-'MYP Detail'!V4</f>
        <v>0</v>
      </c>
      <c r="W4" s="691">
        <f>-'MYP Detail'!W4</f>
        <v>0</v>
      </c>
    </row>
    <row r="5" spans="2:23" x14ac:dyDescent="0.2">
      <c r="B5" s="704" t="s">
        <v>1003</v>
      </c>
      <c r="C5" s="690"/>
      <c r="D5" s="690"/>
      <c r="E5" s="690"/>
      <c r="F5" s="690"/>
      <c r="G5" s="690"/>
      <c r="H5" s="689"/>
      <c r="I5" s="693"/>
      <c r="J5" s="691"/>
      <c r="K5" s="694">
        <f>'MYP Detail'!K5</f>
        <v>7197</v>
      </c>
      <c r="L5" s="694">
        <f>'MYP Detail'!L5</f>
        <v>6487.6900333160629</v>
      </c>
      <c r="M5" s="694">
        <f>'MYP Detail'!M5</f>
        <v>7182</v>
      </c>
      <c r="N5" s="942">
        <f>'MYP Detail'!N5</f>
        <v>7293</v>
      </c>
      <c r="O5" s="494">
        <f>'MYP Detail'!O5</f>
        <v>7197</v>
      </c>
      <c r="P5" s="492"/>
      <c r="Q5" s="694">
        <f>'MYP Detail'!Q5</f>
        <v>7338</v>
      </c>
      <c r="R5" s="492"/>
      <c r="S5" s="694">
        <f>'MYP Detail'!S5</f>
        <v>7411.38</v>
      </c>
      <c r="T5" s="694">
        <f>'MYP Detail'!T5</f>
        <v>7485.4938000000002</v>
      </c>
      <c r="U5" s="694">
        <f>'MYP Detail'!U5</f>
        <v>7560.3487380000006</v>
      </c>
      <c r="V5" s="694">
        <f>'MYP Detail'!V5</f>
        <v>7635.9522253800005</v>
      </c>
      <c r="W5" s="694">
        <f>'MYP Detail'!W5</f>
        <v>7712.3117476338002</v>
      </c>
    </row>
    <row r="6" spans="2:23" x14ac:dyDescent="0.2">
      <c r="B6" s="705" t="s">
        <v>372</v>
      </c>
      <c r="C6" s="696"/>
      <c r="D6" s="696"/>
      <c r="E6" s="696"/>
      <c r="F6" s="696"/>
      <c r="G6" s="696"/>
      <c r="H6" s="695"/>
      <c r="I6" s="695"/>
      <c r="J6" s="697">
        <f>'MYP Detail'!J6</f>
        <v>0</v>
      </c>
      <c r="K6" s="697">
        <f>'MYP Detail'!K6</f>
        <v>370</v>
      </c>
      <c r="L6" s="697">
        <f>'MYP Detail'!L6</f>
        <v>585</v>
      </c>
      <c r="M6" s="697">
        <f>'MYP Detail'!M6</f>
        <v>585</v>
      </c>
      <c r="N6" s="943">
        <f>'MYP Detail'!N6</f>
        <v>335</v>
      </c>
      <c r="O6" s="495">
        <f>'MYP Detail'!O6</f>
        <v>370</v>
      </c>
      <c r="P6" s="369"/>
      <c r="Q6" s="697">
        <f>'MYP Detail'!Q6</f>
        <v>585</v>
      </c>
      <c r="R6" s="369"/>
      <c r="S6" s="697">
        <f>'MYP Detail'!S6</f>
        <v>650</v>
      </c>
      <c r="T6" s="697">
        <f>'MYP Detail'!T6</f>
        <v>700</v>
      </c>
      <c r="U6" s="697">
        <f>'MYP Detail'!U6</f>
        <v>735</v>
      </c>
      <c r="V6" s="697">
        <f>'MYP Detail'!V6</f>
        <v>740</v>
      </c>
      <c r="W6" s="697">
        <f>'MYP Detail'!W6</f>
        <v>735</v>
      </c>
    </row>
    <row r="7" spans="2:23" x14ac:dyDescent="0.2">
      <c r="B7" s="705" t="s">
        <v>804</v>
      </c>
      <c r="C7" s="696"/>
      <c r="D7" s="696"/>
      <c r="E7" s="696"/>
      <c r="F7" s="696"/>
      <c r="G7" s="696"/>
      <c r="H7" s="696"/>
      <c r="I7" s="696"/>
      <c r="J7" s="698">
        <v>44012</v>
      </c>
      <c r="K7" s="699" t="s">
        <v>153</v>
      </c>
      <c r="L7" s="700">
        <f>'MYP Detail'!L7</f>
        <v>44299</v>
      </c>
      <c r="M7" s="700">
        <f>'MYP Detail'!M7</f>
        <v>44334</v>
      </c>
      <c r="N7" s="944">
        <f>'MYP Detail'!N7</f>
        <v>44516</v>
      </c>
      <c r="O7" s="613">
        <v>44516</v>
      </c>
      <c r="P7" s="373"/>
      <c r="Q7" s="699" t="str">
        <f>'MYP Detail'!Q7</f>
        <v>Forecast</v>
      </c>
      <c r="R7" s="373"/>
      <c r="S7" s="699" t="str">
        <f>'MYP Detail'!S7</f>
        <v>Forecast</v>
      </c>
      <c r="T7" s="699" t="str">
        <f>'MYP Detail'!T7</f>
        <v>Forecast</v>
      </c>
      <c r="U7" s="699" t="str">
        <f>'MYP Detail'!U7</f>
        <v>Forecast</v>
      </c>
      <c r="V7" s="699" t="str">
        <f>'MYP Detail'!V7</f>
        <v>Forecast</v>
      </c>
      <c r="W7" s="699" t="str">
        <f>'MYP Detail'!W7</f>
        <v>Forecast</v>
      </c>
    </row>
    <row r="8" spans="2:23" ht="51" customHeight="1" x14ac:dyDescent="0.2">
      <c r="B8" s="701"/>
      <c r="C8" s="702" t="s">
        <v>117</v>
      </c>
      <c r="D8" s="702" t="s">
        <v>128</v>
      </c>
      <c r="E8" s="702" t="s">
        <v>129</v>
      </c>
      <c r="F8" s="702" t="s">
        <v>119</v>
      </c>
      <c r="G8" s="702" t="s">
        <v>120</v>
      </c>
      <c r="H8" s="702" t="s">
        <v>121</v>
      </c>
      <c r="I8" s="702" t="s">
        <v>373</v>
      </c>
      <c r="J8" s="703" t="str">
        <f>'MYP Detail'!J8</f>
        <v>FINAL FY20</v>
      </c>
      <c r="K8" s="703" t="str">
        <f>'MYP Detail'!K8</f>
        <v>FINAL FY21</v>
      </c>
      <c r="L8" s="703" t="str">
        <f>'MYP Detail'!L8</f>
        <v>Tentative FY2122</v>
      </c>
      <c r="M8" s="703" t="str">
        <f>'MYP Detail'!M8</f>
        <v>Final FY2122</v>
      </c>
      <c r="N8" s="945" t="str">
        <f>'MYP Detail'!N8</f>
        <v>Final FY2122</v>
      </c>
      <c r="O8" s="497" t="str">
        <f>'MYP Detail'!O8</f>
        <v>Proposed Final FY2122</v>
      </c>
      <c r="P8" s="290" t="str">
        <f>'MYP Detail'!P8</f>
        <v>Difference Between Final &amp; Proposed Amended Final</v>
      </c>
      <c r="Q8" s="703" t="str">
        <f>'MYP Detail'!Q8</f>
        <v>FY2223</v>
      </c>
      <c r="R8" s="290" t="str">
        <f>'MYP Detail'!R8</f>
        <v>Difference Between Final &amp; Final FY2122</v>
      </c>
      <c r="S8" s="703" t="str">
        <f>'MYP Detail'!S8</f>
        <v>FY2324</v>
      </c>
      <c r="T8" s="703" t="str">
        <f>'MYP Detail'!T8</f>
        <v>FY2425</v>
      </c>
      <c r="U8" s="703" t="str">
        <f>'MYP Detail'!U8</f>
        <v>FY2526</v>
      </c>
      <c r="V8" s="703" t="str">
        <f>'MYP Detail'!V8</f>
        <v>FY2627</v>
      </c>
      <c r="W8" s="703" t="str">
        <f>'MYP Detail'!W8</f>
        <v>FY2728</v>
      </c>
    </row>
    <row r="9" spans="2:23" ht="12.75" customHeight="1" x14ac:dyDescent="0.2">
      <c r="B9" s="616" t="s">
        <v>138</v>
      </c>
      <c r="C9" s="617"/>
      <c r="D9" s="618"/>
      <c r="E9" s="617"/>
      <c r="F9" s="617"/>
      <c r="G9" s="619"/>
      <c r="H9" s="620"/>
      <c r="I9" s="621"/>
      <c r="J9" s="622">
        <f>'MYP Detail'!J18</f>
        <v>13909105.84</v>
      </c>
      <c r="K9" s="622">
        <f>'MYP Detail'!K18</f>
        <v>3178926.58</v>
      </c>
      <c r="L9" s="622">
        <f>'MYP Detail'!L18</f>
        <v>4076569</v>
      </c>
      <c r="M9" s="622">
        <f>'MYP Detail'!M18</f>
        <v>4482740</v>
      </c>
      <c r="N9" s="622">
        <f>'MYP Detail'!N18</f>
        <v>3328458</v>
      </c>
      <c r="O9" s="622">
        <f>'MYP Detail'!O18</f>
        <v>3580353</v>
      </c>
      <c r="P9" s="622">
        <f>'MYP Detail'!P18</f>
        <v>251895</v>
      </c>
      <c r="Q9" s="622">
        <f>'MYP Detail'!Q18</f>
        <v>4678919</v>
      </c>
      <c r="R9" s="622">
        <f t="shared" ref="R9:R11" si="0">Q9-N9</f>
        <v>1350461</v>
      </c>
      <c r="S9" s="622">
        <f>'MYP Detail'!S18</f>
        <v>5266241</v>
      </c>
      <c r="T9" s="622">
        <f>'MYP Detail'!T18</f>
        <v>5733151</v>
      </c>
      <c r="U9" s="622">
        <f>'MYP Detail'!U18</f>
        <v>6083034</v>
      </c>
      <c r="V9" s="622">
        <f>'MYP Detail'!V18</f>
        <v>6220536</v>
      </c>
      <c r="W9" s="622">
        <f>'MYP Detail'!W18</f>
        <v>6239582</v>
      </c>
    </row>
    <row r="10" spans="2:23" ht="12.75" customHeight="1" x14ac:dyDescent="0.2">
      <c r="B10" s="623" t="s">
        <v>143</v>
      </c>
      <c r="C10" s="624"/>
      <c r="D10" s="624"/>
      <c r="E10" s="624"/>
      <c r="F10" s="624"/>
      <c r="G10" s="625"/>
      <c r="H10" s="626"/>
      <c r="I10" s="627"/>
      <c r="J10" s="622">
        <f>'MYP Detail'!J38</f>
        <v>685737.19</v>
      </c>
      <c r="K10" s="622">
        <f>'MYP Detail'!K38</f>
        <v>1188559.1999999997</v>
      </c>
      <c r="L10" s="622">
        <f>'MYP Detail'!L38</f>
        <v>1226832</v>
      </c>
      <c r="M10" s="622">
        <f>'MYP Detail'!M38</f>
        <v>1876274.5500000003</v>
      </c>
      <c r="N10" s="622">
        <f>'MYP Detail'!N38</f>
        <v>1990215</v>
      </c>
      <c r="O10" s="622">
        <f>'MYP Detail'!O38</f>
        <v>1622230</v>
      </c>
      <c r="P10" s="622">
        <f>'MYP Detail'!P38</f>
        <v>-367985</v>
      </c>
      <c r="Q10" s="622">
        <f>'MYP Detail'!Q38</f>
        <v>1267141</v>
      </c>
      <c r="R10" s="622">
        <f t="shared" si="0"/>
        <v>-723074</v>
      </c>
      <c r="S10" s="622">
        <f>'MYP Detail'!S38</f>
        <v>667212</v>
      </c>
      <c r="T10" s="622">
        <f>'MYP Detail'!T38</f>
        <v>682359</v>
      </c>
      <c r="U10" s="622">
        <f>'MYP Detail'!U38</f>
        <v>693720</v>
      </c>
      <c r="V10" s="622">
        <f>'MYP Detail'!V38</f>
        <v>711392</v>
      </c>
      <c r="W10" s="622">
        <f>'MYP Detail'!W38</f>
        <v>712655</v>
      </c>
    </row>
    <row r="11" spans="2:23" ht="12.75" customHeight="1" x14ac:dyDescent="0.2">
      <c r="B11" s="616" t="s">
        <v>149</v>
      </c>
      <c r="C11" s="628"/>
      <c r="D11" s="628"/>
      <c r="E11" s="628"/>
      <c r="F11" s="628"/>
      <c r="G11" s="628"/>
      <c r="H11" s="628"/>
      <c r="I11" s="629"/>
      <c r="J11" s="622">
        <f>'MYP Detail'!J52</f>
        <v>22216.39</v>
      </c>
      <c r="K11" s="622">
        <f>'MYP Detail'!K52</f>
        <v>290271.98</v>
      </c>
      <c r="L11" s="622">
        <f>'MYP Detail'!L52</f>
        <v>9100</v>
      </c>
      <c r="M11" s="622">
        <f>'MYP Detail'!M52</f>
        <v>2893.2700000000004</v>
      </c>
      <c r="N11" s="622">
        <f>'MYP Detail'!N52</f>
        <v>2893</v>
      </c>
      <c r="O11" s="622">
        <f>'MYP Detail'!O52</f>
        <v>1569180</v>
      </c>
      <c r="P11" s="622">
        <f>'MYP Detail'!P52</f>
        <v>1566287</v>
      </c>
      <c r="Q11" s="622">
        <f>'MYP Detail'!Q52</f>
        <v>2893</v>
      </c>
      <c r="R11" s="622">
        <f t="shared" si="0"/>
        <v>0</v>
      </c>
      <c r="S11" s="622">
        <f>'MYP Detail'!S52</f>
        <v>2893</v>
      </c>
      <c r="T11" s="622">
        <f>'MYP Detail'!T52</f>
        <v>2893</v>
      </c>
      <c r="U11" s="622">
        <f>'MYP Detail'!U52</f>
        <v>2893</v>
      </c>
      <c r="V11" s="622">
        <f>'MYP Detail'!V52</f>
        <v>2893</v>
      </c>
      <c r="W11" s="622">
        <f>'MYP Detail'!W52</f>
        <v>2893</v>
      </c>
    </row>
    <row r="12" spans="2:23" ht="12.75" customHeight="1" thickBot="1" x14ac:dyDescent="0.25">
      <c r="B12" s="446" t="s">
        <v>150</v>
      </c>
      <c r="C12" s="105"/>
      <c r="D12" s="105"/>
      <c r="E12" s="105"/>
      <c r="F12" s="105"/>
      <c r="G12" s="105"/>
      <c r="H12" s="105"/>
      <c r="I12" s="444"/>
      <c r="J12" s="91">
        <f t="shared" ref="J12:W12" si="1">SUM(J11,J10,J9)</f>
        <v>14617059.42</v>
      </c>
      <c r="K12" s="91">
        <f t="shared" si="1"/>
        <v>4657757.76</v>
      </c>
      <c r="L12" s="91">
        <f t="shared" si="1"/>
        <v>5312501</v>
      </c>
      <c r="M12" s="91">
        <f t="shared" si="1"/>
        <v>6361907.8200000003</v>
      </c>
      <c r="N12" s="91">
        <f t="shared" si="1"/>
        <v>5321566</v>
      </c>
      <c r="O12" s="91">
        <f t="shared" si="1"/>
        <v>6771763</v>
      </c>
      <c r="P12" s="91">
        <f t="shared" si="1"/>
        <v>1450197</v>
      </c>
      <c r="Q12" s="91">
        <f t="shared" si="1"/>
        <v>5948953</v>
      </c>
      <c r="R12" s="91">
        <f>Q12-N12</f>
        <v>627387</v>
      </c>
      <c r="S12" s="91">
        <f t="shared" si="1"/>
        <v>5936346</v>
      </c>
      <c r="T12" s="91">
        <f t="shared" si="1"/>
        <v>6418403</v>
      </c>
      <c r="U12" s="91">
        <f t="shared" si="1"/>
        <v>6779647</v>
      </c>
      <c r="V12" s="91">
        <f t="shared" si="1"/>
        <v>6934821</v>
      </c>
      <c r="W12" s="91">
        <f t="shared" si="1"/>
        <v>6955130</v>
      </c>
    </row>
    <row r="13" spans="2:23" ht="13.5" thickTop="1" x14ac:dyDescent="0.2">
      <c r="B13" s="630" t="s">
        <v>174</v>
      </c>
      <c r="C13" s="631"/>
      <c r="D13" s="632"/>
      <c r="E13" s="632"/>
      <c r="F13" s="631"/>
      <c r="G13" s="633"/>
      <c r="H13" s="634"/>
      <c r="I13" s="635"/>
      <c r="J13" s="12">
        <f>'MYP Detail'!J122</f>
        <v>1354812.2599999998</v>
      </c>
      <c r="K13" s="12">
        <f>'MYP Detail'!K122</f>
        <v>1279957.5</v>
      </c>
      <c r="L13" s="12">
        <f>'MYP Detail'!L122</f>
        <v>1842688</v>
      </c>
      <c r="M13" s="12">
        <f>'MYP Detail'!M122</f>
        <v>1857155</v>
      </c>
      <c r="N13" s="12">
        <f>'MYP Detail'!N122</f>
        <v>1822230</v>
      </c>
      <c r="O13" s="12">
        <f>'MYP Detail'!O122</f>
        <v>1763230</v>
      </c>
      <c r="P13" s="12">
        <f>'MYP Detail'!P122</f>
        <v>-59000</v>
      </c>
      <c r="Q13" s="12">
        <f>'MYP Detail'!Q122</f>
        <v>1815361</v>
      </c>
      <c r="R13" s="12">
        <f t="shared" ref="R13:R23" si="2">Q13-N13</f>
        <v>-6869</v>
      </c>
      <c r="S13" s="12">
        <f>'MYP Detail'!S122</f>
        <v>2024217</v>
      </c>
      <c r="T13" s="12">
        <f>'MYP Detail'!T122</f>
        <v>2299504</v>
      </c>
      <c r="U13" s="12">
        <f>'MYP Detail'!U122</f>
        <v>2487794</v>
      </c>
      <c r="V13" s="12">
        <f>'MYP Detail'!V122</f>
        <v>2606584</v>
      </c>
      <c r="W13" s="12">
        <f>'MYP Detail'!W122</f>
        <v>2674973</v>
      </c>
    </row>
    <row r="14" spans="2:23" x14ac:dyDescent="0.2">
      <c r="B14" s="630" t="s">
        <v>175</v>
      </c>
      <c r="C14" s="631"/>
      <c r="D14" s="632"/>
      <c r="E14" s="632"/>
      <c r="F14" s="631"/>
      <c r="G14" s="631"/>
      <c r="H14" s="636"/>
      <c r="I14" s="637"/>
      <c r="J14" s="12">
        <f>'MYP Detail'!J159</f>
        <v>651133.57000000007</v>
      </c>
      <c r="K14" s="12">
        <f>'MYP Detail'!K159</f>
        <v>586758.08999999985</v>
      </c>
      <c r="L14" s="12">
        <f>'MYP Detail'!L159</f>
        <v>873243</v>
      </c>
      <c r="M14" s="12">
        <f>'MYP Detail'!M159</f>
        <v>852437</v>
      </c>
      <c r="N14" s="12">
        <f>'MYP Detail'!N159</f>
        <v>901875</v>
      </c>
      <c r="O14" s="12">
        <f>'MYP Detail'!O159</f>
        <v>825875</v>
      </c>
      <c r="P14" s="12">
        <f>'MYP Detail'!P159</f>
        <v>-76000</v>
      </c>
      <c r="Q14" s="12">
        <f>'MYP Detail'!Q159</f>
        <v>1016146</v>
      </c>
      <c r="R14" s="12">
        <f t="shared" si="2"/>
        <v>114271</v>
      </c>
      <c r="S14" s="12">
        <f>'MYP Detail'!S159</f>
        <v>1007431</v>
      </c>
      <c r="T14" s="12">
        <f>'MYP Detail'!T159</f>
        <v>1021229</v>
      </c>
      <c r="U14" s="12">
        <f>'MYP Detail'!U159</f>
        <v>1084617</v>
      </c>
      <c r="V14" s="12">
        <f>'MYP Detail'!V159</f>
        <v>1113669</v>
      </c>
      <c r="W14" s="12">
        <f>'MYP Detail'!W159</f>
        <v>1142720</v>
      </c>
    </row>
    <row r="15" spans="2:23" x14ac:dyDescent="0.2">
      <c r="B15" s="630" t="s">
        <v>176</v>
      </c>
      <c r="C15" s="631"/>
      <c r="D15" s="632"/>
      <c r="E15" s="632"/>
      <c r="F15" s="631"/>
      <c r="G15" s="631"/>
      <c r="H15" s="636"/>
      <c r="I15" s="637"/>
      <c r="J15" s="12">
        <f t="shared" ref="J15" si="3">SUM(J14,J13)</f>
        <v>2005945.8299999998</v>
      </c>
      <c r="K15" s="12">
        <f>SUM(K14,K13)</f>
        <v>1866715.5899999999</v>
      </c>
      <c r="L15" s="12">
        <f>SUM(L14,L13)</f>
        <v>2715931</v>
      </c>
      <c r="M15" s="12">
        <f>SUM(M14,M13)</f>
        <v>2709592</v>
      </c>
      <c r="N15" s="12">
        <f>SUM(N14,N13)</f>
        <v>2724105</v>
      </c>
      <c r="O15" s="12">
        <f>SUM(O14,O13)</f>
        <v>2589105</v>
      </c>
      <c r="P15" s="12">
        <f t="shared" ref="P15" si="4">SUM(P14,P13)</f>
        <v>-135000</v>
      </c>
      <c r="Q15" s="12">
        <f t="shared" ref="Q15:V15" si="5">SUM(Q14,Q13)</f>
        <v>2831507</v>
      </c>
      <c r="R15" s="12">
        <f t="shared" si="2"/>
        <v>107402</v>
      </c>
      <c r="S15" s="12">
        <f t="shared" ref="S15" si="6">SUM(S14,S13)</f>
        <v>3031648</v>
      </c>
      <c r="T15" s="12">
        <f t="shared" si="5"/>
        <v>3320733</v>
      </c>
      <c r="U15" s="12">
        <f t="shared" si="5"/>
        <v>3572411</v>
      </c>
      <c r="V15" s="12">
        <f t="shared" si="5"/>
        <v>3720253</v>
      </c>
      <c r="W15" s="12">
        <f t="shared" ref="W15" si="7">SUM(W14,W13)</f>
        <v>3817693</v>
      </c>
    </row>
    <row r="16" spans="2:23" x14ac:dyDescent="0.2">
      <c r="B16" s="630" t="s">
        <v>195</v>
      </c>
      <c r="C16" s="631"/>
      <c r="D16" s="632"/>
      <c r="E16" s="632"/>
      <c r="F16" s="631"/>
      <c r="G16" s="631"/>
      <c r="H16" s="636"/>
      <c r="I16" s="637"/>
      <c r="J16" s="12">
        <f>'MYP Detail'!J171</f>
        <v>704725.46999999939</v>
      </c>
      <c r="K16" s="12">
        <f>'MYP Detail'!K171</f>
        <v>639118.72</v>
      </c>
      <c r="L16" s="12">
        <f>'MYP Detail'!L171</f>
        <v>1172901</v>
      </c>
      <c r="M16" s="12">
        <f>'MYP Detail'!M171</f>
        <v>1170812</v>
      </c>
      <c r="N16" s="12">
        <f>'MYP Detail'!N171</f>
        <v>1035842</v>
      </c>
      <c r="O16" s="12">
        <f>'MYP Detail'!O171</f>
        <v>968433</v>
      </c>
      <c r="P16" s="12">
        <f>'MYP Detail'!P171</f>
        <v>-67409</v>
      </c>
      <c r="Q16" s="810">
        <f>'MYP Detail'!Q171</f>
        <v>1088163</v>
      </c>
      <c r="R16" s="810">
        <f t="shared" si="2"/>
        <v>52321</v>
      </c>
      <c r="S16" s="810">
        <f>'MYP Detail'!S171</f>
        <v>1181406</v>
      </c>
      <c r="T16" s="810">
        <f>'MYP Detail'!T171</f>
        <v>1308177</v>
      </c>
      <c r="U16" s="810">
        <f>'MYP Detail'!U171</f>
        <v>1415068</v>
      </c>
      <c r="V16" s="810">
        <f>'MYP Detail'!V171</f>
        <v>1465002</v>
      </c>
      <c r="W16" s="12">
        <f>'MYP Detail'!W171</f>
        <v>1490911</v>
      </c>
    </row>
    <row r="17" spans="2:23" x14ac:dyDescent="0.2">
      <c r="B17" s="638" t="s">
        <v>196</v>
      </c>
      <c r="C17" s="631"/>
      <c r="D17" s="632"/>
      <c r="E17" s="632"/>
      <c r="F17" s="631"/>
      <c r="G17" s="631"/>
      <c r="H17" s="636"/>
      <c r="I17" s="637"/>
      <c r="J17" s="639">
        <f t="shared" ref="J17:W17" si="8">SUM(J15:J16)</f>
        <v>2710671.2999999993</v>
      </c>
      <c r="K17" s="639">
        <f t="shared" ref="K17:Q17" si="9">SUM(K15:K16)</f>
        <v>2505834.3099999996</v>
      </c>
      <c r="L17" s="639">
        <f t="shared" si="9"/>
        <v>3888832</v>
      </c>
      <c r="M17" s="639">
        <f t="shared" si="9"/>
        <v>3880404</v>
      </c>
      <c r="N17" s="639">
        <f t="shared" ref="N17" si="10">SUM(N15:N16)</f>
        <v>3759947</v>
      </c>
      <c r="O17" s="639">
        <f t="shared" si="9"/>
        <v>3557538</v>
      </c>
      <c r="P17" s="639">
        <f t="shared" si="9"/>
        <v>-202409</v>
      </c>
      <c r="Q17" s="811">
        <f t="shared" si="9"/>
        <v>3919670</v>
      </c>
      <c r="R17" s="811">
        <f t="shared" si="2"/>
        <v>159723</v>
      </c>
      <c r="S17" s="811">
        <f t="shared" ref="S17" si="11">SUM(S15:S16)</f>
        <v>4213054</v>
      </c>
      <c r="T17" s="811">
        <f t="shared" si="8"/>
        <v>4628910</v>
      </c>
      <c r="U17" s="811">
        <f t="shared" si="8"/>
        <v>4987479</v>
      </c>
      <c r="V17" s="811">
        <f t="shared" si="8"/>
        <v>5185255</v>
      </c>
      <c r="W17" s="639">
        <f t="shared" si="8"/>
        <v>5308604</v>
      </c>
    </row>
    <row r="18" spans="2:23" x14ac:dyDescent="0.2">
      <c r="B18" s="638" t="s">
        <v>252</v>
      </c>
      <c r="C18" s="636"/>
      <c r="D18" s="536"/>
      <c r="E18" s="636"/>
      <c r="F18" s="636"/>
      <c r="G18" s="636"/>
      <c r="H18" s="636"/>
      <c r="I18" s="637"/>
      <c r="J18" s="639">
        <f>'MYP Detail'!J283</f>
        <v>868788.00999999966</v>
      </c>
      <c r="K18" s="639">
        <f>'MYP Detail'!K283</f>
        <v>751370.80999999994</v>
      </c>
      <c r="L18" s="639">
        <f>'MYP Detail'!L283</f>
        <v>1022084</v>
      </c>
      <c r="M18" s="639">
        <f>'MYP Detail'!M283</f>
        <v>1020126.5</v>
      </c>
      <c r="N18" s="639">
        <f>'MYP Detail'!N283</f>
        <v>1095457</v>
      </c>
      <c r="O18" s="639">
        <f>'MYP Detail'!O283</f>
        <v>1021596</v>
      </c>
      <c r="P18" s="639">
        <f>'MYP Detail'!P283</f>
        <v>-73861</v>
      </c>
      <c r="Q18" s="639">
        <f>'MYP Detail'!Q283</f>
        <v>1118787</v>
      </c>
      <c r="R18" s="639">
        <f t="shared" si="2"/>
        <v>23330</v>
      </c>
      <c r="S18" s="639">
        <f>'MYP Detail'!S283</f>
        <v>1139907</v>
      </c>
      <c r="T18" s="639">
        <f>'MYP Detail'!T283</f>
        <v>1175164</v>
      </c>
      <c r="U18" s="639">
        <f>'MYP Detail'!U283</f>
        <v>1194240</v>
      </c>
      <c r="V18" s="639">
        <f>'MYP Detail'!V283</f>
        <v>1215403</v>
      </c>
      <c r="W18" s="639">
        <f>'MYP Detail'!W283</f>
        <v>1232535</v>
      </c>
    </row>
    <row r="19" spans="2:23" x14ac:dyDescent="0.2">
      <c r="B19" s="640" t="s">
        <v>279</v>
      </c>
      <c r="C19" s="641"/>
      <c r="D19" s="642"/>
      <c r="E19" s="642"/>
      <c r="F19" s="641"/>
      <c r="G19" s="641"/>
      <c r="H19" s="641"/>
      <c r="I19" s="641"/>
      <c r="J19" s="639">
        <f>'MYP Detail'!J369</f>
        <v>195745.00999999998</v>
      </c>
      <c r="K19" s="639">
        <f>'MYP Detail'!K369</f>
        <v>253551.48</v>
      </c>
      <c r="L19" s="639">
        <f>'MYP Detail'!L369</f>
        <v>185518</v>
      </c>
      <c r="M19" s="639">
        <f>'MYP Detail'!M369</f>
        <v>185515</v>
      </c>
      <c r="N19" s="639">
        <f>'MYP Detail'!N369</f>
        <v>194201</v>
      </c>
      <c r="O19" s="639">
        <f>'MYP Detail'!O369</f>
        <v>315306</v>
      </c>
      <c r="P19" s="639">
        <f>'MYP Detail'!P369</f>
        <v>121105</v>
      </c>
      <c r="Q19" s="639">
        <f>'MYP Detail'!Q369</f>
        <v>200662</v>
      </c>
      <c r="R19" s="639">
        <f t="shared" si="2"/>
        <v>6461</v>
      </c>
      <c r="S19" s="639">
        <f>'MYP Detail'!S369</f>
        <v>210542</v>
      </c>
      <c r="T19" s="639">
        <f>'MYP Detail'!T369</f>
        <v>218478</v>
      </c>
      <c r="U19" s="639">
        <f>'MYP Detail'!U369</f>
        <v>224480</v>
      </c>
      <c r="V19" s="639">
        <f>'MYP Detail'!V369</f>
        <v>226579</v>
      </c>
      <c r="W19" s="639">
        <f>'MYP Detail'!W369</f>
        <v>227398</v>
      </c>
    </row>
    <row r="20" spans="2:23" ht="15" x14ac:dyDescent="0.25">
      <c r="B20" s="643" t="s">
        <v>353</v>
      </c>
      <c r="C20" s="644"/>
      <c r="D20" s="645"/>
      <c r="E20" s="645"/>
      <c r="F20" s="644"/>
      <c r="G20" s="644"/>
      <c r="H20" s="644"/>
      <c r="I20" s="644"/>
      <c r="J20" s="639">
        <f>'MYP Detail'!J374</f>
        <v>1800</v>
      </c>
      <c r="K20" s="639">
        <f>'MYP Detail'!K374</f>
        <v>12006</v>
      </c>
      <c r="L20" s="639">
        <f>'MYP Detail'!L374</f>
        <v>6593</v>
      </c>
      <c r="M20" s="639">
        <f>'MYP Detail'!M374</f>
        <v>8517</v>
      </c>
      <c r="N20" s="639">
        <f>'MYP Detail'!N374</f>
        <v>8517</v>
      </c>
      <c r="O20" s="639">
        <f>'MYP Detail'!O374</f>
        <v>8517</v>
      </c>
      <c r="P20" s="639">
        <f>'MYP Detail'!P374</f>
        <v>0</v>
      </c>
      <c r="Q20" s="639">
        <f>'MYP Detail'!Q374</f>
        <v>54517</v>
      </c>
      <c r="R20" s="639">
        <f t="shared" si="2"/>
        <v>46000</v>
      </c>
      <c r="S20" s="639">
        <f>'MYP Detail'!S374</f>
        <v>54517</v>
      </c>
      <c r="T20" s="639">
        <f>'MYP Detail'!T374</f>
        <v>54517</v>
      </c>
      <c r="U20" s="639">
        <f>'MYP Detail'!U374</f>
        <v>54517</v>
      </c>
      <c r="V20" s="639">
        <f>'MYP Detail'!V374</f>
        <v>54517</v>
      </c>
      <c r="W20" s="639">
        <f>'MYP Detail'!W374</f>
        <v>54517</v>
      </c>
    </row>
    <row r="21" spans="2:23" ht="15" x14ac:dyDescent="0.25">
      <c r="B21" s="643" t="s">
        <v>289</v>
      </c>
      <c r="C21" s="644"/>
      <c r="D21" s="645"/>
      <c r="E21" s="645"/>
      <c r="F21" s="644"/>
      <c r="G21" s="644"/>
      <c r="H21" s="644"/>
      <c r="I21" s="644"/>
      <c r="J21" s="639">
        <f>'MYP Detail'!J414</f>
        <v>22731.38</v>
      </c>
      <c r="K21" s="639">
        <f>'MYP Detail'!K414</f>
        <v>167812.5</v>
      </c>
      <c r="L21" s="639">
        <f>'MYP Detail'!L414</f>
        <v>310713</v>
      </c>
      <c r="M21" s="639">
        <f>'MYP Detail'!M414</f>
        <v>321119.27</v>
      </c>
      <c r="N21" s="639">
        <f>'MYP Detail'!N414</f>
        <v>167048</v>
      </c>
      <c r="O21" s="639">
        <f>'MYP Detail'!O414</f>
        <v>1618489</v>
      </c>
      <c r="P21" s="639">
        <f>'MYP Detail'!P414</f>
        <v>1451441</v>
      </c>
      <c r="Q21" s="639">
        <f>'MYP Detail'!Q414</f>
        <v>188416</v>
      </c>
      <c r="R21" s="639">
        <f t="shared" si="2"/>
        <v>21368</v>
      </c>
      <c r="S21" s="639">
        <f>'MYP Detail'!S414</f>
        <v>185408</v>
      </c>
      <c r="T21" s="639">
        <f>'MYP Detail'!T414</f>
        <v>182248</v>
      </c>
      <c r="U21" s="639">
        <f>'MYP Detail'!U414</f>
        <v>178929</v>
      </c>
      <c r="V21" s="639">
        <f>'MYP Detail'!V414</f>
        <v>175443</v>
      </c>
      <c r="W21" s="639">
        <f>'MYP Detail'!W414</f>
        <v>171782</v>
      </c>
    </row>
    <row r="22" spans="2:23" x14ac:dyDescent="0.2">
      <c r="B22" s="447" t="s">
        <v>290</v>
      </c>
      <c r="C22" s="163"/>
      <c r="D22" s="163"/>
      <c r="E22" s="163"/>
      <c r="F22" s="164"/>
      <c r="G22" s="164"/>
      <c r="H22" s="163"/>
      <c r="I22" s="163"/>
      <c r="J22" s="309">
        <f>SUM(J21,J20,J19,J18,J17)</f>
        <v>3799735.6999999993</v>
      </c>
      <c r="K22" s="309">
        <f t="shared" ref="K22:V22" si="12">SUM(K21,K20,K19,K18,K17)</f>
        <v>3690575.0999999996</v>
      </c>
      <c r="L22" s="309">
        <f>SUM(L21,L20,L19,L18,L17)</f>
        <v>5413740</v>
      </c>
      <c r="M22" s="309">
        <f>SUM(M21,M20,M19,M18,M17)</f>
        <v>5415681.7699999996</v>
      </c>
      <c r="N22" s="309">
        <f>SUM(N21,N20,N19,N18,N17)</f>
        <v>5225170</v>
      </c>
      <c r="O22" s="309">
        <f>SUM(O21,O20,O19,O18,O17)</f>
        <v>6521446</v>
      </c>
      <c r="P22" s="309">
        <f t="shared" ref="P22" si="13">SUM(P21,P20,P19,P18,P17)</f>
        <v>1296276</v>
      </c>
      <c r="Q22" s="309">
        <f t="shared" si="12"/>
        <v>5482052</v>
      </c>
      <c r="R22" s="309">
        <f t="shared" si="2"/>
        <v>256882</v>
      </c>
      <c r="S22" s="309">
        <f t="shared" ref="S22" si="14">SUM(S21,S20,S19,S18,S17)</f>
        <v>5803428</v>
      </c>
      <c r="T22" s="309">
        <f t="shared" si="12"/>
        <v>6259317</v>
      </c>
      <c r="U22" s="309">
        <f t="shared" si="12"/>
        <v>6639645</v>
      </c>
      <c r="V22" s="309">
        <f t="shared" si="12"/>
        <v>6857197</v>
      </c>
      <c r="W22" s="309">
        <f t="shared" ref="W22" si="15">SUM(W21,W20,W19,W18,W17)</f>
        <v>6994836</v>
      </c>
    </row>
    <row r="23" spans="2:23" ht="13.5" thickBot="1" x14ac:dyDescent="0.25">
      <c r="B23" s="448" t="s">
        <v>291</v>
      </c>
      <c r="C23" s="165"/>
      <c r="D23" s="165"/>
      <c r="E23" s="165"/>
      <c r="F23" s="166"/>
      <c r="G23" s="167"/>
      <c r="H23" s="165"/>
      <c r="I23" s="165"/>
      <c r="J23" s="310">
        <f t="shared" ref="J23:W23" si="16">J12-J22</f>
        <v>10817323.720000001</v>
      </c>
      <c r="K23" s="310">
        <f t="shared" si="16"/>
        <v>967182.66000000015</v>
      </c>
      <c r="L23" s="310">
        <f t="shared" si="16"/>
        <v>-101239</v>
      </c>
      <c r="M23" s="310">
        <f t="shared" si="16"/>
        <v>946226.05000000075</v>
      </c>
      <c r="N23" s="809">
        <f t="shared" si="16"/>
        <v>96396</v>
      </c>
      <c r="O23" s="809">
        <f t="shared" si="16"/>
        <v>250317</v>
      </c>
      <c r="P23" s="809">
        <f t="shared" si="16"/>
        <v>153921</v>
      </c>
      <c r="Q23" s="809">
        <f t="shared" si="16"/>
        <v>466901</v>
      </c>
      <c r="R23" s="809">
        <f t="shared" si="2"/>
        <v>370505</v>
      </c>
      <c r="S23" s="809">
        <f t="shared" si="16"/>
        <v>132918</v>
      </c>
      <c r="T23" s="809">
        <f t="shared" si="16"/>
        <v>159086</v>
      </c>
      <c r="U23" s="809">
        <f t="shared" si="16"/>
        <v>140002</v>
      </c>
      <c r="V23" s="809">
        <f t="shared" si="16"/>
        <v>77624</v>
      </c>
      <c r="W23" s="310">
        <f t="shared" si="16"/>
        <v>-39706</v>
      </c>
    </row>
    <row r="24" spans="2:23" s="173" customFormat="1" ht="13.5" thickTop="1" x14ac:dyDescent="0.2">
      <c r="B24" s="169"/>
      <c r="C24" s="171"/>
      <c r="D24" s="172"/>
      <c r="E24" s="171"/>
      <c r="F24" s="171"/>
      <c r="G24" s="171"/>
      <c r="H24" s="171"/>
      <c r="I24" s="171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</row>
    <row r="25" spans="2:23" x14ac:dyDescent="0.2">
      <c r="B25" s="197" t="s">
        <v>292</v>
      </c>
      <c r="C25" s="198"/>
      <c r="D25" s="199"/>
      <c r="E25" s="199"/>
      <c r="F25" s="200"/>
      <c r="G25" s="200"/>
      <c r="H25" s="200"/>
      <c r="I25" s="200"/>
      <c r="J25" s="201"/>
      <c r="K25" s="201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</row>
    <row r="26" spans="2:23" x14ac:dyDescent="0.2">
      <c r="B26" s="177" t="s">
        <v>303</v>
      </c>
      <c r="C26" s="135"/>
      <c r="D26" s="214"/>
      <c r="E26" s="214"/>
      <c r="F26" s="214"/>
      <c r="G26" s="214"/>
      <c r="H26" s="445"/>
      <c r="I26" s="215"/>
      <c r="J26" s="180">
        <f>'MYP Detail'!J429</f>
        <v>8358761.9200000009</v>
      </c>
      <c r="K26" s="180">
        <f>'MYP Detail'!K429</f>
        <v>133256.82000000009</v>
      </c>
      <c r="L26" s="180">
        <f>'MYP Detail'!L429</f>
        <v>83664</v>
      </c>
      <c r="M26" s="180">
        <f>'MYP Detail'!M429</f>
        <v>1096801.0500000007</v>
      </c>
      <c r="N26" s="180">
        <f>'MYP Detail'!N429</f>
        <v>96396</v>
      </c>
      <c r="O26" s="180">
        <f>'MYP Detail'!O429</f>
        <v>250317</v>
      </c>
      <c r="P26" s="180">
        <f>'MYP Detail'!P429</f>
        <v>0</v>
      </c>
      <c r="Q26" s="180">
        <f>'MYP Detail'!Q429</f>
        <v>466901</v>
      </c>
      <c r="R26" s="180"/>
      <c r="S26" s="180">
        <f>'MYP Detail'!S429</f>
        <v>132918</v>
      </c>
      <c r="T26" s="180">
        <f>'MYP Detail'!T429</f>
        <v>159086</v>
      </c>
      <c r="U26" s="180">
        <f>'MYP Detail'!U429</f>
        <v>140002</v>
      </c>
      <c r="V26" s="180">
        <f>'MYP Detail'!V429</f>
        <v>77624</v>
      </c>
      <c r="W26" s="180">
        <f>'MYP Detail'!W429</f>
        <v>-39706</v>
      </c>
    </row>
    <row r="27" spans="2:23" x14ac:dyDescent="0.2">
      <c r="B27" s="183" t="s">
        <v>307</v>
      </c>
      <c r="C27" s="216"/>
      <c r="D27" s="217"/>
      <c r="E27" s="217"/>
      <c r="F27" s="136"/>
      <c r="G27" s="136"/>
      <c r="H27" s="136"/>
      <c r="I27" s="137"/>
      <c r="J27" s="130">
        <f>'MYP Detail'!J433</f>
        <v>2582431</v>
      </c>
      <c r="K27" s="130">
        <f>'MYP Detail'!K433</f>
        <v>-1757781.27</v>
      </c>
      <c r="L27" s="130">
        <f>'MYP Detail'!L433</f>
        <v>0</v>
      </c>
      <c r="M27" s="130">
        <f>'MYP Detail'!M433</f>
        <v>0</v>
      </c>
      <c r="N27" s="130">
        <f>'MYP Detail'!N433</f>
        <v>0</v>
      </c>
      <c r="O27" s="130">
        <f>'MYP Detail'!O433</f>
        <v>-2075650</v>
      </c>
      <c r="P27" s="130">
        <f>'MYP Detail'!P433</f>
        <v>0</v>
      </c>
      <c r="Q27" s="130">
        <f>'MYP Detail'!Q433</f>
        <v>0</v>
      </c>
      <c r="R27" s="130"/>
      <c r="S27" s="130">
        <f>'MYP Detail'!S433</f>
        <v>0</v>
      </c>
      <c r="T27" s="130">
        <f>'MYP Detail'!T433</f>
        <v>0</v>
      </c>
      <c r="U27" s="130">
        <f>'MYP Detail'!U433</f>
        <v>0</v>
      </c>
      <c r="V27" s="130">
        <f>'MYP Detail'!V433</f>
        <v>0</v>
      </c>
      <c r="W27" s="130">
        <f>'MYP Detail'!W433</f>
        <v>0</v>
      </c>
    </row>
    <row r="28" spans="2:23" x14ac:dyDescent="0.2">
      <c r="B28" s="183" t="s">
        <v>311</v>
      </c>
      <c r="C28" s="216"/>
      <c r="D28" s="217"/>
      <c r="E28" s="217"/>
      <c r="F28" s="136"/>
      <c r="G28" s="136"/>
      <c r="H28" s="136"/>
      <c r="I28" s="137"/>
      <c r="J28" s="130">
        <f>'MYP Detail'!J437</f>
        <v>0</v>
      </c>
      <c r="K28" s="130">
        <f>'MYP Detail'!K437</f>
        <v>1063756.8500000001</v>
      </c>
      <c r="L28" s="130">
        <f>'MYP Detail'!L437</f>
        <v>-58964</v>
      </c>
      <c r="M28" s="130">
        <f>'MYP Detail'!M437</f>
        <v>-58964</v>
      </c>
      <c r="N28" s="130">
        <f>'MYP Detail'!N437</f>
        <v>-58964</v>
      </c>
      <c r="O28" s="130">
        <f>'MYP Detail'!O437</f>
        <v>2075650</v>
      </c>
      <c r="P28" s="130">
        <f>'MYP Detail'!P437</f>
        <v>0</v>
      </c>
      <c r="Q28" s="130">
        <f>'MYP Detail'!Q437</f>
        <v>-59780</v>
      </c>
      <c r="R28" s="130"/>
      <c r="S28" s="130">
        <f>'MYP Detail'!S437</f>
        <v>-62788</v>
      </c>
      <c r="T28" s="130">
        <f>'MYP Detail'!T437</f>
        <v>-65948</v>
      </c>
      <c r="U28" s="130">
        <f>'MYP Detail'!U437</f>
        <v>-69267</v>
      </c>
      <c r="V28" s="130">
        <f>'MYP Detail'!V437</f>
        <v>-72753</v>
      </c>
      <c r="W28" s="130">
        <f>'MYP Detail'!W437</f>
        <v>-76414</v>
      </c>
    </row>
    <row r="29" spans="2:23" x14ac:dyDescent="0.2">
      <c r="B29" s="186" t="s">
        <v>312</v>
      </c>
      <c r="C29" s="218"/>
      <c r="D29" s="219"/>
      <c r="E29" s="219"/>
      <c r="F29" s="219"/>
      <c r="G29" s="219"/>
      <c r="H29" s="219"/>
      <c r="I29" s="220"/>
      <c r="J29" s="189">
        <f t="shared" ref="J29" si="17">SUM(J28,J27,J26)</f>
        <v>10941192.920000002</v>
      </c>
      <c r="K29" s="189">
        <f t="shared" ref="K29:V29" si="18">SUM(K28,K27,K26)</f>
        <v>-560767.59999999986</v>
      </c>
      <c r="L29" s="189">
        <f t="shared" ref="L29:N29" si="19">SUM(L28,L27,L26)</f>
        <v>24700</v>
      </c>
      <c r="M29" s="189">
        <f t="shared" si="19"/>
        <v>1037837.0500000007</v>
      </c>
      <c r="N29" s="189">
        <f t="shared" si="19"/>
        <v>37432</v>
      </c>
      <c r="O29" s="189">
        <f t="shared" si="18"/>
        <v>250317</v>
      </c>
      <c r="P29" s="189">
        <f t="shared" ref="P29" si="20">SUM(P28,P27,P26)</f>
        <v>0</v>
      </c>
      <c r="Q29" s="189">
        <f t="shared" si="18"/>
        <v>407121</v>
      </c>
      <c r="R29" s="189"/>
      <c r="S29" s="189">
        <f t="shared" ref="S29" si="21">SUM(S28,S27,S26)</f>
        <v>70130</v>
      </c>
      <c r="T29" s="189">
        <f t="shared" si="18"/>
        <v>93138</v>
      </c>
      <c r="U29" s="189">
        <f t="shared" si="18"/>
        <v>70735</v>
      </c>
      <c r="V29" s="189">
        <f t="shared" si="18"/>
        <v>4871</v>
      </c>
      <c r="W29" s="189">
        <f t="shared" ref="W29" si="22">SUM(W28,W27,W26)</f>
        <v>-116120</v>
      </c>
    </row>
    <row r="30" spans="2:23" x14ac:dyDescent="0.2">
      <c r="B30" s="190" t="s">
        <v>313</v>
      </c>
      <c r="C30" s="221"/>
      <c r="D30" s="222"/>
      <c r="E30" s="222"/>
      <c r="F30" s="222"/>
      <c r="G30" s="222"/>
      <c r="H30" s="222"/>
      <c r="I30" s="352"/>
      <c r="J30" s="192">
        <v>2974737</v>
      </c>
      <c r="K30" s="192">
        <f>'2022 Budget &amp; CF'!J439</f>
        <v>2083682</v>
      </c>
      <c r="L30" s="13">
        <f>'MYP Detail'!L439</f>
        <v>1248640.9100000001</v>
      </c>
      <c r="M30" s="13">
        <v>2333858.91</v>
      </c>
      <c r="N30" s="13">
        <f>'MYP Detail'!N439</f>
        <v>2083681</v>
      </c>
      <c r="O30" s="13">
        <f>'MYP Detail'!O439</f>
        <v>2083682</v>
      </c>
      <c r="P30" s="13"/>
      <c r="Q30" s="13">
        <f>O31</f>
        <v>2333999</v>
      </c>
      <c r="R30" s="13"/>
      <c r="S30" s="13">
        <f>Q31</f>
        <v>2741120</v>
      </c>
      <c r="T30" s="13">
        <f>S31</f>
        <v>2811250</v>
      </c>
      <c r="U30" s="13">
        <f t="shared" ref="U30:V30" si="23">T31</f>
        <v>2904388</v>
      </c>
      <c r="V30" s="13">
        <f t="shared" si="23"/>
        <v>2975123</v>
      </c>
      <c r="W30" s="13">
        <f t="shared" ref="W30" si="24">V31</f>
        <v>2979994</v>
      </c>
    </row>
    <row r="31" spans="2:23" x14ac:dyDescent="0.2">
      <c r="B31" s="193" t="s">
        <v>314</v>
      </c>
      <c r="C31" s="223"/>
      <c r="D31" s="224"/>
      <c r="E31" s="224"/>
      <c r="F31" s="224"/>
      <c r="G31" s="224"/>
      <c r="H31" s="224"/>
      <c r="I31" s="225"/>
      <c r="J31" s="196">
        <f t="shared" ref="J31:L31" si="25">SUM(J29:J30)</f>
        <v>13915929.920000002</v>
      </c>
      <c r="K31" s="196">
        <f t="shared" si="25"/>
        <v>1522914.4000000001</v>
      </c>
      <c r="L31" s="196">
        <f t="shared" si="25"/>
        <v>1273340.9100000001</v>
      </c>
      <c r="M31" s="196">
        <f t="shared" ref="M31:N31" si="26">SUM(M29:M30)</f>
        <v>3371695.9600000009</v>
      </c>
      <c r="N31" s="196">
        <f t="shared" si="26"/>
        <v>2121113</v>
      </c>
      <c r="O31" s="196">
        <f t="shared" ref="O31:V31" si="27">SUM(O29:O30)</f>
        <v>2333999</v>
      </c>
      <c r="P31" s="196"/>
      <c r="Q31" s="196">
        <f t="shared" si="27"/>
        <v>2741120</v>
      </c>
      <c r="R31" s="196"/>
      <c r="S31" s="196">
        <f t="shared" ref="S31" si="28">SUM(S29:S30)</f>
        <v>2811250</v>
      </c>
      <c r="T31" s="196">
        <f t="shared" si="27"/>
        <v>2904388</v>
      </c>
      <c r="U31" s="196">
        <f t="shared" si="27"/>
        <v>2975123</v>
      </c>
      <c r="V31" s="196">
        <f t="shared" si="27"/>
        <v>2979994</v>
      </c>
      <c r="W31" s="196">
        <f t="shared" ref="W31" si="29">SUM(W29:W30)</f>
        <v>2863874</v>
      </c>
    </row>
    <row r="33" spans="2:23" x14ac:dyDescent="0.2">
      <c r="B33" s="436" t="s">
        <v>885</v>
      </c>
      <c r="C33" s="605"/>
      <c r="D33" s="605"/>
      <c r="E33" s="605"/>
      <c r="F33" s="605"/>
      <c r="G33" s="605"/>
      <c r="H33" s="605"/>
      <c r="I33" s="605"/>
      <c r="J33" s="456">
        <f>'MYP Detail'!J442</f>
        <v>1249228.1753424655</v>
      </c>
      <c r="K33" s="456">
        <f>'MYP Detail'!K442</f>
        <v>1213339.7589041095</v>
      </c>
      <c r="L33" s="456">
        <f>'MYP Detail'!L442</f>
        <v>1719069.6986301371</v>
      </c>
      <c r="M33" s="456">
        <f>'MYP Detail'!M442</f>
        <v>1730994.0065753423</v>
      </c>
      <c r="N33" s="456">
        <f>'MYP Detail'!N442</f>
        <v>1717864.109589041</v>
      </c>
      <c r="O33" s="456">
        <f>'MYP Detail'!O442</f>
        <v>2144037.0410958906</v>
      </c>
      <c r="P33" s="456">
        <f>'MYP Detail'!P442</f>
        <v>0</v>
      </c>
      <c r="Q33" s="456">
        <f>'MYP Detail'!Q442</f>
        <v>1802318.4657534247</v>
      </c>
      <c r="R33" s="456"/>
      <c r="S33" s="456">
        <f>'MYP Detail'!S442</f>
        <v>1907976.3287671232</v>
      </c>
      <c r="T33" s="456">
        <f>'MYP Detail'!T442</f>
        <v>2057857.6438356163</v>
      </c>
      <c r="U33" s="456">
        <f>'MYP Detail'!U442</f>
        <v>2182896.98630137</v>
      </c>
      <c r="V33" s="456">
        <f>'MYP Detail'!V442</f>
        <v>2254420.9315068494</v>
      </c>
      <c r="W33" s="456">
        <f>'MYP Detail'!W442</f>
        <v>2299672.1095890412</v>
      </c>
    </row>
    <row r="34" spans="2:23" x14ac:dyDescent="0.2">
      <c r="B34" s="436" t="s">
        <v>881</v>
      </c>
      <c r="C34" s="605"/>
      <c r="D34" s="605"/>
      <c r="E34" s="605"/>
      <c r="F34" s="605"/>
      <c r="G34" s="605"/>
      <c r="H34" s="605"/>
      <c r="I34" s="605"/>
      <c r="J34" s="456">
        <f>'MYP Detail'!J443</f>
        <v>0</v>
      </c>
      <c r="K34" s="456">
        <f>'MYP Detail'!K443</f>
        <v>136140</v>
      </c>
      <c r="L34" s="456">
        <f>'MYP Detail'!L443</f>
        <v>189765</v>
      </c>
      <c r="M34" s="456">
        <f>'MYP Detail'!M443</f>
        <v>210074</v>
      </c>
      <c r="N34" s="456">
        <f>'MYP Detail'!N443</f>
        <v>152359</v>
      </c>
      <c r="O34" s="456">
        <f>'MYP Detail'!O443</f>
        <v>160638</v>
      </c>
      <c r="P34" s="456">
        <f>'MYP Detail'!P443</f>
        <v>0</v>
      </c>
      <c r="Q34" s="456">
        <f>'MYP Detail'!Q443</f>
        <v>214637</v>
      </c>
      <c r="R34" s="456"/>
      <c r="S34" s="456">
        <f>'MYP Detail'!S443</f>
        <v>240870</v>
      </c>
      <c r="T34" s="456">
        <f>'MYP Detail'!T443</f>
        <v>261992</v>
      </c>
      <c r="U34" s="456">
        <f>'MYP Detail'!U443</f>
        <v>277843</v>
      </c>
      <c r="V34" s="456">
        <f>'MYP Detail'!V443</f>
        <v>282530</v>
      </c>
      <c r="W34" s="456">
        <f>'MYP Detail'!W443</f>
        <v>283427</v>
      </c>
    </row>
    <row r="35" spans="2:23" x14ac:dyDescent="0.2">
      <c r="B35" s="436" t="s">
        <v>886</v>
      </c>
      <c r="C35" s="605"/>
      <c r="D35" s="605"/>
      <c r="E35" s="605"/>
      <c r="F35" s="605"/>
      <c r="G35" s="605"/>
      <c r="H35" s="605"/>
      <c r="I35" s="605"/>
      <c r="J35" s="456">
        <f>'MYP Detail'!J444</f>
        <v>1336.7547000308475</v>
      </c>
      <c r="K35" s="456">
        <f>'MYP Detail'!K444</f>
        <v>206.0467810152407</v>
      </c>
      <c r="L35" s="456">
        <f>'MYP Detail'!L444</f>
        <v>88.885813833936695</v>
      </c>
      <c r="M35" s="456">
        <f>'MYP Detail'!M444</f>
        <v>156.28224509870677</v>
      </c>
      <c r="N35" s="456">
        <f>'MYP Detail'!N444</f>
        <v>148.1686232218282</v>
      </c>
      <c r="O35" s="456">
        <f>'MYP Detail'!O444</f>
        <v>130.80284385105378</v>
      </c>
      <c r="P35" s="456">
        <f>'MYP Detail'!P444</f>
        <v>0</v>
      </c>
      <c r="Q35" s="456">
        <f>'MYP Detail'!Q444</f>
        <v>170.02293122015794</v>
      </c>
      <c r="R35" s="456"/>
      <c r="S35" s="456">
        <f>'MYP Detail'!S444</f>
        <v>164.97087187469069</v>
      </c>
      <c r="T35" s="456">
        <f>'MYP Detail'!T444</f>
        <v>158.3287503223311</v>
      </c>
      <c r="U35" s="456">
        <f>'MYP Detail'!U444</f>
        <v>153.1050732802764</v>
      </c>
      <c r="V35" s="456">
        <f>'MYP Detail'!V444</f>
        <v>148.47007649926206</v>
      </c>
      <c r="W35" s="456">
        <f>'MYP Detail'!W444</f>
        <v>138.33213816592698</v>
      </c>
    </row>
    <row r="36" spans="2:23" x14ac:dyDescent="0.2">
      <c r="B36" s="436" t="s">
        <v>882</v>
      </c>
      <c r="C36" s="605"/>
      <c r="D36" s="605"/>
      <c r="E36" s="605"/>
      <c r="F36" s="605"/>
      <c r="G36" s="605"/>
      <c r="H36" s="605"/>
      <c r="I36" s="605"/>
      <c r="J36" s="431">
        <f>'MYP Detail'!J445</f>
        <v>0.74004787209108858</v>
      </c>
      <c r="K36" s="431">
        <f>'MYP Detail'!K445</f>
        <v>0.20853245489520697</v>
      </c>
      <c r="L36" s="431">
        <f>'MYP Detail'!L445</f>
        <v>1.6989549743143578E-2</v>
      </c>
      <c r="M36" s="431">
        <f>'MYP Detail'!M445</f>
        <v>0.17374002913484538</v>
      </c>
      <c r="N36" s="823">
        <f>'MYP Detail'!N445</f>
        <v>1.9714685489196224E-2</v>
      </c>
      <c r="O36" s="823">
        <f>'MYP Detail'!O445</f>
        <v>3.8222542637714879E-2</v>
      </c>
      <c r="P36" s="823">
        <f>'MYP Detail'!P445</f>
        <v>0.10613799366568819</v>
      </c>
      <c r="Q36" s="823">
        <f>'MYP Detail'!Q445</f>
        <v>8.76487005360439E-2</v>
      </c>
      <c r="R36" s="823"/>
      <c r="S36" s="823">
        <f>'MYP Detail'!S445</f>
        <v>3.1574136682733789E-2</v>
      </c>
      <c r="T36" s="823">
        <f>'MYP Detail'!T445</f>
        <v>3.3279773800429797E-2</v>
      </c>
      <c r="U36" s="823">
        <f>'MYP Detail'!U445</f>
        <v>2.8691611819907439E-2</v>
      </c>
      <c r="V36" s="823">
        <f>'MYP Detail'!V445</f>
        <v>1.90547095591941E-2</v>
      </c>
      <c r="W36" s="431">
        <f>'MYP Detail'!W445</f>
        <v>2.1295072845511154E-3</v>
      </c>
    </row>
    <row r="37" spans="2:23" s="3" customFormat="1" x14ac:dyDescent="0.2"/>
    <row r="38" spans="2:23" s="3" customFormat="1" x14ac:dyDescent="0.2">
      <c r="S38" s="62"/>
      <c r="T38" s="62"/>
      <c r="U38" s="62"/>
      <c r="V38" s="62"/>
    </row>
    <row r="39" spans="2:23" s="3" customFormat="1" x14ac:dyDescent="0.2">
      <c r="S39" s="62"/>
      <c r="T39" s="62"/>
      <c r="U39" s="62"/>
      <c r="V39" s="62"/>
    </row>
    <row r="40" spans="2:23" s="3" customFormat="1" x14ac:dyDescent="0.2">
      <c r="S40" s="62"/>
      <c r="T40" s="62"/>
      <c r="U40" s="62"/>
      <c r="V40" s="62"/>
    </row>
    <row r="41" spans="2:23" s="3" customFormat="1" x14ac:dyDescent="0.2">
      <c r="S41" s="62"/>
      <c r="T41" s="62"/>
      <c r="U41" s="62"/>
      <c r="V41" s="62"/>
    </row>
    <row r="42" spans="2:23" s="3" customFormat="1" x14ac:dyDescent="0.2"/>
    <row r="43" spans="2:23" s="3" customFormat="1" x14ac:dyDescent="0.2"/>
    <row r="44" spans="2:23" s="3" customFormat="1" x14ac:dyDescent="0.2"/>
    <row r="45" spans="2:23" s="3" customFormat="1" x14ac:dyDescent="0.2"/>
    <row r="46" spans="2:23" s="3" customFormat="1" x14ac:dyDescent="0.2"/>
    <row r="47" spans="2:23" s="3" customFormat="1" x14ac:dyDescent="0.2">
      <c r="J47" s="3">
        <f>84/7</f>
        <v>12</v>
      </c>
    </row>
    <row r="48" spans="2:23" s="3" customFormat="1" x14ac:dyDescent="0.2"/>
    <row r="49" s="3" customFormat="1" x14ac:dyDescent="0.2"/>
    <row r="50" s="3" customFormat="1" x14ac:dyDescent="0.2"/>
    <row r="51" s="3" customFormat="1" x14ac:dyDescent="0.2"/>
    <row r="52" s="3" customFormat="1" x14ac:dyDescent="0.2"/>
    <row r="53" s="3" customFormat="1" x14ac:dyDescent="0.2"/>
    <row r="54" s="3" customFormat="1" x14ac:dyDescent="0.2"/>
    <row r="55" s="3" customFormat="1" x14ac:dyDescent="0.2"/>
    <row r="56" s="3" customFormat="1" x14ac:dyDescent="0.2"/>
    <row r="57" s="3" customFormat="1" x14ac:dyDescent="0.2"/>
    <row r="58" s="3" customFormat="1" x14ac:dyDescent="0.2"/>
    <row r="59" s="3" customFormat="1" x14ac:dyDescent="0.2"/>
    <row r="60" s="3" customFormat="1" x14ac:dyDescent="0.2"/>
    <row r="61" s="3" customFormat="1" x14ac:dyDescent="0.2"/>
    <row r="62" s="3" customFormat="1" x14ac:dyDescent="0.2"/>
    <row r="63" s="3" customFormat="1" x14ac:dyDescent="0.2"/>
    <row r="64" s="3" customFormat="1" x14ac:dyDescent="0.2"/>
    <row r="65" s="3" customFormat="1" x14ac:dyDescent="0.2"/>
    <row r="66" s="3" customFormat="1" x14ac:dyDescent="0.2"/>
    <row r="131" spans="3:8" x14ac:dyDescent="0.2">
      <c r="C131">
        <v>280</v>
      </c>
      <c r="D131" t="s">
        <v>242</v>
      </c>
      <c r="F131">
        <v>100</v>
      </c>
      <c r="G131">
        <v>1000</v>
      </c>
      <c r="H131" t="s">
        <v>198</v>
      </c>
    </row>
    <row r="132" spans="3:8" x14ac:dyDescent="0.2">
      <c r="C132">
        <v>280</v>
      </c>
      <c r="D132" t="s">
        <v>242</v>
      </c>
      <c r="F132">
        <v>100</v>
      </c>
      <c r="G132" t="s">
        <v>489</v>
      </c>
      <c r="H132" t="s">
        <v>199</v>
      </c>
    </row>
    <row r="133" spans="3:8" x14ac:dyDescent="0.2">
      <c r="C133">
        <v>280</v>
      </c>
      <c r="D133" t="s">
        <v>242</v>
      </c>
      <c r="F133">
        <v>100</v>
      </c>
      <c r="G133" t="s">
        <v>489</v>
      </c>
      <c r="H133" t="s">
        <v>199</v>
      </c>
    </row>
  </sheetData>
  <pageMargins left="0.5" right="0.5" top="0.5" bottom="0.5" header="0" footer="0"/>
  <pageSetup scale="89" fitToHeight="0" orientation="landscape" r:id="rId1"/>
  <headerFooter>
    <oddFooter>&amp;R&amp;"Calibri,Regular"&amp;P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N F l B V A 4 L b N C k A A A A 9 g A A A B I A H A B D b 2 5 m a W c v U G F j a 2 F n Z S 5 4 b W w g o h g A K K A U A A A A A A A A A A A A A A A A A A A A A A A A A A A A h Y 9 B D o I w F E S v Q r q n L W i M I Z + y c C u J C d G 4 b W q F R v g Y W i x 3 c + G R v I I Y R d 2 5 n J k 3 y c z 9 e o N s a O r g o j t r W k x J R D k J N K r 2 Y L B M S e + O 4 Z J k A j Z S n W S p g x F G m w z W p K R y 7 p w w 5 r 2 n f k b b r m Q x 5 x H b 5 + t C V b q R o U H r J C p N P q 3 D / x Y R s H u N E T G N O K e L + b g J 2 G R C b v A L x G P 2 T H 9 M W P W 1 6 z s t N I b b A t g k g b 0 / i A d Q S w M E F A A C A A g A N F l B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R Z Q V Q o i k e 4 D g A A A B E A A A A T A B w A R m 9 y b X V s Y X M v U 2 V j d G l v b j E u b S C i G A A o o B Q A A A A A A A A A A A A A A A A A A A A A A A A A A A A r T k 0 u y c z P U w i G 0 I b W A F B L A Q I t A B Q A A g A I A D R Z Q V Q O C 2 z Q p A A A A P Y A A A A S A A A A A A A A A A A A A A A A A A A A A A B D b 2 5 m a W c v U G F j a 2 F n Z S 5 4 b W x Q S w E C L Q A U A A I A C A A 0 W U F U D 8 r p q 6 Q A A A D p A A A A E w A A A A A A A A A A A A A A A A D w A A A A W 0 N v b n R l b n R f V H l w Z X N d L n h t b F B L A Q I t A B Q A A g A I A D R Z Q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N K 6 s W o / 7 B T p 9 q 6 v j k v G w 7 A A A A A A I A A A A A A B B m A A A A A Q A A I A A A A M 4 j b b W U W m P / C b w Z I 9 w 1 R z e h j S 4 X t u X v U 0 L 2 x P 5 W S E q t A A A A A A 6 A A A A A A g A A I A A A A K / d 0 q 2 B 4 s r 6 1 G W e u R 5 / C K S q m q n e d b m d U h x E 2 r b N d L D 7 U A A A A F i z p Y f K a T M T b 5 t p / r R Z N V q o I H V n y e 2 s L P Y 3 P f 7 w S T E e K I H w U c I F E b V 0 1 B b J c w q x 9 S x 1 Y 6 m F T l / e q R q o y B 2 H m X Z M f G w p + i H x u D k 2 6 g 0 X P c / d Q A A A A C W h A m B y G U g R r k 1 n 6 I 0 / U K L P d L Q / z 9 d I O K Z f 1 + v T z 3 c p 8 J c x a 9 r z E K + G 3 R 2 H Q D z D U k o g a 3 q o u Q X Q e o g w l V Y Y t 4 U = < / D a t a M a s h u p > 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D4A3EC0020B44F93019580CF4D642E" ma:contentTypeVersion="17" ma:contentTypeDescription="Create a new document." ma:contentTypeScope="" ma:versionID="3707ba82dc8836c99ef3dc39f7d0a4f0">
  <xsd:schema xmlns:xsd="http://www.w3.org/2001/XMLSchema" xmlns:xs="http://www.w3.org/2001/XMLSchema" xmlns:p="http://schemas.microsoft.com/office/2006/metadata/properties" xmlns:ns1="http://schemas.microsoft.com/sharepoint/v3" xmlns:ns2="edb173ee-3fb8-4f75-bf43-79a22ca96f2e" xmlns:ns3="9224003f-e6e7-470a-941a-44de56618887" targetNamespace="http://schemas.microsoft.com/office/2006/metadata/properties" ma:root="true" ma:fieldsID="33e7ca2d096fff53e150e1599dabc154" ns1:_="" ns2:_="" ns3:_="">
    <xsd:import namespace="http://schemas.microsoft.com/sharepoint/v3"/>
    <xsd:import namespace="edb173ee-3fb8-4f75-bf43-79a22ca96f2e"/>
    <xsd:import namespace="9224003f-e6e7-470a-941a-44de566188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Dateandtim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b173ee-3fb8-4f75-bf43-79a22ca96f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Dateandtime" ma:index="22" nillable="true" ma:displayName="Date and time" ma:format="DateOnly" ma:internalName="Dateandtime">
      <xsd:simpleType>
        <xsd:restriction base="dms:DateTime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24003f-e6e7-470a-941a-44de566188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andtime xmlns="edb173ee-3fb8-4f75-bf43-79a22ca96f2e" xsi:nil="true"/>
  </documentManagement>
</p:properties>
</file>

<file path=customXml/itemProps1.xml><?xml version="1.0" encoding="utf-8"?>
<ds:datastoreItem xmlns:ds="http://schemas.openxmlformats.org/officeDocument/2006/customXml" ds:itemID="{C49BB78C-ACE8-4C46-8113-D4C86137CBB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4AA8AF6-F339-46DF-9A16-0F796842F55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50B46E88-8586-4593-81FC-A7A002C60D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db173ee-3fb8-4f75-bf43-79a22ca96f2e"/>
    <ds:schemaRef ds:uri="9224003f-e6e7-470a-941a-44de566188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357C3C6-82F3-4BAC-89E9-970FF967D3B5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190CBB0A-633D-4C9D-A401-A8EE9DEB838B}">
  <ds:schemaRefs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edb173ee-3fb8-4f75-bf43-79a22ca96f2e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9224003f-e6e7-470a-941a-44de56618887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5</vt:i4>
      </vt:variant>
    </vt:vector>
  </HeadingPairs>
  <TitlesOfParts>
    <vt:vector size="31" baseType="lpstr">
      <vt:lpstr>Change Log</vt:lpstr>
      <vt:lpstr>Graphs</vt:lpstr>
      <vt:lpstr># of Students</vt:lpstr>
      <vt:lpstr>PCFP</vt:lpstr>
      <vt:lpstr>Avg. ADE</vt:lpstr>
      <vt:lpstr>Budget Detail</vt:lpstr>
      <vt:lpstr>Revenues</vt:lpstr>
      <vt:lpstr>2022 Budget &amp; CF</vt:lpstr>
      <vt:lpstr>MYP Summary</vt:lpstr>
      <vt:lpstr>MYP Detail</vt:lpstr>
      <vt:lpstr>Fiscal_Sets</vt:lpstr>
      <vt:lpstr>Mandatory PP Spending</vt:lpstr>
      <vt:lpstr>Employee Detail FY22</vt:lpstr>
      <vt:lpstr>NRS 387.303</vt:lpstr>
      <vt:lpstr>Employee Detail FY22 FINAL</vt:lpstr>
      <vt:lpstr>Employee Summary FY22</vt:lpstr>
      <vt:lpstr>Employee Detail FY23</vt:lpstr>
      <vt:lpstr>Employee Summary FY23</vt:lpstr>
      <vt:lpstr>Employee Detail FY24</vt:lpstr>
      <vt:lpstr>Employee Detail FY25</vt:lpstr>
      <vt:lpstr>Employee Detail FY26</vt:lpstr>
      <vt:lpstr>Employee Detail FY27</vt:lpstr>
      <vt:lpstr>Employee Detail FY28</vt:lpstr>
      <vt:lpstr>Employee Detail FY21</vt:lpstr>
      <vt:lpstr>Employee Detail FY22 (2)</vt:lpstr>
      <vt:lpstr>Data Tables DONT EDIT</vt:lpstr>
      <vt:lpstr>Graphs!Print_Area</vt:lpstr>
      <vt:lpstr>'MYP Detail'!Print_Area</vt:lpstr>
      <vt:lpstr>'MYP Summary'!Print_Area</vt:lpstr>
      <vt:lpstr>'2022 Budget &amp; CF'!Print_Titles</vt:lpstr>
      <vt:lpstr>'MYP Detail'!Print_Titles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Saenz</dc:creator>
  <cp:lastModifiedBy>Michael Dang</cp:lastModifiedBy>
  <cp:lastPrinted>2022-02-25T06:05:12Z</cp:lastPrinted>
  <dcterms:created xsi:type="dcterms:W3CDTF">2018-07-04T02:07:09Z</dcterms:created>
  <dcterms:modified xsi:type="dcterms:W3CDTF">2022-04-08T15:16:27Z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0x01010072D4A3EC0020B44F93019580CF4D642E</vt:lpwstr>
  </property>
</Properties>
</file>